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2072" windowHeight="2868" tabRatio="872"/>
  </bookViews>
  <sheets>
    <sheet name="Guide to the material" sheetId="114" r:id="rId1"/>
    <sheet name="Table of contents" sheetId="2" r:id="rId2"/>
    <sheet name="Meat and eggs" sheetId="102" r:id="rId3"/>
    <sheet name="Dairy products" sheetId="112" r:id="rId4"/>
    <sheet name="Fish and seafood" sheetId="103" r:id="rId5"/>
    <sheet name="Grains, oil crops, sugar" sheetId="104" r:id="rId6"/>
    <sheet name="Vegetables, roots, legumes" sheetId="105" r:id="rId7"/>
    <sheet name="Fruits, berries, cocoa, coffee" sheetId="106" r:id="rId8"/>
    <sheet name="Processed products" sheetId="100" r:id="rId9"/>
    <sheet name="Common input data" sheetId="6" r:id="rId10"/>
    <sheet name="Input data meat and eggs" sheetId="64" r:id="rId11"/>
    <sheet name="Input data dairy products" sheetId="87" r:id="rId12"/>
    <sheet name="Input data fish and seafood" sheetId="63" r:id="rId13"/>
    <sheet name="Input data plant-based products" sheetId="5" r:id="rId14"/>
    <sheet name="Input data processed products" sheetId="7" r:id="rId15"/>
    <sheet name="Excluded data" sheetId="115" r:id="rId16"/>
    <sheet name="Maintenance of data" sheetId="118" r:id="rId17"/>
    <sheet name="Reference list" sheetId="117" r:id="rId18"/>
  </sheets>
  <externalReferences>
    <externalReference r:id="rId19"/>
    <externalReference r:id="rId20"/>
    <externalReference r:id="rId21"/>
  </externalReferences>
  <definedNames>
    <definedName name="_Ref501010803" localSheetId="15">'Excluded data'!$A$117</definedName>
    <definedName name="_Ref501632987" localSheetId="15">'Excluded data'!$A$10</definedName>
    <definedName name="_Ref501704412" localSheetId="11">'Input data dairy products'!#REF!</definedName>
    <definedName name="_Ref501704412" localSheetId="14">'Input data processed products'!$D$28</definedName>
    <definedName name="_Toc505255448" localSheetId="9">'Common input data'!$A$47</definedName>
    <definedName name="_Toc505255490" localSheetId="15">'Excluded data'!#REF!</definedName>
    <definedName name="_Toc505255497" localSheetId="15">'Excluded data'!#REF!</definedName>
    <definedName name="_Toc505255498" localSheetId="15">'Excluded data'!#REF!</definedName>
    <definedName name="a_t">'[1]Base case results'!$B$2</definedName>
    <definedName name="AlaskaPollock">'Fish and seafood'!$A$120</definedName>
    <definedName name="Apple">'Fruits, berries, cocoa, coffee'!$A$7</definedName>
    <definedName name="AverageFishAndSeafood">'Fish and seafood'!$A$7</definedName>
    <definedName name="Avocado">'Fruits, berries, cocoa, coffee'!$A$113</definedName>
    <definedName name="Banana">'Fruits, berries, cocoa, coffee'!$A$66</definedName>
    <definedName name="Barley">'Grains, oil crops, sugar'!$A$32</definedName>
    <definedName name="Beans">'Vegetables, roots, legumes'!$A$231</definedName>
    <definedName name="Beef">'Meat and eggs'!$A$58</definedName>
    <definedName name="Beer">'Processed products'!$A$89</definedName>
    <definedName name="BellPepper">'Vegetables, roots, legumes'!$A$65</definedName>
    <definedName name="Biscuits">'Processed products'!$A$29</definedName>
    <definedName name="Broccoli">'Vegetables, roots, legumes'!$A$171</definedName>
    <definedName name="Buns">'Processed products'!$A$24</definedName>
    <definedName name="Butter" localSheetId="3">'Dairy products'!$A$21</definedName>
    <definedName name="Butter" localSheetId="17">'[2]Dairy products wo allocation'!$A$23</definedName>
    <definedName name="Butter">'[3]Dairy products wo allocation'!$A$23</definedName>
    <definedName name="Carrot">'Vegetables, roots, legumes'!$A$124</definedName>
    <definedName name="Cauliflower">'Vegetables, roots, legumes'!$A$205</definedName>
    <definedName name="ChickenMeat">'Meat and eggs'!$A$28</definedName>
    <definedName name="Cider">'Processed products'!$A$84</definedName>
    <definedName name="Cocoa">'Fruits, berries, cocoa, coffee'!$A$173</definedName>
    <definedName name="CocoaDrinkPowder">'Processed products'!$A$74</definedName>
    <definedName name="Cod">'Fish and seafood'!$A$19</definedName>
    <definedName name="Coffee">'Fruits, berries, cocoa, coffee'!$A$188</definedName>
    <definedName name="CommonInputData">'Common input data'!$A$1</definedName>
    <definedName name="Cream" localSheetId="3">'Dairy products'!$A$51</definedName>
    <definedName name="Cream" localSheetId="17">'[2]Dairy products wo allocation'!$A$57</definedName>
    <definedName name="Cream">'[3]Dairy products wo allocation'!$A$57</definedName>
    <definedName name="CremeFraiche" localSheetId="3">'Dairy products'!$A$106</definedName>
    <definedName name="CremeFraiche" localSheetId="17">'[2]Dairy products wo allocation'!$A$112</definedName>
    <definedName name="CremeFraiche">'[3]Dairy products wo allocation'!$A$112</definedName>
    <definedName name="CrispBread">'Processed products'!$A$54</definedName>
    <definedName name="Cucumber">'Vegetables, roots, legumes'!$A$36</definedName>
    <definedName name="DessertCheese" localSheetId="3">'Dairy products'!$A$85</definedName>
    <definedName name="DessertCheese" localSheetId="17">'[2]Dairy products wo allocation'!$A$91</definedName>
    <definedName name="DessertCheese">'[3]Dairy products wo allocation'!$A$91</definedName>
    <definedName name="Eggs">'Meat and eggs'!$A$45</definedName>
    <definedName name="EuropeanPlaice">'Fish and seafood'!$A$138</definedName>
    <definedName name="ExcludedData">'Excluded data'!$A$1</definedName>
    <definedName name="FishAndSeafood">'Fish and seafood'!$A$1</definedName>
    <definedName name="FollowUpFormula">'Processed products'!$A$59</definedName>
    <definedName name="FruitsBerriesCocoaAndCoffee">'Fruits, berries, cocoa, coffee'!$A$1</definedName>
    <definedName name="GrainsAverage">'Grains, oil crops, sugar'!$A$7</definedName>
    <definedName name="GrainsOilCropsAndSugar">'Grains, oil crops, sugar'!$A$1</definedName>
    <definedName name="HardCheese" localSheetId="3">'Dairy products'!$A$64</definedName>
    <definedName name="HardCheese" localSheetId="17">'[2]Dairy products wo allocation'!$A$70</definedName>
    <definedName name="HardCheese">'[3]Dairy products wo allocation'!$A$70</definedName>
    <definedName name="Herring">'Fish and seafood'!$A$51</definedName>
    <definedName name="Hoki">'Fish and seafood'!$A$154</definedName>
    <definedName name="IcebergLettuce">'Vegetables, roots, legumes'!$A$90</definedName>
    <definedName name="IceCream">'Processed products'!$A$163</definedName>
    <definedName name="InputFishAndSeafood">'Input data fish and seafood'!$A$1</definedName>
    <definedName name="InputMeatAndEggs">'Input data meat and eggs'!$A$1</definedName>
    <definedName name="InputMilkAndDairy">'Input data dairy products'!$A$1</definedName>
    <definedName name="InputPlantBasedProducts">'Input data plant-based products'!$A$1</definedName>
    <definedName name="InputProcessedProducts">'Input data processed products'!$A$1</definedName>
    <definedName name="Juice">'Processed products'!$A$123</definedName>
    <definedName name="Kiwifruit">'Fruits, berries, cocoa, coffee'!$A$118</definedName>
    <definedName name="Leek">'Vegetables, roots, legumes'!$A$154</definedName>
    <definedName name="Lemon">'Fruits, berries, cocoa, coffee'!$A$100</definedName>
    <definedName name="LowFatMargarine">'Processed products'!$A$69</definedName>
    <definedName name="Mackerel">'Fish and seafood'!$A$67</definedName>
    <definedName name="Maintenance_of_data">'Maintenance of data'!$A$1</definedName>
    <definedName name="Margarine">'Processed products'!$A$64</definedName>
    <definedName name="MeatAndEggs">'Meat and eggs'!$A$1</definedName>
    <definedName name="Melon">'Fruits, berries, cocoa, coffee'!$A$45</definedName>
    <definedName name="MilkAndDairy" localSheetId="3">'Dairy products'!$A$1</definedName>
    <definedName name="MilkAndDairy" localSheetId="17">'[2]Dairy products wo allocation'!$A$1</definedName>
    <definedName name="MilkAndDairy">'[3]Dairy products wo allocation'!$A$1</definedName>
    <definedName name="MilkChocolate">'Processed products'!$A$153</definedName>
    <definedName name="MilkPowder" localSheetId="3">'Dairy products'!$A$119</definedName>
    <definedName name="MilkPowder" localSheetId="17">'[2]Dairy products wo allocation'!$A$125</definedName>
    <definedName name="MilkPowder">'[3]Dairy products wo allocation'!$A$125</definedName>
    <definedName name="MineralWater">'Processed products'!$A$106</definedName>
    <definedName name="NorthernPrawn">'Fish and seafood'!$A$114</definedName>
    <definedName name="Oats">'Grains, oil crops, sugar'!$A$47</definedName>
    <definedName name="Olive">'Grains, oil crops, sugar'!$A$89</definedName>
    <definedName name="Onion">'Vegetables, roots, legumes'!$A$137</definedName>
    <definedName name="Orange">'Fruits, berries, cocoa, coffee'!$A$87</definedName>
    <definedName name="Pangasius">'Fish and seafood'!$A$132</definedName>
    <definedName name="Pasta">'Processed products'!$A$7</definedName>
    <definedName name="PastMilk" localSheetId="3">'Dairy products'!$A$16</definedName>
    <definedName name="PastMilk" localSheetId="17">'[2]Dairy products wo allocation'!$A$18</definedName>
    <definedName name="PastMilk">'[3]Dairy products wo allocation'!$A$18</definedName>
    <definedName name="Pastries">'Processed products'!$A$34</definedName>
    <definedName name="Pear">'Fruits, berries, cocoa, coffee'!$A$24</definedName>
    <definedName name="Peas">'Vegetables, roots, legumes'!$A$226</definedName>
    <definedName name="PlantBasedProducts" localSheetId="7">'Fruits, berries, cocoa, coffee'!$A$1</definedName>
    <definedName name="PlantBasedProducts" localSheetId="6">'Vegetables, roots, legumes'!$A$1</definedName>
    <definedName name="PlantBasedProducts">'Grains, oil crops, sugar'!$A$1</definedName>
    <definedName name="PorkMeat">'Meat and eggs'!$A$7</definedName>
    <definedName name="Potato">'Vegetables, roots, legumes'!$A$107</definedName>
    <definedName name="PotatoCrisps">'Processed products'!$A$158</definedName>
    <definedName name="ProcessedProducts">'Processed products'!$A$1</definedName>
    <definedName name="RainbowTrout">'Fish and seafood'!$A$126</definedName>
    <definedName name="Rapeseed">'Grains, oil crops, sugar'!$A$69</definedName>
    <definedName name="Raspberry">'Fruits, berries, cocoa, coffee'!$A$152</definedName>
    <definedName name="RawMilk" localSheetId="3">'Dairy products'!$A$7</definedName>
    <definedName name="RawMilk" localSheetId="17">'[2]Dairy products wo allocation'!$A$9</definedName>
    <definedName name="RawMilk">'[3]Dairy products wo allocation'!$A$9</definedName>
    <definedName name="ReferenceList" localSheetId="17">'Reference list'!$A$1</definedName>
    <definedName name="ReferenceList">#REF!</definedName>
    <definedName name="Rice">'Grains, oil crops, sugar'!$A$52</definedName>
    <definedName name="Rusks">'Processed products'!$A$39</definedName>
    <definedName name="Rye">'Grains, oil crops, sugar'!$A$27</definedName>
    <definedName name="Saithe">'Fish and seafood'!$A$88</definedName>
    <definedName name="Salmon">'Fish and seafood'!$A$13</definedName>
    <definedName name="SaltedRoe">'Fish and seafood'!$A$35</definedName>
    <definedName name="Soda">'Processed products'!$A$79</definedName>
    <definedName name="SpringBarley">'Grains, oil crops, sugar'!$A$42</definedName>
    <definedName name="SpringWheat">'Grains, oil crops, sugar'!$A$22</definedName>
    <definedName name="SquashDrink">'Processed products'!$A$138</definedName>
    <definedName name="Strawberry">'Fruits, berries, cocoa, coffee'!$A$131</definedName>
    <definedName name="Sugar">'Grains, oil crops, sugar'!$A$110</definedName>
    <definedName name="SwedishNutrientIndex" localSheetId="17">#REF!</definedName>
    <definedName name="SwedishNutrientIndex">#REF!</definedName>
    <definedName name="Tomato">'Vegetables, roots, legumes'!$A$7</definedName>
    <definedName name="VegetablesRootCropsAndLegumes">'Vegetables, roots, legumes'!$A$1</definedName>
    <definedName name="Wheat">'Grains, oil crops, sugar'!$A$12</definedName>
    <definedName name="WheatBread">'Processed products'!$A$44</definedName>
    <definedName name="WheatRyeBread">'Processed products'!$A$49</definedName>
    <definedName name="WhiteCabbage">'Vegetables, roots, legumes'!$A$188</definedName>
    <definedName name="WinterBarley">'Grains, oil crops, sugar'!$A$37</definedName>
    <definedName name="WinterWheat">'Grains, oil crops, sugar'!$A$17</definedName>
    <definedName name="Yogurt" localSheetId="3">'Dairy products'!$A$38</definedName>
    <definedName name="Yogurt" localSheetId="17">'[2]Dairy products wo allocation'!$A$44</definedName>
    <definedName name="Yogurt">'[3]Dairy products wo allocation'!$A$44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76" i="102" l="1"/>
  <c r="N136" i="102" l="1"/>
  <c r="N132" i="102"/>
  <c r="N148" i="102"/>
  <c r="N152" i="102"/>
  <c r="M68" i="102"/>
  <c r="P202" i="102" l="1"/>
  <c r="P201" i="102"/>
  <c r="P200" i="102"/>
  <c r="P198" i="102"/>
  <c r="P197" i="102"/>
  <c r="P194" i="102"/>
  <c r="P193" i="102"/>
  <c r="P192" i="102"/>
  <c r="P186" i="102"/>
  <c r="P185" i="102"/>
  <c r="P184" i="102"/>
  <c r="P106" i="102"/>
  <c r="P105" i="102"/>
  <c r="P104" i="102"/>
  <c r="P132" i="102"/>
  <c r="P130" i="102"/>
  <c r="P129" i="102"/>
  <c r="P122" i="102"/>
  <c r="P121" i="102"/>
  <c r="P118" i="102"/>
  <c r="P117" i="102"/>
  <c r="P114" i="102"/>
  <c r="P113" i="102"/>
  <c r="P112" i="102"/>
  <c r="O132" i="102"/>
  <c r="O106" i="102"/>
  <c r="O104" i="102"/>
  <c r="K66" i="102" l="1"/>
  <c r="Q198" i="102"/>
  <c r="Q174" i="102"/>
  <c r="O208" i="102" l="1"/>
  <c r="O204" i="102"/>
  <c r="P210" i="102"/>
  <c r="P209" i="102"/>
  <c r="P205" i="102"/>
  <c r="P208" i="102"/>
  <c r="P204" i="102"/>
  <c r="H208" i="102"/>
  <c r="P206" i="102"/>
  <c r="P124" i="102"/>
  <c r="P126" i="102"/>
  <c r="P125" i="102"/>
  <c r="O124" i="102"/>
  <c r="H204" i="102"/>
  <c r="H188" i="102"/>
  <c r="Q186" i="102"/>
  <c r="H184" i="102"/>
  <c r="H148" i="102"/>
  <c r="H144" i="102"/>
  <c r="H108" i="102"/>
  <c r="O100" i="102"/>
  <c r="H104" i="102"/>
  <c r="H64" i="102"/>
  <c r="I52" i="102" l="1"/>
  <c r="H52" i="102"/>
  <c r="I51" i="102"/>
  <c r="H51" i="102"/>
  <c r="H53" i="102"/>
  <c r="L57" i="102"/>
  <c r="L56" i="102"/>
  <c r="L55" i="102"/>
  <c r="M44" i="102"/>
  <c r="M43" i="102"/>
  <c r="M27" i="102"/>
  <c r="O27" i="102"/>
  <c r="O26" i="102"/>
  <c r="O34" i="102" l="1"/>
  <c r="L27" i="102"/>
  <c r="L25" i="102"/>
  <c r="M29" i="105" l="1"/>
  <c r="E98" i="104" l="1"/>
  <c r="N83" i="105" l="1"/>
  <c r="N29" i="105"/>
  <c r="P58" i="105"/>
  <c r="P46" i="105"/>
  <c r="P33" i="105"/>
  <c r="K64" i="105"/>
  <c r="L64" i="105"/>
  <c r="L63" i="105"/>
  <c r="L62" i="105" l="1"/>
  <c r="L58" i="105" l="1"/>
  <c r="H112" i="104"/>
  <c r="H19" i="104"/>
  <c r="P103" i="112" l="1"/>
  <c r="P99" i="112"/>
  <c r="P95" i="112"/>
  <c r="P91" i="112"/>
  <c r="P82" i="112"/>
  <c r="T95" i="103"/>
  <c r="Q134" i="103"/>
  <c r="O58" i="103"/>
  <c r="L134" i="103"/>
  <c r="L128" i="103"/>
  <c r="L15" i="103"/>
  <c r="K15" i="103"/>
  <c r="I128" i="103"/>
  <c r="E166" i="103" l="1"/>
  <c r="E165" i="103"/>
  <c r="E161" i="103"/>
  <c r="E160" i="103" s="1"/>
  <c r="E150" i="103"/>
  <c r="E149" i="103"/>
  <c r="E145" i="103"/>
  <c r="E144" i="103" s="1"/>
  <c r="E95" i="103"/>
  <c r="E94" i="103"/>
  <c r="E78" i="103"/>
  <c r="E74" i="103"/>
  <c r="E73" i="103"/>
  <c r="E62" i="103"/>
  <c r="E58" i="103"/>
  <c r="E57" i="103"/>
  <c r="E26" i="103"/>
  <c r="E25" i="103"/>
  <c r="K134" i="103"/>
  <c r="N198" i="106" l="1"/>
  <c r="N194" i="106"/>
  <c r="N175" i="106"/>
  <c r="N158" i="106"/>
  <c r="N137" i="106"/>
  <c r="N128" i="106"/>
  <c r="N124" i="106"/>
  <c r="N115" i="106"/>
  <c r="N110" i="106"/>
  <c r="N106" i="106"/>
  <c r="N97" i="106"/>
  <c r="N93" i="106"/>
  <c r="M145" i="106"/>
  <c r="J177" i="106"/>
  <c r="K177" i="106" s="1"/>
  <c r="J172" i="106"/>
  <c r="H13" i="106" l="1"/>
  <c r="E199" i="106"/>
  <c r="E195" i="106"/>
  <c r="E186" i="106"/>
  <c r="E181" i="106"/>
  <c r="E176" i="106"/>
  <c r="E175" i="106"/>
  <c r="E185" i="106" s="1"/>
  <c r="E171" i="106"/>
  <c r="E170" i="106"/>
  <c r="E167" i="106"/>
  <c r="E166" i="106"/>
  <c r="E163" i="106"/>
  <c r="E162" i="106"/>
  <c r="E159" i="106"/>
  <c r="E158" i="106"/>
  <c r="E150" i="106"/>
  <c r="E149" i="106"/>
  <c r="E146" i="106"/>
  <c r="E145" i="106"/>
  <c r="E142" i="106"/>
  <c r="E141" i="106"/>
  <c r="E137" i="106"/>
  <c r="E129" i="106"/>
  <c r="E128" i="106"/>
  <c r="E125" i="106"/>
  <c r="E124" i="106"/>
  <c r="E116" i="106"/>
  <c r="E115" i="106"/>
  <c r="E111" i="106"/>
  <c r="E110" i="106"/>
  <c r="E107" i="106"/>
  <c r="E106" i="106"/>
  <c r="E98" i="106"/>
  <c r="E97" i="106"/>
  <c r="E94" i="106"/>
  <c r="E93" i="106"/>
  <c r="E85" i="106"/>
  <c r="E84" i="106"/>
  <c r="E81" i="106"/>
  <c r="E80" i="106"/>
  <c r="E77" i="106"/>
  <c r="E76" i="106"/>
  <c r="E73" i="106"/>
  <c r="E72" i="106"/>
  <c r="E64" i="106"/>
  <c r="E63" i="106"/>
  <c r="E60" i="106"/>
  <c r="E59" i="106"/>
  <c r="E56" i="106"/>
  <c r="E55" i="106"/>
  <c r="E52" i="106"/>
  <c r="E51" i="106"/>
  <c r="E43" i="106"/>
  <c r="E42" i="106"/>
  <c r="E39" i="106"/>
  <c r="E38" i="106"/>
  <c r="E35" i="106"/>
  <c r="E34" i="106"/>
  <c r="E31" i="106"/>
  <c r="E30" i="106"/>
  <c r="E22" i="106"/>
  <c r="E21" i="106"/>
  <c r="E18" i="106"/>
  <c r="E17" i="106"/>
  <c r="E14" i="106"/>
  <c r="E13" i="106"/>
  <c r="E180" i="106" l="1"/>
  <c r="C157" i="5"/>
  <c r="E224" i="105" l="1"/>
  <c r="J11" i="100" l="1"/>
  <c r="J10" i="100"/>
  <c r="I11" i="100"/>
  <c r="I10" i="100"/>
  <c r="H11" i="100"/>
  <c r="H10" i="100"/>
  <c r="G13" i="100"/>
  <c r="G14" i="100"/>
  <c r="B13" i="6" l="1"/>
  <c r="F13" i="6" l="1"/>
  <c r="E13" i="6"/>
  <c r="D13" i="6"/>
  <c r="C13" i="6"/>
  <c r="B422" i="64" l="1"/>
  <c r="B413" i="64"/>
  <c r="B411" i="64"/>
  <c r="B402" i="64"/>
  <c r="C402" i="64" s="1"/>
  <c r="B393" i="64"/>
  <c r="B341" i="64"/>
  <c r="B246" i="64"/>
  <c r="B243" i="64"/>
  <c r="B110" i="64"/>
  <c r="O13" i="102" s="1"/>
  <c r="B109" i="64"/>
  <c r="L14" i="102" s="1"/>
  <c r="O125" i="5"/>
  <c r="O127" i="5"/>
  <c r="O120" i="5"/>
  <c r="C410" i="64"/>
  <c r="C412" i="64"/>
  <c r="C411" i="64"/>
  <c r="C413" i="64"/>
  <c r="H157" i="102" s="1"/>
  <c r="H156" i="102" l="1"/>
  <c r="B123" i="64"/>
  <c r="E425" i="64"/>
  <c r="E424" i="64"/>
  <c r="E423" i="64"/>
  <c r="E417" i="64"/>
  <c r="E416" i="64"/>
  <c r="E415" i="64"/>
  <c r="E414" i="64"/>
  <c r="E407" i="64"/>
  <c r="E406" i="64"/>
  <c r="E405" i="64"/>
  <c r="E404" i="64"/>
  <c r="E403" i="64"/>
  <c r="E398" i="64"/>
  <c r="E397" i="64"/>
  <c r="E396" i="64"/>
  <c r="E395" i="64"/>
  <c r="E394" i="64"/>
  <c r="C421" i="64"/>
  <c r="C401" i="64"/>
  <c r="C392" i="64"/>
  <c r="E399" i="64" l="1"/>
  <c r="I14" i="102"/>
  <c r="H14" i="102"/>
  <c r="I13" i="102"/>
  <c r="M13" i="102"/>
  <c r="H13" i="102"/>
  <c r="N180" i="102"/>
  <c r="N176" i="102"/>
  <c r="E176" i="102" s="1"/>
  <c r="N100" i="102"/>
  <c r="N96" i="102"/>
  <c r="N51" i="102"/>
  <c r="M180" i="102"/>
  <c r="M96" i="102"/>
  <c r="M100" i="102"/>
  <c r="E180" i="102" l="1"/>
  <c r="E96" i="102"/>
  <c r="E100" i="102"/>
  <c r="C422" i="64"/>
  <c r="C393" i="64" l="1"/>
  <c r="M51" i="102" l="1"/>
  <c r="M55" i="102" s="1"/>
  <c r="F105" i="100" l="1"/>
  <c r="F104" i="100"/>
  <c r="F101" i="100"/>
  <c r="F100" i="100"/>
  <c r="C26" i="6" l="1"/>
  <c r="B130" i="5"/>
  <c r="N68" i="102" l="1"/>
  <c r="E68" i="102" s="1"/>
  <c r="H68" i="102"/>
  <c r="N72" i="102"/>
  <c r="M72" i="102"/>
  <c r="H72" i="102"/>
  <c r="D399" i="64"/>
  <c r="E72" i="102" l="1"/>
  <c r="M132" i="102"/>
  <c r="N172" i="102"/>
  <c r="E172" i="102" s="1"/>
  <c r="M172" i="102"/>
  <c r="M152" i="102"/>
  <c r="N92" i="102"/>
  <c r="E92" i="102" s="1"/>
  <c r="M92" i="102"/>
  <c r="N76" i="102"/>
  <c r="M76" i="102"/>
  <c r="H76" i="102"/>
  <c r="N84" i="102"/>
  <c r="M84" i="102"/>
  <c r="N88" i="102"/>
  <c r="E88" i="102" s="1"/>
  <c r="M88" i="102"/>
  <c r="N168" i="102"/>
  <c r="M168" i="102"/>
  <c r="N80" i="102"/>
  <c r="E80" i="102" s="1"/>
  <c r="M80" i="102"/>
  <c r="N160" i="102"/>
  <c r="M160" i="102"/>
  <c r="M164" i="102"/>
  <c r="N164" i="102"/>
  <c r="M104" i="102"/>
  <c r="E152" i="102" l="1"/>
  <c r="E132" i="102"/>
  <c r="E160" i="102"/>
  <c r="E168" i="102"/>
  <c r="E84" i="102"/>
  <c r="E76" i="102"/>
  <c r="E164" i="102"/>
  <c r="M156" i="102"/>
  <c r="N156" i="102"/>
  <c r="E229" i="105"/>
  <c r="E156" i="102" l="1"/>
  <c r="C130" i="5"/>
  <c r="O247" i="105" l="1"/>
  <c r="O246" i="105"/>
  <c r="O243" i="105"/>
  <c r="O242" i="105"/>
  <c r="O239" i="105"/>
  <c r="O238" i="105"/>
  <c r="O121" i="5"/>
  <c r="E246" i="105" l="1"/>
  <c r="E238" i="105"/>
  <c r="E242" i="105"/>
  <c r="G73" i="100"/>
  <c r="F73" i="100" s="1"/>
  <c r="G46" i="100" l="1"/>
  <c r="M136" i="102" l="1"/>
  <c r="H425" i="64"/>
  <c r="H424" i="64"/>
  <c r="H423" i="64"/>
  <c r="H421" i="64"/>
  <c r="J421" i="64" s="1"/>
  <c r="H392" i="64"/>
  <c r="E136" i="102" l="1"/>
  <c r="J425" i="64"/>
  <c r="N200" i="102"/>
  <c r="M200" i="102"/>
  <c r="J423" i="64"/>
  <c r="N192" i="102"/>
  <c r="E192" i="102" s="1"/>
  <c r="M192" i="102"/>
  <c r="J424" i="64"/>
  <c r="N196" i="102"/>
  <c r="M196" i="102"/>
  <c r="I394" i="64"/>
  <c r="H417" i="64"/>
  <c r="H416" i="64"/>
  <c r="H415" i="64"/>
  <c r="H414" i="64"/>
  <c r="H412" i="64"/>
  <c r="H410" i="64"/>
  <c r="H407" i="64"/>
  <c r="H406" i="64"/>
  <c r="H405" i="64"/>
  <c r="H404" i="64"/>
  <c r="H403" i="64"/>
  <c r="H401" i="64"/>
  <c r="H398" i="64"/>
  <c r="H397" i="64"/>
  <c r="H396" i="64"/>
  <c r="H395" i="64"/>
  <c r="H394" i="64"/>
  <c r="H418" i="64" l="1"/>
  <c r="E200" i="102"/>
  <c r="E196" i="102"/>
  <c r="J401" i="64"/>
  <c r="M108" i="102"/>
  <c r="J407" i="64"/>
  <c r="M128" i="102"/>
  <c r="N128" i="102"/>
  <c r="E128" i="102" s="1"/>
  <c r="J405" i="64"/>
  <c r="N120" i="102"/>
  <c r="M120" i="102"/>
  <c r="J406" i="64"/>
  <c r="M124" i="102"/>
  <c r="N124" i="102"/>
  <c r="E124" i="102" s="1"/>
  <c r="J403" i="64"/>
  <c r="M112" i="102"/>
  <c r="N112" i="102"/>
  <c r="J404" i="64"/>
  <c r="N116" i="102"/>
  <c r="M116" i="102"/>
  <c r="J394" i="64"/>
  <c r="J393" i="64"/>
  <c r="I398" i="64"/>
  <c r="J398" i="64" s="1"/>
  <c r="I397" i="64"/>
  <c r="J397" i="64" s="1"/>
  <c r="I395" i="64"/>
  <c r="J395" i="64" s="1"/>
  <c r="I396" i="64"/>
  <c r="J396" i="64" s="1"/>
  <c r="E116" i="102" l="1"/>
  <c r="E120" i="102"/>
  <c r="E112" i="102"/>
  <c r="J399" i="64"/>
  <c r="C246" i="64"/>
  <c r="D110" i="64"/>
  <c r="C110" i="64"/>
  <c r="D109" i="64"/>
  <c r="C109" i="64"/>
  <c r="L18" i="102" s="1"/>
  <c r="L22" i="102" l="1"/>
  <c r="L26" i="102"/>
  <c r="J165" i="102"/>
  <c r="B446" i="64"/>
  <c r="K178" i="102" l="1"/>
  <c r="K182" i="102"/>
  <c r="P116" i="112" l="1"/>
  <c r="P112" i="112"/>
  <c r="P78" i="112"/>
  <c r="P74" i="112"/>
  <c r="P70" i="112"/>
  <c r="P61" i="112"/>
  <c r="P57" i="112"/>
  <c r="P35" i="112"/>
  <c r="P31" i="112"/>
  <c r="P27" i="112"/>
  <c r="E113" i="104"/>
  <c r="S129" i="112" l="1"/>
  <c r="R129" i="112"/>
  <c r="P129" i="112"/>
  <c r="B128" i="112"/>
  <c r="S125" i="112"/>
  <c r="R125" i="112"/>
  <c r="P125" i="112"/>
  <c r="B124" i="112"/>
  <c r="S123" i="112" s="1"/>
  <c r="P122" i="112"/>
  <c r="S116" i="112"/>
  <c r="R116" i="112"/>
  <c r="S112" i="112"/>
  <c r="R112" i="112"/>
  <c r="B111" i="112"/>
  <c r="S103" i="112"/>
  <c r="R103" i="112"/>
  <c r="B102" i="112"/>
  <c r="S99" i="112"/>
  <c r="R99" i="112"/>
  <c r="B98" i="112"/>
  <c r="S95" i="112"/>
  <c r="R95" i="112"/>
  <c r="B94" i="112"/>
  <c r="S91" i="112"/>
  <c r="R91" i="112"/>
  <c r="B90" i="112"/>
  <c r="S82" i="112"/>
  <c r="R82" i="112"/>
  <c r="B81" i="112"/>
  <c r="S78" i="112"/>
  <c r="R78" i="112"/>
  <c r="B77" i="112"/>
  <c r="S74" i="112"/>
  <c r="R74" i="112"/>
  <c r="B73" i="112"/>
  <c r="S70" i="112"/>
  <c r="R70" i="112"/>
  <c r="B69" i="112"/>
  <c r="S61" i="112"/>
  <c r="R61" i="112"/>
  <c r="B60" i="112"/>
  <c r="P55" i="112" s="1"/>
  <c r="S57" i="112"/>
  <c r="R57" i="112"/>
  <c r="B56" i="112"/>
  <c r="S55" i="112"/>
  <c r="R55" i="112"/>
  <c r="S48" i="112"/>
  <c r="R48" i="112"/>
  <c r="P48" i="112"/>
  <c r="S44" i="112"/>
  <c r="R44" i="112"/>
  <c r="P44" i="112"/>
  <c r="B43" i="112"/>
  <c r="S35" i="112"/>
  <c r="R35" i="112"/>
  <c r="B34" i="112"/>
  <c r="S31" i="112"/>
  <c r="R31" i="112"/>
  <c r="B30" i="112"/>
  <c r="S27" i="112"/>
  <c r="R27" i="112"/>
  <c r="B26" i="112"/>
  <c r="S18" i="112"/>
  <c r="R18" i="112"/>
  <c r="P18" i="112"/>
  <c r="B17" i="112"/>
  <c r="B22" i="112" l="1"/>
  <c r="P67" i="112"/>
  <c r="R54" i="112"/>
  <c r="S68" i="112"/>
  <c r="P54" i="112"/>
  <c r="S67" i="112"/>
  <c r="P25" i="112"/>
  <c r="S25" i="112"/>
  <c r="S53" i="112"/>
  <c r="P68" i="112"/>
  <c r="S24" i="112"/>
  <c r="B65" i="112"/>
  <c r="S122" i="112"/>
  <c r="P24" i="112"/>
  <c r="S54" i="112"/>
  <c r="B120" i="112"/>
  <c r="P123" i="112"/>
  <c r="B52" i="112"/>
  <c r="P121" i="112"/>
  <c r="P53" i="112"/>
  <c r="S121" i="112"/>
  <c r="S23" i="112"/>
  <c r="P66" i="112"/>
  <c r="S66" i="112"/>
  <c r="S87" i="112"/>
  <c r="P23" i="112"/>
  <c r="R25" i="112"/>
  <c r="R24" i="112"/>
  <c r="R23" i="112"/>
  <c r="R89" i="112"/>
  <c r="R88" i="112"/>
  <c r="P89" i="112"/>
  <c r="P88" i="112"/>
  <c r="R87" i="112"/>
  <c r="S89" i="112"/>
  <c r="S88" i="112"/>
  <c r="P87" i="112"/>
  <c r="B86" i="112"/>
  <c r="R53" i="112"/>
  <c r="R68" i="112"/>
  <c r="R67" i="112"/>
  <c r="R66" i="112"/>
  <c r="R123" i="112"/>
  <c r="R122" i="112"/>
  <c r="R121" i="112"/>
  <c r="E13" i="105" l="1"/>
  <c r="J103" i="100"/>
  <c r="J99" i="100"/>
  <c r="I103" i="100"/>
  <c r="I99" i="100"/>
  <c r="I95" i="100"/>
  <c r="H103" i="100"/>
  <c r="H99" i="100"/>
  <c r="H95" i="100"/>
  <c r="B102" i="100"/>
  <c r="B98" i="100"/>
  <c r="B94" i="100"/>
  <c r="J95" i="100"/>
  <c r="J93" i="100" l="1"/>
  <c r="B90" i="100"/>
  <c r="I91" i="100"/>
  <c r="H91" i="100"/>
  <c r="I92" i="100"/>
  <c r="I93" i="100"/>
  <c r="H92" i="100"/>
  <c r="H93" i="100"/>
  <c r="J91" i="100"/>
  <c r="J92" i="100"/>
  <c r="I165" i="100" l="1"/>
  <c r="I150" i="100"/>
  <c r="I145" i="100"/>
  <c r="I135" i="100"/>
  <c r="I130" i="100"/>
  <c r="I120" i="100"/>
  <c r="I53" i="102" l="1"/>
  <c r="O26" i="103"/>
  <c r="F26" i="103" s="1"/>
  <c r="K128" i="103"/>
  <c r="F137" i="103" l="1"/>
  <c r="F131" i="103"/>
  <c r="F18" i="103"/>
  <c r="U21" i="106"/>
  <c r="U58" i="105"/>
  <c r="T63" i="103"/>
  <c r="T58" i="103"/>
  <c r="T128" i="103"/>
  <c r="S55" i="102"/>
  <c r="S31" i="103"/>
  <c r="S26" i="103"/>
  <c r="S15" i="103"/>
  <c r="E137" i="103"/>
  <c r="E131" i="103"/>
  <c r="E18" i="103"/>
  <c r="H122" i="6"/>
  <c r="H123" i="6"/>
  <c r="H124" i="6"/>
  <c r="H125" i="6"/>
  <c r="H126" i="6"/>
  <c r="H127" i="6"/>
  <c r="H121" i="6"/>
  <c r="M134" i="103"/>
  <c r="M128" i="103"/>
  <c r="C54" i="102"/>
  <c r="C50" i="102"/>
  <c r="C37" i="102"/>
  <c r="C41" i="102"/>
  <c r="C33" i="102"/>
  <c r="C24" i="102"/>
  <c r="C20" i="102"/>
  <c r="C16" i="102"/>
  <c r="C12" i="102"/>
  <c r="C46" i="102" l="1"/>
  <c r="C8" i="102"/>
  <c r="L31" i="102"/>
  <c r="O32" i="102"/>
  <c r="L30" i="102"/>
  <c r="O31" i="102"/>
  <c r="L32" i="102"/>
  <c r="C29" i="102"/>
  <c r="P150" i="102"/>
  <c r="P149" i="102"/>
  <c r="P66" i="102"/>
  <c r="P65" i="102"/>
  <c r="S144" i="102"/>
  <c r="S148" i="102"/>
  <c r="R144" i="102"/>
  <c r="R148" i="102"/>
  <c r="S204" i="102" l="1"/>
  <c r="R204" i="102"/>
  <c r="R200" i="102"/>
  <c r="I204" i="102"/>
  <c r="J204" i="102"/>
  <c r="K204" i="102"/>
  <c r="L204" i="102"/>
  <c r="I205" i="102"/>
  <c r="K205" i="102"/>
  <c r="M205" i="102"/>
  <c r="N205" i="102"/>
  <c r="L206" i="102"/>
  <c r="M206" i="102"/>
  <c r="N206" i="102"/>
  <c r="R208" i="102"/>
  <c r="B203" i="102"/>
  <c r="B207" i="102"/>
  <c r="C207" i="102"/>
  <c r="C203" i="102"/>
  <c r="I140" i="102"/>
  <c r="J140" i="102"/>
  <c r="K140" i="102"/>
  <c r="L140" i="102"/>
  <c r="I141" i="102"/>
  <c r="K141" i="102"/>
  <c r="M141" i="102"/>
  <c r="N141" i="102"/>
  <c r="O141" i="102"/>
  <c r="L142" i="102"/>
  <c r="M142" i="102"/>
  <c r="N142" i="102"/>
  <c r="O142" i="102"/>
  <c r="L137" i="102"/>
  <c r="K138" i="102"/>
  <c r="J137" i="102"/>
  <c r="I138" i="102"/>
  <c r="H138" i="102"/>
  <c r="H137" i="102"/>
  <c r="H136" i="102"/>
  <c r="P134" i="102"/>
  <c r="P142" i="102" s="1"/>
  <c r="P133" i="102"/>
  <c r="L133" i="102"/>
  <c r="K134" i="102"/>
  <c r="J133" i="102"/>
  <c r="I134" i="102"/>
  <c r="H134" i="102"/>
  <c r="H133" i="102"/>
  <c r="H132" i="102"/>
  <c r="L153" i="102"/>
  <c r="K154" i="102"/>
  <c r="J153" i="102"/>
  <c r="I154" i="102"/>
  <c r="H154" i="102"/>
  <c r="H153" i="102"/>
  <c r="H152" i="102"/>
  <c r="L173" i="102"/>
  <c r="K174" i="102"/>
  <c r="J173" i="102"/>
  <c r="I174" i="102"/>
  <c r="H174" i="102"/>
  <c r="H173" i="102"/>
  <c r="H172" i="102"/>
  <c r="L169" i="102"/>
  <c r="K170" i="102"/>
  <c r="J169" i="102"/>
  <c r="I170" i="102"/>
  <c r="H170" i="102"/>
  <c r="H169" i="102"/>
  <c r="H168" i="102"/>
  <c r="L165" i="102"/>
  <c r="K166" i="102"/>
  <c r="I166" i="102"/>
  <c r="H166" i="102"/>
  <c r="H165" i="102"/>
  <c r="H164" i="102"/>
  <c r="L161" i="102"/>
  <c r="K162" i="102"/>
  <c r="J161" i="102"/>
  <c r="I162" i="102"/>
  <c r="H162" i="102"/>
  <c r="H161" i="102"/>
  <c r="H160" i="102"/>
  <c r="L157" i="102"/>
  <c r="K158" i="102"/>
  <c r="J157" i="102"/>
  <c r="I158" i="102"/>
  <c r="H158" i="102"/>
  <c r="M146" i="102" l="1"/>
  <c r="M145" i="102"/>
  <c r="K144" i="102"/>
  <c r="L146" i="102"/>
  <c r="K145" i="102"/>
  <c r="J144" i="102"/>
  <c r="C147" i="102"/>
  <c r="C143" i="102"/>
  <c r="O146" i="102"/>
  <c r="O145" i="102"/>
  <c r="I145" i="102"/>
  <c r="I144" i="102"/>
  <c r="P146" i="102"/>
  <c r="N146" i="102"/>
  <c r="N145" i="102"/>
  <c r="L144" i="102"/>
  <c r="P141" i="102"/>
  <c r="P145" i="102" s="1"/>
  <c r="E137" i="102"/>
  <c r="K142" i="102"/>
  <c r="K146" i="102" s="1"/>
  <c r="H142" i="102"/>
  <c r="H146" i="102" s="1"/>
  <c r="I142" i="102"/>
  <c r="I146" i="102" s="1"/>
  <c r="M140" i="102"/>
  <c r="M144" i="102" s="1"/>
  <c r="L141" i="102"/>
  <c r="L145" i="102" s="1"/>
  <c r="J141" i="102"/>
  <c r="J145" i="102" s="1"/>
  <c r="H141" i="102"/>
  <c r="H140" i="102"/>
  <c r="N140" i="102"/>
  <c r="F137" i="102"/>
  <c r="Q137" i="102" s="1"/>
  <c r="E157" i="102"/>
  <c r="F156" i="102"/>
  <c r="E133" i="102"/>
  <c r="F133" i="102"/>
  <c r="Q133" i="102" s="1"/>
  <c r="F161" i="102"/>
  <c r="F160" i="102"/>
  <c r="E165" i="102"/>
  <c r="F172" i="102"/>
  <c r="E173" i="102"/>
  <c r="F165" i="102"/>
  <c r="Q165" i="102" s="1"/>
  <c r="F157" i="102"/>
  <c r="Q157" i="102" s="1"/>
  <c r="F168" i="102"/>
  <c r="F164" i="102"/>
  <c r="E161" i="102"/>
  <c r="F173" i="102"/>
  <c r="Q173" i="102" s="1"/>
  <c r="F169" i="102"/>
  <c r="Q169" i="102" s="1"/>
  <c r="E169" i="102"/>
  <c r="F153" i="102"/>
  <c r="Q153" i="102" s="1"/>
  <c r="F152" i="102"/>
  <c r="E153" i="102"/>
  <c r="N144" i="102" l="1"/>
  <c r="E140" i="102"/>
  <c r="E144" i="102"/>
  <c r="I150" i="102"/>
  <c r="I148" i="102"/>
  <c r="I149" i="102"/>
  <c r="H149" i="102"/>
  <c r="L148" i="102"/>
  <c r="K149" i="102"/>
  <c r="L149" i="102"/>
  <c r="M150" i="102"/>
  <c r="J148" i="102"/>
  <c r="J149" i="102"/>
  <c r="K148" i="102"/>
  <c r="N149" i="102"/>
  <c r="L150" i="102"/>
  <c r="H150" i="102"/>
  <c r="K150" i="102"/>
  <c r="M148" i="102"/>
  <c r="M149" i="102"/>
  <c r="N150" i="102"/>
  <c r="Q152" i="102"/>
  <c r="Q148" i="102" s="1"/>
  <c r="Q164" i="102"/>
  <c r="Q168" i="102"/>
  <c r="Q160" i="102"/>
  <c r="Q156" i="102"/>
  <c r="Q172" i="102"/>
  <c r="Q141" i="102"/>
  <c r="E145" i="102"/>
  <c r="F141" i="102"/>
  <c r="E141" i="102"/>
  <c r="H145" i="102"/>
  <c r="F145" i="102" s="1"/>
  <c r="Q161" i="102"/>
  <c r="E148" i="102" l="1"/>
  <c r="E149" i="102"/>
  <c r="F149" i="102"/>
  <c r="G148" i="102"/>
  <c r="Q149" i="102"/>
  <c r="G149" i="102" s="1"/>
  <c r="Q145" i="102"/>
  <c r="G145" i="102" s="1"/>
  <c r="H180" i="102" l="1"/>
  <c r="S200" i="102"/>
  <c r="S196" i="102"/>
  <c r="S192" i="102"/>
  <c r="S188" i="102"/>
  <c r="R196" i="102"/>
  <c r="R192" i="102"/>
  <c r="R188" i="102"/>
  <c r="L181" i="102"/>
  <c r="I182" i="102"/>
  <c r="H182" i="102"/>
  <c r="H181" i="102"/>
  <c r="L177" i="102"/>
  <c r="I178" i="102"/>
  <c r="H178" i="102"/>
  <c r="H177" i="102"/>
  <c r="H176" i="102"/>
  <c r="K194" i="102"/>
  <c r="C445" i="64"/>
  <c r="H198" i="102" l="1"/>
  <c r="K198" i="102"/>
  <c r="I184" i="102"/>
  <c r="K202" i="102"/>
  <c r="J158" i="102"/>
  <c r="J154" i="102"/>
  <c r="J174" i="102"/>
  <c r="J166" i="102"/>
  <c r="J138" i="102"/>
  <c r="J134" i="102"/>
  <c r="J170" i="102"/>
  <c r="J162" i="102"/>
  <c r="M185" i="102"/>
  <c r="M189" i="102" s="1"/>
  <c r="J202" i="102"/>
  <c r="M186" i="102"/>
  <c r="M190" i="102" s="1"/>
  <c r="H193" i="102"/>
  <c r="J178" i="102"/>
  <c r="F178" i="102" s="1"/>
  <c r="K184" i="102"/>
  <c r="K188" i="102" s="1"/>
  <c r="J194" i="102"/>
  <c r="H201" i="102"/>
  <c r="J182" i="102"/>
  <c r="E182" i="102" s="1"/>
  <c r="H192" i="102"/>
  <c r="L186" i="102"/>
  <c r="L190" i="102" s="1"/>
  <c r="K185" i="102"/>
  <c r="K189" i="102" s="1"/>
  <c r="J184" i="102"/>
  <c r="J188" i="102" s="1"/>
  <c r="H196" i="102"/>
  <c r="J198" i="102"/>
  <c r="N184" i="102"/>
  <c r="N188" i="102" s="1"/>
  <c r="N186" i="102"/>
  <c r="N190" i="102" s="1"/>
  <c r="N185" i="102"/>
  <c r="N189" i="102" s="1"/>
  <c r="L184" i="102"/>
  <c r="L188" i="102" s="1"/>
  <c r="I194" i="102"/>
  <c r="L193" i="102"/>
  <c r="I198" i="102"/>
  <c r="L197" i="102"/>
  <c r="H200" i="102"/>
  <c r="H202" i="102"/>
  <c r="O186" i="102"/>
  <c r="O190" i="102" s="1"/>
  <c r="O185" i="102"/>
  <c r="O189" i="102" s="1"/>
  <c r="I185" i="102"/>
  <c r="I189" i="102" s="1"/>
  <c r="H194" i="102"/>
  <c r="H197" i="102"/>
  <c r="I202" i="102"/>
  <c r="L201" i="102"/>
  <c r="L185" i="102"/>
  <c r="L189" i="102" s="1"/>
  <c r="H186" i="102"/>
  <c r="H190" i="102" s="1"/>
  <c r="K186" i="102"/>
  <c r="K190" i="102" s="1"/>
  <c r="H185" i="102"/>
  <c r="H189" i="102" s="1"/>
  <c r="I186" i="102"/>
  <c r="I190" i="102" s="1"/>
  <c r="M184" i="102"/>
  <c r="M188" i="102" s="1"/>
  <c r="I188" i="102" l="1"/>
  <c r="E188" i="102" s="1"/>
  <c r="E184" i="102"/>
  <c r="E134" i="102"/>
  <c r="E131" i="102" s="1"/>
  <c r="F134" i="102"/>
  <c r="Q134" i="102" s="1"/>
  <c r="J142" i="102"/>
  <c r="E154" i="102"/>
  <c r="E151" i="102" s="1"/>
  <c r="F154" i="102"/>
  <c r="F151" i="102" s="1"/>
  <c r="J150" i="102"/>
  <c r="F138" i="102"/>
  <c r="Q138" i="102" s="1"/>
  <c r="E138" i="102"/>
  <c r="E135" i="102" s="1"/>
  <c r="F158" i="102"/>
  <c r="F155" i="102" s="1"/>
  <c r="E158" i="102"/>
  <c r="E155" i="102" s="1"/>
  <c r="F162" i="102"/>
  <c r="F159" i="102" s="1"/>
  <c r="E162" i="102"/>
  <c r="E159" i="102" s="1"/>
  <c r="E166" i="102"/>
  <c r="E163" i="102" s="1"/>
  <c r="F166" i="102"/>
  <c r="F163" i="102" s="1"/>
  <c r="F170" i="102"/>
  <c r="F167" i="102" s="1"/>
  <c r="E170" i="102"/>
  <c r="E167" i="102" s="1"/>
  <c r="E174" i="102"/>
  <c r="E171" i="102" s="1"/>
  <c r="F174" i="102"/>
  <c r="F171" i="102" s="1"/>
  <c r="F182" i="102"/>
  <c r="F194" i="102"/>
  <c r="Q194" i="102" s="1"/>
  <c r="G194" i="102" s="1"/>
  <c r="J186" i="102"/>
  <c r="J190" i="102" s="1"/>
  <c r="F190" i="102" s="1"/>
  <c r="E178" i="102"/>
  <c r="E202" i="102"/>
  <c r="F202" i="102"/>
  <c r="Q202" i="102" s="1"/>
  <c r="G202" i="102" s="1"/>
  <c r="F198" i="102"/>
  <c r="G198" i="102" s="1"/>
  <c r="E194" i="102"/>
  <c r="E198" i="102"/>
  <c r="S64" i="102"/>
  <c r="S108" i="102"/>
  <c r="R64" i="102"/>
  <c r="R108" i="102"/>
  <c r="C63" i="102"/>
  <c r="Q142" i="102" l="1"/>
  <c r="Q146" i="102" s="1"/>
  <c r="G146" i="102" s="1"/>
  <c r="Q166" i="102"/>
  <c r="E150" i="102"/>
  <c r="E147" i="102" s="1"/>
  <c r="F150" i="102"/>
  <c r="Q158" i="102"/>
  <c r="Q154" i="102"/>
  <c r="Q170" i="102"/>
  <c r="Q162" i="102"/>
  <c r="J146" i="102"/>
  <c r="E142" i="102"/>
  <c r="E139" i="102" s="1"/>
  <c r="F142" i="102"/>
  <c r="F186" i="102"/>
  <c r="E186" i="102"/>
  <c r="E190" i="102"/>
  <c r="R128" i="102"/>
  <c r="Q150" i="102" l="1"/>
  <c r="G150" i="102" s="1"/>
  <c r="G147" i="102" s="1"/>
  <c r="F146" i="102"/>
  <c r="E146" i="102"/>
  <c r="E143" i="102" s="1"/>
  <c r="S128" i="102"/>
  <c r="S124" i="102"/>
  <c r="S120" i="102"/>
  <c r="S116" i="102"/>
  <c r="S112" i="102"/>
  <c r="R124" i="102"/>
  <c r="R120" i="102"/>
  <c r="R116" i="102"/>
  <c r="R112" i="102"/>
  <c r="I55" i="102"/>
  <c r="P44" i="102"/>
  <c r="P43" i="102"/>
  <c r="R51" i="102"/>
  <c r="S51" i="102"/>
  <c r="B63" i="102"/>
  <c r="I47" i="102" l="1"/>
  <c r="L73" i="102"/>
  <c r="L97" i="102"/>
  <c r="B443" i="64"/>
  <c r="J73" i="102" s="1"/>
  <c r="K70" i="102" l="1"/>
  <c r="J70" i="102"/>
  <c r="K74" i="102"/>
  <c r="J74" i="102"/>
  <c r="H70" i="102"/>
  <c r="H69" i="102"/>
  <c r="I70" i="102"/>
  <c r="J69" i="102"/>
  <c r="I74" i="102"/>
  <c r="H74" i="102"/>
  <c r="H73" i="102"/>
  <c r="L69" i="102"/>
  <c r="E73" i="102"/>
  <c r="J97" i="102"/>
  <c r="E97" i="102" s="1"/>
  <c r="J181" i="102"/>
  <c r="J193" i="102"/>
  <c r="J177" i="102"/>
  <c r="J197" i="102"/>
  <c r="J201" i="102"/>
  <c r="J101" i="102"/>
  <c r="L101" i="102"/>
  <c r="I98" i="102"/>
  <c r="H98" i="102"/>
  <c r="H97" i="102"/>
  <c r="H96" i="102"/>
  <c r="H100" i="102"/>
  <c r="H102" i="102"/>
  <c r="H101" i="102"/>
  <c r="I102" i="102"/>
  <c r="P178" i="102"/>
  <c r="P97" i="102"/>
  <c r="P177" i="102"/>
  <c r="P98" i="102"/>
  <c r="J102" i="102"/>
  <c r="K102" i="102"/>
  <c r="J98" i="102"/>
  <c r="K98" i="102"/>
  <c r="L93" i="102"/>
  <c r="L81" i="102"/>
  <c r="L77" i="102"/>
  <c r="J77" i="102"/>
  <c r="J93" i="102"/>
  <c r="J81" i="102"/>
  <c r="H89" i="102"/>
  <c r="H88" i="102"/>
  <c r="H90" i="102"/>
  <c r="I90" i="102"/>
  <c r="J82" i="102"/>
  <c r="K82" i="102"/>
  <c r="J78" i="102"/>
  <c r="K78" i="102"/>
  <c r="L89" i="102"/>
  <c r="J89" i="102"/>
  <c r="I86" i="102"/>
  <c r="H86" i="102"/>
  <c r="H84" i="102"/>
  <c r="H85" i="102"/>
  <c r="K94" i="102"/>
  <c r="J94" i="102"/>
  <c r="I94" i="102"/>
  <c r="H94" i="102"/>
  <c r="H92" i="102"/>
  <c r="H93" i="102"/>
  <c r="J90" i="102"/>
  <c r="K90" i="102"/>
  <c r="L85" i="102"/>
  <c r="J85" i="102"/>
  <c r="H82" i="102"/>
  <c r="I82" i="102"/>
  <c r="H80" i="102"/>
  <c r="H81" i="102"/>
  <c r="H77" i="102"/>
  <c r="I78" i="102"/>
  <c r="H78" i="102"/>
  <c r="K86" i="102"/>
  <c r="J86" i="102"/>
  <c r="H65" i="102" l="1"/>
  <c r="H66" i="102"/>
  <c r="N11" i="112"/>
  <c r="N15" i="112" s="1"/>
  <c r="O10" i="112"/>
  <c r="O14" i="112" s="1"/>
  <c r="O11" i="112"/>
  <c r="O15" i="112" s="1"/>
  <c r="G9" i="112"/>
  <c r="F73" i="102"/>
  <c r="Q73" i="102" s="1"/>
  <c r="E193" i="102"/>
  <c r="E191" i="102" s="1"/>
  <c r="F193" i="102"/>
  <c r="F201" i="102"/>
  <c r="E201" i="102"/>
  <c r="E199" i="102" s="1"/>
  <c r="F181" i="102"/>
  <c r="E181" i="102"/>
  <c r="E179" i="102" s="1"/>
  <c r="F197" i="102"/>
  <c r="E197" i="102"/>
  <c r="E195" i="102" s="1"/>
  <c r="J185" i="102"/>
  <c r="E177" i="102"/>
  <c r="E175" i="102" s="1"/>
  <c r="F177" i="102"/>
  <c r="H128" i="102"/>
  <c r="F70" i="102"/>
  <c r="Q70" i="102" s="1"/>
  <c r="F102" i="102"/>
  <c r="E81" i="102"/>
  <c r="F101" i="102"/>
  <c r="F97" i="102"/>
  <c r="E98" i="102"/>
  <c r="E95" i="102" s="1"/>
  <c r="F68" i="102"/>
  <c r="F98" i="102"/>
  <c r="E101" i="102"/>
  <c r="E93" i="102"/>
  <c r="E102" i="102"/>
  <c r="F69" i="102"/>
  <c r="Q69" i="102" s="1"/>
  <c r="E69" i="102"/>
  <c r="F77" i="102"/>
  <c r="Q77" i="102" s="1"/>
  <c r="N105" i="102"/>
  <c r="E77" i="102"/>
  <c r="F72" i="102"/>
  <c r="F78" i="102"/>
  <c r="Q78" i="102" s="1"/>
  <c r="E85" i="102"/>
  <c r="F93" i="102"/>
  <c r="Q93" i="102" s="1"/>
  <c r="E74" i="102"/>
  <c r="F76" i="102"/>
  <c r="F75" i="102" s="1"/>
  <c r="E70" i="102"/>
  <c r="F92" i="102"/>
  <c r="F84" i="102"/>
  <c r="E89" i="102"/>
  <c r="F80" i="102"/>
  <c r="F94" i="102"/>
  <c r="Q94" i="102" s="1"/>
  <c r="F86" i="102"/>
  <c r="Q86" i="102" s="1"/>
  <c r="F90" i="102"/>
  <c r="Q90" i="102" s="1"/>
  <c r="E78" i="102"/>
  <c r="E82" i="102"/>
  <c r="E94" i="102"/>
  <c r="F85" i="102"/>
  <c r="Q85" i="102" s="1"/>
  <c r="E86" i="102"/>
  <c r="F88" i="102"/>
  <c r="F74" i="102"/>
  <c r="F81" i="102"/>
  <c r="Q81" i="102" s="1"/>
  <c r="F82" i="102"/>
  <c r="E90" i="102"/>
  <c r="F89" i="102"/>
  <c r="H122" i="102"/>
  <c r="H106" i="102"/>
  <c r="N106" i="102"/>
  <c r="K105" i="102"/>
  <c r="L105" i="102"/>
  <c r="M106" i="102"/>
  <c r="J105" i="102"/>
  <c r="K106" i="102"/>
  <c r="C115" i="102"/>
  <c r="C111" i="102"/>
  <c r="C127" i="102"/>
  <c r="H105" i="102"/>
  <c r="I106" i="102"/>
  <c r="N104" i="102"/>
  <c r="J104" i="102"/>
  <c r="L104" i="102"/>
  <c r="O105" i="102"/>
  <c r="C107" i="102"/>
  <c r="C123" i="102"/>
  <c r="J106" i="102"/>
  <c r="L9" i="112"/>
  <c r="I105" i="102"/>
  <c r="M105" i="102"/>
  <c r="K104" i="102"/>
  <c r="C119" i="102"/>
  <c r="I104" i="102"/>
  <c r="L106" i="102"/>
  <c r="J122" i="102"/>
  <c r="H120" i="102"/>
  <c r="K122" i="102"/>
  <c r="L129" i="102"/>
  <c r="J121" i="102"/>
  <c r="H129" i="102"/>
  <c r="J113" i="102"/>
  <c r="L121" i="102"/>
  <c r="H130" i="102"/>
  <c r="H118" i="102"/>
  <c r="J114" i="102"/>
  <c r="I122" i="102"/>
  <c r="K130" i="102"/>
  <c r="H112" i="102"/>
  <c r="O110" i="102"/>
  <c r="M204" i="102"/>
  <c r="K126" i="102"/>
  <c r="K206" i="102" s="1"/>
  <c r="J125" i="102"/>
  <c r="J205" i="102" s="1"/>
  <c r="K114" i="102"/>
  <c r="H125" i="102"/>
  <c r="H205" i="102" s="1"/>
  <c r="L113" i="102"/>
  <c r="H113" i="102"/>
  <c r="L125" i="102"/>
  <c r="L205" i="102" s="1"/>
  <c r="J118" i="102"/>
  <c r="H124" i="102"/>
  <c r="J117" i="102"/>
  <c r="H114" i="102"/>
  <c r="H116" i="102"/>
  <c r="I130" i="102"/>
  <c r="H121" i="102"/>
  <c r="K118" i="102"/>
  <c r="I126" i="102"/>
  <c r="I206" i="102" s="1"/>
  <c r="H126" i="102"/>
  <c r="H206" i="102" s="1"/>
  <c r="J130" i="102"/>
  <c r="L117" i="102"/>
  <c r="I114" i="102"/>
  <c r="J129" i="102"/>
  <c r="I118" i="102"/>
  <c r="H117" i="102"/>
  <c r="J126" i="102"/>
  <c r="J206" i="102" s="1"/>
  <c r="N37" i="112" l="1"/>
  <c r="N101" i="112"/>
  <c r="N84" i="112"/>
  <c r="N131" i="112"/>
  <c r="N50" i="112"/>
  <c r="N118" i="112"/>
  <c r="N105" i="112"/>
  <c r="N63" i="112"/>
  <c r="N80" i="112"/>
  <c r="G44" i="112"/>
  <c r="G27" i="112"/>
  <c r="G18" i="112"/>
  <c r="G125" i="112"/>
  <c r="O118" i="112"/>
  <c r="O37" i="112"/>
  <c r="O63" i="112"/>
  <c r="O131" i="112"/>
  <c r="O50" i="112"/>
  <c r="O80" i="112"/>
  <c r="O101" i="112"/>
  <c r="O84" i="112"/>
  <c r="O105" i="112"/>
  <c r="E104" i="102"/>
  <c r="C59" i="102"/>
  <c r="O104" i="112"/>
  <c r="O79" i="112"/>
  <c r="O62" i="112"/>
  <c r="O117" i="112"/>
  <c r="O36" i="112"/>
  <c r="O130" i="112"/>
  <c r="O49" i="112"/>
  <c r="O100" i="112"/>
  <c r="O83" i="112"/>
  <c r="L31" i="112"/>
  <c r="L27" i="112"/>
  <c r="E99" i="102"/>
  <c r="E87" i="102"/>
  <c r="E83" i="102"/>
  <c r="F87" i="102"/>
  <c r="F91" i="102"/>
  <c r="F79" i="102"/>
  <c r="E71" i="102"/>
  <c r="E79" i="102"/>
  <c r="E75" i="102"/>
  <c r="F67" i="102"/>
  <c r="F83" i="102"/>
  <c r="F71" i="102"/>
  <c r="E67" i="102"/>
  <c r="E91" i="102"/>
  <c r="Q84" i="102"/>
  <c r="Q72" i="102"/>
  <c r="Q88" i="102"/>
  <c r="Q92" i="102"/>
  <c r="Q80" i="102"/>
  <c r="Q68" i="102"/>
  <c r="K11" i="112"/>
  <c r="L10" i="112"/>
  <c r="I9" i="112"/>
  <c r="I10" i="112"/>
  <c r="M11" i="112"/>
  <c r="O71" i="112"/>
  <c r="O96" i="112"/>
  <c r="O75" i="112"/>
  <c r="O28" i="112"/>
  <c r="O113" i="112"/>
  <c r="O92" i="112"/>
  <c r="O58" i="112"/>
  <c r="O54" i="112" s="1"/>
  <c r="O32" i="112"/>
  <c r="O126" i="112"/>
  <c r="O19" i="112"/>
  <c r="O45" i="112"/>
  <c r="H9" i="112"/>
  <c r="H10" i="112"/>
  <c r="M9" i="112"/>
  <c r="L11" i="112"/>
  <c r="G11" i="112"/>
  <c r="M10" i="112"/>
  <c r="N10" i="112"/>
  <c r="N14" i="112" s="1"/>
  <c r="H11" i="112"/>
  <c r="K10" i="112"/>
  <c r="O114" i="112"/>
  <c r="O93" i="112"/>
  <c r="O76" i="112"/>
  <c r="O59" i="112"/>
  <c r="O55" i="112" s="1"/>
  <c r="O33" i="112"/>
  <c r="O29" i="112"/>
  <c r="O72" i="112"/>
  <c r="O97" i="112"/>
  <c r="O20" i="112"/>
  <c r="O127" i="112"/>
  <c r="O123" i="112" s="1"/>
  <c r="O46" i="112"/>
  <c r="N97" i="112"/>
  <c r="N76" i="112"/>
  <c r="N114" i="112"/>
  <c r="N59" i="112"/>
  <c r="N93" i="112"/>
  <c r="N72" i="112"/>
  <c r="N29" i="112"/>
  <c r="N33" i="112"/>
  <c r="N46" i="112"/>
  <c r="N20" i="112"/>
  <c r="N127" i="112"/>
  <c r="J9" i="112"/>
  <c r="I11" i="112"/>
  <c r="K9" i="112"/>
  <c r="G10" i="112"/>
  <c r="G28" i="112" s="1"/>
  <c r="J11" i="112"/>
  <c r="J10" i="112"/>
  <c r="N204" i="102"/>
  <c r="E204" i="102" s="1"/>
  <c r="F206" i="102"/>
  <c r="Q206" i="102" s="1"/>
  <c r="G206" i="102" s="1"/>
  <c r="F205" i="102"/>
  <c r="Q205" i="102" s="1"/>
  <c r="G205" i="102" s="1"/>
  <c r="E205" i="102"/>
  <c r="E206" i="102"/>
  <c r="R62" i="102"/>
  <c r="S62" i="102"/>
  <c r="S61" i="102"/>
  <c r="R61" i="102"/>
  <c r="R60" i="102"/>
  <c r="Q201" i="102"/>
  <c r="G201" i="102" s="1"/>
  <c r="Q193" i="102"/>
  <c r="Q197" i="102"/>
  <c r="G197" i="102" s="1"/>
  <c r="F185" i="102"/>
  <c r="J189" i="102"/>
  <c r="E185" i="102"/>
  <c r="E183" i="102" s="1"/>
  <c r="P190" i="102"/>
  <c r="P189" i="102"/>
  <c r="F117" i="102"/>
  <c r="Q117" i="102" s="1"/>
  <c r="G117" i="102" s="1"/>
  <c r="F121" i="102"/>
  <c r="Q121" i="102" s="1"/>
  <c r="G121" i="102" s="1"/>
  <c r="E114" i="102"/>
  <c r="H109" i="102"/>
  <c r="L108" i="102"/>
  <c r="F126" i="102"/>
  <c r="Q126" i="102" s="1"/>
  <c r="G126" i="102" s="1"/>
  <c r="E117" i="102"/>
  <c r="E118" i="102"/>
  <c r="E126" i="102"/>
  <c r="F130" i="102"/>
  <c r="Q130" i="102" s="1"/>
  <c r="G130" i="102" s="1"/>
  <c r="F129" i="102"/>
  <c r="Q129" i="102" s="1"/>
  <c r="G129" i="102" s="1"/>
  <c r="O109" i="102"/>
  <c r="F106" i="102"/>
  <c r="E121" i="102"/>
  <c r="F122" i="102"/>
  <c r="Q122" i="102" s="1"/>
  <c r="G122" i="102" s="1"/>
  <c r="F114" i="102"/>
  <c r="E125" i="102"/>
  <c r="E113" i="102"/>
  <c r="E106" i="102"/>
  <c r="E129" i="102"/>
  <c r="E130" i="102"/>
  <c r="F113" i="102"/>
  <c r="Q113" i="102" s="1"/>
  <c r="G113" i="102" s="1"/>
  <c r="F125" i="102"/>
  <c r="E122" i="102"/>
  <c r="F118" i="102"/>
  <c r="E105" i="102"/>
  <c r="F105" i="102"/>
  <c r="N109" i="102"/>
  <c r="N108" i="102"/>
  <c r="J109" i="102"/>
  <c r="N110" i="102"/>
  <c r="K108" i="102"/>
  <c r="H110" i="102"/>
  <c r="I108" i="102"/>
  <c r="E108" i="102" s="1"/>
  <c r="L109" i="102"/>
  <c r="M109" i="102"/>
  <c r="K109" i="102"/>
  <c r="J110" i="102"/>
  <c r="M110" i="102"/>
  <c r="K110" i="102"/>
  <c r="I109" i="102"/>
  <c r="I110" i="102"/>
  <c r="Q74" i="102"/>
  <c r="J108" i="102"/>
  <c r="L110" i="102"/>
  <c r="Q89" i="102"/>
  <c r="Q82" i="102"/>
  <c r="Q76" i="102"/>
  <c r="N123" i="112" l="1"/>
  <c r="N68" i="112"/>
  <c r="N36" i="112"/>
  <c r="N117" i="112"/>
  <c r="N79" i="112"/>
  <c r="N104" i="112"/>
  <c r="N100" i="112"/>
  <c r="N83" i="112"/>
  <c r="N62" i="112"/>
  <c r="N130" i="112"/>
  <c r="N49" i="112"/>
  <c r="M27" i="112"/>
  <c r="M13" i="112"/>
  <c r="N89" i="112"/>
  <c r="O122" i="112"/>
  <c r="N55" i="112"/>
  <c r="G46" i="112"/>
  <c r="G20" i="112"/>
  <c r="D9" i="112"/>
  <c r="O68" i="112"/>
  <c r="E103" i="102"/>
  <c r="E127" i="102"/>
  <c r="E119" i="102"/>
  <c r="E203" i="102"/>
  <c r="E115" i="102"/>
  <c r="E111" i="102"/>
  <c r="E123" i="102"/>
  <c r="O88" i="112"/>
  <c r="G33" i="112"/>
  <c r="G29" i="112"/>
  <c r="O25" i="112"/>
  <c r="O89" i="112"/>
  <c r="Q10" i="112"/>
  <c r="N25" i="112"/>
  <c r="Q11" i="112"/>
  <c r="O67" i="112"/>
  <c r="I92" i="112"/>
  <c r="I71" i="112"/>
  <c r="I113" i="112"/>
  <c r="I58" i="112"/>
  <c r="I28" i="112"/>
  <c r="I75" i="112"/>
  <c r="I19" i="112"/>
  <c r="I96" i="112"/>
  <c r="I32" i="112"/>
  <c r="I14" i="112"/>
  <c r="I45" i="112"/>
  <c r="I126" i="112"/>
  <c r="L92" i="112"/>
  <c r="L71" i="112"/>
  <c r="L32" i="112"/>
  <c r="L113" i="112"/>
  <c r="L96" i="112"/>
  <c r="L58" i="112"/>
  <c r="L75" i="112"/>
  <c r="L28" i="112"/>
  <c r="L14" i="112"/>
  <c r="L19" i="112"/>
  <c r="L126" i="112"/>
  <c r="L45" i="112"/>
  <c r="Q64" i="102"/>
  <c r="J97" i="112"/>
  <c r="J76" i="112"/>
  <c r="J114" i="112"/>
  <c r="J93" i="112"/>
  <c r="J72" i="112"/>
  <c r="J29" i="112"/>
  <c r="J20" i="112"/>
  <c r="J33" i="112"/>
  <c r="J127" i="112"/>
  <c r="J59" i="112"/>
  <c r="J15" i="112"/>
  <c r="J46" i="112"/>
  <c r="K112" i="112"/>
  <c r="K95" i="112"/>
  <c r="K74" i="112"/>
  <c r="K31" i="112"/>
  <c r="K57" i="112"/>
  <c r="K91" i="112"/>
  <c r="K13" i="112"/>
  <c r="K18" i="112"/>
  <c r="K70" i="112"/>
  <c r="K27" i="112"/>
  <c r="K44" i="112"/>
  <c r="K125" i="112"/>
  <c r="J112" i="112"/>
  <c r="J57" i="112"/>
  <c r="J95" i="112"/>
  <c r="J74" i="112"/>
  <c r="J27" i="112"/>
  <c r="J31" i="112"/>
  <c r="J13" i="112"/>
  <c r="J70" i="112"/>
  <c r="J18" i="112"/>
  <c r="J91" i="112"/>
  <c r="J44" i="112"/>
  <c r="J125" i="112"/>
  <c r="K92" i="112"/>
  <c r="K71" i="112"/>
  <c r="K28" i="112"/>
  <c r="K113" i="112"/>
  <c r="K75" i="112"/>
  <c r="K96" i="112"/>
  <c r="K58" i="112"/>
  <c r="K32" i="112"/>
  <c r="K14" i="112"/>
  <c r="K19" i="112"/>
  <c r="K45" i="112"/>
  <c r="K126" i="112"/>
  <c r="N92" i="112"/>
  <c r="N71" i="112"/>
  <c r="N32" i="112"/>
  <c r="N113" i="112"/>
  <c r="N75" i="112"/>
  <c r="N58" i="112"/>
  <c r="N96" i="112"/>
  <c r="N28" i="112"/>
  <c r="N19" i="112"/>
  <c r="N45" i="112"/>
  <c r="N126" i="112"/>
  <c r="N122" i="112" s="1"/>
  <c r="G112" i="112"/>
  <c r="G95" i="112"/>
  <c r="G74" i="112"/>
  <c r="G70" i="112"/>
  <c r="G13" i="112"/>
  <c r="G91" i="112"/>
  <c r="G57" i="112"/>
  <c r="G31" i="112"/>
  <c r="G114" i="112"/>
  <c r="G97" i="112"/>
  <c r="G72" i="112"/>
  <c r="G93" i="112"/>
  <c r="G59" i="112"/>
  <c r="G76" i="112"/>
  <c r="G127" i="112"/>
  <c r="G15" i="112"/>
  <c r="E11" i="112"/>
  <c r="M112" i="112"/>
  <c r="M95" i="112"/>
  <c r="M74" i="112"/>
  <c r="M31" i="112"/>
  <c r="M70" i="112"/>
  <c r="M91" i="112"/>
  <c r="M57" i="112"/>
  <c r="M18" i="112"/>
  <c r="M125" i="112"/>
  <c r="M44" i="112"/>
  <c r="H112" i="112"/>
  <c r="H74" i="112"/>
  <c r="H70" i="112"/>
  <c r="H57" i="112"/>
  <c r="H95" i="112"/>
  <c r="H27" i="112"/>
  <c r="H31" i="112"/>
  <c r="H91" i="112"/>
  <c r="H44" i="112"/>
  <c r="D44" i="112" s="1"/>
  <c r="H18" i="112"/>
  <c r="H125" i="112"/>
  <c r="H13" i="112"/>
  <c r="O24" i="112"/>
  <c r="M114" i="112"/>
  <c r="M97" i="112"/>
  <c r="M76" i="112"/>
  <c r="M59" i="112"/>
  <c r="M72" i="112"/>
  <c r="M33" i="112"/>
  <c r="M93" i="112"/>
  <c r="M20" i="112"/>
  <c r="M15" i="112"/>
  <c r="M29" i="112"/>
  <c r="M46" i="112"/>
  <c r="M127" i="112"/>
  <c r="I112" i="112"/>
  <c r="I95" i="112"/>
  <c r="I74" i="112"/>
  <c r="I31" i="112"/>
  <c r="I57" i="112"/>
  <c r="I70" i="112"/>
  <c r="I91" i="112"/>
  <c r="I27" i="112"/>
  <c r="I44" i="112"/>
  <c r="I13" i="112"/>
  <c r="I125" i="112"/>
  <c r="I18" i="112"/>
  <c r="K114" i="112"/>
  <c r="K97" i="112"/>
  <c r="K76" i="112"/>
  <c r="K59" i="112"/>
  <c r="K72" i="112"/>
  <c r="K93" i="112"/>
  <c r="K33" i="112"/>
  <c r="K29" i="112"/>
  <c r="K20" i="112"/>
  <c r="K127" i="112"/>
  <c r="K15" i="112"/>
  <c r="K46" i="112"/>
  <c r="J92" i="112"/>
  <c r="J71" i="112"/>
  <c r="J58" i="112"/>
  <c r="J32" i="112"/>
  <c r="J28" i="112"/>
  <c r="J75" i="112"/>
  <c r="J96" i="112"/>
  <c r="J113" i="112"/>
  <c r="J19" i="112"/>
  <c r="J126" i="112"/>
  <c r="J45" i="112"/>
  <c r="J14" i="112"/>
  <c r="G92" i="112"/>
  <c r="G75" i="112"/>
  <c r="G58" i="112"/>
  <c r="G113" i="112"/>
  <c r="G32" i="112"/>
  <c r="G96" i="112"/>
  <c r="G71" i="112"/>
  <c r="G14" i="112"/>
  <c r="G36" i="112" s="1"/>
  <c r="G24" i="112" s="1"/>
  <c r="G126" i="112"/>
  <c r="G45" i="112"/>
  <c r="G19" i="112"/>
  <c r="E10" i="112"/>
  <c r="I114" i="112"/>
  <c r="I97" i="112"/>
  <c r="I76" i="112"/>
  <c r="I59" i="112"/>
  <c r="I72" i="112"/>
  <c r="I33" i="112"/>
  <c r="I93" i="112"/>
  <c r="I15" i="112"/>
  <c r="I29" i="112"/>
  <c r="I127" i="112"/>
  <c r="I46" i="112"/>
  <c r="I20" i="112"/>
  <c r="H97" i="112"/>
  <c r="H114" i="112"/>
  <c r="H76" i="112"/>
  <c r="H93" i="112"/>
  <c r="H29" i="112"/>
  <c r="H59" i="112"/>
  <c r="H72" i="112"/>
  <c r="H33" i="112"/>
  <c r="D33" i="112" s="1"/>
  <c r="H127" i="112"/>
  <c r="D11" i="112"/>
  <c r="H46" i="112"/>
  <c r="H15" i="112"/>
  <c r="H20" i="112"/>
  <c r="L112" i="112"/>
  <c r="L57" i="112"/>
  <c r="L95" i="112"/>
  <c r="L74" i="112"/>
  <c r="L70" i="112"/>
  <c r="L91" i="112"/>
  <c r="L18" i="112"/>
  <c r="L13" i="112"/>
  <c r="L44" i="112"/>
  <c r="L125" i="112"/>
  <c r="M92" i="112"/>
  <c r="M71" i="112"/>
  <c r="M113" i="112"/>
  <c r="M58" i="112"/>
  <c r="M28" i="112"/>
  <c r="M45" i="112"/>
  <c r="M75" i="112"/>
  <c r="M32" i="112"/>
  <c r="M14" i="112"/>
  <c r="M96" i="112"/>
  <c r="M19" i="112"/>
  <c r="M126" i="112"/>
  <c r="L97" i="112"/>
  <c r="L76" i="112"/>
  <c r="L114" i="112"/>
  <c r="L93" i="112"/>
  <c r="L59" i="112"/>
  <c r="L29" i="112"/>
  <c r="L72" i="112"/>
  <c r="L33" i="112"/>
  <c r="L20" i="112"/>
  <c r="L127" i="112"/>
  <c r="L46" i="112"/>
  <c r="L15" i="112"/>
  <c r="H92" i="112"/>
  <c r="H71" i="112"/>
  <c r="H75" i="112"/>
  <c r="H32" i="112"/>
  <c r="H14" i="112"/>
  <c r="H113" i="112"/>
  <c r="H96" i="112"/>
  <c r="D10" i="112"/>
  <c r="H58" i="112"/>
  <c r="H28" i="112"/>
  <c r="H126" i="112"/>
  <c r="H19" i="112"/>
  <c r="H45" i="112"/>
  <c r="D45" i="112" s="1"/>
  <c r="H60" i="102"/>
  <c r="Q185" i="102"/>
  <c r="G193" i="102"/>
  <c r="E189" i="102"/>
  <c r="E187" i="102" s="1"/>
  <c r="F189" i="102"/>
  <c r="Q190" i="102"/>
  <c r="G190" i="102" s="1"/>
  <c r="Q118" i="102"/>
  <c r="G118" i="102" s="1"/>
  <c r="Q114" i="102"/>
  <c r="G114" i="102" s="1"/>
  <c r="E109" i="102"/>
  <c r="F110" i="102"/>
  <c r="Q65" i="102"/>
  <c r="F109" i="102"/>
  <c r="Q125" i="102"/>
  <c r="G125" i="102" s="1"/>
  <c r="E110" i="102"/>
  <c r="Q66" i="102"/>
  <c r="L64" i="102"/>
  <c r="I64" i="102"/>
  <c r="M65" i="102"/>
  <c r="J64" i="102"/>
  <c r="M66" i="102"/>
  <c r="K65" i="102"/>
  <c r="N66" i="102"/>
  <c r="L65" i="102"/>
  <c r="J66" i="102"/>
  <c r="P109" i="102"/>
  <c r="P110" i="102"/>
  <c r="D8" i="112" l="1"/>
  <c r="D31" i="112"/>
  <c r="D30" i="112" s="1"/>
  <c r="G105" i="112"/>
  <c r="G37" i="112"/>
  <c r="G25" i="112" s="1"/>
  <c r="D32" i="112"/>
  <c r="Q19" i="112"/>
  <c r="D13" i="112"/>
  <c r="N54" i="112"/>
  <c r="D28" i="112"/>
  <c r="D29" i="112"/>
  <c r="D18" i="112"/>
  <c r="D27" i="112"/>
  <c r="G82" i="112"/>
  <c r="G35" i="112"/>
  <c r="G23" i="112" s="1"/>
  <c r="G48" i="112"/>
  <c r="G40" i="112" s="1"/>
  <c r="E107" i="102"/>
  <c r="E45" i="112"/>
  <c r="Q28" i="112"/>
  <c r="Q14" i="112"/>
  <c r="N88" i="112"/>
  <c r="D19" i="112"/>
  <c r="D20" i="112"/>
  <c r="D97" i="112"/>
  <c r="D74" i="112"/>
  <c r="Q15" i="112"/>
  <c r="D96" i="112"/>
  <c r="Q20" i="112"/>
  <c r="D76" i="112"/>
  <c r="D113" i="112"/>
  <c r="D71" i="112"/>
  <c r="L103" i="112"/>
  <c r="L82" i="112"/>
  <c r="L78" i="112"/>
  <c r="L116" i="112"/>
  <c r="L99" i="112"/>
  <c r="L87" i="112" s="1"/>
  <c r="L61" i="112"/>
  <c r="L53" i="112" s="1"/>
  <c r="L35" i="112"/>
  <c r="L23" i="112" s="1"/>
  <c r="L129" i="112"/>
  <c r="L121" i="112" s="1"/>
  <c r="L48" i="112"/>
  <c r="D46" i="112"/>
  <c r="D72" i="112"/>
  <c r="E19" i="112"/>
  <c r="Q71" i="112"/>
  <c r="E71" i="112"/>
  <c r="E28" i="112"/>
  <c r="J117" i="112"/>
  <c r="J62" i="112"/>
  <c r="J54" i="112" s="1"/>
  <c r="J100" i="112"/>
  <c r="J79" i="112"/>
  <c r="J104" i="112"/>
  <c r="J83" i="112"/>
  <c r="J36" i="112"/>
  <c r="J24" i="112" s="1"/>
  <c r="J130" i="112"/>
  <c r="J122" i="112" s="1"/>
  <c r="J49" i="112"/>
  <c r="H103" i="112"/>
  <c r="H82" i="112"/>
  <c r="H78" i="112"/>
  <c r="H116" i="112"/>
  <c r="H99" i="112"/>
  <c r="H35" i="112"/>
  <c r="H61" i="112"/>
  <c r="H53" i="112" s="1"/>
  <c r="H48" i="112"/>
  <c r="H129" i="112"/>
  <c r="H121" i="112" s="1"/>
  <c r="D91" i="112"/>
  <c r="D57" i="112"/>
  <c r="E46" i="112"/>
  <c r="Q46" i="112"/>
  <c r="E127" i="112"/>
  <c r="Q127" i="112"/>
  <c r="Q59" i="112"/>
  <c r="E59" i="112"/>
  <c r="Q114" i="112"/>
  <c r="E114" i="112"/>
  <c r="K117" i="112"/>
  <c r="K100" i="112"/>
  <c r="K79" i="112"/>
  <c r="K83" i="112"/>
  <c r="K104" i="112"/>
  <c r="K62" i="112"/>
  <c r="K54" i="112" s="1"/>
  <c r="K36" i="112"/>
  <c r="K24" i="112" s="1"/>
  <c r="K130" i="112"/>
  <c r="K122" i="112" s="1"/>
  <c r="K49" i="112"/>
  <c r="D58" i="112"/>
  <c r="H117" i="112"/>
  <c r="H62" i="112"/>
  <c r="H54" i="112" s="1"/>
  <c r="H100" i="112"/>
  <c r="H79" i="112"/>
  <c r="H104" i="112"/>
  <c r="H36" i="112"/>
  <c r="H83" i="112"/>
  <c r="H130" i="112"/>
  <c r="H122" i="112" s="1"/>
  <c r="H49" i="112"/>
  <c r="D14" i="112"/>
  <c r="D92" i="112"/>
  <c r="M117" i="112"/>
  <c r="M100" i="112"/>
  <c r="M79" i="112"/>
  <c r="M62" i="112"/>
  <c r="M54" i="112" s="1"/>
  <c r="M83" i="112"/>
  <c r="M104" i="112"/>
  <c r="M36" i="112"/>
  <c r="M24" i="112" s="1"/>
  <c r="M49" i="112"/>
  <c r="M130" i="112"/>
  <c r="M122" i="112" s="1"/>
  <c r="D59" i="112"/>
  <c r="D114" i="112"/>
  <c r="Q45" i="112"/>
  <c r="Q96" i="112"/>
  <c r="F96" i="112" s="1"/>
  <c r="E96" i="112"/>
  <c r="Q58" i="112"/>
  <c r="E58" i="112"/>
  <c r="K105" i="112"/>
  <c r="K84" i="112"/>
  <c r="K118" i="112"/>
  <c r="K63" i="112"/>
  <c r="K55" i="112" s="1"/>
  <c r="K37" i="112"/>
  <c r="K25" i="112" s="1"/>
  <c r="K80" i="112"/>
  <c r="K68" i="112" s="1"/>
  <c r="K101" i="112"/>
  <c r="K50" i="112"/>
  <c r="K131" i="112"/>
  <c r="K123" i="112" s="1"/>
  <c r="D125" i="112"/>
  <c r="D70" i="112"/>
  <c r="M103" i="112"/>
  <c r="M82" i="112"/>
  <c r="M99" i="112"/>
  <c r="M78" i="112"/>
  <c r="M35" i="112"/>
  <c r="M23" i="112" s="1"/>
  <c r="M116" i="112"/>
  <c r="M61" i="112"/>
  <c r="M53" i="112" s="1"/>
  <c r="M129" i="112"/>
  <c r="M121" i="112" s="1"/>
  <c r="M48" i="112"/>
  <c r="Q33" i="112"/>
  <c r="F33" i="112" s="1"/>
  <c r="E33" i="112"/>
  <c r="Q93" i="112"/>
  <c r="E93" i="112"/>
  <c r="G103" i="112"/>
  <c r="G87" i="112" s="1"/>
  <c r="G99" i="112"/>
  <c r="G61" i="112"/>
  <c r="G53" i="112" s="1"/>
  <c r="G78" i="112"/>
  <c r="G116" i="112"/>
  <c r="G129" i="112"/>
  <c r="G121" i="112" s="1"/>
  <c r="N24" i="112"/>
  <c r="I117" i="112"/>
  <c r="I100" i="112"/>
  <c r="I79" i="112"/>
  <c r="I83" i="112"/>
  <c r="I62" i="112"/>
  <c r="I54" i="112" s="1"/>
  <c r="I104" i="112"/>
  <c r="I36" i="112"/>
  <c r="I24" i="112" s="1"/>
  <c r="I49" i="112"/>
  <c r="I130" i="112"/>
  <c r="I122" i="112" s="1"/>
  <c r="L105" i="112"/>
  <c r="L84" i="112"/>
  <c r="L63" i="112"/>
  <c r="L55" i="112" s="1"/>
  <c r="L118" i="112"/>
  <c r="L37" i="112"/>
  <c r="L25" i="112" s="1"/>
  <c r="L80" i="112"/>
  <c r="L68" i="112" s="1"/>
  <c r="L101" i="112"/>
  <c r="L131" i="112"/>
  <c r="L123" i="112" s="1"/>
  <c r="L50" i="112"/>
  <c r="D127" i="112"/>
  <c r="Q126" i="112"/>
  <c r="E126" i="112"/>
  <c r="Q32" i="112"/>
  <c r="F32" i="112" s="1"/>
  <c r="E32" i="112"/>
  <c r="Q75" i="112"/>
  <c r="F75" i="112" s="1"/>
  <c r="E75" i="112"/>
  <c r="I103" i="112"/>
  <c r="I82" i="112"/>
  <c r="I99" i="112"/>
  <c r="I78" i="112"/>
  <c r="I35" i="112"/>
  <c r="I23" i="112" s="1"/>
  <c r="I116" i="112"/>
  <c r="I61" i="112"/>
  <c r="I53" i="112" s="1"/>
  <c r="I48" i="112"/>
  <c r="I129" i="112"/>
  <c r="I121" i="112" s="1"/>
  <c r="G84" i="112"/>
  <c r="G118" i="112"/>
  <c r="G63" i="112"/>
  <c r="G55" i="112" s="1"/>
  <c r="G80" i="112"/>
  <c r="G101" i="112"/>
  <c r="G50" i="112"/>
  <c r="E15" i="112"/>
  <c r="G131" i="112"/>
  <c r="Q76" i="112"/>
  <c r="F76" i="112" s="1"/>
  <c r="E76" i="112"/>
  <c r="Q72" i="112"/>
  <c r="E72" i="112"/>
  <c r="J103" i="112"/>
  <c r="J82" i="112"/>
  <c r="J116" i="112"/>
  <c r="J78" i="112"/>
  <c r="J61" i="112"/>
  <c r="J53" i="112" s="1"/>
  <c r="J99" i="112"/>
  <c r="J35" i="112"/>
  <c r="J23" i="112" s="1"/>
  <c r="J48" i="112"/>
  <c r="J129" i="112"/>
  <c r="J121" i="112" s="1"/>
  <c r="K103" i="112"/>
  <c r="K82" i="112"/>
  <c r="K99" i="112"/>
  <c r="K61" i="112"/>
  <c r="K53" i="112" s="1"/>
  <c r="K35" i="112"/>
  <c r="K23" i="112" s="1"/>
  <c r="K78" i="112"/>
  <c r="K66" i="112" s="1"/>
  <c r="K116" i="112"/>
  <c r="K129" i="112"/>
  <c r="K121" i="112" s="1"/>
  <c r="K48" i="112"/>
  <c r="J105" i="112"/>
  <c r="J84" i="112"/>
  <c r="J131" i="112"/>
  <c r="J123" i="112" s="1"/>
  <c r="J50" i="112"/>
  <c r="J118" i="112"/>
  <c r="J80" i="112"/>
  <c r="J68" i="112" s="1"/>
  <c r="J63" i="112"/>
  <c r="J55" i="112" s="1"/>
  <c r="J37" i="112"/>
  <c r="J25" i="112" s="1"/>
  <c r="J101" i="112"/>
  <c r="J89" i="112" s="1"/>
  <c r="L117" i="112"/>
  <c r="L62" i="112"/>
  <c r="L54" i="112" s="1"/>
  <c r="L100" i="112"/>
  <c r="L79" i="112"/>
  <c r="L104" i="112"/>
  <c r="L36" i="112"/>
  <c r="L24" i="112" s="1"/>
  <c r="L83" i="112"/>
  <c r="L49" i="112"/>
  <c r="L130" i="112"/>
  <c r="L122" i="112" s="1"/>
  <c r="D126" i="112"/>
  <c r="D75" i="112"/>
  <c r="H105" i="112"/>
  <c r="H84" i="112"/>
  <c r="H63" i="112"/>
  <c r="H55" i="112" s="1"/>
  <c r="H118" i="112"/>
  <c r="H80" i="112"/>
  <c r="H101" i="112"/>
  <c r="H37" i="112"/>
  <c r="H131" i="112"/>
  <c r="H50" i="112"/>
  <c r="D15" i="112"/>
  <c r="D93" i="112"/>
  <c r="I105" i="112"/>
  <c r="I84" i="112"/>
  <c r="I37" i="112"/>
  <c r="I25" i="112" s="1"/>
  <c r="I118" i="112"/>
  <c r="I101" i="112"/>
  <c r="I89" i="112" s="1"/>
  <c r="I63" i="112"/>
  <c r="I55" i="112" s="1"/>
  <c r="I80" i="112"/>
  <c r="I50" i="112"/>
  <c r="I131" i="112"/>
  <c r="I123" i="112" s="1"/>
  <c r="G79" i="112"/>
  <c r="G117" i="112"/>
  <c r="G100" i="112"/>
  <c r="G104" i="112"/>
  <c r="G83" i="112"/>
  <c r="G62" i="112"/>
  <c r="G54" i="112" s="1"/>
  <c r="G130" i="112"/>
  <c r="G49" i="112"/>
  <c r="E14" i="112"/>
  <c r="Q113" i="112"/>
  <c r="E113" i="112"/>
  <c r="Q92" i="112"/>
  <c r="E92" i="112"/>
  <c r="M105" i="112"/>
  <c r="M84" i="112"/>
  <c r="M37" i="112"/>
  <c r="M25" i="112" s="1"/>
  <c r="M118" i="112"/>
  <c r="M63" i="112"/>
  <c r="M55" i="112" s="1"/>
  <c r="M101" i="112"/>
  <c r="M80" i="112"/>
  <c r="M131" i="112"/>
  <c r="M123" i="112" s="1"/>
  <c r="M50" i="112"/>
  <c r="D95" i="112"/>
  <c r="D112" i="112"/>
  <c r="E20" i="112"/>
  <c r="Q29" i="112"/>
  <c r="F29" i="112" s="1"/>
  <c r="E29" i="112"/>
  <c r="Q97" i="112"/>
  <c r="F97" i="112" s="1"/>
  <c r="E97" i="112"/>
  <c r="N67" i="112"/>
  <c r="L209" i="102"/>
  <c r="L61" i="102" s="1"/>
  <c r="J208" i="102"/>
  <c r="J60" i="102" s="1"/>
  <c r="O61" i="102"/>
  <c r="N210" i="102"/>
  <c r="N62" i="102" s="1"/>
  <c r="M209" i="102"/>
  <c r="M61" i="102" s="1"/>
  <c r="K210" i="102"/>
  <c r="K62" i="102" s="1"/>
  <c r="I208" i="102"/>
  <c r="H210" i="102"/>
  <c r="H62" i="102" s="1"/>
  <c r="K209" i="102"/>
  <c r="K61" i="102" s="1"/>
  <c r="J210" i="102"/>
  <c r="J62" i="102" s="1"/>
  <c r="M210" i="102"/>
  <c r="M62" i="102" s="1"/>
  <c r="L208" i="102"/>
  <c r="L60" i="102" s="1"/>
  <c r="O62" i="102"/>
  <c r="H209" i="102"/>
  <c r="P62" i="102"/>
  <c r="G65" i="102"/>
  <c r="G64" i="102"/>
  <c r="P61" i="102"/>
  <c r="Q189" i="102"/>
  <c r="G189" i="102" s="1"/>
  <c r="G66" i="102"/>
  <c r="N64" i="102"/>
  <c r="N65" i="102"/>
  <c r="I65" i="102"/>
  <c r="M64" i="102"/>
  <c r="I66" i="102"/>
  <c r="J65" i="102"/>
  <c r="K64" i="102"/>
  <c r="L66" i="102"/>
  <c r="Q110" i="102"/>
  <c r="G110" i="102" s="1"/>
  <c r="Q109" i="102"/>
  <c r="G109" i="102" s="1"/>
  <c r="R76" i="104"/>
  <c r="R77" i="104"/>
  <c r="R78" i="104"/>
  <c r="R81" i="104"/>
  <c r="R82" i="104"/>
  <c r="R83" i="104"/>
  <c r="R86" i="104"/>
  <c r="R87" i="104"/>
  <c r="R88" i="104"/>
  <c r="H24" i="112" l="1"/>
  <c r="D36" i="112"/>
  <c r="D24" i="112" s="1"/>
  <c r="D12" i="112"/>
  <c r="H23" i="112"/>
  <c r="D35" i="112"/>
  <c r="D54" i="112"/>
  <c r="H25" i="112"/>
  <c r="D37" i="112"/>
  <c r="D25" i="112" s="1"/>
  <c r="D17" i="112"/>
  <c r="G68" i="112"/>
  <c r="D55" i="112"/>
  <c r="D23" i="112"/>
  <c r="D26" i="112"/>
  <c r="D43" i="112"/>
  <c r="H87" i="112"/>
  <c r="G63" i="102"/>
  <c r="D94" i="112"/>
  <c r="D56" i="112"/>
  <c r="D69" i="112"/>
  <c r="D90" i="112"/>
  <c r="D73" i="112"/>
  <c r="D111" i="112"/>
  <c r="D124" i="112"/>
  <c r="Q36" i="112"/>
  <c r="F36" i="112" s="1"/>
  <c r="Q37" i="112"/>
  <c r="F37" i="112" s="1"/>
  <c r="M68" i="112"/>
  <c r="I88" i="112"/>
  <c r="L89" i="112"/>
  <c r="K88" i="112"/>
  <c r="M89" i="112"/>
  <c r="L88" i="112"/>
  <c r="J66" i="112"/>
  <c r="M66" i="112"/>
  <c r="M67" i="112"/>
  <c r="I66" i="112"/>
  <c r="F20" i="112"/>
  <c r="L67" i="112"/>
  <c r="K87" i="112"/>
  <c r="I87" i="112"/>
  <c r="J67" i="112"/>
  <c r="L66" i="112"/>
  <c r="K89" i="112"/>
  <c r="D104" i="112"/>
  <c r="K67" i="112"/>
  <c r="J88" i="112"/>
  <c r="D101" i="112"/>
  <c r="M88" i="112"/>
  <c r="H89" i="112"/>
  <c r="D131" i="112"/>
  <c r="D123" i="112" s="1"/>
  <c r="G66" i="112"/>
  <c r="D83" i="112"/>
  <c r="I68" i="112"/>
  <c r="J87" i="112"/>
  <c r="D49" i="112"/>
  <c r="D41" i="112" s="1"/>
  <c r="I67" i="112"/>
  <c r="M87" i="112"/>
  <c r="F19" i="112"/>
  <c r="Q130" i="112"/>
  <c r="F130" i="112" s="1"/>
  <c r="E130" i="112"/>
  <c r="E122" i="112" s="1"/>
  <c r="Q104" i="112"/>
  <c r="F104" i="112" s="1"/>
  <c r="E104" i="112"/>
  <c r="D84" i="112"/>
  <c r="E131" i="112"/>
  <c r="E123" i="112" s="1"/>
  <c r="Q131" i="112"/>
  <c r="F131" i="112" s="1"/>
  <c r="E37" i="112"/>
  <c r="E25" i="112" s="1"/>
  <c r="Q105" i="112"/>
  <c r="F105" i="112" s="1"/>
  <c r="E105" i="112"/>
  <c r="H123" i="112"/>
  <c r="G89" i="112"/>
  <c r="F45" i="112"/>
  <c r="D100" i="112"/>
  <c r="F127" i="112"/>
  <c r="D48" i="112"/>
  <c r="D116" i="112"/>
  <c r="F71" i="112"/>
  <c r="H68" i="112"/>
  <c r="G88" i="112"/>
  <c r="F113" i="112"/>
  <c r="Q62" i="112"/>
  <c r="F62" i="112" s="1"/>
  <c r="E62" i="112"/>
  <c r="E54" i="112" s="1"/>
  <c r="Q100" i="112"/>
  <c r="F100" i="112" s="1"/>
  <c r="E100" i="112"/>
  <c r="D50" i="112"/>
  <c r="D42" i="112" s="1"/>
  <c r="D80" i="112"/>
  <c r="D105" i="112"/>
  <c r="F72" i="112"/>
  <c r="Q80" i="112"/>
  <c r="F80" i="112" s="1"/>
  <c r="E80" i="112"/>
  <c r="Q84" i="112"/>
  <c r="F84" i="112" s="1"/>
  <c r="E84" i="112"/>
  <c r="F126" i="112"/>
  <c r="F58" i="112"/>
  <c r="D62" i="112"/>
  <c r="D61" i="112"/>
  <c r="D53" i="112" s="1"/>
  <c r="D78" i="112"/>
  <c r="F28" i="112"/>
  <c r="F92" i="112"/>
  <c r="Q83" i="112"/>
  <c r="F83" i="112" s="1"/>
  <c r="E83" i="112"/>
  <c r="Q117" i="112"/>
  <c r="F117" i="112" s="1"/>
  <c r="E117" i="112"/>
  <c r="D118" i="112"/>
  <c r="E50" i="112"/>
  <c r="Q50" i="112"/>
  <c r="F50" i="112" s="1"/>
  <c r="Q63" i="112"/>
  <c r="F63" i="112" s="1"/>
  <c r="E63" i="112"/>
  <c r="E55" i="112" s="1"/>
  <c r="G122" i="112"/>
  <c r="F93" i="112"/>
  <c r="D117" i="112"/>
  <c r="F59" i="112"/>
  <c r="D82" i="112"/>
  <c r="Q49" i="112"/>
  <c r="F49" i="112" s="1"/>
  <c r="G67" i="112"/>
  <c r="H67" i="112"/>
  <c r="E49" i="112"/>
  <c r="E36" i="112"/>
  <c r="E24" i="112" s="1"/>
  <c r="Q79" i="112"/>
  <c r="F79" i="112" s="1"/>
  <c r="E79" i="112"/>
  <c r="D63" i="112"/>
  <c r="Q101" i="112"/>
  <c r="F101" i="112" s="1"/>
  <c r="E101" i="112"/>
  <c r="Q118" i="112"/>
  <c r="F118" i="112" s="1"/>
  <c r="E118" i="112"/>
  <c r="H66" i="112"/>
  <c r="H88" i="112"/>
  <c r="D130" i="112"/>
  <c r="D122" i="112" s="1"/>
  <c r="D79" i="112"/>
  <c r="F114" i="112"/>
  <c r="G123" i="112"/>
  <c r="F46" i="112"/>
  <c r="D129" i="112"/>
  <c r="D99" i="112"/>
  <c r="D103" i="112"/>
  <c r="K208" i="102"/>
  <c r="K60" i="102" s="1"/>
  <c r="J209" i="102"/>
  <c r="J61" i="102" s="1"/>
  <c r="N209" i="102"/>
  <c r="N61" i="102" s="1"/>
  <c r="H61" i="102"/>
  <c r="I60" i="102"/>
  <c r="I209" i="102"/>
  <c r="I210" i="102"/>
  <c r="I62" i="102" s="1"/>
  <c r="N208" i="102"/>
  <c r="N60" i="102" s="1"/>
  <c r="L210" i="102"/>
  <c r="M208" i="102"/>
  <c r="M60" i="102" s="1"/>
  <c r="E66" i="102"/>
  <c r="F65" i="102"/>
  <c r="F66" i="102"/>
  <c r="E65" i="102"/>
  <c r="E64" i="102"/>
  <c r="C112" i="105"/>
  <c r="I113" i="105"/>
  <c r="L113" i="105"/>
  <c r="N113" i="105"/>
  <c r="P113" i="105"/>
  <c r="E113" i="105" s="1"/>
  <c r="T113" i="105"/>
  <c r="U113" i="105"/>
  <c r="E114" i="105"/>
  <c r="H114" i="105"/>
  <c r="L114" i="105"/>
  <c r="J115" i="105"/>
  <c r="K115" i="105" s="1"/>
  <c r="L115" i="105"/>
  <c r="C116" i="105"/>
  <c r="I117" i="105"/>
  <c r="L117" i="105"/>
  <c r="N117" i="105"/>
  <c r="P117" i="105"/>
  <c r="E117" i="105" s="1"/>
  <c r="T117" i="105"/>
  <c r="U117" i="105"/>
  <c r="E118" i="105"/>
  <c r="H118" i="105"/>
  <c r="L118" i="105"/>
  <c r="J119" i="105"/>
  <c r="K119" i="105" s="1"/>
  <c r="L119" i="105"/>
  <c r="C120" i="105"/>
  <c r="I121" i="105"/>
  <c r="L121" i="105"/>
  <c r="N121" i="105"/>
  <c r="P121" i="105"/>
  <c r="E121" i="105" s="1"/>
  <c r="T121" i="105"/>
  <c r="U121" i="105"/>
  <c r="E122" i="105"/>
  <c r="H122" i="105"/>
  <c r="L122" i="105"/>
  <c r="J123" i="105"/>
  <c r="K123" i="105" s="1"/>
  <c r="E123" i="105" s="1"/>
  <c r="L123" i="105"/>
  <c r="E208" i="102" l="1"/>
  <c r="E60" i="102" s="1"/>
  <c r="D22" i="112"/>
  <c r="D34" i="112"/>
  <c r="D40" i="112"/>
  <c r="D39" i="112" s="1"/>
  <c r="D47" i="112"/>
  <c r="Q54" i="112"/>
  <c r="Q55" i="112"/>
  <c r="E63" i="102"/>
  <c r="D128" i="112"/>
  <c r="D102" i="112"/>
  <c r="D77" i="112"/>
  <c r="D98" i="112"/>
  <c r="D115" i="112"/>
  <c r="E120" i="105"/>
  <c r="D81" i="112"/>
  <c r="D60" i="112"/>
  <c r="E209" i="102"/>
  <c r="E61" i="102" s="1"/>
  <c r="Q25" i="112"/>
  <c r="D68" i="112"/>
  <c r="D67" i="112"/>
  <c r="F122" i="112"/>
  <c r="D88" i="112"/>
  <c r="E67" i="112"/>
  <c r="D89" i="112"/>
  <c r="F25" i="112"/>
  <c r="Q122" i="112"/>
  <c r="E68" i="112"/>
  <c r="E89" i="112"/>
  <c r="F55" i="112"/>
  <c r="F54" i="112"/>
  <c r="F89" i="112"/>
  <c r="D121" i="112"/>
  <c r="D120" i="112" s="1"/>
  <c r="F68" i="112"/>
  <c r="F67" i="112"/>
  <c r="D52" i="112"/>
  <c r="Q88" i="112"/>
  <c r="Q24" i="112"/>
  <c r="Q67" i="112"/>
  <c r="Q123" i="112"/>
  <c r="F210" i="102"/>
  <c r="D87" i="112"/>
  <c r="F88" i="112"/>
  <c r="F24" i="112"/>
  <c r="F123" i="112"/>
  <c r="D66" i="112"/>
  <c r="Q89" i="112"/>
  <c r="Q68" i="112"/>
  <c r="E88" i="112"/>
  <c r="L62" i="102"/>
  <c r="I61" i="102"/>
  <c r="F209" i="102"/>
  <c r="E210" i="102"/>
  <c r="E62" i="102" s="1"/>
  <c r="E109" i="105"/>
  <c r="E110" i="105"/>
  <c r="F114" i="105"/>
  <c r="E115" i="105"/>
  <c r="E112" i="105" s="1"/>
  <c r="P109" i="105"/>
  <c r="T109" i="105"/>
  <c r="T110" i="105"/>
  <c r="N110" i="105"/>
  <c r="N109" i="105"/>
  <c r="K111" i="105"/>
  <c r="T111" i="105"/>
  <c r="H110" i="105"/>
  <c r="J111" i="105"/>
  <c r="N111" i="105"/>
  <c r="F122" i="105"/>
  <c r="L111" i="105"/>
  <c r="L110" i="105"/>
  <c r="J109" i="105"/>
  <c r="U109" i="105"/>
  <c r="L109" i="105"/>
  <c r="F118" i="105"/>
  <c r="I109" i="105"/>
  <c r="M109" i="105"/>
  <c r="Q111" i="105"/>
  <c r="Q110" i="105"/>
  <c r="K110" i="105"/>
  <c r="Q109" i="105"/>
  <c r="K109" i="105"/>
  <c r="C108" i="105"/>
  <c r="E119" i="105"/>
  <c r="E116" i="105" s="1"/>
  <c r="U111" i="105"/>
  <c r="P111" i="105"/>
  <c r="U110" i="105"/>
  <c r="P110" i="105"/>
  <c r="J110" i="105"/>
  <c r="R111" i="105"/>
  <c r="M111" i="105"/>
  <c r="I111" i="105"/>
  <c r="R110" i="105"/>
  <c r="M110" i="105"/>
  <c r="I110" i="105"/>
  <c r="R109" i="105"/>
  <c r="Q209" i="102" l="1"/>
  <c r="Q210" i="102"/>
  <c r="D65" i="112"/>
  <c r="D86" i="112"/>
  <c r="E207" i="102"/>
  <c r="F62" i="102"/>
  <c r="E59" i="102"/>
  <c r="F61" i="102"/>
  <c r="S118" i="105"/>
  <c r="G118" i="105" s="1"/>
  <c r="F110" i="105"/>
  <c r="S114" i="105"/>
  <c r="S122" i="105"/>
  <c r="G122" i="105" s="1"/>
  <c r="E111" i="105"/>
  <c r="E108" i="105" s="1"/>
  <c r="J120" i="100"/>
  <c r="J116" i="100"/>
  <c r="H112" i="100"/>
  <c r="H116" i="100"/>
  <c r="H120" i="100"/>
  <c r="G209" i="102" l="1"/>
  <c r="G61" i="102" s="1"/>
  <c r="Q61" i="102"/>
  <c r="G210" i="102"/>
  <c r="G62" i="102" s="1"/>
  <c r="Q62" i="102"/>
  <c r="S110" i="105"/>
  <c r="G114" i="105"/>
  <c r="G110" i="105" s="1"/>
  <c r="B119" i="100"/>
  <c r="B115" i="100"/>
  <c r="F118" i="100"/>
  <c r="F117" i="100"/>
  <c r="I116" i="100"/>
  <c r="F116" i="100" s="1"/>
  <c r="F115" i="100" s="1"/>
  <c r="B111" i="100"/>
  <c r="F122" i="100"/>
  <c r="F121" i="100"/>
  <c r="F114" i="100"/>
  <c r="F113" i="100"/>
  <c r="J112" i="100"/>
  <c r="I112" i="100"/>
  <c r="G108" i="100" l="1"/>
  <c r="F110" i="100"/>
  <c r="F109" i="100"/>
  <c r="J108" i="100"/>
  <c r="F112" i="100"/>
  <c r="F111" i="100" s="1"/>
  <c r="I108" i="100"/>
  <c r="G109" i="100"/>
  <c r="J109" i="100"/>
  <c r="F120" i="100"/>
  <c r="F119" i="100" s="1"/>
  <c r="J110" i="100"/>
  <c r="I109" i="100"/>
  <c r="H108" i="100"/>
  <c r="I110" i="100"/>
  <c r="H109" i="100"/>
  <c r="G110" i="100"/>
  <c r="H110" i="100"/>
  <c r="B107" i="100"/>
  <c r="F108" i="100" l="1"/>
  <c r="F107" i="100" s="1"/>
  <c r="O200" i="106"/>
  <c r="L200" i="106"/>
  <c r="J200" i="106"/>
  <c r="O199" i="106"/>
  <c r="L199" i="106"/>
  <c r="H199" i="106"/>
  <c r="F199" i="106" s="1"/>
  <c r="T198" i="106"/>
  <c r="R198" i="106"/>
  <c r="P198" i="106"/>
  <c r="E198" i="106" s="1"/>
  <c r="L198" i="106"/>
  <c r="I198" i="106"/>
  <c r="C197" i="106"/>
  <c r="O196" i="106"/>
  <c r="L196" i="106"/>
  <c r="J196" i="106"/>
  <c r="O195" i="106"/>
  <c r="L195" i="106"/>
  <c r="H195" i="106"/>
  <c r="F195" i="106" s="1"/>
  <c r="U194" i="106"/>
  <c r="T194" i="106"/>
  <c r="R194" i="106"/>
  <c r="P194" i="106"/>
  <c r="E194" i="106" s="1"/>
  <c r="L194" i="106"/>
  <c r="I194" i="106"/>
  <c r="C193" i="106"/>
  <c r="U185" i="106"/>
  <c r="T185" i="106"/>
  <c r="C184" i="106"/>
  <c r="U180" i="106"/>
  <c r="T180" i="106"/>
  <c r="C179" i="106"/>
  <c r="L177" i="106"/>
  <c r="L176" i="106"/>
  <c r="H176" i="106"/>
  <c r="R175" i="106"/>
  <c r="P175" i="106"/>
  <c r="L175" i="106"/>
  <c r="I175" i="106"/>
  <c r="C174" i="106"/>
  <c r="L130" i="106"/>
  <c r="J130" i="106"/>
  <c r="L129" i="106"/>
  <c r="H129" i="106"/>
  <c r="T128" i="106"/>
  <c r="P128" i="106"/>
  <c r="L128" i="106"/>
  <c r="I128" i="106"/>
  <c r="C127" i="106"/>
  <c r="L126" i="106"/>
  <c r="J126" i="106"/>
  <c r="L125" i="106"/>
  <c r="H125" i="106"/>
  <c r="U124" i="106"/>
  <c r="T124" i="106"/>
  <c r="P124" i="106"/>
  <c r="L124" i="106"/>
  <c r="I124" i="106"/>
  <c r="C123" i="106"/>
  <c r="L117" i="106"/>
  <c r="J117" i="106"/>
  <c r="L116" i="106"/>
  <c r="H116" i="106"/>
  <c r="T115" i="106"/>
  <c r="P115" i="106"/>
  <c r="L115" i="106"/>
  <c r="I115" i="106"/>
  <c r="C114" i="106"/>
  <c r="L112" i="106"/>
  <c r="J112" i="106"/>
  <c r="L111" i="106"/>
  <c r="H111" i="106"/>
  <c r="U110" i="106"/>
  <c r="T110" i="106"/>
  <c r="P110" i="106"/>
  <c r="L110" i="106"/>
  <c r="I110" i="106"/>
  <c r="C109" i="106"/>
  <c r="L108" i="106"/>
  <c r="J108" i="106"/>
  <c r="L107" i="106"/>
  <c r="H107" i="106"/>
  <c r="F107" i="106" s="1"/>
  <c r="U106" i="106"/>
  <c r="T106" i="106"/>
  <c r="P106" i="106"/>
  <c r="L106" i="106"/>
  <c r="I106" i="106"/>
  <c r="C105" i="106"/>
  <c r="L99" i="106"/>
  <c r="J99" i="106"/>
  <c r="L98" i="106"/>
  <c r="H98" i="106"/>
  <c r="F98" i="106" s="1"/>
  <c r="T97" i="106"/>
  <c r="P97" i="106"/>
  <c r="L97" i="106"/>
  <c r="I97" i="106"/>
  <c r="C96" i="106"/>
  <c r="L95" i="106"/>
  <c r="J95" i="106"/>
  <c r="L94" i="106"/>
  <c r="H94" i="106"/>
  <c r="U93" i="106"/>
  <c r="T93" i="106"/>
  <c r="P93" i="106"/>
  <c r="L93" i="106"/>
  <c r="I93" i="106"/>
  <c r="C92" i="106"/>
  <c r="L172" i="106"/>
  <c r="K172" i="106"/>
  <c r="E172" i="106" s="1"/>
  <c r="L171" i="106"/>
  <c r="H171" i="106"/>
  <c r="U170" i="106"/>
  <c r="T170" i="106"/>
  <c r="P170" i="106"/>
  <c r="N170" i="106"/>
  <c r="L170" i="106"/>
  <c r="I170" i="106"/>
  <c r="C169" i="106"/>
  <c r="L168" i="106"/>
  <c r="J168" i="106"/>
  <c r="L167" i="106"/>
  <c r="H167" i="106"/>
  <c r="U166" i="106"/>
  <c r="T166" i="106"/>
  <c r="P166" i="106"/>
  <c r="N166" i="106"/>
  <c r="L166" i="106"/>
  <c r="I166" i="106"/>
  <c r="C165" i="106"/>
  <c r="L164" i="106"/>
  <c r="J164" i="106"/>
  <c r="L163" i="106"/>
  <c r="H163" i="106"/>
  <c r="U162" i="106"/>
  <c r="T162" i="106"/>
  <c r="P162" i="106"/>
  <c r="N162" i="106"/>
  <c r="L162" i="106"/>
  <c r="I162" i="106"/>
  <c r="C161" i="106"/>
  <c r="L160" i="106"/>
  <c r="J160" i="106"/>
  <c r="L159" i="106"/>
  <c r="H159" i="106"/>
  <c r="U158" i="106"/>
  <c r="T158" i="106"/>
  <c r="P158" i="106"/>
  <c r="L158" i="106"/>
  <c r="I158" i="106"/>
  <c r="C157" i="106"/>
  <c r="L151" i="106"/>
  <c r="J151" i="106"/>
  <c r="L150" i="106"/>
  <c r="H150" i="106"/>
  <c r="U149" i="106"/>
  <c r="T149" i="106"/>
  <c r="P149" i="106"/>
  <c r="N149" i="106"/>
  <c r="L149" i="106"/>
  <c r="I149" i="106"/>
  <c r="C148" i="106"/>
  <c r="J147" i="106"/>
  <c r="H146" i="106"/>
  <c r="U145" i="106"/>
  <c r="T145" i="106"/>
  <c r="I145" i="106"/>
  <c r="C144" i="106"/>
  <c r="L143" i="106"/>
  <c r="J143" i="106"/>
  <c r="L142" i="106"/>
  <c r="H142" i="106"/>
  <c r="U141" i="106"/>
  <c r="T141" i="106"/>
  <c r="P141" i="106"/>
  <c r="N141" i="106"/>
  <c r="L141" i="106"/>
  <c r="I141" i="106"/>
  <c r="C140" i="106"/>
  <c r="L139" i="106"/>
  <c r="J139" i="106"/>
  <c r="K139" i="106" s="1"/>
  <c r="L138" i="106"/>
  <c r="H138" i="106"/>
  <c r="E138" i="106"/>
  <c r="U137" i="106"/>
  <c r="T137" i="106"/>
  <c r="P137" i="106"/>
  <c r="L137" i="106"/>
  <c r="I137" i="106"/>
  <c r="C136" i="106"/>
  <c r="L86" i="106"/>
  <c r="J86" i="106"/>
  <c r="L85" i="106"/>
  <c r="H85" i="106"/>
  <c r="T84" i="106"/>
  <c r="P84" i="106"/>
  <c r="N84" i="106"/>
  <c r="L84" i="106"/>
  <c r="I84" i="106"/>
  <c r="C83" i="106"/>
  <c r="L82" i="106"/>
  <c r="J82" i="106"/>
  <c r="L81" i="106"/>
  <c r="H81" i="106"/>
  <c r="F81" i="106" s="1"/>
  <c r="U80" i="106"/>
  <c r="T80" i="106"/>
  <c r="P80" i="106"/>
  <c r="N80" i="106"/>
  <c r="L80" i="106"/>
  <c r="I80" i="106"/>
  <c r="C79" i="106"/>
  <c r="L78" i="106"/>
  <c r="J78" i="106"/>
  <c r="L77" i="106"/>
  <c r="H77" i="106"/>
  <c r="F77" i="106" s="1"/>
  <c r="U76" i="106"/>
  <c r="T76" i="106"/>
  <c r="P76" i="106"/>
  <c r="N76" i="106"/>
  <c r="L76" i="106"/>
  <c r="I76" i="106"/>
  <c r="C75" i="106"/>
  <c r="L74" i="106"/>
  <c r="J74" i="106"/>
  <c r="L73" i="106"/>
  <c r="H73" i="106"/>
  <c r="U72" i="106"/>
  <c r="T72" i="106"/>
  <c r="P72" i="106"/>
  <c r="N72" i="106"/>
  <c r="L72" i="106"/>
  <c r="I72" i="106"/>
  <c r="C71" i="106"/>
  <c r="L65" i="106"/>
  <c r="J65" i="106"/>
  <c r="L64" i="106"/>
  <c r="H64" i="106"/>
  <c r="F64" i="106" s="1"/>
  <c r="U63" i="106"/>
  <c r="T63" i="106"/>
  <c r="P63" i="106"/>
  <c r="N63" i="106"/>
  <c r="L63" i="106"/>
  <c r="I63" i="106"/>
  <c r="C62" i="106"/>
  <c r="L61" i="106"/>
  <c r="J61" i="106"/>
  <c r="L60" i="106"/>
  <c r="H60" i="106"/>
  <c r="F60" i="106" s="1"/>
  <c r="U59" i="106"/>
  <c r="T59" i="106"/>
  <c r="P59" i="106"/>
  <c r="N59" i="106"/>
  <c r="L59" i="106"/>
  <c r="I59" i="106"/>
  <c r="C58" i="106"/>
  <c r="L57" i="106"/>
  <c r="J57" i="106"/>
  <c r="L56" i="106"/>
  <c r="H56" i="106"/>
  <c r="F56" i="106" s="1"/>
  <c r="U55" i="106"/>
  <c r="T55" i="106"/>
  <c r="P55" i="106"/>
  <c r="N55" i="106"/>
  <c r="L55" i="106"/>
  <c r="I55" i="106"/>
  <c r="C54" i="106"/>
  <c r="J53" i="106"/>
  <c r="H52" i="106"/>
  <c r="U51" i="106"/>
  <c r="T51" i="106"/>
  <c r="I51" i="106"/>
  <c r="C50" i="106"/>
  <c r="L44" i="106"/>
  <c r="J44" i="106"/>
  <c r="L43" i="106"/>
  <c r="H43" i="106"/>
  <c r="F43" i="106" s="1"/>
  <c r="U42" i="106"/>
  <c r="T42" i="106"/>
  <c r="P42" i="106"/>
  <c r="N42" i="106"/>
  <c r="L42" i="106"/>
  <c r="I42" i="106"/>
  <c r="C41" i="106"/>
  <c r="L40" i="106"/>
  <c r="J40" i="106"/>
  <c r="L39" i="106"/>
  <c r="H39" i="106"/>
  <c r="F39" i="106" s="1"/>
  <c r="U38" i="106"/>
  <c r="T38" i="106"/>
  <c r="P38" i="106"/>
  <c r="N38" i="106"/>
  <c r="L38" i="106"/>
  <c r="I38" i="106"/>
  <c r="C37" i="106"/>
  <c r="L36" i="106"/>
  <c r="J36" i="106"/>
  <c r="L35" i="106"/>
  <c r="H35" i="106"/>
  <c r="U34" i="106"/>
  <c r="T34" i="106"/>
  <c r="P34" i="106"/>
  <c r="N34" i="106"/>
  <c r="L34" i="106"/>
  <c r="I34" i="106"/>
  <c r="C33" i="106"/>
  <c r="L32" i="106"/>
  <c r="J32" i="106"/>
  <c r="L31" i="106"/>
  <c r="H31" i="106"/>
  <c r="F31" i="106" s="1"/>
  <c r="U30" i="106"/>
  <c r="T30" i="106"/>
  <c r="P30" i="106"/>
  <c r="N30" i="106"/>
  <c r="L30" i="106"/>
  <c r="I30" i="106"/>
  <c r="C29" i="106"/>
  <c r="L23" i="106"/>
  <c r="J23" i="106"/>
  <c r="L22" i="106"/>
  <c r="H22" i="106"/>
  <c r="F22" i="106" s="1"/>
  <c r="T21" i="106"/>
  <c r="P21" i="106"/>
  <c r="N21" i="106"/>
  <c r="L21" i="106"/>
  <c r="I21" i="106"/>
  <c r="C20" i="106"/>
  <c r="L19" i="106"/>
  <c r="J19" i="106"/>
  <c r="L18" i="106"/>
  <c r="H18" i="106"/>
  <c r="U17" i="106"/>
  <c r="T17" i="106"/>
  <c r="P17" i="106"/>
  <c r="N17" i="106"/>
  <c r="L17" i="106"/>
  <c r="I17" i="106"/>
  <c r="C16" i="106"/>
  <c r="L15" i="106"/>
  <c r="J15" i="106"/>
  <c r="L14" i="106"/>
  <c r="H14" i="106"/>
  <c r="F14" i="106" s="1"/>
  <c r="U13" i="106"/>
  <c r="T13" i="106"/>
  <c r="P13" i="106"/>
  <c r="N13" i="106"/>
  <c r="F13" i="106" s="1"/>
  <c r="L13" i="106"/>
  <c r="I13" i="106"/>
  <c r="C12" i="106"/>
  <c r="L89" i="105"/>
  <c r="J89" i="105"/>
  <c r="K89" i="105" s="1"/>
  <c r="E89" i="105" s="1"/>
  <c r="L88" i="105"/>
  <c r="H88" i="105"/>
  <c r="E88" i="105"/>
  <c r="U87" i="105"/>
  <c r="T87" i="105"/>
  <c r="P87" i="105"/>
  <c r="N87" i="105"/>
  <c r="L87" i="105"/>
  <c r="I87" i="105"/>
  <c r="E87" i="105"/>
  <c r="C86" i="105"/>
  <c r="J85" i="105"/>
  <c r="K85" i="105" s="1"/>
  <c r="H84" i="105"/>
  <c r="E84" i="105"/>
  <c r="U83" i="105"/>
  <c r="T83" i="105"/>
  <c r="I83" i="105"/>
  <c r="E83" i="105"/>
  <c r="C82" i="105"/>
  <c r="L81" i="105"/>
  <c r="J81" i="105"/>
  <c r="L80" i="105"/>
  <c r="H80" i="105"/>
  <c r="E80" i="105"/>
  <c r="U79" i="105"/>
  <c r="T79" i="105"/>
  <c r="P79" i="105"/>
  <c r="N79" i="105"/>
  <c r="L79" i="105"/>
  <c r="I79" i="105"/>
  <c r="E79" i="105"/>
  <c r="C78" i="105"/>
  <c r="J77" i="105"/>
  <c r="K77" i="105" s="1"/>
  <c r="H76" i="105"/>
  <c r="F76" i="105" s="1"/>
  <c r="S76" i="105" s="1"/>
  <c r="G76" i="105" s="1"/>
  <c r="E76" i="105"/>
  <c r="U75" i="105"/>
  <c r="T75" i="105"/>
  <c r="N75" i="105"/>
  <c r="I75" i="105"/>
  <c r="E75" i="105"/>
  <c r="C74" i="105"/>
  <c r="J73" i="105"/>
  <c r="K73" i="105" s="1"/>
  <c r="H72" i="105"/>
  <c r="E72" i="105"/>
  <c r="U71" i="105"/>
  <c r="T71" i="105"/>
  <c r="I71" i="105"/>
  <c r="E71" i="105"/>
  <c r="C70" i="105"/>
  <c r="L225" i="105"/>
  <c r="J225" i="105"/>
  <c r="K225" i="105" s="1"/>
  <c r="E225" i="105" s="1"/>
  <c r="L224" i="105"/>
  <c r="H224" i="105"/>
  <c r="U223" i="105"/>
  <c r="T223" i="105"/>
  <c r="P223" i="105"/>
  <c r="N223" i="105"/>
  <c r="L223" i="105"/>
  <c r="I223" i="105"/>
  <c r="E223" i="105"/>
  <c r="C222" i="105"/>
  <c r="L221" i="105"/>
  <c r="J221" i="105"/>
  <c r="K221" i="105" s="1"/>
  <c r="L220" i="105"/>
  <c r="H220" i="105"/>
  <c r="E220" i="105"/>
  <c r="U219" i="105"/>
  <c r="T219" i="105"/>
  <c r="P219" i="105"/>
  <c r="N219" i="105"/>
  <c r="L219" i="105"/>
  <c r="I219" i="105"/>
  <c r="E219" i="105"/>
  <c r="C218" i="105"/>
  <c r="L217" i="105"/>
  <c r="J217" i="105"/>
  <c r="K217" i="105" s="1"/>
  <c r="E217" i="105" s="1"/>
  <c r="L216" i="105"/>
  <c r="H216" i="105"/>
  <c r="E216" i="105"/>
  <c r="U215" i="105"/>
  <c r="T215" i="105"/>
  <c r="P215" i="105"/>
  <c r="N215" i="105"/>
  <c r="L215" i="105"/>
  <c r="I215" i="105"/>
  <c r="E215" i="105"/>
  <c r="C214" i="105"/>
  <c r="L213" i="105"/>
  <c r="J213" i="105"/>
  <c r="L212" i="105"/>
  <c r="H212" i="105"/>
  <c r="E212" i="105"/>
  <c r="U211" i="105"/>
  <c r="T211" i="105"/>
  <c r="P211" i="105"/>
  <c r="N211" i="105"/>
  <c r="L211" i="105"/>
  <c r="I211" i="105"/>
  <c r="E211" i="105"/>
  <c r="C210" i="105"/>
  <c r="L204" i="105"/>
  <c r="J204" i="105"/>
  <c r="L203" i="105"/>
  <c r="H203" i="105"/>
  <c r="E203" i="105"/>
  <c r="U202" i="105"/>
  <c r="T202" i="105"/>
  <c r="P202" i="105"/>
  <c r="N202" i="105"/>
  <c r="L202" i="105"/>
  <c r="I202" i="105"/>
  <c r="E202" i="105"/>
  <c r="C201" i="105"/>
  <c r="L200" i="105"/>
  <c r="J200" i="105"/>
  <c r="K200" i="105" s="1"/>
  <c r="L199" i="105"/>
  <c r="H199" i="105"/>
  <c r="E199" i="105"/>
  <c r="U198" i="105"/>
  <c r="T198" i="105"/>
  <c r="P198" i="105"/>
  <c r="N198" i="105"/>
  <c r="L198" i="105"/>
  <c r="I198" i="105"/>
  <c r="E198" i="105"/>
  <c r="C197" i="105"/>
  <c r="L196" i="105"/>
  <c r="J196" i="105"/>
  <c r="K196" i="105" s="1"/>
  <c r="L195" i="105"/>
  <c r="H195" i="105"/>
  <c r="E195" i="105"/>
  <c r="U194" i="105"/>
  <c r="T194" i="105"/>
  <c r="P194" i="105"/>
  <c r="N194" i="105"/>
  <c r="L194" i="105"/>
  <c r="I194" i="105"/>
  <c r="E194" i="105"/>
  <c r="C193" i="105"/>
  <c r="L187" i="105"/>
  <c r="J187" i="105"/>
  <c r="K187" i="105" s="1"/>
  <c r="L186" i="105"/>
  <c r="H186" i="105"/>
  <c r="E186" i="105"/>
  <c r="U185" i="105"/>
  <c r="T185" i="105"/>
  <c r="P185" i="105"/>
  <c r="N185" i="105"/>
  <c r="L185" i="105"/>
  <c r="I185" i="105"/>
  <c r="E185" i="105"/>
  <c r="C184" i="105"/>
  <c r="L183" i="105"/>
  <c r="J183" i="105"/>
  <c r="K183" i="105" s="1"/>
  <c r="E183" i="105" s="1"/>
  <c r="L182" i="105"/>
  <c r="H182" i="105"/>
  <c r="E182" i="105"/>
  <c r="U181" i="105"/>
  <c r="T181" i="105"/>
  <c r="P181" i="105"/>
  <c r="N181" i="105"/>
  <c r="L181" i="105"/>
  <c r="I181" i="105"/>
  <c r="E181" i="105"/>
  <c r="C180" i="105"/>
  <c r="L179" i="105"/>
  <c r="J179" i="105"/>
  <c r="L178" i="105"/>
  <c r="H178" i="105"/>
  <c r="E178" i="105"/>
  <c r="U177" i="105"/>
  <c r="T177" i="105"/>
  <c r="P177" i="105"/>
  <c r="N177" i="105"/>
  <c r="L177" i="105"/>
  <c r="I177" i="105"/>
  <c r="E177" i="105"/>
  <c r="C176" i="105"/>
  <c r="L170" i="105"/>
  <c r="J170" i="105"/>
  <c r="K170" i="105" s="1"/>
  <c r="E170" i="105" s="1"/>
  <c r="L169" i="105"/>
  <c r="H169" i="105"/>
  <c r="E169" i="105"/>
  <c r="U168" i="105"/>
  <c r="T168" i="105"/>
  <c r="P168" i="105"/>
  <c r="N168" i="105"/>
  <c r="L168" i="105"/>
  <c r="I168" i="105"/>
  <c r="E168" i="105"/>
  <c r="C167" i="105"/>
  <c r="L166" i="105"/>
  <c r="J166" i="105"/>
  <c r="L165" i="105"/>
  <c r="H165" i="105"/>
  <c r="E165" i="105"/>
  <c r="U164" i="105"/>
  <c r="T164" i="105"/>
  <c r="P164" i="105"/>
  <c r="N164" i="105"/>
  <c r="L164" i="105"/>
  <c r="I164" i="105"/>
  <c r="E164" i="105"/>
  <c r="C163" i="105"/>
  <c r="L162" i="105"/>
  <c r="J162" i="105"/>
  <c r="L161" i="105"/>
  <c r="H161" i="105"/>
  <c r="E161" i="105"/>
  <c r="U160" i="105"/>
  <c r="T160" i="105"/>
  <c r="P160" i="105"/>
  <c r="N160" i="105"/>
  <c r="L160" i="105"/>
  <c r="I160" i="105"/>
  <c r="E160" i="105"/>
  <c r="C159" i="105"/>
  <c r="L153" i="105"/>
  <c r="J153" i="105"/>
  <c r="K153" i="105" s="1"/>
  <c r="L152" i="105"/>
  <c r="H152" i="105"/>
  <c r="E152" i="105"/>
  <c r="U151" i="105"/>
  <c r="T151" i="105"/>
  <c r="P151" i="105"/>
  <c r="N151" i="105"/>
  <c r="L151" i="105"/>
  <c r="I151" i="105"/>
  <c r="E151" i="105"/>
  <c r="C150" i="105"/>
  <c r="L149" i="105"/>
  <c r="J149" i="105"/>
  <c r="K149" i="105" s="1"/>
  <c r="E149" i="105" s="1"/>
  <c r="L148" i="105"/>
  <c r="H148" i="105"/>
  <c r="E148" i="105"/>
  <c r="U147" i="105"/>
  <c r="T147" i="105"/>
  <c r="P147" i="105"/>
  <c r="N147" i="105"/>
  <c r="L147" i="105"/>
  <c r="I147" i="105"/>
  <c r="E147" i="105"/>
  <c r="C146" i="105"/>
  <c r="L145" i="105"/>
  <c r="J145" i="105"/>
  <c r="L144" i="105"/>
  <c r="H144" i="105"/>
  <c r="E144" i="105"/>
  <c r="U143" i="105"/>
  <c r="T143" i="105"/>
  <c r="P143" i="105"/>
  <c r="N143" i="105"/>
  <c r="L143" i="105"/>
  <c r="I143" i="105"/>
  <c r="E143" i="105"/>
  <c r="C142" i="105"/>
  <c r="L136" i="105"/>
  <c r="J136" i="105"/>
  <c r="K136" i="105" s="1"/>
  <c r="E136" i="105" s="1"/>
  <c r="L135" i="105"/>
  <c r="H135" i="105"/>
  <c r="E135" i="105"/>
  <c r="U134" i="105"/>
  <c r="T134" i="105"/>
  <c r="P134" i="105"/>
  <c r="N134" i="105"/>
  <c r="L134" i="105"/>
  <c r="I134" i="105"/>
  <c r="E134" i="105"/>
  <c r="C133" i="105"/>
  <c r="L132" i="105"/>
  <c r="J132" i="105"/>
  <c r="L131" i="105"/>
  <c r="H131" i="105"/>
  <c r="E131" i="105"/>
  <c r="U130" i="105"/>
  <c r="T130" i="105"/>
  <c r="P130" i="105"/>
  <c r="N130" i="105"/>
  <c r="L130" i="105"/>
  <c r="I130" i="105"/>
  <c r="E130" i="105"/>
  <c r="C129" i="105"/>
  <c r="L247" i="105"/>
  <c r="J247" i="105"/>
  <c r="L246" i="105"/>
  <c r="H246" i="105"/>
  <c r="T245" i="105"/>
  <c r="P245" i="105"/>
  <c r="E245" i="105" s="1"/>
  <c r="N245" i="105"/>
  <c r="L245" i="105"/>
  <c r="I245" i="105"/>
  <c r="C244" i="105"/>
  <c r="L243" i="105"/>
  <c r="J243" i="105"/>
  <c r="L242" i="105"/>
  <c r="H242" i="105"/>
  <c r="U241" i="105"/>
  <c r="T241" i="105"/>
  <c r="P241" i="105"/>
  <c r="E241" i="105" s="1"/>
  <c r="N241" i="105"/>
  <c r="L241" i="105"/>
  <c r="I241" i="105"/>
  <c r="C240" i="105"/>
  <c r="L239" i="105"/>
  <c r="J239" i="105"/>
  <c r="L238" i="105"/>
  <c r="H238" i="105"/>
  <c r="U237" i="105"/>
  <c r="T237" i="105"/>
  <c r="P237" i="105"/>
  <c r="E237" i="105" s="1"/>
  <c r="N237" i="105"/>
  <c r="L237" i="105"/>
  <c r="I237" i="105"/>
  <c r="C236" i="105"/>
  <c r="L230" i="105"/>
  <c r="J230" i="105"/>
  <c r="L229" i="105"/>
  <c r="F229" i="105" s="1"/>
  <c r="U228" i="105"/>
  <c r="T228" i="105"/>
  <c r="P228" i="105"/>
  <c r="E228" i="105" s="1"/>
  <c r="N228" i="105"/>
  <c r="L228" i="105"/>
  <c r="I228" i="105"/>
  <c r="C227" i="105"/>
  <c r="L106" i="105"/>
  <c r="J106" i="105"/>
  <c r="K106" i="105" s="1"/>
  <c r="L105" i="105"/>
  <c r="H105" i="105"/>
  <c r="E105" i="105"/>
  <c r="U104" i="105"/>
  <c r="T104" i="105"/>
  <c r="P104" i="105"/>
  <c r="N104" i="105"/>
  <c r="L104" i="105"/>
  <c r="I104" i="105"/>
  <c r="E104" i="105"/>
  <c r="C103" i="105"/>
  <c r="L102" i="105"/>
  <c r="J102" i="105"/>
  <c r="L101" i="105"/>
  <c r="H101" i="105"/>
  <c r="E101" i="105"/>
  <c r="U100" i="105"/>
  <c r="T100" i="105"/>
  <c r="P100" i="105"/>
  <c r="N100" i="105"/>
  <c r="L100" i="105"/>
  <c r="I100" i="105"/>
  <c r="E100" i="105"/>
  <c r="C99" i="105"/>
  <c r="L98" i="105"/>
  <c r="J98" i="105"/>
  <c r="K98" i="105" s="1"/>
  <c r="L97" i="105"/>
  <c r="H97" i="105"/>
  <c r="E97" i="105"/>
  <c r="U96" i="105"/>
  <c r="T96" i="105"/>
  <c r="P96" i="105"/>
  <c r="N96" i="105"/>
  <c r="L96" i="105"/>
  <c r="I96" i="105"/>
  <c r="E96" i="105"/>
  <c r="C95" i="105"/>
  <c r="J64" i="105"/>
  <c r="E64" i="105" s="1"/>
  <c r="H63" i="105"/>
  <c r="E63" i="105"/>
  <c r="U62" i="105"/>
  <c r="T62" i="105"/>
  <c r="P62" i="105"/>
  <c r="E62" i="105" s="1"/>
  <c r="I62" i="105"/>
  <c r="C61" i="105"/>
  <c r="L60" i="105"/>
  <c r="J60" i="105"/>
  <c r="K60" i="105" s="1"/>
  <c r="E60" i="105" s="1"/>
  <c r="L59" i="105"/>
  <c r="H59" i="105"/>
  <c r="E59" i="105"/>
  <c r="T58" i="105"/>
  <c r="N58" i="105"/>
  <c r="I58" i="105"/>
  <c r="E58" i="105"/>
  <c r="C57" i="105"/>
  <c r="J56" i="105"/>
  <c r="K56" i="105" s="1"/>
  <c r="E56" i="105" s="1"/>
  <c r="H55" i="105"/>
  <c r="F55" i="105" s="1"/>
  <c r="S55" i="105" s="1"/>
  <c r="G55" i="105" s="1"/>
  <c r="E55" i="105"/>
  <c r="U54" i="105"/>
  <c r="T54" i="105"/>
  <c r="E54" i="105"/>
  <c r="N54" i="105"/>
  <c r="N62" i="105" s="1"/>
  <c r="I54" i="105"/>
  <c r="C53" i="105"/>
  <c r="J52" i="105"/>
  <c r="K52" i="105" s="1"/>
  <c r="E52" i="105" s="1"/>
  <c r="H51" i="105"/>
  <c r="E51" i="105"/>
  <c r="U50" i="105"/>
  <c r="T50" i="105"/>
  <c r="I50" i="105"/>
  <c r="E50" i="105"/>
  <c r="C49" i="105"/>
  <c r="L48" i="105"/>
  <c r="J48" i="105"/>
  <c r="K48" i="105" s="1"/>
  <c r="E48" i="105" s="1"/>
  <c r="L47" i="105"/>
  <c r="H47" i="105"/>
  <c r="E47" i="105"/>
  <c r="U46" i="105"/>
  <c r="T46" i="105"/>
  <c r="N46" i="105"/>
  <c r="L46" i="105"/>
  <c r="I46" i="105"/>
  <c r="E46" i="105"/>
  <c r="C45" i="105"/>
  <c r="J44" i="105"/>
  <c r="H43" i="105"/>
  <c r="E43" i="105"/>
  <c r="U42" i="105"/>
  <c r="T42" i="105"/>
  <c r="I42" i="105"/>
  <c r="E42" i="105"/>
  <c r="C41" i="105"/>
  <c r="L35" i="105"/>
  <c r="J35" i="105"/>
  <c r="K35" i="105" s="1"/>
  <c r="L34" i="105"/>
  <c r="H34" i="105"/>
  <c r="E34" i="105"/>
  <c r="U33" i="105"/>
  <c r="T33" i="105"/>
  <c r="N33" i="105"/>
  <c r="L33" i="105"/>
  <c r="I33" i="105"/>
  <c r="E33" i="105"/>
  <c r="C32" i="105"/>
  <c r="J31" i="105"/>
  <c r="K31" i="105" s="1"/>
  <c r="E31" i="105" s="1"/>
  <c r="H30" i="105"/>
  <c r="E30" i="105"/>
  <c r="U29" i="105"/>
  <c r="T29" i="105"/>
  <c r="I29" i="105"/>
  <c r="E29" i="105"/>
  <c r="C28" i="105"/>
  <c r="L27" i="105"/>
  <c r="J27" i="105"/>
  <c r="K27" i="105" s="1"/>
  <c r="E27" i="105" s="1"/>
  <c r="L26" i="105"/>
  <c r="H26" i="105"/>
  <c r="E26" i="105"/>
  <c r="U25" i="105"/>
  <c r="T25" i="105"/>
  <c r="P25" i="105"/>
  <c r="N25" i="105"/>
  <c r="L25" i="105"/>
  <c r="I25" i="105"/>
  <c r="E25" i="105"/>
  <c r="C24" i="105"/>
  <c r="J23" i="105"/>
  <c r="K23" i="105" s="1"/>
  <c r="H22" i="105"/>
  <c r="F22" i="105" s="1"/>
  <c r="S22" i="105" s="1"/>
  <c r="G22" i="105" s="1"/>
  <c r="E22" i="105"/>
  <c r="U21" i="105"/>
  <c r="T21" i="105"/>
  <c r="N21" i="105"/>
  <c r="I21" i="105"/>
  <c r="E21" i="105"/>
  <c r="C20" i="105"/>
  <c r="J19" i="105"/>
  <c r="K19" i="105" s="1"/>
  <c r="E19" i="105" s="1"/>
  <c r="H18" i="105"/>
  <c r="E18" i="105"/>
  <c r="U17" i="105"/>
  <c r="T17" i="105"/>
  <c r="I17" i="105"/>
  <c r="E17" i="105"/>
  <c r="C16" i="105"/>
  <c r="J15" i="105"/>
  <c r="K15" i="105" s="1"/>
  <c r="E15" i="105" s="1"/>
  <c r="H14" i="105"/>
  <c r="E14" i="105"/>
  <c r="U13" i="105"/>
  <c r="T13" i="105"/>
  <c r="I13" i="105"/>
  <c r="C12" i="105"/>
  <c r="P68" i="106" l="1"/>
  <c r="E69" i="106"/>
  <c r="E68" i="106"/>
  <c r="K78" i="106"/>
  <c r="E78" i="106"/>
  <c r="E75" i="106" s="1"/>
  <c r="K151" i="106"/>
  <c r="E151" i="106"/>
  <c r="E148" i="106" s="1"/>
  <c r="U104" i="106"/>
  <c r="U103" i="106"/>
  <c r="E103" i="106"/>
  <c r="U102" i="106"/>
  <c r="E102" i="106"/>
  <c r="E196" i="106"/>
  <c r="E95" i="106"/>
  <c r="E121" i="106"/>
  <c r="E120" i="106"/>
  <c r="E190" i="106"/>
  <c r="F191" i="106"/>
  <c r="K53" i="106"/>
  <c r="E53" i="106"/>
  <c r="K65" i="106"/>
  <c r="E65" i="106"/>
  <c r="E62" i="106" s="1"/>
  <c r="K147" i="106"/>
  <c r="E147" i="106" s="1"/>
  <c r="E144" i="106" s="1"/>
  <c r="E155" i="106"/>
  <c r="E154" i="106"/>
  <c r="K160" i="106"/>
  <c r="E160" i="106"/>
  <c r="E157" i="106" s="1"/>
  <c r="K99" i="106"/>
  <c r="E99" i="106" s="1"/>
  <c r="E96" i="106" s="1"/>
  <c r="K130" i="106"/>
  <c r="E130" i="106" s="1"/>
  <c r="U190" i="106"/>
  <c r="E191" i="106"/>
  <c r="K57" i="106"/>
  <c r="E57" i="106"/>
  <c r="E54" i="106" s="1"/>
  <c r="K108" i="106"/>
  <c r="E108" i="106"/>
  <c r="U9" i="106"/>
  <c r="E10" i="106"/>
  <c r="E9" i="106"/>
  <c r="E19" i="106"/>
  <c r="E16" i="106" s="1"/>
  <c r="E27" i="106"/>
  <c r="E26" i="106"/>
  <c r="E47" i="106"/>
  <c r="E48" i="106"/>
  <c r="K74" i="106"/>
  <c r="E74" i="106"/>
  <c r="K164" i="106"/>
  <c r="E164" i="106"/>
  <c r="E161" i="106" s="1"/>
  <c r="E90" i="106"/>
  <c r="E89" i="106"/>
  <c r="F18" i="106"/>
  <c r="F10" i="106" s="1"/>
  <c r="K23" i="106"/>
  <c r="E23" i="106"/>
  <c r="E20" i="106" s="1"/>
  <c r="F35" i="106"/>
  <c r="F27" i="106" s="1"/>
  <c r="K61" i="106"/>
  <c r="E61" i="106"/>
  <c r="E58" i="106" s="1"/>
  <c r="F73" i="106"/>
  <c r="K82" i="106"/>
  <c r="E82" i="106"/>
  <c r="E79" i="106" s="1"/>
  <c r="F85" i="106"/>
  <c r="S85" i="106" s="1"/>
  <c r="G85" i="106" s="1"/>
  <c r="E134" i="106"/>
  <c r="E133" i="106"/>
  <c r="F163" i="106"/>
  <c r="F94" i="106"/>
  <c r="F90" i="106" s="1"/>
  <c r="K117" i="106"/>
  <c r="E117" i="106"/>
  <c r="E114" i="106" s="1"/>
  <c r="S13" i="106"/>
  <c r="G13" i="106" s="1"/>
  <c r="E169" i="106"/>
  <c r="F228" i="105"/>
  <c r="F246" i="105"/>
  <c r="F242" i="105"/>
  <c r="F238" i="105"/>
  <c r="E57" i="105"/>
  <c r="E12" i="105"/>
  <c r="E16" i="105"/>
  <c r="E61" i="105"/>
  <c r="E214" i="105"/>
  <c r="E28" i="105"/>
  <c r="E86" i="105"/>
  <c r="E24" i="105"/>
  <c r="E146" i="105"/>
  <c r="E167" i="105"/>
  <c r="E45" i="105"/>
  <c r="E49" i="105"/>
  <c r="E53" i="105"/>
  <c r="E133" i="105"/>
  <c r="E180" i="105"/>
  <c r="E222" i="105"/>
  <c r="K243" i="105"/>
  <c r="E177" i="106"/>
  <c r="K200" i="106"/>
  <c r="E200" i="106" s="1"/>
  <c r="E197" i="106" s="1"/>
  <c r="K247" i="105"/>
  <c r="E247" i="105" s="1"/>
  <c r="K196" i="106"/>
  <c r="Q93" i="105"/>
  <c r="E93" i="105"/>
  <c r="E92" i="105"/>
  <c r="E38" i="105"/>
  <c r="K230" i="105"/>
  <c r="F230" i="105" s="1"/>
  <c r="E157" i="105"/>
  <c r="E156" i="105"/>
  <c r="E191" i="105"/>
  <c r="E190" i="105"/>
  <c r="E10" i="105"/>
  <c r="E9" i="105"/>
  <c r="U141" i="105"/>
  <c r="E140" i="105"/>
  <c r="E139" i="105"/>
  <c r="E208" i="105"/>
  <c r="E207" i="105"/>
  <c r="E67" i="105"/>
  <c r="O122" i="106"/>
  <c r="E127" i="105"/>
  <c r="E126" i="105"/>
  <c r="E173" i="105"/>
  <c r="E174" i="105"/>
  <c r="F116" i="106"/>
  <c r="S116" i="106" s="1"/>
  <c r="G116" i="106" s="1"/>
  <c r="P69" i="106"/>
  <c r="Q103" i="106"/>
  <c r="T28" i="106"/>
  <c r="U10" i="106"/>
  <c r="T209" i="105"/>
  <c r="O191" i="105"/>
  <c r="U91" i="106"/>
  <c r="F111" i="106"/>
  <c r="F103" i="106" s="1"/>
  <c r="O89" i="106"/>
  <c r="O91" i="106"/>
  <c r="J90" i="106"/>
  <c r="T90" i="106"/>
  <c r="F167" i="106"/>
  <c r="O192" i="106"/>
  <c r="J89" i="106"/>
  <c r="Q89" i="106"/>
  <c r="N90" i="106"/>
  <c r="U90" i="106"/>
  <c r="P91" i="106"/>
  <c r="L89" i="106"/>
  <c r="L90" i="106"/>
  <c r="M121" i="106"/>
  <c r="L120" i="106"/>
  <c r="K89" i="106"/>
  <c r="R89" i="106"/>
  <c r="P90" i="106"/>
  <c r="I91" i="106"/>
  <c r="T91" i="106"/>
  <c r="U121" i="106"/>
  <c r="N120" i="106"/>
  <c r="L190" i="106"/>
  <c r="F142" i="106"/>
  <c r="F171" i="106"/>
  <c r="M89" i="106"/>
  <c r="I90" i="106"/>
  <c r="Q90" i="106"/>
  <c r="M91" i="106"/>
  <c r="J103" i="106"/>
  <c r="F129" i="106"/>
  <c r="S129" i="106" s="1"/>
  <c r="G129" i="106" s="1"/>
  <c r="T190" i="106"/>
  <c r="L191" i="106"/>
  <c r="K102" i="106"/>
  <c r="Q49" i="106"/>
  <c r="F138" i="106"/>
  <c r="R102" i="106"/>
  <c r="P104" i="106"/>
  <c r="I9" i="106"/>
  <c r="K134" i="106"/>
  <c r="T26" i="106"/>
  <c r="L91" i="106"/>
  <c r="L121" i="106"/>
  <c r="N122" i="106"/>
  <c r="T120" i="106"/>
  <c r="P192" i="106"/>
  <c r="T156" i="106"/>
  <c r="U155" i="106"/>
  <c r="P156" i="106"/>
  <c r="P155" i="106"/>
  <c r="R154" i="106"/>
  <c r="Q156" i="106"/>
  <c r="R155" i="106"/>
  <c r="K154" i="106"/>
  <c r="I154" i="106"/>
  <c r="L155" i="106"/>
  <c r="Q154" i="106"/>
  <c r="K95" i="106"/>
  <c r="J47" i="106"/>
  <c r="Q135" i="106"/>
  <c r="M155" i="106"/>
  <c r="N154" i="106"/>
  <c r="K19" i="106"/>
  <c r="T154" i="106"/>
  <c r="K69" i="106"/>
  <c r="M68" i="106"/>
  <c r="M70" i="106"/>
  <c r="K44" i="106"/>
  <c r="E44" i="106" s="1"/>
  <c r="E41" i="106" s="1"/>
  <c r="K86" i="106"/>
  <c r="E86" i="106" s="1"/>
  <c r="E83" i="106" s="1"/>
  <c r="I156" i="106"/>
  <c r="I89" i="106"/>
  <c r="T89" i="106"/>
  <c r="O104" i="106"/>
  <c r="P103" i="106"/>
  <c r="I103" i="106"/>
  <c r="Q102" i="106"/>
  <c r="J102" i="106"/>
  <c r="T104" i="106"/>
  <c r="M104" i="106"/>
  <c r="T103" i="106"/>
  <c r="N103" i="106"/>
  <c r="H103" i="106"/>
  <c r="O102" i="106"/>
  <c r="Q104" i="106"/>
  <c r="I104" i="106"/>
  <c r="R103" i="106"/>
  <c r="M103" i="106"/>
  <c r="M102" i="106"/>
  <c r="L103" i="106"/>
  <c r="U154" i="106"/>
  <c r="H121" i="106"/>
  <c r="O121" i="106"/>
  <c r="F150" i="106"/>
  <c r="N102" i="106"/>
  <c r="J120" i="106"/>
  <c r="Q120" i="106"/>
  <c r="I121" i="106"/>
  <c r="P121" i="106"/>
  <c r="J122" i="106"/>
  <c r="T122" i="106"/>
  <c r="F125" i="106"/>
  <c r="F121" i="106" s="1"/>
  <c r="L104" i="106"/>
  <c r="P120" i="106"/>
  <c r="R122" i="106"/>
  <c r="P89" i="106"/>
  <c r="S98" i="106"/>
  <c r="G98" i="106" s="1"/>
  <c r="C119" i="106"/>
  <c r="K121" i="106"/>
  <c r="T121" i="106"/>
  <c r="R190" i="106"/>
  <c r="F186" i="105"/>
  <c r="F47" i="105"/>
  <c r="S47" i="105" s="1"/>
  <c r="G47" i="105" s="1"/>
  <c r="F199" i="105"/>
  <c r="U192" i="105"/>
  <c r="C189" i="105"/>
  <c r="F34" i="105"/>
  <c r="S34" i="105" s="1"/>
  <c r="G34" i="105" s="1"/>
  <c r="N173" i="105"/>
  <c r="T174" i="105"/>
  <c r="N192" i="105"/>
  <c r="F165" i="105"/>
  <c r="K157" i="105"/>
  <c r="O39" i="105"/>
  <c r="N191" i="105"/>
  <c r="F88" i="105"/>
  <c r="S88" i="105" s="1"/>
  <c r="G88" i="105" s="1"/>
  <c r="M192" i="105"/>
  <c r="F26" i="105"/>
  <c r="S26" i="105" s="1"/>
  <c r="G26" i="105" s="1"/>
  <c r="R158" i="105"/>
  <c r="T175" i="105"/>
  <c r="J191" i="105"/>
  <c r="F105" i="105"/>
  <c r="I140" i="105"/>
  <c r="J10" i="105"/>
  <c r="N235" i="105"/>
  <c r="P233" i="105"/>
  <c r="Q140" i="105"/>
  <c r="Q173" i="105"/>
  <c r="H140" i="105"/>
  <c r="F148" i="105"/>
  <c r="H174" i="105"/>
  <c r="F212" i="105"/>
  <c r="F220" i="105"/>
  <c r="I11" i="105"/>
  <c r="J9" i="105"/>
  <c r="T11" i="105"/>
  <c r="I10" i="105"/>
  <c r="U10" i="105"/>
  <c r="E77" i="105"/>
  <c r="E74" i="105" s="1"/>
  <c r="O40" i="105"/>
  <c r="Q38" i="105"/>
  <c r="T39" i="105"/>
  <c r="R40" i="105"/>
  <c r="L39" i="105"/>
  <c r="P38" i="105"/>
  <c r="T38" i="105"/>
  <c r="F131" i="105"/>
  <c r="U174" i="105"/>
  <c r="F59" i="105"/>
  <c r="S59" i="105" s="1"/>
  <c r="G59" i="105" s="1"/>
  <c r="U38" i="105"/>
  <c r="L92" i="105"/>
  <c r="E98" i="105"/>
  <c r="E95" i="105" s="1"/>
  <c r="O234" i="105"/>
  <c r="I173" i="105"/>
  <c r="M174" i="105"/>
  <c r="P175" i="105"/>
  <c r="U173" i="105"/>
  <c r="L174" i="105"/>
  <c r="L175" i="105"/>
  <c r="P173" i="105"/>
  <c r="F182" i="105"/>
  <c r="U190" i="105"/>
  <c r="I192" i="105"/>
  <c r="F80" i="105"/>
  <c r="S80" i="105" s="1"/>
  <c r="G80" i="105" s="1"/>
  <c r="M126" i="105"/>
  <c r="T156" i="105"/>
  <c r="E73" i="105"/>
  <c r="E70" i="105" s="1"/>
  <c r="N9" i="105"/>
  <c r="K39" i="105"/>
  <c r="F152" i="105"/>
  <c r="C155" i="105"/>
  <c r="E187" i="105"/>
  <c r="E184" i="105" s="1"/>
  <c r="F203" i="105"/>
  <c r="O69" i="105"/>
  <c r="E35" i="105"/>
  <c r="E32" i="105" s="1"/>
  <c r="K44" i="105"/>
  <c r="K40" i="105" s="1"/>
  <c r="N94" i="105"/>
  <c r="I93" i="105"/>
  <c r="Q208" i="105"/>
  <c r="U11" i="105"/>
  <c r="L11" i="105"/>
  <c r="Q10" i="105"/>
  <c r="K9" i="105"/>
  <c r="H39" i="105"/>
  <c r="Q127" i="105"/>
  <c r="P141" i="105"/>
  <c r="M139" i="105"/>
  <c r="L140" i="105"/>
  <c r="O157" i="105"/>
  <c r="K166" i="105"/>
  <c r="E166" i="105" s="1"/>
  <c r="E163" i="105" s="1"/>
  <c r="J207" i="105"/>
  <c r="U208" i="105"/>
  <c r="I207" i="105"/>
  <c r="I67" i="105"/>
  <c r="O9" i="105"/>
  <c r="N10" i="105"/>
  <c r="P11" i="105"/>
  <c r="J92" i="105"/>
  <c r="P94" i="105"/>
  <c r="P92" i="105"/>
  <c r="T235" i="105"/>
  <c r="C232" i="105"/>
  <c r="U128" i="105"/>
  <c r="O139" i="105"/>
  <c r="T140" i="105"/>
  <c r="U139" i="105"/>
  <c r="L156" i="105"/>
  <c r="N158" i="105"/>
  <c r="N156" i="105"/>
  <c r="J158" i="105"/>
  <c r="Q174" i="105"/>
  <c r="I174" i="105"/>
  <c r="R173" i="105"/>
  <c r="J173" i="105"/>
  <c r="P190" i="105"/>
  <c r="K204" i="105"/>
  <c r="E204" i="105" s="1"/>
  <c r="E201" i="105" s="1"/>
  <c r="R207" i="105"/>
  <c r="R9" i="105"/>
  <c r="R10" i="105"/>
  <c r="Q11" i="105"/>
  <c r="I38" i="105"/>
  <c r="J40" i="105"/>
  <c r="T40" i="105"/>
  <c r="N40" i="105"/>
  <c r="P39" i="105"/>
  <c r="L38" i="105"/>
  <c r="C37" i="105"/>
  <c r="C91" i="105"/>
  <c r="R92" i="105"/>
  <c r="R139" i="105"/>
  <c r="M141" i="105"/>
  <c r="P156" i="105"/>
  <c r="K162" i="105"/>
  <c r="M173" i="105"/>
  <c r="P174" i="105"/>
  <c r="O175" i="105"/>
  <c r="F178" i="105"/>
  <c r="K190" i="105"/>
  <c r="Q192" i="105"/>
  <c r="R191" i="105"/>
  <c r="O190" i="105"/>
  <c r="I208" i="105"/>
  <c r="Q67" i="105"/>
  <c r="P209" i="105"/>
  <c r="M208" i="105"/>
  <c r="N207" i="105"/>
  <c r="R11" i="105"/>
  <c r="T94" i="105"/>
  <c r="L94" i="105"/>
  <c r="L233" i="105"/>
  <c r="F135" i="105"/>
  <c r="N139" i="105"/>
  <c r="L208" i="105"/>
  <c r="F224" i="105"/>
  <c r="N9" i="106"/>
  <c r="O11" i="106"/>
  <c r="R11" i="106"/>
  <c r="L10" i="106"/>
  <c r="P11" i="106"/>
  <c r="Q10" i="106"/>
  <c r="K10" i="106"/>
  <c r="M9" i="106"/>
  <c r="L11" i="106"/>
  <c r="P10" i="106"/>
  <c r="R9" i="106"/>
  <c r="M10" i="106"/>
  <c r="Q9" i="106"/>
  <c r="M28" i="106"/>
  <c r="U27" i="106"/>
  <c r="J27" i="106"/>
  <c r="J26" i="106"/>
  <c r="N28" i="106"/>
  <c r="N27" i="106"/>
  <c r="K26" i="106"/>
  <c r="L9" i="106"/>
  <c r="O27" i="106"/>
  <c r="U133" i="106"/>
  <c r="T11" i="106"/>
  <c r="K15" i="106"/>
  <c r="E15" i="106" s="1"/>
  <c r="J11" i="106"/>
  <c r="K32" i="106"/>
  <c r="E32" i="106" s="1"/>
  <c r="J28" i="106"/>
  <c r="I48" i="106"/>
  <c r="O47" i="106"/>
  <c r="R48" i="106"/>
  <c r="N47" i="106"/>
  <c r="N48" i="106"/>
  <c r="T47" i="106"/>
  <c r="H10" i="106"/>
  <c r="T9" i="106"/>
  <c r="N26" i="106"/>
  <c r="R28" i="106"/>
  <c r="H27" i="106"/>
  <c r="R49" i="106"/>
  <c r="L27" i="106"/>
  <c r="L154" i="106"/>
  <c r="H69" i="106"/>
  <c r="I120" i="106"/>
  <c r="P26" i="106"/>
  <c r="I27" i="106"/>
  <c r="R27" i="106"/>
  <c r="L28" i="106"/>
  <c r="K36" i="106"/>
  <c r="E36" i="106" s="1"/>
  <c r="E33" i="106" s="1"/>
  <c r="T70" i="106"/>
  <c r="P70" i="106"/>
  <c r="U69" i="106"/>
  <c r="Q69" i="106"/>
  <c r="M69" i="106"/>
  <c r="I69" i="106"/>
  <c r="R68" i="106"/>
  <c r="J68" i="106"/>
  <c r="N70" i="106"/>
  <c r="I70" i="106"/>
  <c r="T69" i="106"/>
  <c r="O69" i="106"/>
  <c r="J69" i="106"/>
  <c r="K68" i="106"/>
  <c r="C67" i="106"/>
  <c r="R70" i="106"/>
  <c r="N69" i="106"/>
  <c r="Q68" i="106"/>
  <c r="I68" i="106"/>
  <c r="J70" i="106"/>
  <c r="O68" i="106"/>
  <c r="Q70" i="106"/>
  <c r="U70" i="106"/>
  <c r="L68" i="106"/>
  <c r="O70" i="106"/>
  <c r="R69" i="106"/>
  <c r="T68" i="106"/>
  <c r="L69" i="106"/>
  <c r="N133" i="106"/>
  <c r="L156" i="106"/>
  <c r="O28" i="106"/>
  <c r="T27" i="106"/>
  <c r="P27" i="106"/>
  <c r="Q26" i="106"/>
  <c r="M26" i="106"/>
  <c r="I26" i="106"/>
  <c r="U28" i="106"/>
  <c r="P28" i="106"/>
  <c r="Q27" i="106"/>
  <c r="K27" i="106"/>
  <c r="R26" i="106"/>
  <c r="Q28" i="106"/>
  <c r="I28" i="106"/>
  <c r="M27" i="106"/>
  <c r="O26" i="106"/>
  <c r="C25" i="106"/>
  <c r="T135" i="106"/>
  <c r="P135" i="106"/>
  <c r="U134" i="106"/>
  <c r="Q134" i="106"/>
  <c r="I134" i="106"/>
  <c r="R133" i="106"/>
  <c r="J133" i="106"/>
  <c r="N135" i="106"/>
  <c r="I135" i="106"/>
  <c r="T134" i="106"/>
  <c r="O134" i="106"/>
  <c r="J134" i="106"/>
  <c r="P133" i="106"/>
  <c r="K133" i="106"/>
  <c r="C132" i="106"/>
  <c r="U135" i="106"/>
  <c r="P134" i="106"/>
  <c r="H134" i="106"/>
  <c r="L133" i="106"/>
  <c r="R135" i="106"/>
  <c r="N134" i="106"/>
  <c r="Q133" i="106"/>
  <c r="I133" i="106"/>
  <c r="O135" i="106"/>
  <c r="R134" i="106"/>
  <c r="T133" i="106"/>
  <c r="J135" i="106"/>
  <c r="O133" i="106"/>
  <c r="U11" i="106"/>
  <c r="Q11" i="106"/>
  <c r="M11" i="106"/>
  <c r="I11" i="106"/>
  <c r="R10" i="106"/>
  <c r="N10" i="106"/>
  <c r="J10" i="106"/>
  <c r="O9" i="106"/>
  <c r="K9" i="106"/>
  <c r="N11" i="106"/>
  <c r="T10" i="106"/>
  <c r="O10" i="106"/>
  <c r="I10" i="106"/>
  <c r="P9" i="106"/>
  <c r="J9" i="106"/>
  <c r="C8" i="106"/>
  <c r="L26" i="106"/>
  <c r="U26" i="106"/>
  <c r="K40" i="106"/>
  <c r="E40" i="106" s="1"/>
  <c r="E37" i="106" s="1"/>
  <c r="L49" i="106"/>
  <c r="O49" i="106"/>
  <c r="T48" i="106"/>
  <c r="P48" i="106"/>
  <c r="L48" i="106"/>
  <c r="H48" i="106"/>
  <c r="U47" i="106"/>
  <c r="Q47" i="106"/>
  <c r="I47" i="106"/>
  <c r="U49" i="106"/>
  <c r="P49" i="106"/>
  <c r="Q48" i="106"/>
  <c r="K48" i="106"/>
  <c r="R47" i="106"/>
  <c r="L47" i="106"/>
  <c r="T49" i="106"/>
  <c r="N49" i="106"/>
  <c r="I49" i="106"/>
  <c r="U48" i="106"/>
  <c r="O48" i="106"/>
  <c r="J48" i="106"/>
  <c r="P47" i="106"/>
  <c r="K47" i="106"/>
  <c r="C46" i="106"/>
  <c r="L134" i="106"/>
  <c r="J91" i="106"/>
  <c r="L122" i="106"/>
  <c r="M190" i="106"/>
  <c r="P191" i="106"/>
  <c r="N190" i="106"/>
  <c r="N68" i="106"/>
  <c r="E139" i="106"/>
  <c r="K143" i="106"/>
  <c r="E143" i="106" s="1"/>
  <c r="E140" i="106" s="1"/>
  <c r="F159" i="106"/>
  <c r="H155" i="106"/>
  <c r="L192" i="106"/>
  <c r="K191" i="106"/>
  <c r="T192" i="106"/>
  <c r="J192" i="106"/>
  <c r="Q191" i="106"/>
  <c r="H191" i="106"/>
  <c r="M156" i="106"/>
  <c r="T155" i="106"/>
  <c r="N155" i="106"/>
  <c r="I155" i="106"/>
  <c r="O154" i="106"/>
  <c r="J154" i="106"/>
  <c r="H90" i="106"/>
  <c r="K126" i="106"/>
  <c r="K122" i="106" s="1"/>
  <c r="K49" i="106"/>
  <c r="L135" i="106"/>
  <c r="N89" i="106"/>
  <c r="J49" i="106"/>
  <c r="L70" i="106"/>
  <c r="M154" i="106"/>
  <c r="J155" i="106"/>
  <c r="Q155" i="106"/>
  <c r="O156" i="106"/>
  <c r="U156" i="106"/>
  <c r="P154" i="106"/>
  <c r="K168" i="106"/>
  <c r="E168" i="106" s="1"/>
  <c r="E165" i="106" s="1"/>
  <c r="R91" i="106"/>
  <c r="N91" i="106"/>
  <c r="O90" i="106"/>
  <c r="K90" i="106"/>
  <c r="C88" i="106"/>
  <c r="Q91" i="106"/>
  <c r="R90" i="106"/>
  <c r="M90" i="106"/>
  <c r="I102" i="106"/>
  <c r="U192" i="106"/>
  <c r="Q192" i="106"/>
  <c r="M192" i="106"/>
  <c r="I192" i="106"/>
  <c r="R191" i="106"/>
  <c r="N191" i="106"/>
  <c r="J191" i="106"/>
  <c r="K190" i="106"/>
  <c r="N192" i="106"/>
  <c r="T191" i="106"/>
  <c r="O191" i="106"/>
  <c r="I191" i="106"/>
  <c r="J190" i="106"/>
  <c r="C189" i="106"/>
  <c r="R192" i="106"/>
  <c r="U191" i="106"/>
  <c r="M191" i="106"/>
  <c r="Q190" i="106"/>
  <c r="I190" i="106"/>
  <c r="J156" i="106"/>
  <c r="R156" i="106"/>
  <c r="N156" i="106"/>
  <c r="O155" i="106"/>
  <c r="K155" i="106"/>
  <c r="C153" i="106"/>
  <c r="L102" i="106"/>
  <c r="T102" i="106"/>
  <c r="R104" i="106"/>
  <c r="N104" i="106"/>
  <c r="O103" i="106"/>
  <c r="K103" i="106"/>
  <c r="C101" i="106"/>
  <c r="P102" i="106"/>
  <c r="K112" i="106"/>
  <c r="E112" i="106" s="1"/>
  <c r="E109" i="106" s="1"/>
  <c r="J104" i="106"/>
  <c r="P122" i="106"/>
  <c r="Q121" i="106"/>
  <c r="R120" i="106"/>
  <c r="M120" i="106"/>
  <c r="P190" i="106"/>
  <c r="U122" i="106"/>
  <c r="Q122" i="106"/>
  <c r="M122" i="106"/>
  <c r="I122" i="106"/>
  <c r="R121" i="106"/>
  <c r="N121" i="106"/>
  <c r="J121" i="106"/>
  <c r="O120" i="106"/>
  <c r="K120" i="106"/>
  <c r="K11" i="105"/>
  <c r="E23" i="105"/>
  <c r="E20" i="105" s="1"/>
  <c r="R128" i="105"/>
  <c r="N128" i="105"/>
  <c r="O127" i="105"/>
  <c r="K127" i="105"/>
  <c r="Q128" i="105"/>
  <c r="R127" i="105"/>
  <c r="M127" i="105"/>
  <c r="C125" i="105"/>
  <c r="T128" i="105"/>
  <c r="O128" i="105"/>
  <c r="I128" i="105"/>
  <c r="U127" i="105"/>
  <c r="P127" i="105"/>
  <c r="J127" i="105"/>
  <c r="Q126" i="105"/>
  <c r="K126" i="105"/>
  <c r="P126" i="105"/>
  <c r="I9" i="105"/>
  <c r="Q9" i="105"/>
  <c r="U9" i="105"/>
  <c r="H10" i="105"/>
  <c r="L10" i="105"/>
  <c r="P10" i="105"/>
  <c r="T10" i="105"/>
  <c r="O11" i="105"/>
  <c r="K38" i="105"/>
  <c r="O38" i="105"/>
  <c r="J39" i="105"/>
  <c r="N39" i="105"/>
  <c r="R39" i="105"/>
  <c r="I40" i="105"/>
  <c r="Q40" i="105"/>
  <c r="U40" i="105"/>
  <c r="N92" i="105"/>
  <c r="M93" i="105"/>
  <c r="U93" i="105"/>
  <c r="F97" i="105"/>
  <c r="L93" i="105"/>
  <c r="F101" i="105"/>
  <c r="T233" i="105"/>
  <c r="K234" i="105"/>
  <c r="J235" i="105"/>
  <c r="R235" i="105"/>
  <c r="K239" i="105"/>
  <c r="E239" i="105" s="1"/>
  <c r="R126" i="105"/>
  <c r="L127" i="105"/>
  <c r="P128" i="105"/>
  <c r="N126" i="105"/>
  <c r="J128" i="105"/>
  <c r="K132" i="105"/>
  <c r="E132" i="105" s="1"/>
  <c r="E128" i="105" s="1"/>
  <c r="I139" i="105"/>
  <c r="F144" i="105"/>
  <c r="R141" i="105"/>
  <c r="N141" i="105"/>
  <c r="O140" i="105"/>
  <c r="K140" i="105"/>
  <c r="C138" i="105"/>
  <c r="T141" i="105"/>
  <c r="O141" i="105"/>
  <c r="I141" i="105"/>
  <c r="U140" i="105"/>
  <c r="P140" i="105"/>
  <c r="J140" i="105"/>
  <c r="Q139" i="105"/>
  <c r="K139" i="105"/>
  <c r="Q141" i="105"/>
  <c r="R140" i="105"/>
  <c r="M140" i="105"/>
  <c r="P139" i="105"/>
  <c r="L157" i="105"/>
  <c r="F195" i="105"/>
  <c r="H191" i="105"/>
  <c r="P68" i="105"/>
  <c r="T67" i="105"/>
  <c r="K81" i="105"/>
  <c r="J69" i="105"/>
  <c r="I92" i="105"/>
  <c r="O93" i="105"/>
  <c r="U94" i="105"/>
  <c r="Q94" i="105"/>
  <c r="M94" i="105"/>
  <c r="I94" i="105"/>
  <c r="R93" i="105"/>
  <c r="N93" i="105"/>
  <c r="J93" i="105"/>
  <c r="O92" i="105"/>
  <c r="K92" i="105"/>
  <c r="O94" i="105"/>
  <c r="T93" i="105"/>
  <c r="P93" i="105"/>
  <c r="H93" i="105"/>
  <c r="U92" i="105"/>
  <c r="Q92" i="105"/>
  <c r="M92" i="105"/>
  <c r="K102" i="105"/>
  <c r="E102" i="105" s="1"/>
  <c r="E99" i="105" s="1"/>
  <c r="N233" i="105"/>
  <c r="M234" i="105"/>
  <c r="U234" i="105"/>
  <c r="L235" i="105"/>
  <c r="J126" i="105"/>
  <c r="U126" i="105"/>
  <c r="N127" i="105"/>
  <c r="L128" i="105"/>
  <c r="L158" i="105"/>
  <c r="E196" i="105"/>
  <c r="E193" i="105" s="1"/>
  <c r="U207" i="105"/>
  <c r="U235" i="105"/>
  <c r="Q235" i="105"/>
  <c r="M235" i="105"/>
  <c r="I235" i="105"/>
  <c r="R234" i="105"/>
  <c r="N234" i="105"/>
  <c r="J234" i="105"/>
  <c r="K233" i="105"/>
  <c r="O235" i="105"/>
  <c r="T234" i="105"/>
  <c r="P234" i="105"/>
  <c r="L234" i="105"/>
  <c r="Q233" i="105"/>
  <c r="M233" i="105"/>
  <c r="I233" i="105"/>
  <c r="H234" i="105"/>
  <c r="I126" i="105"/>
  <c r="J141" i="105"/>
  <c r="K145" i="105"/>
  <c r="K141" i="105" s="1"/>
  <c r="T68" i="105"/>
  <c r="L68" i="105"/>
  <c r="R69" i="105"/>
  <c r="K68" i="105"/>
  <c r="L67" i="105"/>
  <c r="C8" i="105"/>
  <c r="L9" i="105"/>
  <c r="P9" i="105"/>
  <c r="T9" i="105"/>
  <c r="K10" i="105"/>
  <c r="O10" i="105"/>
  <c r="J11" i="105"/>
  <c r="N11" i="105"/>
  <c r="J38" i="105"/>
  <c r="N38" i="105"/>
  <c r="R38" i="105"/>
  <c r="E39" i="105"/>
  <c r="I39" i="105"/>
  <c r="Q39" i="105"/>
  <c r="U39" i="105"/>
  <c r="L40" i="105"/>
  <c r="P40" i="105"/>
  <c r="T92" i="105"/>
  <c r="K93" i="105"/>
  <c r="J94" i="105"/>
  <c r="R94" i="105"/>
  <c r="E106" i="105"/>
  <c r="E103" i="105" s="1"/>
  <c r="J233" i="105"/>
  <c r="R233" i="105"/>
  <c r="I234" i="105"/>
  <c r="Q234" i="105"/>
  <c r="P235" i="105"/>
  <c r="O126" i="105"/>
  <c r="I127" i="105"/>
  <c r="T127" i="105"/>
  <c r="M128" i="105"/>
  <c r="H127" i="105"/>
  <c r="J139" i="105"/>
  <c r="N140" i="105"/>
  <c r="L141" i="105"/>
  <c r="O158" i="105"/>
  <c r="T157" i="105"/>
  <c r="P157" i="105"/>
  <c r="Q156" i="105"/>
  <c r="M156" i="105"/>
  <c r="I156" i="105"/>
  <c r="T158" i="105"/>
  <c r="P158" i="105"/>
  <c r="U157" i="105"/>
  <c r="Q157" i="105"/>
  <c r="M157" i="105"/>
  <c r="I157" i="105"/>
  <c r="R156" i="105"/>
  <c r="J156" i="105"/>
  <c r="U158" i="105"/>
  <c r="M158" i="105"/>
  <c r="N157" i="105"/>
  <c r="O156" i="105"/>
  <c r="Q158" i="105"/>
  <c r="I158" i="105"/>
  <c r="R157" i="105"/>
  <c r="J157" i="105"/>
  <c r="K156" i="105"/>
  <c r="K179" i="105"/>
  <c r="K175" i="105" s="1"/>
  <c r="J175" i="105"/>
  <c r="E200" i="105"/>
  <c r="E197" i="105" s="1"/>
  <c r="L209" i="105"/>
  <c r="U209" i="105"/>
  <c r="Q209" i="105"/>
  <c r="M209" i="105"/>
  <c r="I209" i="105"/>
  <c r="R208" i="105"/>
  <c r="N208" i="105"/>
  <c r="J208" i="105"/>
  <c r="O207" i="105"/>
  <c r="K207" i="105"/>
  <c r="R209" i="105"/>
  <c r="N209" i="105"/>
  <c r="O208" i="105"/>
  <c r="K208" i="105"/>
  <c r="C206" i="105"/>
  <c r="T208" i="105"/>
  <c r="M207" i="105"/>
  <c r="O209" i="105"/>
  <c r="P208" i="105"/>
  <c r="H208" i="105"/>
  <c r="Q207" i="105"/>
  <c r="H68" i="105"/>
  <c r="L126" i="105"/>
  <c r="T126" i="105"/>
  <c r="F161" i="105"/>
  <c r="H157" i="105"/>
  <c r="L173" i="105"/>
  <c r="T173" i="105"/>
  <c r="O192" i="105"/>
  <c r="T191" i="105"/>
  <c r="P191" i="105"/>
  <c r="Q190" i="105"/>
  <c r="M190" i="105"/>
  <c r="I190" i="105"/>
  <c r="T192" i="105"/>
  <c r="P192" i="105"/>
  <c r="U191" i="105"/>
  <c r="Q191" i="105"/>
  <c r="M191" i="105"/>
  <c r="I191" i="105"/>
  <c r="R190" i="105"/>
  <c r="J190" i="105"/>
  <c r="N190" i="105"/>
  <c r="L192" i="105"/>
  <c r="L207" i="105"/>
  <c r="T207" i="105"/>
  <c r="U67" i="105"/>
  <c r="L139" i="105"/>
  <c r="T139" i="105"/>
  <c r="E153" i="105"/>
  <c r="E150" i="105" s="1"/>
  <c r="U156" i="105"/>
  <c r="F169" i="105"/>
  <c r="U175" i="105"/>
  <c r="Q175" i="105"/>
  <c r="M175" i="105"/>
  <c r="I175" i="105"/>
  <c r="R174" i="105"/>
  <c r="N174" i="105"/>
  <c r="J174" i="105"/>
  <c r="O173" i="105"/>
  <c r="K173" i="105"/>
  <c r="R175" i="105"/>
  <c r="N175" i="105"/>
  <c r="O174" i="105"/>
  <c r="K174" i="105"/>
  <c r="C172" i="105"/>
  <c r="L190" i="105"/>
  <c r="T190" i="105"/>
  <c r="K191" i="105"/>
  <c r="J192" i="105"/>
  <c r="R192" i="105"/>
  <c r="L191" i="105"/>
  <c r="K213" i="105"/>
  <c r="J209" i="105"/>
  <c r="P207" i="105"/>
  <c r="F216" i="105"/>
  <c r="E221" i="105"/>
  <c r="E218" i="105" s="1"/>
  <c r="N69" i="105"/>
  <c r="C66" i="105"/>
  <c r="P67" i="105"/>
  <c r="O68" i="105"/>
  <c r="T69" i="105"/>
  <c r="P69" i="105"/>
  <c r="L69" i="105"/>
  <c r="U68" i="105"/>
  <c r="Q68" i="105"/>
  <c r="I68" i="105"/>
  <c r="E68" i="105"/>
  <c r="R67" i="105"/>
  <c r="N67" i="105"/>
  <c r="J67" i="105"/>
  <c r="U69" i="105"/>
  <c r="Q69" i="105"/>
  <c r="I69" i="105"/>
  <c r="R68" i="105"/>
  <c r="N68" i="105"/>
  <c r="J68" i="105"/>
  <c r="O67" i="105"/>
  <c r="K67" i="105"/>
  <c r="E85" i="105"/>
  <c r="E82" i="105" s="1"/>
  <c r="E11" i="106" l="1"/>
  <c r="E12" i="106"/>
  <c r="E28" i="106"/>
  <c r="E25" i="106" s="1"/>
  <c r="E29" i="106"/>
  <c r="E127" i="106"/>
  <c r="E46" i="106"/>
  <c r="E192" i="106"/>
  <c r="E105" i="106"/>
  <c r="E104" i="106"/>
  <c r="E189" i="106"/>
  <c r="E91" i="106"/>
  <c r="E92" i="106"/>
  <c r="F155" i="106"/>
  <c r="K91" i="106"/>
  <c r="E156" i="106"/>
  <c r="E153" i="106" s="1"/>
  <c r="F69" i="106"/>
  <c r="E88" i="106"/>
  <c r="E70" i="106"/>
  <c r="E71" i="106"/>
  <c r="E136" i="106"/>
  <c r="E135" i="106"/>
  <c r="E101" i="106"/>
  <c r="E132" i="106"/>
  <c r="E126" i="106"/>
  <c r="E123" i="106" s="1"/>
  <c r="E49" i="106"/>
  <c r="E50" i="106"/>
  <c r="E193" i="106"/>
  <c r="E67" i="106"/>
  <c r="E187" i="106"/>
  <c r="E184" i="106" s="1"/>
  <c r="E182" i="106"/>
  <c r="E179" i="106" s="1"/>
  <c r="E174" i="106"/>
  <c r="E230" i="105"/>
  <c r="E243" i="105"/>
  <c r="E125" i="105"/>
  <c r="E129" i="105"/>
  <c r="K192" i="106"/>
  <c r="E145" i="105"/>
  <c r="E142" i="105" s="1"/>
  <c r="E11" i="105"/>
  <c r="E8" i="105" s="1"/>
  <c r="S159" i="106"/>
  <c r="S199" i="105"/>
  <c r="G199" i="105" s="1"/>
  <c r="F140" i="105"/>
  <c r="S144" i="105"/>
  <c r="F93" i="105"/>
  <c r="S97" i="105"/>
  <c r="S107" i="106"/>
  <c r="S18" i="106"/>
  <c r="G18" i="106" s="1"/>
  <c r="S203" i="105"/>
  <c r="G203" i="105" s="1"/>
  <c r="S182" i="105"/>
  <c r="G182" i="105" s="1"/>
  <c r="S148" i="105"/>
  <c r="G148" i="105" s="1"/>
  <c r="S186" i="105"/>
  <c r="G186" i="105" s="1"/>
  <c r="S56" i="106"/>
  <c r="G56" i="106" s="1"/>
  <c r="S125" i="106"/>
  <c r="S121" i="106" s="1"/>
  <c r="S150" i="106"/>
  <c r="G150" i="106" s="1"/>
  <c r="S64" i="106"/>
  <c r="G64" i="106" s="1"/>
  <c r="S35" i="106"/>
  <c r="G35" i="106" s="1"/>
  <c r="S77" i="106"/>
  <c r="G77" i="106" s="1"/>
  <c r="S111" i="106"/>
  <c r="G111" i="106" s="1"/>
  <c r="S31" i="106"/>
  <c r="E94" i="105"/>
  <c r="E91" i="105" s="1"/>
  <c r="F208" i="105"/>
  <c r="S212" i="105"/>
  <c r="G212" i="105" s="1"/>
  <c r="S138" i="106"/>
  <c r="G138" i="106" s="1"/>
  <c r="S171" i="106"/>
  <c r="G171" i="106" s="1"/>
  <c r="S216" i="105"/>
  <c r="G216" i="105" s="1"/>
  <c r="S169" i="105"/>
  <c r="G169" i="105" s="1"/>
  <c r="F157" i="105"/>
  <c r="S161" i="105"/>
  <c r="E192" i="105"/>
  <c r="E189" i="105" s="1"/>
  <c r="F191" i="105"/>
  <c r="S195" i="105"/>
  <c r="S81" i="106"/>
  <c r="G81" i="106" s="1"/>
  <c r="S73" i="106"/>
  <c r="S224" i="105"/>
  <c r="G224" i="105" s="1"/>
  <c r="S135" i="105"/>
  <c r="G135" i="105" s="1"/>
  <c r="F174" i="105"/>
  <c r="S178" i="105"/>
  <c r="S220" i="105"/>
  <c r="G220" i="105" s="1"/>
  <c r="S105" i="105"/>
  <c r="G105" i="105" s="1"/>
  <c r="S22" i="106"/>
  <c r="G22" i="106" s="1"/>
  <c r="S14" i="106"/>
  <c r="S163" i="106"/>
  <c r="G163" i="106" s="1"/>
  <c r="S94" i="106"/>
  <c r="G94" i="106" s="1"/>
  <c r="G90" i="106" s="1"/>
  <c r="S60" i="106"/>
  <c r="G60" i="106" s="1"/>
  <c r="S167" i="106"/>
  <c r="G167" i="106" s="1"/>
  <c r="S101" i="105"/>
  <c r="G101" i="105" s="1"/>
  <c r="S39" i="106"/>
  <c r="G39" i="106" s="1"/>
  <c r="S152" i="105"/>
  <c r="G152" i="105" s="1"/>
  <c r="S131" i="105"/>
  <c r="G131" i="105" s="1"/>
  <c r="F127" i="105"/>
  <c r="S165" i="105"/>
  <c r="G165" i="105" s="1"/>
  <c r="S43" i="106"/>
  <c r="G43" i="106" s="1"/>
  <c r="S142" i="106"/>
  <c r="G142" i="106" s="1"/>
  <c r="K70" i="106"/>
  <c r="K11" i="106"/>
  <c r="K135" i="106"/>
  <c r="K158" i="105"/>
  <c r="E44" i="105"/>
  <c r="E41" i="105" s="1"/>
  <c r="E162" i="105"/>
  <c r="E159" i="105" s="1"/>
  <c r="K192" i="105"/>
  <c r="K69" i="105"/>
  <c r="E81" i="105"/>
  <c r="E78" i="105" s="1"/>
  <c r="K156" i="106"/>
  <c r="K104" i="106"/>
  <c r="K28" i="106"/>
  <c r="K128" i="105"/>
  <c r="K235" i="105"/>
  <c r="K209" i="105"/>
  <c r="E213" i="105"/>
  <c r="E210" i="105" s="1"/>
  <c r="K94" i="105"/>
  <c r="E179" i="105"/>
  <c r="E176" i="105" s="1"/>
  <c r="E122" i="106" l="1"/>
  <c r="E119" i="106" s="1"/>
  <c r="E141" i="105"/>
  <c r="E138" i="105" s="1"/>
  <c r="E209" i="105"/>
  <c r="E206" i="105" s="1"/>
  <c r="E175" i="105"/>
  <c r="E172" i="105" s="1"/>
  <c r="E40" i="105"/>
  <c r="E37" i="105" s="1"/>
  <c r="S10" i="106"/>
  <c r="S208" i="105"/>
  <c r="G127" i="105"/>
  <c r="G14" i="106"/>
  <c r="S127" i="105"/>
  <c r="G125" i="106"/>
  <c r="G121" i="106" s="1"/>
  <c r="G208" i="105"/>
  <c r="E158" i="105"/>
  <c r="E155" i="105" s="1"/>
  <c r="E8" i="106"/>
  <c r="S174" i="105"/>
  <c r="G178" i="105"/>
  <c r="G174" i="105" s="1"/>
  <c r="S90" i="106"/>
  <c r="E69" i="105"/>
  <c r="E66" i="105" s="1"/>
  <c r="G73" i="106"/>
  <c r="G69" i="106" s="1"/>
  <c r="S69" i="106"/>
  <c r="S155" i="106"/>
  <c r="G159" i="106"/>
  <c r="G155" i="106" s="1"/>
  <c r="S103" i="106"/>
  <c r="G107" i="106"/>
  <c r="G103" i="106" s="1"/>
  <c r="G31" i="106"/>
  <c r="G27" i="106" s="1"/>
  <c r="S27" i="106"/>
  <c r="G195" i="105"/>
  <c r="G191" i="105" s="1"/>
  <c r="S191" i="105"/>
  <c r="G161" i="105"/>
  <c r="G157" i="105" s="1"/>
  <c r="S157" i="105"/>
  <c r="S140" i="105"/>
  <c r="G144" i="105"/>
  <c r="G140" i="105" s="1"/>
  <c r="S93" i="105"/>
  <c r="G97" i="105"/>
  <c r="G93" i="105" s="1"/>
  <c r="G10" i="106" l="1"/>
  <c r="E122" i="103"/>
  <c r="E121" i="103" s="1"/>
  <c r="E116" i="103"/>
  <c r="E115" i="103" s="1"/>
  <c r="E110" i="103"/>
  <c r="E109" i="103" s="1"/>
  <c r="E105" i="103"/>
  <c r="E104" i="103" s="1"/>
  <c r="E100" i="103"/>
  <c r="E99" i="103" s="1"/>
  <c r="E84" i="103"/>
  <c r="E83" i="103" s="1"/>
  <c r="E79" i="103"/>
  <c r="E63" i="103"/>
  <c r="E31" i="103"/>
  <c r="E30" i="103" s="1"/>
  <c r="O20" i="104"/>
  <c r="O21" i="104"/>
  <c r="E100" i="104" l="1"/>
  <c r="E108" i="104"/>
  <c r="E104" i="104"/>
  <c r="E96" i="104"/>
  <c r="D4" i="5"/>
  <c r="C94" i="104"/>
  <c r="I95" i="104"/>
  <c r="L95" i="104"/>
  <c r="N95" i="104"/>
  <c r="P95" i="104"/>
  <c r="E95" i="104" s="1"/>
  <c r="R95" i="104"/>
  <c r="T95" i="104"/>
  <c r="U95" i="104"/>
  <c r="H96" i="104"/>
  <c r="L96" i="104"/>
  <c r="R96" i="104"/>
  <c r="J97" i="104"/>
  <c r="L97" i="104"/>
  <c r="R97" i="104"/>
  <c r="C98" i="104"/>
  <c r="I99" i="104"/>
  <c r="L99" i="104"/>
  <c r="N99" i="104"/>
  <c r="P99" i="104"/>
  <c r="E99" i="104" s="1"/>
  <c r="R99" i="104"/>
  <c r="T99" i="104"/>
  <c r="U99" i="104"/>
  <c r="H100" i="104"/>
  <c r="L100" i="104"/>
  <c r="R100" i="104"/>
  <c r="J101" i="104"/>
  <c r="L101" i="104"/>
  <c r="R101" i="104"/>
  <c r="C102" i="104"/>
  <c r="I103" i="104"/>
  <c r="L103" i="104"/>
  <c r="N103" i="104"/>
  <c r="P103" i="104"/>
  <c r="E103" i="104" s="1"/>
  <c r="R103" i="104"/>
  <c r="T103" i="104"/>
  <c r="U103" i="104"/>
  <c r="H104" i="104"/>
  <c r="L104" i="104"/>
  <c r="R104" i="104"/>
  <c r="J105" i="104"/>
  <c r="L105" i="104"/>
  <c r="R105" i="104"/>
  <c r="C106" i="104"/>
  <c r="I107" i="104"/>
  <c r="L107" i="104"/>
  <c r="N107" i="104"/>
  <c r="P107" i="104"/>
  <c r="E107" i="104" s="1"/>
  <c r="R107" i="104"/>
  <c r="T107" i="104"/>
  <c r="U107" i="104"/>
  <c r="H108" i="104"/>
  <c r="L108" i="104"/>
  <c r="R108" i="104"/>
  <c r="J109" i="104"/>
  <c r="L109" i="104"/>
  <c r="R109" i="104"/>
  <c r="C75" i="104"/>
  <c r="I76" i="104"/>
  <c r="L76" i="104"/>
  <c r="N76" i="104"/>
  <c r="P76" i="104"/>
  <c r="T76" i="104"/>
  <c r="U76" i="104"/>
  <c r="H77" i="104"/>
  <c r="L77" i="104"/>
  <c r="O77" i="104"/>
  <c r="J78" i="104"/>
  <c r="L78" i="104"/>
  <c r="O78" i="104"/>
  <c r="C80" i="104"/>
  <c r="I81" i="104"/>
  <c r="L81" i="104"/>
  <c r="N81" i="104"/>
  <c r="P81" i="104"/>
  <c r="T81" i="104"/>
  <c r="U81" i="104"/>
  <c r="H82" i="104"/>
  <c r="L82" i="104"/>
  <c r="O82" i="104"/>
  <c r="J83" i="104"/>
  <c r="L83" i="104"/>
  <c r="O83" i="104"/>
  <c r="C85" i="104"/>
  <c r="I86" i="104"/>
  <c r="L86" i="104"/>
  <c r="N86" i="104"/>
  <c r="P86" i="104"/>
  <c r="T86" i="104"/>
  <c r="U86" i="104"/>
  <c r="H87" i="104"/>
  <c r="L87" i="104"/>
  <c r="O87" i="104"/>
  <c r="J88" i="104"/>
  <c r="L88" i="104"/>
  <c r="O88" i="104"/>
  <c r="I19" i="104"/>
  <c r="L19" i="104"/>
  <c r="N19" i="104"/>
  <c r="P19" i="104"/>
  <c r="E19" i="104" s="1"/>
  <c r="T19" i="104"/>
  <c r="U19" i="104"/>
  <c r="H20" i="104"/>
  <c r="L20" i="104"/>
  <c r="R20" i="104"/>
  <c r="J21" i="104"/>
  <c r="L21" i="104"/>
  <c r="R21" i="104"/>
  <c r="C18" i="104"/>
  <c r="C23" i="104"/>
  <c r="I24" i="104"/>
  <c r="L24" i="104"/>
  <c r="N24" i="104"/>
  <c r="P24" i="104"/>
  <c r="T24" i="104"/>
  <c r="U24" i="104"/>
  <c r="H25" i="104"/>
  <c r="L25" i="104"/>
  <c r="O25" i="104"/>
  <c r="R25" i="104"/>
  <c r="J26" i="104"/>
  <c r="L26" i="104"/>
  <c r="O26" i="104"/>
  <c r="R26" i="104"/>
  <c r="C28" i="104"/>
  <c r="I29" i="104"/>
  <c r="L29" i="104"/>
  <c r="N29" i="104"/>
  <c r="P29" i="104"/>
  <c r="E29" i="104" s="1"/>
  <c r="T29" i="104"/>
  <c r="U29" i="104"/>
  <c r="H30" i="104"/>
  <c r="L30" i="104"/>
  <c r="O30" i="104"/>
  <c r="R30" i="104"/>
  <c r="J31" i="104"/>
  <c r="L31" i="104"/>
  <c r="O31" i="104"/>
  <c r="R31" i="104"/>
  <c r="C38" i="104"/>
  <c r="I39" i="104"/>
  <c r="L39" i="104"/>
  <c r="N39" i="104"/>
  <c r="P39" i="104"/>
  <c r="T39" i="104"/>
  <c r="U39" i="104"/>
  <c r="H40" i="104"/>
  <c r="L40" i="104"/>
  <c r="O40" i="104"/>
  <c r="R40" i="104"/>
  <c r="J41" i="104"/>
  <c r="L41" i="104"/>
  <c r="O41" i="104"/>
  <c r="R41" i="104"/>
  <c r="C43" i="104"/>
  <c r="I44" i="104"/>
  <c r="L44" i="104"/>
  <c r="N44" i="104"/>
  <c r="P44" i="104"/>
  <c r="T44" i="104"/>
  <c r="U44" i="104"/>
  <c r="H45" i="104"/>
  <c r="L45" i="104"/>
  <c r="O45" i="104"/>
  <c r="R45" i="104"/>
  <c r="J46" i="104"/>
  <c r="L46" i="104"/>
  <c r="O46" i="104"/>
  <c r="R46" i="104"/>
  <c r="C48" i="104"/>
  <c r="I49" i="104"/>
  <c r="L49" i="104"/>
  <c r="N49" i="104"/>
  <c r="P49" i="104"/>
  <c r="T49" i="104"/>
  <c r="U49" i="104"/>
  <c r="H50" i="104"/>
  <c r="L50" i="104"/>
  <c r="O50" i="104"/>
  <c r="R50" i="104"/>
  <c r="J51" i="104"/>
  <c r="L51" i="104"/>
  <c r="O51" i="104"/>
  <c r="R51" i="104"/>
  <c r="K46" i="104" l="1"/>
  <c r="K88" i="104"/>
  <c r="K26" i="104"/>
  <c r="K83" i="104"/>
  <c r="K41" i="104"/>
  <c r="K109" i="104"/>
  <c r="E109" i="104" s="1"/>
  <c r="E106" i="104" s="1"/>
  <c r="K101" i="104"/>
  <c r="E101" i="104" s="1"/>
  <c r="K51" i="104"/>
  <c r="K31" i="104"/>
  <c r="F96" i="104"/>
  <c r="S96" i="104" s="1"/>
  <c r="G96" i="104" s="1"/>
  <c r="F108" i="104"/>
  <c r="S108" i="104" s="1"/>
  <c r="G108" i="104" s="1"/>
  <c r="F100" i="104"/>
  <c r="S100" i="104" s="1"/>
  <c r="G100" i="104" s="1"/>
  <c r="J14" i="104"/>
  <c r="N14" i="104"/>
  <c r="I15" i="104"/>
  <c r="M15" i="104"/>
  <c r="Q15" i="104"/>
  <c r="U15" i="104"/>
  <c r="O16" i="104"/>
  <c r="K14" i="104"/>
  <c r="T14" i="104"/>
  <c r="J15" i="104"/>
  <c r="N15" i="104"/>
  <c r="R15" i="104"/>
  <c r="L16" i="104"/>
  <c r="P16" i="104"/>
  <c r="T16" i="104"/>
  <c r="L14" i="104"/>
  <c r="P14" i="104"/>
  <c r="U14" i="104"/>
  <c r="K15" i="104"/>
  <c r="O15" i="104"/>
  <c r="I16" i="104"/>
  <c r="M16" i="104"/>
  <c r="Q16" i="104"/>
  <c r="U16" i="104"/>
  <c r="I14" i="104"/>
  <c r="L15" i="104"/>
  <c r="N16" i="104"/>
  <c r="M14" i="104"/>
  <c r="P15" i="104"/>
  <c r="R16" i="104"/>
  <c r="Q14" i="104"/>
  <c r="T15" i="104"/>
  <c r="H15" i="104"/>
  <c r="J16" i="104"/>
  <c r="F104" i="104"/>
  <c r="S104" i="104" s="1"/>
  <c r="G104" i="104" s="1"/>
  <c r="E92" i="104"/>
  <c r="E91" i="104"/>
  <c r="Q71" i="104"/>
  <c r="R73" i="104"/>
  <c r="R71" i="104"/>
  <c r="R72" i="104"/>
  <c r="C70" i="104"/>
  <c r="P71" i="104"/>
  <c r="L71" i="104"/>
  <c r="J71" i="104"/>
  <c r="U71" i="104"/>
  <c r="I71" i="104"/>
  <c r="M71" i="104"/>
  <c r="T71" i="104"/>
  <c r="K71" i="104"/>
  <c r="N71" i="104"/>
  <c r="L92" i="104"/>
  <c r="R91" i="104"/>
  <c r="P91" i="104"/>
  <c r="L93" i="104"/>
  <c r="R92" i="104"/>
  <c r="U91" i="104"/>
  <c r="J93" i="104"/>
  <c r="L91" i="104"/>
  <c r="R93" i="104"/>
  <c r="K105" i="104"/>
  <c r="E105" i="104" s="1"/>
  <c r="E102" i="104" s="1"/>
  <c r="K97" i="104"/>
  <c r="E97" i="104" s="1"/>
  <c r="E94" i="104" s="1"/>
  <c r="T91" i="104"/>
  <c r="C90" i="104"/>
  <c r="Q93" i="104"/>
  <c r="M93" i="104"/>
  <c r="Q92" i="104"/>
  <c r="M92" i="104"/>
  <c r="I92" i="104"/>
  <c r="N91" i="104"/>
  <c r="J91" i="104"/>
  <c r="U93" i="104"/>
  <c r="P93" i="104"/>
  <c r="U92" i="104"/>
  <c r="P92" i="104"/>
  <c r="H92" i="104"/>
  <c r="Q91" i="104"/>
  <c r="M91" i="104"/>
  <c r="I91" i="104"/>
  <c r="T93" i="104"/>
  <c r="O93" i="104"/>
  <c r="T92" i="104"/>
  <c r="O92" i="104"/>
  <c r="K92" i="104"/>
  <c r="N93" i="104"/>
  <c r="I93" i="104"/>
  <c r="N92" i="104"/>
  <c r="J92" i="104"/>
  <c r="O91" i="104"/>
  <c r="K91" i="104"/>
  <c r="J73" i="104"/>
  <c r="O72" i="104"/>
  <c r="U72" i="104"/>
  <c r="I73" i="104"/>
  <c r="O73" i="104"/>
  <c r="K78" i="104"/>
  <c r="H72" i="104"/>
  <c r="J34" i="104"/>
  <c r="Q34" i="104"/>
  <c r="H35" i="104"/>
  <c r="N35" i="104"/>
  <c r="U35" i="104"/>
  <c r="L36" i="104"/>
  <c r="K34" i="104"/>
  <c r="I35" i="104"/>
  <c r="P35" i="104"/>
  <c r="M36" i="104"/>
  <c r="T36" i="104"/>
  <c r="N34" i="104"/>
  <c r="U34" i="104"/>
  <c r="J35" i="104"/>
  <c r="R35" i="104"/>
  <c r="K10" i="104"/>
  <c r="N11" i="104"/>
  <c r="N9" i="104"/>
  <c r="M10" i="104"/>
  <c r="Q11" i="104"/>
  <c r="J9" i="104"/>
  <c r="I10" i="104"/>
  <c r="N10" i="104"/>
  <c r="T10" i="104"/>
  <c r="M11" i="104"/>
  <c r="Q9" i="104"/>
  <c r="J10" i="104"/>
  <c r="U10" i="104"/>
  <c r="L10" i="104"/>
  <c r="P11" i="104"/>
  <c r="K9" i="104"/>
  <c r="P10" i="104"/>
  <c r="I11" i="104"/>
  <c r="T11" i="104"/>
  <c r="O11" i="104"/>
  <c r="R10" i="104"/>
  <c r="U9" i="104"/>
  <c r="T35" i="104"/>
  <c r="I34" i="104"/>
  <c r="Q36" i="104"/>
  <c r="M35" i="104"/>
  <c r="Q10" i="104"/>
  <c r="O36" i="104"/>
  <c r="R11" i="104"/>
  <c r="H10" i="104"/>
  <c r="P9" i="104"/>
  <c r="I9" i="104"/>
  <c r="I36" i="104"/>
  <c r="U11" i="104"/>
  <c r="M9" i="104"/>
  <c r="L72" i="104"/>
  <c r="L11" i="104"/>
  <c r="L73" i="104"/>
  <c r="J11" i="104"/>
  <c r="K21" i="104"/>
  <c r="L9" i="104"/>
  <c r="N73" i="104"/>
  <c r="T72" i="104"/>
  <c r="K72" i="104"/>
  <c r="L34" i="104"/>
  <c r="P34" i="104"/>
  <c r="T34" i="104"/>
  <c r="K35" i="104"/>
  <c r="O35" i="104"/>
  <c r="J36" i="104"/>
  <c r="N36" i="104"/>
  <c r="R36" i="104"/>
  <c r="O10" i="104"/>
  <c r="T9" i="104"/>
  <c r="U36" i="104"/>
  <c r="P36" i="104"/>
  <c r="Q35" i="104"/>
  <c r="L35" i="104"/>
  <c r="M34" i="104"/>
  <c r="T73" i="104"/>
  <c r="P72" i="104"/>
  <c r="Q73" i="104"/>
  <c r="M73" i="104"/>
  <c r="N72" i="104"/>
  <c r="J72" i="104"/>
  <c r="U73" i="104"/>
  <c r="P73" i="104"/>
  <c r="Q72" i="104"/>
  <c r="M72" i="104"/>
  <c r="I72" i="104"/>
  <c r="C8" i="104"/>
  <c r="C57" i="104"/>
  <c r="I58" i="104"/>
  <c r="L58" i="104"/>
  <c r="N58" i="104"/>
  <c r="P58" i="104"/>
  <c r="E58" i="104" s="1"/>
  <c r="T58" i="104"/>
  <c r="U58" i="104"/>
  <c r="H59" i="104"/>
  <c r="L59" i="104"/>
  <c r="O59" i="104"/>
  <c r="J60" i="104"/>
  <c r="L60" i="104"/>
  <c r="O60" i="104"/>
  <c r="C61" i="104"/>
  <c r="I62" i="104"/>
  <c r="L62" i="104"/>
  <c r="N62" i="104"/>
  <c r="P62" i="104"/>
  <c r="E62" i="104" s="1"/>
  <c r="T62" i="104"/>
  <c r="U62" i="104"/>
  <c r="H63" i="104"/>
  <c r="J63" i="104"/>
  <c r="E63" i="104" s="1"/>
  <c r="L63" i="104"/>
  <c r="O63" i="104"/>
  <c r="J64" i="104"/>
  <c r="L64" i="104"/>
  <c r="O64" i="104"/>
  <c r="C65" i="104"/>
  <c r="I66" i="104"/>
  <c r="L66" i="104"/>
  <c r="N66" i="104"/>
  <c r="P66" i="104"/>
  <c r="E66" i="104" s="1"/>
  <c r="T66" i="104"/>
  <c r="H67" i="104"/>
  <c r="L67" i="104"/>
  <c r="O67" i="104"/>
  <c r="J68" i="104"/>
  <c r="L68" i="104"/>
  <c r="O68" i="104"/>
  <c r="F63" i="104" l="1"/>
  <c r="S63" i="104"/>
  <c r="K16" i="104"/>
  <c r="K36" i="104"/>
  <c r="K60" i="104"/>
  <c r="E60" i="104" s="1"/>
  <c r="K68" i="104"/>
  <c r="E68" i="104" s="1"/>
  <c r="K64" i="104"/>
  <c r="E64" i="104" s="1"/>
  <c r="F92" i="104"/>
  <c r="G92" i="104"/>
  <c r="K93" i="104"/>
  <c r="S92" i="104"/>
  <c r="E93" i="104"/>
  <c r="E90" i="104" s="1"/>
  <c r="K73" i="104"/>
  <c r="K11" i="104"/>
  <c r="C53" i="104"/>
  <c r="O55" i="104"/>
  <c r="P54" i="104"/>
  <c r="L54" i="104"/>
  <c r="J56" i="104"/>
  <c r="T54" i="104"/>
  <c r="O56" i="104"/>
  <c r="N54" i="104"/>
  <c r="Q56" i="104"/>
  <c r="M56" i="104"/>
  <c r="Q55" i="104"/>
  <c r="M55" i="104"/>
  <c r="I55" i="104"/>
  <c r="J54" i="104"/>
  <c r="U56" i="104"/>
  <c r="P56" i="104"/>
  <c r="L56" i="104"/>
  <c r="U55" i="104"/>
  <c r="P55" i="104"/>
  <c r="L55" i="104"/>
  <c r="H55" i="104"/>
  <c r="Q54" i="104"/>
  <c r="M54" i="104"/>
  <c r="I54" i="104"/>
  <c r="T56" i="104"/>
  <c r="T55" i="104"/>
  <c r="K55" i="104"/>
  <c r="R56" i="104"/>
  <c r="N56" i="104"/>
  <c r="I56" i="104"/>
  <c r="R55" i="104"/>
  <c r="N55" i="104"/>
  <c r="K54" i="104"/>
  <c r="K56" i="104" l="1"/>
  <c r="C111" i="104" l="1"/>
  <c r="I112" i="104"/>
  <c r="L112" i="104"/>
  <c r="N112" i="104"/>
  <c r="P112" i="104"/>
  <c r="E112" i="104" s="1"/>
  <c r="T112" i="104"/>
  <c r="U112" i="104"/>
  <c r="H113" i="104"/>
  <c r="L113" i="104"/>
  <c r="R113" i="104"/>
  <c r="J114" i="104"/>
  <c r="L114" i="104"/>
  <c r="R114" i="104"/>
  <c r="K114" i="104" l="1"/>
  <c r="E114" i="104" s="1"/>
  <c r="E111" i="104" s="1"/>
  <c r="F113" i="104"/>
  <c r="C109" i="103"/>
  <c r="C104" i="103"/>
  <c r="C99" i="103"/>
  <c r="C94" i="103"/>
  <c r="O95" i="103"/>
  <c r="F95" i="103" s="1"/>
  <c r="S95" i="103"/>
  <c r="O96" i="103"/>
  <c r="F96" i="103" s="1"/>
  <c r="O97" i="103"/>
  <c r="P98" i="103"/>
  <c r="F98" i="103" s="1"/>
  <c r="O100" i="103"/>
  <c r="F100" i="103" s="1"/>
  <c r="S100" i="103"/>
  <c r="T100" i="103"/>
  <c r="O101" i="103"/>
  <c r="O102" i="103"/>
  <c r="F102" i="103" s="1"/>
  <c r="P103" i="103"/>
  <c r="O105" i="103"/>
  <c r="F105" i="103" s="1"/>
  <c r="S105" i="103"/>
  <c r="T105" i="103"/>
  <c r="O106" i="103"/>
  <c r="F106" i="103" s="1"/>
  <c r="O107" i="103"/>
  <c r="P108" i="103"/>
  <c r="O110" i="103"/>
  <c r="F110" i="103" s="1"/>
  <c r="S110" i="103"/>
  <c r="T110" i="103"/>
  <c r="O111" i="103"/>
  <c r="O112" i="103"/>
  <c r="P113" i="103"/>
  <c r="F113" i="103" s="1"/>
  <c r="C73" i="103"/>
  <c r="O74" i="103"/>
  <c r="F74" i="103" s="1"/>
  <c r="S74" i="103"/>
  <c r="T74" i="103"/>
  <c r="O75" i="103"/>
  <c r="F75" i="103" s="1"/>
  <c r="O76" i="103"/>
  <c r="F76" i="103" s="1"/>
  <c r="P77" i="103"/>
  <c r="F77" i="103" s="1"/>
  <c r="C78" i="103"/>
  <c r="O79" i="103"/>
  <c r="F79" i="103" s="1"/>
  <c r="S79" i="103"/>
  <c r="T79" i="103"/>
  <c r="O80" i="103"/>
  <c r="O81" i="103"/>
  <c r="F81" i="103" s="1"/>
  <c r="P82" i="103"/>
  <c r="C83" i="103"/>
  <c r="O84" i="103"/>
  <c r="F84" i="103" s="1"/>
  <c r="S84" i="103"/>
  <c r="T84" i="103"/>
  <c r="O85" i="103"/>
  <c r="O86" i="103"/>
  <c r="F86" i="103" s="1"/>
  <c r="P87" i="103"/>
  <c r="C160" i="103"/>
  <c r="O161" i="103"/>
  <c r="F161" i="103" s="1"/>
  <c r="S161" i="103"/>
  <c r="T161" i="103"/>
  <c r="O162" i="103"/>
  <c r="F162" i="103" s="1"/>
  <c r="O163" i="103"/>
  <c r="F163" i="103" s="1"/>
  <c r="P164" i="103"/>
  <c r="F164" i="103" s="1"/>
  <c r="C165" i="103"/>
  <c r="O166" i="103"/>
  <c r="F166" i="103" s="1"/>
  <c r="S166" i="103"/>
  <c r="T166" i="103"/>
  <c r="O167" i="103"/>
  <c r="F167" i="103" s="1"/>
  <c r="O168" i="103"/>
  <c r="F168" i="103" s="1"/>
  <c r="P169" i="103"/>
  <c r="F169" i="103" s="1"/>
  <c r="C41" i="103"/>
  <c r="S42" i="103"/>
  <c r="T42" i="103"/>
  <c r="C46" i="103"/>
  <c r="S47" i="103"/>
  <c r="T47" i="103"/>
  <c r="C144" i="103"/>
  <c r="O145" i="103"/>
  <c r="F145" i="103" s="1"/>
  <c r="S145" i="103"/>
  <c r="T145" i="103"/>
  <c r="O146" i="103"/>
  <c r="F146" i="103" s="1"/>
  <c r="O147" i="103"/>
  <c r="P148" i="103"/>
  <c r="F148" i="103" s="1"/>
  <c r="C149" i="103"/>
  <c r="O150" i="103"/>
  <c r="F150" i="103" s="1"/>
  <c r="S150" i="103"/>
  <c r="T150" i="103"/>
  <c r="O151" i="103"/>
  <c r="F151" i="103" s="1"/>
  <c r="O152" i="103"/>
  <c r="P153" i="103"/>
  <c r="C127" i="103"/>
  <c r="C133" i="103"/>
  <c r="H134" i="103"/>
  <c r="I134" i="103"/>
  <c r="J134" i="103"/>
  <c r="E134" i="103" s="1"/>
  <c r="N134" i="103"/>
  <c r="S134" i="103"/>
  <c r="T134" i="103"/>
  <c r="I135" i="103"/>
  <c r="J135" i="103"/>
  <c r="E135" i="103" s="1"/>
  <c r="I136" i="103"/>
  <c r="J136" i="103"/>
  <c r="E136" i="103" s="1"/>
  <c r="H128" i="103"/>
  <c r="J128" i="103"/>
  <c r="E128" i="103" s="1"/>
  <c r="N128" i="103"/>
  <c r="S128" i="103"/>
  <c r="I129" i="103"/>
  <c r="J129" i="103"/>
  <c r="E129" i="103" s="1"/>
  <c r="I130" i="103"/>
  <c r="J130" i="103"/>
  <c r="E130" i="103" s="1"/>
  <c r="C121" i="103"/>
  <c r="O122" i="103"/>
  <c r="F122" i="103" s="1"/>
  <c r="S122" i="103"/>
  <c r="T122" i="103"/>
  <c r="O123" i="103"/>
  <c r="O124" i="103"/>
  <c r="P125" i="103"/>
  <c r="C115" i="103"/>
  <c r="O116" i="103"/>
  <c r="F116" i="103" s="1"/>
  <c r="S116" i="103"/>
  <c r="T116" i="103"/>
  <c r="O117" i="103"/>
  <c r="O118" i="103"/>
  <c r="P119" i="103"/>
  <c r="C62" i="103"/>
  <c r="C57" i="103"/>
  <c r="F58" i="103"/>
  <c r="S58" i="103"/>
  <c r="O59" i="103"/>
  <c r="O60" i="103"/>
  <c r="P61" i="103"/>
  <c r="O63" i="103"/>
  <c r="F63" i="103" s="1"/>
  <c r="S63" i="103"/>
  <c r="O64" i="103"/>
  <c r="O65" i="103"/>
  <c r="P66" i="103"/>
  <c r="C30" i="103"/>
  <c r="C25" i="103"/>
  <c r="M15" i="103"/>
  <c r="R18" i="103"/>
  <c r="T26" i="103"/>
  <c r="O27" i="103"/>
  <c r="F27" i="103" s="1"/>
  <c r="O28" i="103"/>
  <c r="P29" i="103"/>
  <c r="O31" i="103"/>
  <c r="F31" i="103" s="1"/>
  <c r="T31" i="103"/>
  <c r="O32" i="103"/>
  <c r="O33" i="103"/>
  <c r="P34" i="103"/>
  <c r="H15" i="103"/>
  <c r="I15" i="103"/>
  <c r="J15" i="103"/>
  <c r="E15" i="103" s="1"/>
  <c r="N15" i="103"/>
  <c r="T15" i="103"/>
  <c r="I16" i="103"/>
  <c r="J16" i="103"/>
  <c r="E16" i="103" s="1"/>
  <c r="I17" i="103"/>
  <c r="J17" i="103"/>
  <c r="E17" i="103" s="1"/>
  <c r="L47" i="102"/>
  <c r="P47" i="102"/>
  <c r="L48" i="102"/>
  <c r="O48" i="102"/>
  <c r="P48" i="102"/>
  <c r="R48" i="102"/>
  <c r="S48" i="102"/>
  <c r="L49" i="102"/>
  <c r="O49" i="102"/>
  <c r="P49" i="102"/>
  <c r="R49" i="102"/>
  <c r="S49" i="102"/>
  <c r="N55" i="102"/>
  <c r="J55" i="102"/>
  <c r="K55" i="102"/>
  <c r="K47" i="102" s="1"/>
  <c r="R55" i="102"/>
  <c r="I56" i="102"/>
  <c r="I48" i="102" s="1"/>
  <c r="K56" i="102"/>
  <c r="K48" i="102" s="1"/>
  <c r="M56" i="102"/>
  <c r="M48" i="102" s="1"/>
  <c r="N56" i="102"/>
  <c r="N48" i="102" s="1"/>
  <c r="M57" i="102"/>
  <c r="M49" i="102" s="1"/>
  <c r="N57" i="102"/>
  <c r="N49" i="102" s="1"/>
  <c r="R31" i="102"/>
  <c r="S31" i="102"/>
  <c r="R32" i="102"/>
  <c r="S32" i="102"/>
  <c r="R34" i="102"/>
  <c r="S34" i="102"/>
  <c r="P35" i="102"/>
  <c r="P36" i="102"/>
  <c r="R38" i="102"/>
  <c r="S38" i="102"/>
  <c r="P39" i="102"/>
  <c r="P40" i="102"/>
  <c r="J42" i="102"/>
  <c r="J30" i="102" s="1"/>
  <c r="K42" i="102"/>
  <c r="K30" i="102" s="1"/>
  <c r="R42" i="102"/>
  <c r="S42" i="102"/>
  <c r="K43" i="102"/>
  <c r="K31" i="102" s="1"/>
  <c r="M31" i="102"/>
  <c r="N43" i="102"/>
  <c r="N31" i="102" s="1"/>
  <c r="M32" i="102"/>
  <c r="N44" i="102"/>
  <c r="N32" i="102" s="1"/>
  <c r="E14" i="103" l="1"/>
  <c r="H156" i="103"/>
  <c r="E158" i="103"/>
  <c r="E157" i="103"/>
  <c r="E159" i="103"/>
  <c r="E156" i="103"/>
  <c r="E92" i="103"/>
  <c r="E91" i="103"/>
  <c r="E90" i="103"/>
  <c r="E93" i="103"/>
  <c r="O21" i="103"/>
  <c r="E21" i="103"/>
  <c r="E24" i="103"/>
  <c r="E23" i="103"/>
  <c r="E22" i="103"/>
  <c r="E53" i="103"/>
  <c r="E56" i="103"/>
  <c r="E55" i="103"/>
  <c r="E54" i="103"/>
  <c r="E143" i="103"/>
  <c r="E142" i="103"/>
  <c r="E141" i="103"/>
  <c r="E140" i="103"/>
  <c r="E70" i="103"/>
  <c r="E10" i="103" s="1"/>
  <c r="E69" i="103"/>
  <c r="E72" i="103"/>
  <c r="E71" i="103"/>
  <c r="P32" i="102"/>
  <c r="P31" i="102"/>
  <c r="N47" i="102"/>
  <c r="E55" i="102"/>
  <c r="S113" i="104"/>
  <c r="G113" i="104" s="1"/>
  <c r="F160" i="103"/>
  <c r="F165" i="103"/>
  <c r="F73" i="103"/>
  <c r="E133" i="103"/>
  <c r="M47" i="102"/>
  <c r="E51" i="102"/>
  <c r="F135" i="103"/>
  <c r="R135" i="103" s="1"/>
  <c r="G135" i="103" s="1"/>
  <c r="F17" i="103"/>
  <c r="F159" i="103"/>
  <c r="F136" i="103"/>
  <c r="R136" i="103" s="1"/>
  <c r="G136" i="103" s="1"/>
  <c r="F21" i="103"/>
  <c r="F16" i="103"/>
  <c r="F71" i="103"/>
  <c r="F158" i="103"/>
  <c r="F141" i="103"/>
  <c r="F157" i="103"/>
  <c r="F140" i="103"/>
  <c r="F156" i="103"/>
  <c r="F53" i="103"/>
  <c r="F69" i="103"/>
  <c r="F90" i="103"/>
  <c r="F33" i="103"/>
  <c r="F66" i="103"/>
  <c r="F117" i="103"/>
  <c r="R117" i="103" s="1"/>
  <c r="G117" i="103" s="1"/>
  <c r="F153" i="103"/>
  <c r="F143" i="103" s="1"/>
  <c r="F147" i="103"/>
  <c r="F144" i="103" s="1"/>
  <c r="F15" i="103"/>
  <c r="F64" i="103"/>
  <c r="R64" i="103" s="1"/>
  <c r="G64" i="103" s="1"/>
  <c r="F60" i="103"/>
  <c r="F119" i="103"/>
  <c r="R119" i="103" s="1"/>
  <c r="G119" i="103" s="1"/>
  <c r="F124" i="103"/>
  <c r="R124" i="103" s="1"/>
  <c r="G124" i="103" s="1"/>
  <c r="F85" i="103"/>
  <c r="R85" i="103" s="1"/>
  <c r="G85" i="103" s="1"/>
  <c r="F111" i="103"/>
  <c r="F108" i="103"/>
  <c r="F101" i="103"/>
  <c r="R101" i="103" s="1"/>
  <c r="G101" i="103" s="1"/>
  <c r="F34" i="103"/>
  <c r="F59" i="103"/>
  <c r="R59" i="103" s="1"/>
  <c r="F118" i="103"/>
  <c r="R118" i="103" s="1"/>
  <c r="G118" i="103" s="1"/>
  <c r="F123" i="103"/>
  <c r="R123" i="103" s="1"/>
  <c r="G123" i="103" s="1"/>
  <c r="F129" i="103"/>
  <c r="R129" i="103" s="1"/>
  <c r="G129" i="103" s="1"/>
  <c r="F82" i="103"/>
  <c r="R82" i="103" s="1"/>
  <c r="G82" i="103" s="1"/>
  <c r="F107" i="103"/>
  <c r="R107" i="103" s="1"/>
  <c r="G107" i="103" s="1"/>
  <c r="F97" i="103"/>
  <c r="F94" i="103" s="1"/>
  <c r="F29" i="103"/>
  <c r="F87" i="103"/>
  <c r="R87" i="103" s="1"/>
  <c r="G87" i="103" s="1"/>
  <c r="F103" i="103"/>
  <c r="F32" i="103"/>
  <c r="F28" i="103"/>
  <c r="F65" i="103"/>
  <c r="R65" i="103" s="1"/>
  <c r="G65" i="103" s="1"/>
  <c r="F61" i="103"/>
  <c r="F125" i="103"/>
  <c r="R125" i="103" s="1"/>
  <c r="G125" i="103" s="1"/>
  <c r="F130" i="103"/>
  <c r="R130" i="103" s="1"/>
  <c r="G130" i="103" s="1"/>
  <c r="F152" i="103"/>
  <c r="R152" i="103" s="1"/>
  <c r="G152" i="103" s="1"/>
  <c r="F80" i="103"/>
  <c r="R80" i="103" s="1"/>
  <c r="G80" i="103" s="1"/>
  <c r="F112" i="103"/>
  <c r="R112" i="103" s="1"/>
  <c r="G112" i="103" s="1"/>
  <c r="J47" i="102"/>
  <c r="R47" i="102"/>
  <c r="E127" i="103"/>
  <c r="F134" i="103"/>
  <c r="R134" i="103" s="1"/>
  <c r="S47" i="102"/>
  <c r="F128" i="103"/>
  <c r="N93" i="103"/>
  <c r="R98" i="103"/>
  <c r="R96" i="103"/>
  <c r="I90" i="103"/>
  <c r="M90" i="103"/>
  <c r="I91" i="103"/>
  <c r="M91" i="103"/>
  <c r="Q91" i="103"/>
  <c r="I92" i="103"/>
  <c r="M92" i="103"/>
  <c r="Q92" i="103"/>
  <c r="I93" i="103"/>
  <c r="M93" i="103"/>
  <c r="Q93" i="103"/>
  <c r="J90" i="103"/>
  <c r="N90" i="103"/>
  <c r="J91" i="103"/>
  <c r="N91" i="103"/>
  <c r="J92" i="103"/>
  <c r="N92" i="103"/>
  <c r="J93" i="103"/>
  <c r="C89" i="103"/>
  <c r="T93" i="103"/>
  <c r="P93" i="103"/>
  <c r="L93" i="103"/>
  <c r="H93" i="103"/>
  <c r="T92" i="103"/>
  <c r="P92" i="103"/>
  <c r="L92" i="103"/>
  <c r="H92" i="103"/>
  <c r="T91" i="103"/>
  <c r="P91" i="103"/>
  <c r="L91" i="103"/>
  <c r="H91" i="103"/>
  <c r="T90" i="103"/>
  <c r="P90" i="103"/>
  <c r="L90" i="103"/>
  <c r="H90" i="103"/>
  <c r="S71" i="103"/>
  <c r="R106" i="103"/>
  <c r="G106" i="103" s="1"/>
  <c r="S93" i="103"/>
  <c r="O93" i="103"/>
  <c r="K93" i="103"/>
  <c r="S92" i="103"/>
  <c r="O92" i="103"/>
  <c r="K92" i="103"/>
  <c r="S91" i="103"/>
  <c r="O91" i="103"/>
  <c r="K91" i="103"/>
  <c r="S90" i="103"/>
  <c r="O90" i="103"/>
  <c r="K90" i="103"/>
  <c r="R113" i="103"/>
  <c r="G113" i="103" s="1"/>
  <c r="R102" i="103"/>
  <c r="J71" i="103"/>
  <c r="S72" i="103"/>
  <c r="J70" i="103"/>
  <c r="K72" i="103"/>
  <c r="J69" i="103"/>
  <c r="J72" i="103"/>
  <c r="Q71" i="103"/>
  <c r="I71" i="103"/>
  <c r="Q70" i="103"/>
  <c r="I70" i="103"/>
  <c r="I69" i="103"/>
  <c r="O72" i="103"/>
  <c r="N71" i="103"/>
  <c r="N70" i="103"/>
  <c r="N69" i="103"/>
  <c r="N72" i="103"/>
  <c r="M71" i="103"/>
  <c r="M70" i="103"/>
  <c r="M69" i="103"/>
  <c r="C68" i="103"/>
  <c r="Q72" i="103"/>
  <c r="M72" i="103"/>
  <c r="I72" i="103"/>
  <c r="P71" i="103"/>
  <c r="L71" i="103"/>
  <c r="H71" i="103"/>
  <c r="T70" i="103"/>
  <c r="P70" i="103"/>
  <c r="L70" i="103"/>
  <c r="H70" i="103"/>
  <c r="T69" i="103"/>
  <c r="P69" i="103"/>
  <c r="L69" i="103"/>
  <c r="H69" i="103"/>
  <c r="R81" i="103"/>
  <c r="G81" i="103" s="1"/>
  <c r="R77" i="103"/>
  <c r="T72" i="103"/>
  <c r="P72" i="103"/>
  <c r="L72" i="103"/>
  <c r="H72" i="103"/>
  <c r="T71" i="103"/>
  <c r="O71" i="103"/>
  <c r="K71" i="103"/>
  <c r="S70" i="103"/>
  <c r="O70" i="103"/>
  <c r="K70" i="103"/>
  <c r="S69" i="103"/>
  <c r="O69" i="103"/>
  <c r="K69" i="103"/>
  <c r="R86" i="103"/>
  <c r="G86" i="103" s="1"/>
  <c r="R76" i="103"/>
  <c r="G76" i="103" s="1"/>
  <c r="R75" i="103"/>
  <c r="I159" i="103"/>
  <c r="T157" i="103"/>
  <c r="L156" i="103"/>
  <c r="S159" i="103"/>
  <c r="K159" i="103"/>
  <c r="P158" i="103"/>
  <c r="H158" i="103"/>
  <c r="L157" i="103"/>
  <c r="P156" i="103"/>
  <c r="Q159" i="103"/>
  <c r="N158" i="103"/>
  <c r="J157" i="103"/>
  <c r="N156" i="103"/>
  <c r="O159" i="103"/>
  <c r="L158" i="103"/>
  <c r="P157" i="103"/>
  <c r="H157" i="103"/>
  <c r="M159" i="103"/>
  <c r="S158" i="103"/>
  <c r="J158" i="103"/>
  <c r="N157" i="103"/>
  <c r="T156" i="103"/>
  <c r="J156" i="103"/>
  <c r="T159" i="103"/>
  <c r="P159" i="103"/>
  <c r="L159" i="103"/>
  <c r="H159" i="103"/>
  <c r="T158" i="103"/>
  <c r="O158" i="103"/>
  <c r="K158" i="103"/>
  <c r="S157" i="103"/>
  <c r="O157" i="103"/>
  <c r="K157" i="103"/>
  <c r="S156" i="103"/>
  <c r="O156" i="103"/>
  <c r="K156" i="103"/>
  <c r="R169" i="103"/>
  <c r="G169" i="103" s="1"/>
  <c r="R164" i="103"/>
  <c r="G164" i="103" s="1"/>
  <c r="R162" i="103"/>
  <c r="G162" i="103" s="1"/>
  <c r="R168" i="103"/>
  <c r="G168" i="103" s="1"/>
  <c r="N159" i="103"/>
  <c r="J159" i="103"/>
  <c r="Q158" i="103"/>
  <c r="M158" i="103"/>
  <c r="I158" i="103"/>
  <c r="Q157" i="103"/>
  <c r="M157" i="103"/>
  <c r="I157" i="103"/>
  <c r="M156" i="103"/>
  <c r="I156" i="103"/>
  <c r="R163" i="103"/>
  <c r="G163" i="103" s="1"/>
  <c r="C155" i="103"/>
  <c r="T37" i="103"/>
  <c r="C36" i="103"/>
  <c r="S40" i="103"/>
  <c r="S39" i="103"/>
  <c r="S38" i="103"/>
  <c r="T40" i="103"/>
  <c r="T39" i="103"/>
  <c r="T38" i="103"/>
  <c r="S37" i="103"/>
  <c r="K140" i="103"/>
  <c r="S140" i="103"/>
  <c r="J141" i="103"/>
  <c r="N141" i="103"/>
  <c r="I142" i="103"/>
  <c r="M142" i="103"/>
  <c r="Q142" i="103"/>
  <c r="H143" i="103"/>
  <c r="L143" i="103"/>
  <c r="P143" i="103"/>
  <c r="T143" i="103"/>
  <c r="H140" i="103"/>
  <c r="O140" i="103"/>
  <c r="S143" i="103"/>
  <c r="O143" i="103"/>
  <c r="K143" i="103"/>
  <c r="T142" i="103"/>
  <c r="P142" i="103"/>
  <c r="L142" i="103"/>
  <c r="H142" i="103"/>
  <c r="Q141" i="103"/>
  <c r="M141" i="103"/>
  <c r="I141" i="103"/>
  <c r="N140" i="103"/>
  <c r="J140" i="103"/>
  <c r="C139" i="103"/>
  <c r="N143" i="103"/>
  <c r="J143" i="103"/>
  <c r="S142" i="103"/>
  <c r="O142" i="103"/>
  <c r="K142" i="103"/>
  <c r="T141" i="103"/>
  <c r="P141" i="103"/>
  <c r="L141" i="103"/>
  <c r="H141" i="103"/>
  <c r="M140" i="103"/>
  <c r="I140" i="103"/>
  <c r="R146" i="103"/>
  <c r="R151" i="103"/>
  <c r="G151" i="103" s="1"/>
  <c r="Q143" i="103"/>
  <c r="M143" i="103"/>
  <c r="I143" i="103"/>
  <c r="N142" i="103"/>
  <c r="J142" i="103"/>
  <c r="S141" i="103"/>
  <c r="O141" i="103"/>
  <c r="K141" i="103"/>
  <c r="T140" i="103"/>
  <c r="P140" i="103"/>
  <c r="L140" i="103"/>
  <c r="J53" i="103"/>
  <c r="Q56" i="103"/>
  <c r="I56" i="103"/>
  <c r="J55" i="103"/>
  <c r="L54" i="103"/>
  <c r="P53" i="103"/>
  <c r="H53" i="103"/>
  <c r="M56" i="103"/>
  <c r="N55" i="103"/>
  <c r="S54" i="103"/>
  <c r="H54" i="103"/>
  <c r="L53" i="103"/>
  <c r="J56" i="103"/>
  <c r="K55" i="103"/>
  <c r="P54" i="103"/>
  <c r="T53" i="103"/>
  <c r="I53" i="103"/>
  <c r="N56" i="103"/>
  <c r="S55" i="103"/>
  <c r="T54" i="103"/>
  <c r="K54" i="103"/>
  <c r="M53" i="103"/>
  <c r="T56" i="103"/>
  <c r="P56" i="103"/>
  <c r="L56" i="103"/>
  <c r="H56" i="103"/>
  <c r="Q55" i="103"/>
  <c r="M55" i="103"/>
  <c r="I55" i="103"/>
  <c r="N54" i="103"/>
  <c r="J54" i="103"/>
  <c r="S53" i="103"/>
  <c r="O53" i="103"/>
  <c r="K53" i="103"/>
  <c r="O55" i="103"/>
  <c r="O54" i="103"/>
  <c r="S56" i="103"/>
  <c r="O56" i="103"/>
  <c r="K56" i="103"/>
  <c r="T55" i="103"/>
  <c r="P55" i="103"/>
  <c r="L55" i="103"/>
  <c r="H55" i="103"/>
  <c r="Q54" i="103"/>
  <c r="M54" i="103"/>
  <c r="I54" i="103"/>
  <c r="N53" i="103"/>
  <c r="C52" i="103"/>
  <c r="S24" i="103"/>
  <c r="K24" i="103"/>
  <c r="P23" i="103"/>
  <c r="H23" i="103"/>
  <c r="M22" i="103"/>
  <c r="J21" i="103"/>
  <c r="J24" i="103"/>
  <c r="O23" i="103"/>
  <c r="T22" i="103"/>
  <c r="I22" i="103"/>
  <c r="O24" i="103"/>
  <c r="T23" i="103"/>
  <c r="L23" i="103"/>
  <c r="Q22" i="103"/>
  <c r="K21" i="103"/>
  <c r="S21" i="103"/>
  <c r="J22" i="103"/>
  <c r="N22" i="103"/>
  <c r="I23" i="103"/>
  <c r="M23" i="103"/>
  <c r="Q23" i="103"/>
  <c r="H24" i="103"/>
  <c r="L24" i="103"/>
  <c r="P24" i="103"/>
  <c r="T24" i="103"/>
  <c r="H21" i="103"/>
  <c r="L21" i="103"/>
  <c r="P21" i="103"/>
  <c r="T21" i="103"/>
  <c r="K22" i="103"/>
  <c r="O22" i="103"/>
  <c r="S22" i="103"/>
  <c r="J23" i="103"/>
  <c r="N23" i="103"/>
  <c r="I24" i="103"/>
  <c r="M24" i="103"/>
  <c r="Q24" i="103"/>
  <c r="I21" i="103"/>
  <c r="I9" i="103" s="1"/>
  <c r="M21" i="103"/>
  <c r="H22" i="103"/>
  <c r="L22" i="103"/>
  <c r="N24" i="103"/>
  <c r="S23" i="103"/>
  <c r="K23" i="103"/>
  <c r="P22" i="103"/>
  <c r="N21" i="103"/>
  <c r="C20" i="103"/>
  <c r="S30" i="102"/>
  <c r="R30" i="102"/>
  <c r="E11" i="103" l="1"/>
  <c r="E9" i="103"/>
  <c r="E12" i="103"/>
  <c r="E20" i="103"/>
  <c r="E52" i="103"/>
  <c r="R103" i="103"/>
  <c r="G103" i="103" s="1"/>
  <c r="E139" i="103"/>
  <c r="E155" i="103"/>
  <c r="E47" i="102"/>
  <c r="F9" i="103"/>
  <c r="R44" i="103"/>
  <c r="G44" i="103" s="1"/>
  <c r="G39" i="103" s="1"/>
  <c r="R28" i="103"/>
  <c r="G28" i="103" s="1"/>
  <c r="R45" i="103"/>
  <c r="R29" i="103"/>
  <c r="G29" i="103" s="1"/>
  <c r="R50" i="103"/>
  <c r="G50" i="103" s="1"/>
  <c r="R34" i="103"/>
  <c r="G34" i="103" s="1"/>
  <c r="R48" i="103"/>
  <c r="G48" i="103" s="1"/>
  <c r="R32" i="103"/>
  <c r="G32" i="103" s="1"/>
  <c r="R49" i="103"/>
  <c r="G49" i="103" s="1"/>
  <c r="R33" i="103"/>
  <c r="G33" i="103" s="1"/>
  <c r="R43" i="103"/>
  <c r="R27" i="103"/>
  <c r="E89" i="103"/>
  <c r="F30" i="103"/>
  <c r="F109" i="103"/>
  <c r="F99" i="103"/>
  <c r="F115" i="103"/>
  <c r="F133" i="103"/>
  <c r="F57" i="103"/>
  <c r="F149" i="103"/>
  <c r="F155" i="103"/>
  <c r="F83" i="103"/>
  <c r="F104" i="103"/>
  <c r="F121" i="103"/>
  <c r="F25" i="103"/>
  <c r="E68" i="103"/>
  <c r="F78" i="103"/>
  <c r="F62" i="103"/>
  <c r="F127" i="103"/>
  <c r="F14" i="103"/>
  <c r="F93" i="103"/>
  <c r="O9" i="103"/>
  <c r="G159" i="103"/>
  <c r="G71" i="103"/>
  <c r="F23" i="103"/>
  <c r="F91" i="103"/>
  <c r="R66" i="103"/>
  <c r="G66" i="103" s="1"/>
  <c r="F56" i="103"/>
  <c r="F92" i="103"/>
  <c r="G59" i="103"/>
  <c r="G54" i="103" s="1"/>
  <c r="R54" i="103"/>
  <c r="R111" i="103"/>
  <c r="G111" i="103" s="1"/>
  <c r="G158" i="103"/>
  <c r="G27" i="103"/>
  <c r="F22" i="103"/>
  <c r="F142" i="103"/>
  <c r="F139" i="103" s="1"/>
  <c r="F70" i="103"/>
  <c r="F55" i="103"/>
  <c r="F11" i="103" s="1"/>
  <c r="R153" i="103"/>
  <c r="G153" i="103" s="1"/>
  <c r="R61" i="103"/>
  <c r="G61" i="103" s="1"/>
  <c r="F24" i="103"/>
  <c r="F54" i="103"/>
  <c r="F72" i="103"/>
  <c r="R97" i="103"/>
  <c r="G97" i="103" s="1"/>
  <c r="R147" i="103"/>
  <c r="R108" i="103"/>
  <c r="G108" i="103" s="1"/>
  <c r="R60" i="103"/>
  <c r="K12" i="103"/>
  <c r="J10" i="103"/>
  <c r="I11" i="103"/>
  <c r="S9" i="103"/>
  <c r="L10" i="103"/>
  <c r="N11" i="103"/>
  <c r="H9" i="103"/>
  <c r="H12" i="103"/>
  <c r="N9" i="103"/>
  <c r="J11" i="103"/>
  <c r="K9" i="103"/>
  <c r="O12" i="103"/>
  <c r="S12" i="103"/>
  <c r="S11" i="103"/>
  <c r="Q12" i="103"/>
  <c r="K10" i="103"/>
  <c r="T11" i="103"/>
  <c r="J12" i="103"/>
  <c r="J9" i="103"/>
  <c r="L9" i="103"/>
  <c r="T9" i="103"/>
  <c r="M9" i="103"/>
  <c r="I10" i="103"/>
  <c r="N12" i="103"/>
  <c r="H10" i="103"/>
  <c r="M12" i="103"/>
  <c r="T12" i="103"/>
  <c r="Q11" i="103"/>
  <c r="N10" i="103"/>
  <c r="M10" i="103"/>
  <c r="R16" i="103"/>
  <c r="P10" i="103"/>
  <c r="I12" i="103"/>
  <c r="S10" i="103"/>
  <c r="P9" i="103"/>
  <c r="P12" i="103"/>
  <c r="M11" i="103"/>
  <c r="Q10" i="103"/>
  <c r="T10" i="103"/>
  <c r="H11" i="103"/>
  <c r="R17" i="103"/>
  <c r="K11" i="103"/>
  <c r="O10" i="103"/>
  <c r="L12" i="103"/>
  <c r="L11" i="103"/>
  <c r="O11" i="103"/>
  <c r="P11" i="103"/>
  <c r="G102" i="103"/>
  <c r="G98" i="103"/>
  <c r="G96" i="103"/>
  <c r="G77" i="103"/>
  <c r="G72" i="103" s="1"/>
  <c r="R72" i="103"/>
  <c r="G75" i="103"/>
  <c r="G70" i="103" s="1"/>
  <c r="R70" i="103"/>
  <c r="R71" i="103"/>
  <c r="R167" i="103"/>
  <c r="G167" i="103" s="1"/>
  <c r="G157" i="103" s="1"/>
  <c r="R158" i="103"/>
  <c r="R159" i="103"/>
  <c r="R39" i="103"/>
  <c r="R148" i="103"/>
  <c r="G146" i="103"/>
  <c r="G141" i="103" s="1"/>
  <c r="R141" i="103"/>
  <c r="F10" i="103" l="1"/>
  <c r="F8" i="103" s="1"/>
  <c r="E8" i="103"/>
  <c r="F12" i="103"/>
  <c r="R24" i="103"/>
  <c r="G24" i="103"/>
  <c r="F89" i="103"/>
  <c r="F52" i="103"/>
  <c r="F68" i="103"/>
  <c r="F20" i="103"/>
  <c r="G56" i="103"/>
  <c r="G23" i="103"/>
  <c r="G93" i="103"/>
  <c r="R93" i="103"/>
  <c r="R23" i="103"/>
  <c r="R91" i="103"/>
  <c r="G91" i="103"/>
  <c r="G92" i="103"/>
  <c r="G43" i="103"/>
  <c r="G38" i="103" s="1"/>
  <c r="R38" i="103"/>
  <c r="G22" i="103"/>
  <c r="R56" i="103"/>
  <c r="G45" i="103"/>
  <c r="G40" i="103" s="1"/>
  <c r="R40" i="103"/>
  <c r="G147" i="103"/>
  <c r="G142" i="103" s="1"/>
  <c r="R142" i="103"/>
  <c r="R92" i="103"/>
  <c r="R55" i="103"/>
  <c r="G60" i="103"/>
  <c r="G55" i="103" s="1"/>
  <c r="R22" i="103"/>
  <c r="G17" i="103"/>
  <c r="G16" i="103"/>
  <c r="R157" i="103"/>
  <c r="G148" i="103"/>
  <c r="R143" i="103"/>
  <c r="G10" i="103" l="1"/>
  <c r="R10" i="103"/>
  <c r="G11" i="103"/>
  <c r="R11" i="103"/>
  <c r="R12" i="103"/>
  <c r="G143" i="103"/>
  <c r="G12" i="103" s="1"/>
  <c r="O10" i="102"/>
  <c r="R10" i="102"/>
  <c r="S10" i="102"/>
  <c r="O11" i="102"/>
  <c r="R11" i="102"/>
  <c r="S11" i="102"/>
  <c r="R13" i="102"/>
  <c r="S13" i="102"/>
  <c r="P14" i="102"/>
  <c r="P15" i="102"/>
  <c r="R17" i="102"/>
  <c r="S17" i="102"/>
  <c r="P18" i="102"/>
  <c r="P19" i="102"/>
  <c r="R21" i="102"/>
  <c r="S21" i="102"/>
  <c r="P22" i="102"/>
  <c r="P23" i="102"/>
  <c r="J25" i="102"/>
  <c r="K25" i="102"/>
  <c r="K9" i="102" s="1"/>
  <c r="L9" i="102"/>
  <c r="R25" i="102"/>
  <c r="S25" i="102"/>
  <c r="K26" i="102"/>
  <c r="K10" i="102" s="1"/>
  <c r="M26" i="102"/>
  <c r="M10" i="102" s="1"/>
  <c r="N26" i="102"/>
  <c r="N10" i="102" s="1"/>
  <c r="P26" i="102"/>
  <c r="L11" i="102"/>
  <c r="M11" i="102"/>
  <c r="N27" i="102"/>
  <c r="N11" i="102" s="1"/>
  <c r="P27" i="102"/>
  <c r="I86" i="100"/>
  <c r="I81" i="100"/>
  <c r="H165" i="100"/>
  <c r="H160" i="100"/>
  <c r="H155" i="100"/>
  <c r="H150" i="100"/>
  <c r="H145" i="100"/>
  <c r="H135" i="100"/>
  <c r="H130" i="100"/>
  <c r="H86" i="100"/>
  <c r="H81" i="100"/>
  <c r="H71" i="100"/>
  <c r="H66" i="100"/>
  <c r="B164" i="100"/>
  <c r="B159" i="100"/>
  <c r="B154" i="100"/>
  <c r="B149" i="100"/>
  <c r="B144" i="100"/>
  <c r="B85" i="100"/>
  <c r="B80" i="100"/>
  <c r="B65" i="100"/>
  <c r="B70" i="100"/>
  <c r="B75" i="100"/>
  <c r="B60" i="100"/>
  <c r="B55" i="100"/>
  <c r="B50" i="100"/>
  <c r="B45" i="100"/>
  <c r="B40" i="100"/>
  <c r="B35" i="100"/>
  <c r="B30" i="100"/>
  <c r="B134" i="100"/>
  <c r="B129" i="100"/>
  <c r="J150" i="100"/>
  <c r="J145" i="100"/>
  <c r="C40" i="7"/>
  <c r="C43" i="7"/>
  <c r="H36" i="100"/>
  <c r="H31" i="100"/>
  <c r="J165" i="100"/>
  <c r="J160" i="100"/>
  <c r="I160" i="100"/>
  <c r="J155" i="100"/>
  <c r="I155" i="100"/>
  <c r="J135" i="100"/>
  <c r="J130" i="100"/>
  <c r="J86" i="100"/>
  <c r="J81" i="100"/>
  <c r="J76" i="100"/>
  <c r="I76" i="100"/>
  <c r="J71" i="100"/>
  <c r="I71" i="100"/>
  <c r="J66" i="100"/>
  <c r="I66" i="100"/>
  <c r="J61" i="100"/>
  <c r="I61" i="100"/>
  <c r="J56" i="100"/>
  <c r="I56" i="100"/>
  <c r="H56" i="100"/>
  <c r="J51" i="100"/>
  <c r="I51" i="100"/>
  <c r="H51" i="100"/>
  <c r="J46" i="100"/>
  <c r="I46" i="100"/>
  <c r="H46" i="100"/>
  <c r="J41" i="100"/>
  <c r="I41" i="100"/>
  <c r="H41" i="100"/>
  <c r="J36" i="100"/>
  <c r="I36" i="100"/>
  <c r="J31" i="100"/>
  <c r="I31" i="100"/>
  <c r="J13" i="100"/>
  <c r="J26" i="100"/>
  <c r="H26" i="100"/>
  <c r="B25" i="100"/>
  <c r="I26" i="100"/>
  <c r="J17" i="100"/>
  <c r="I21" i="100"/>
  <c r="I17" i="100"/>
  <c r="I13" i="100"/>
  <c r="I9" i="100" s="1"/>
  <c r="H21" i="100"/>
  <c r="H17" i="100"/>
  <c r="H13" i="100"/>
  <c r="B20" i="100"/>
  <c r="B16" i="100"/>
  <c r="B12" i="100"/>
  <c r="H9" i="100" l="1"/>
  <c r="F13" i="100"/>
  <c r="F46" i="100"/>
  <c r="I125" i="100"/>
  <c r="J9" i="102"/>
  <c r="R9" i="102"/>
  <c r="S9" i="102"/>
  <c r="P10" i="102"/>
  <c r="P11" i="102"/>
  <c r="B124" i="100"/>
  <c r="H125" i="100"/>
  <c r="B139" i="100"/>
  <c r="I141" i="100"/>
  <c r="I140" i="100"/>
  <c r="H140" i="100"/>
  <c r="J142" i="100"/>
  <c r="H142" i="100"/>
  <c r="H141" i="100"/>
  <c r="B8" i="100"/>
  <c r="J141" i="100"/>
  <c r="I142" i="100"/>
  <c r="J126" i="100"/>
  <c r="J140" i="100"/>
  <c r="J125" i="100"/>
  <c r="I126" i="100"/>
  <c r="I127" i="100"/>
  <c r="J127" i="100"/>
  <c r="H126" i="100"/>
  <c r="H127" i="100"/>
  <c r="C10" i="87" l="1"/>
  <c r="B47" i="112" s="1"/>
  <c r="C22" i="87"/>
  <c r="B115" i="112" s="1"/>
  <c r="P110" i="112" l="1"/>
  <c r="B107" i="112"/>
  <c r="P108" i="112"/>
  <c r="R109" i="112"/>
  <c r="P109" i="112"/>
  <c r="S109" i="112"/>
  <c r="R108" i="112"/>
  <c r="R110" i="112"/>
  <c r="S110" i="112"/>
  <c r="S108" i="112"/>
  <c r="O109" i="112"/>
  <c r="N110" i="112"/>
  <c r="O110" i="112"/>
  <c r="N109" i="112"/>
  <c r="G108" i="112"/>
  <c r="K110" i="112"/>
  <c r="H110" i="112"/>
  <c r="I110" i="112"/>
  <c r="J109" i="112"/>
  <c r="M109" i="112"/>
  <c r="L109" i="112"/>
  <c r="J108" i="112"/>
  <c r="L110" i="112"/>
  <c r="H108" i="112"/>
  <c r="G109" i="112"/>
  <c r="K109" i="112"/>
  <c r="K108" i="112"/>
  <c r="I109" i="112"/>
  <c r="M108" i="112"/>
  <c r="M110" i="112"/>
  <c r="I108" i="112"/>
  <c r="J110" i="112"/>
  <c r="G110" i="112"/>
  <c r="H109" i="112"/>
  <c r="L108" i="112"/>
  <c r="D109" i="112"/>
  <c r="D108" i="112"/>
  <c r="Q109" i="112"/>
  <c r="E109" i="112"/>
  <c r="D110" i="112"/>
  <c r="F110" i="112"/>
  <c r="F109" i="112"/>
  <c r="E110" i="112"/>
  <c r="Q110" i="112"/>
  <c r="R41" i="112"/>
  <c r="R40" i="112"/>
  <c r="B39" i="112"/>
  <c r="P41" i="112"/>
  <c r="S41" i="112"/>
  <c r="P40" i="112"/>
  <c r="S40" i="112"/>
  <c r="S42" i="112"/>
  <c r="R42" i="112"/>
  <c r="P42" i="112"/>
  <c r="O42" i="112"/>
  <c r="O41" i="112"/>
  <c r="N42" i="112"/>
  <c r="N41" i="112"/>
  <c r="L40" i="112"/>
  <c r="J40" i="112"/>
  <c r="L41" i="112"/>
  <c r="M40" i="112"/>
  <c r="G42" i="112"/>
  <c r="K41" i="112"/>
  <c r="I41" i="112"/>
  <c r="M42" i="112"/>
  <c r="H42" i="112"/>
  <c r="G41" i="112"/>
  <c r="M41" i="112"/>
  <c r="I42" i="112"/>
  <c r="J41" i="112"/>
  <c r="H40" i="112"/>
  <c r="K42" i="112"/>
  <c r="J42" i="112"/>
  <c r="K40" i="112"/>
  <c r="I40" i="112"/>
  <c r="H41" i="112"/>
  <c r="L42" i="112"/>
  <c r="F42" i="112"/>
  <c r="Q41" i="112"/>
  <c r="F41" i="112"/>
  <c r="E42" i="112"/>
  <c r="Q42" i="112"/>
  <c r="E41" i="112"/>
  <c r="D107" i="112" l="1"/>
  <c r="F176" i="106"/>
  <c r="F181" i="106" s="1"/>
  <c r="J63" i="6"/>
  <c r="F186" i="106" l="1"/>
  <c r="N145" i="5"/>
  <c r="M146" i="106" s="1"/>
  <c r="O145" i="5"/>
  <c r="M147" i="106" s="1"/>
  <c r="S186" i="106" l="1"/>
  <c r="G186" i="106" s="1"/>
  <c r="S181" i="106"/>
  <c r="G181" i="106" s="1"/>
  <c r="M134" i="106"/>
  <c r="F146" i="106"/>
  <c r="F134" i="106" s="1"/>
  <c r="M135" i="106"/>
  <c r="S146" i="106" l="1"/>
  <c r="B331" i="64"/>
  <c r="B332" i="64"/>
  <c r="C243" i="64"/>
  <c r="D172" i="64"/>
  <c r="D223" i="64" s="1"/>
  <c r="C138" i="64"/>
  <c r="C263" i="64"/>
  <c r="C135" i="64"/>
  <c r="D135" i="64"/>
  <c r="B370" i="64"/>
  <c r="C136" i="64"/>
  <c r="D136" i="64"/>
  <c r="B282" i="64"/>
  <c r="B285" i="64"/>
  <c r="B324" i="64" s="1"/>
  <c r="B288" i="64"/>
  <c r="B327" i="64" s="1"/>
  <c r="C288" i="64"/>
  <c r="C327" i="64" s="1"/>
  <c r="B165" i="64"/>
  <c r="C165" i="64"/>
  <c r="D165" i="64"/>
  <c r="D216" i="64" s="1"/>
  <c r="B166" i="64"/>
  <c r="B217" i="64" s="1"/>
  <c r="C166" i="64"/>
  <c r="C217" i="64" s="1"/>
  <c r="D166" i="64"/>
  <c r="D217" i="64" s="1"/>
  <c r="B301" i="64"/>
  <c r="C301" i="64"/>
  <c r="B170" i="64"/>
  <c r="B221" i="64" s="1"/>
  <c r="C170" i="64"/>
  <c r="C221" i="64" s="1"/>
  <c r="D170" i="64"/>
  <c r="D221" i="64" s="1"/>
  <c r="B171" i="64"/>
  <c r="B222" i="64" s="1"/>
  <c r="C171" i="64"/>
  <c r="C222" i="64" s="1"/>
  <c r="D171" i="64"/>
  <c r="D222" i="64" s="1"/>
  <c r="B175" i="64"/>
  <c r="B226" i="64" s="1"/>
  <c r="C175" i="64"/>
  <c r="C226" i="64" s="1"/>
  <c r="D175" i="64"/>
  <c r="D226" i="64" s="1"/>
  <c r="B176" i="64"/>
  <c r="B227" i="64" s="1"/>
  <c r="C176" i="64"/>
  <c r="C227" i="64" s="1"/>
  <c r="D176" i="64"/>
  <c r="D227" i="64" s="1"/>
  <c r="C320" i="64"/>
  <c r="C321" i="64"/>
  <c r="C323" i="64"/>
  <c r="B190" i="64"/>
  <c r="C190" i="64"/>
  <c r="D190" i="64"/>
  <c r="C324" i="64"/>
  <c r="B49" i="63"/>
  <c r="C49" i="63"/>
  <c r="B216" i="64" l="1"/>
  <c r="C287" i="64"/>
  <c r="C326" i="64" s="1"/>
  <c r="K40" i="102" s="1"/>
  <c r="C252" i="64"/>
  <c r="C137" i="64"/>
  <c r="B252" i="64"/>
  <c r="B296" i="64"/>
  <c r="J35" i="102" s="1"/>
  <c r="B321" i="64"/>
  <c r="G146" i="106"/>
  <c r="G134" i="106" s="1"/>
  <c r="S134" i="106"/>
  <c r="D167" i="64"/>
  <c r="D218" i="64" s="1"/>
  <c r="B281" i="64"/>
  <c r="B320" i="64" s="1"/>
  <c r="B287" i="64"/>
  <c r="B326" i="64" s="1"/>
  <c r="D131" i="64"/>
  <c r="C216" i="64"/>
  <c r="D173" i="64"/>
  <c r="D224" i="64" s="1"/>
  <c r="D123" i="64"/>
  <c r="C172" i="64"/>
  <c r="C223" i="64" s="1"/>
  <c r="D163" i="64"/>
  <c r="D138" i="64"/>
  <c r="D132" i="64"/>
  <c r="C131" i="64"/>
  <c r="D178" i="64"/>
  <c r="D229" i="64" s="1"/>
  <c r="D168" i="64"/>
  <c r="D219" i="64" s="1"/>
  <c r="C167" i="64"/>
  <c r="C218" i="64" s="1"/>
  <c r="C123" i="64"/>
  <c r="B173" i="64"/>
  <c r="B224" i="64" s="1"/>
  <c r="B134" i="64"/>
  <c r="B168" i="64"/>
  <c r="B219" i="64" s="1"/>
  <c r="B178" i="64"/>
  <c r="B229" i="64" s="1"/>
  <c r="C262" i="64"/>
  <c r="J39" i="102" s="1"/>
  <c r="D177" i="64"/>
  <c r="D228" i="64" s="1"/>
  <c r="B284" i="64"/>
  <c r="B323" i="64" s="1"/>
  <c r="C177" i="64"/>
  <c r="C228" i="64" s="1"/>
  <c r="D137" i="64"/>
  <c r="D133" i="64"/>
  <c r="C133" i="64"/>
  <c r="B132" i="64"/>
  <c r="B333" i="64"/>
  <c r="B364" i="64" s="1"/>
  <c r="J52" i="102" s="1"/>
  <c r="E52" i="102" s="1"/>
  <c r="B167" i="64"/>
  <c r="B218" i="64" s="1"/>
  <c r="C163" i="64"/>
  <c r="B131" i="64"/>
  <c r="C178" i="64"/>
  <c r="C229" i="64" s="1"/>
  <c r="B177" i="64"/>
  <c r="B228" i="64" s="1"/>
  <c r="C173" i="64"/>
  <c r="C224" i="64" s="1"/>
  <c r="B172" i="64"/>
  <c r="B223" i="64" s="1"/>
  <c r="C168" i="64"/>
  <c r="C219" i="64" s="1"/>
  <c r="B133" i="64"/>
  <c r="C132" i="64"/>
  <c r="J18" i="102" s="1"/>
  <c r="B163" i="64"/>
  <c r="H39" i="102" l="1"/>
  <c r="I38" i="102"/>
  <c r="H38" i="102"/>
  <c r="I39" i="102"/>
  <c r="E39" i="102" s="1"/>
  <c r="J14" i="102"/>
  <c r="I18" i="102"/>
  <c r="H19" i="102"/>
  <c r="H18" i="102"/>
  <c r="I17" i="102"/>
  <c r="H17" i="102"/>
  <c r="H35" i="102"/>
  <c r="I34" i="102"/>
  <c r="H34" i="102"/>
  <c r="I35" i="102"/>
  <c r="I43" i="102" s="1"/>
  <c r="I31" i="102" s="1"/>
  <c r="H36" i="102"/>
  <c r="J15" i="102"/>
  <c r="I22" i="102"/>
  <c r="H22" i="102"/>
  <c r="I21" i="102"/>
  <c r="H21" i="102"/>
  <c r="N13" i="102"/>
  <c r="E13" i="102" s="1"/>
  <c r="M17" i="102"/>
  <c r="N17" i="102"/>
  <c r="M38" i="102"/>
  <c r="N38" i="102"/>
  <c r="M21" i="102"/>
  <c r="N21" i="102"/>
  <c r="M34" i="102"/>
  <c r="M42" i="102" s="1"/>
  <c r="N34" i="102"/>
  <c r="J40" i="102"/>
  <c r="I19" i="102"/>
  <c r="I15" i="102"/>
  <c r="H15" i="102"/>
  <c r="H23" i="102"/>
  <c r="I23" i="102"/>
  <c r="I40" i="102"/>
  <c r="H40" i="102"/>
  <c r="K36" i="102"/>
  <c r="K44" i="102" s="1"/>
  <c r="K32" i="102" s="1"/>
  <c r="I36" i="102"/>
  <c r="K23" i="102"/>
  <c r="J56" i="102"/>
  <c r="E56" i="102" s="1"/>
  <c r="E48" i="102" s="1"/>
  <c r="K15" i="102"/>
  <c r="J36" i="102"/>
  <c r="J43" i="102"/>
  <c r="B358" i="64"/>
  <c r="B384" i="64" s="1"/>
  <c r="L10" i="102"/>
  <c r="J19" i="102"/>
  <c r="J22" i="102"/>
  <c r="J23" i="102"/>
  <c r="K19" i="102"/>
  <c r="B356" i="64"/>
  <c r="B360" i="64"/>
  <c r="B386" i="64" s="1"/>
  <c r="H25" i="102" l="1"/>
  <c r="E22" i="102"/>
  <c r="E43" i="102"/>
  <c r="I26" i="102"/>
  <c r="I10" i="102" s="1"/>
  <c r="M25" i="102"/>
  <c r="F40" i="102"/>
  <c r="H27" i="102"/>
  <c r="F34" i="102"/>
  <c r="I25" i="102"/>
  <c r="I9" i="102" s="1"/>
  <c r="I42" i="102"/>
  <c r="I30" i="102" s="1"/>
  <c r="H26" i="102"/>
  <c r="E35" i="102"/>
  <c r="E31" i="102" s="1"/>
  <c r="E18" i="102"/>
  <c r="J44" i="102"/>
  <c r="J32" i="102" s="1"/>
  <c r="E34" i="102"/>
  <c r="E17" i="102"/>
  <c r="E21" i="102"/>
  <c r="E38" i="102"/>
  <c r="N42" i="102"/>
  <c r="N30" i="102" s="1"/>
  <c r="J53" i="102"/>
  <c r="K27" i="102"/>
  <c r="K11" i="102" s="1"/>
  <c r="B382" i="64"/>
  <c r="J31" i="102"/>
  <c r="J48" i="102"/>
  <c r="N25" i="102"/>
  <c r="N9" i="102" s="1"/>
  <c r="J27" i="102"/>
  <c r="J11" i="102" s="1"/>
  <c r="E14" i="102"/>
  <c r="J26" i="102"/>
  <c r="E26" i="102" s="1"/>
  <c r="E10" i="102" l="1"/>
  <c r="M9" i="102"/>
  <c r="E25" i="102"/>
  <c r="E9" i="102" s="1"/>
  <c r="M30" i="102"/>
  <c r="E42" i="102"/>
  <c r="E30" i="102" s="1"/>
  <c r="K53" i="102"/>
  <c r="J57" i="102"/>
  <c r="J10" i="102"/>
  <c r="E53" i="102" l="1"/>
  <c r="E50" i="102" s="1"/>
  <c r="F53" i="102"/>
  <c r="K57" i="102"/>
  <c r="K49" i="102" s="1"/>
  <c r="J49" i="102"/>
  <c r="C144" i="5" l="1"/>
  <c r="C143" i="5"/>
  <c r="O143" i="5" s="1"/>
  <c r="M73" i="105" s="1"/>
  <c r="C142" i="5"/>
  <c r="C141" i="5"/>
  <c r="C140" i="5"/>
  <c r="C139" i="5"/>
  <c r="M85" i="105" l="1"/>
  <c r="N144" i="5"/>
  <c r="M52" i="106" s="1"/>
  <c r="F52" i="106" s="1"/>
  <c r="F48" i="106" s="1"/>
  <c r="O144" i="5"/>
  <c r="M53" i="106" s="1"/>
  <c r="O141" i="5"/>
  <c r="M44" i="105" s="1"/>
  <c r="N141" i="5"/>
  <c r="M43" i="105" s="1"/>
  <c r="O139" i="5"/>
  <c r="M15" i="105" s="1"/>
  <c r="N139" i="5"/>
  <c r="M14" i="105" s="1"/>
  <c r="N142" i="5"/>
  <c r="M51" i="105" s="1"/>
  <c r="F51" i="105" s="1"/>
  <c r="S51" i="105" s="1"/>
  <c r="G51" i="105" s="1"/>
  <c r="O142" i="5"/>
  <c r="M52" i="105" s="1"/>
  <c r="N143" i="5"/>
  <c r="M72" i="105" s="1"/>
  <c r="O140" i="5"/>
  <c r="M19" i="105" s="1"/>
  <c r="N140" i="5"/>
  <c r="M18" i="105" s="1"/>
  <c r="F18" i="105" s="1"/>
  <c r="S18" i="105" s="1"/>
  <c r="G18" i="105" s="1"/>
  <c r="M84" i="105" l="1"/>
  <c r="F84" i="105" s="1"/>
  <c r="S84" i="105" s="1"/>
  <c r="G84" i="105" s="1"/>
  <c r="F72" i="105"/>
  <c r="M31" i="105"/>
  <c r="F63" i="105"/>
  <c r="S63" i="105" s="1"/>
  <c r="G63" i="105" s="1"/>
  <c r="F43" i="105"/>
  <c r="M69" i="105"/>
  <c r="M48" i="106"/>
  <c r="F14" i="105"/>
  <c r="S14" i="105" s="1"/>
  <c r="M30" i="105"/>
  <c r="M49" i="106"/>
  <c r="C159" i="5"/>
  <c r="J67" i="104" s="1"/>
  <c r="J59" i="104"/>
  <c r="E67" i="104" l="1"/>
  <c r="F67" i="104"/>
  <c r="E59" i="104"/>
  <c r="F59" i="104"/>
  <c r="S59" i="104" s="1"/>
  <c r="S67" i="104"/>
  <c r="F39" i="105"/>
  <c r="S52" i="106"/>
  <c r="F68" i="105"/>
  <c r="M40" i="105"/>
  <c r="M68" i="105"/>
  <c r="M39" i="105"/>
  <c r="M11" i="105"/>
  <c r="S43" i="105"/>
  <c r="S72" i="105"/>
  <c r="M10" i="105"/>
  <c r="F30" i="105"/>
  <c r="G14" i="105"/>
  <c r="J55" i="104"/>
  <c r="G43" i="105" l="1"/>
  <c r="G39" i="105" s="1"/>
  <c r="S39" i="105"/>
  <c r="G72" i="105"/>
  <c r="G68" i="105" s="1"/>
  <c r="S68" i="105"/>
  <c r="F10" i="105"/>
  <c r="S30" i="105"/>
  <c r="S48" i="106"/>
  <c r="G52" i="106"/>
  <c r="G48" i="106" s="1"/>
  <c r="G30" i="105" l="1"/>
  <c r="S10" i="105"/>
  <c r="O122" i="5"/>
  <c r="O123" i="5"/>
  <c r="N124" i="5"/>
  <c r="O124" i="5" s="1"/>
  <c r="G63" i="104" l="1"/>
  <c r="G67" i="104"/>
  <c r="E45" i="104"/>
  <c r="E30" i="104"/>
  <c r="E20" i="104"/>
  <c r="E44" i="104"/>
  <c r="E50" i="104"/>
  <c r="E40" i="104"/>
  <c r="E25" i="104"/>
  <c r="E49" i="104"/>
  <c r="E39" i="104"/>
  <c r="E24" i="104"/>
  <c r="S229" i="105"/>
  <c r="G229" i="105" s="1"/>
  <c r="S246" i="105"/>
  <c r="G246" i="105" s="1"/>
  <c r="S242" i="105"/>
  <c r="G242" i="105" s="1"/>
  <c r="S230" i="105"/>
  <c r="G230" i="105" s="1"/>
  <c r="F20" i="104"/>
  <c r="S20" i="104" s="1"/>
  <c r="G20" i="104" s="1"/>
  <c r="F45" i="104"/>
  <c r="F50" i="104"/>
  <c r="F40" i="104"/>
  <c r="S40" i="104" s="1"/>
  <c r="F25" i="104"/>
  <c r="E46" i="104"/>
  <c r="F30" i="104"/>
  <c r="E26" i="104"/>
  <c r="E51" i="104"/>
  <c r="E41" i="104"/>
  <c r="E31" i="104"/>
  <c r="E21" i="104"/>
  <c r="S199" i="106"/>
  <c r="G199" i="106" s="1"/>
  <c r="E82" i="104"/>
  <c r="E87" i="104"/>
  <c r="E77" i="104"/>
  <c r="E86" i="104"/>
  <c r="E76" i="104"/>
  <c r="E81" i="104"/>
  <c r="F77" i="104"/>
  <c r="S77" i="104" s="1"/>
  <c r="G77" i="104" s="1"/>
  <c r="E78" i="104"/>
  <c r="E83" i="104"/>
  <c r="E88" i="104"/>
  <c r="G10" i="105"/>
  <c r="F82" i="104"/>
  <c r="F87" i="104"/>
  <c r="E11" i="104" l="1"/>
  <c r="E9" i="104"/>
  <c r="E8" i="104" s="1"/>
  <c r="E14" i="104"/>
  <c r="E10" i="104"/>
  <c r="S45" i="104"/>
  <c r="G45" i="104" s="1"/>
  <c r="S25" i="104"/>
  <c r="S15" i="104" s="1"/>
  <c r="S30" i="104"/>
  <c r="G30" i="104" s="1"/>
  <c r="S50" i="104"/>
  <c r="G50" i="104" s="1"/>
  <c r="E80" i="104"/>
  <c r="E240" i="105"/>
  <c r="E23" i="104"/>
  <c r="E227" i="105"/>
  <c r="E43" i="104"/>
  <c r="E38" i="104"/>
  <c r="E75" i="104"/>
  <c r="E48" i="104"/>
  <c r="E18" i="104"/>
  <c r="E236" i="105"/>
  <c r="E57" i="104"/>
  <c r="E61" i="104"/>
  <c r="E85" i="104"/>
  <c r="E28" i="104"/>
  <c r="E244" i="105"/>
  <c r="E65" i="104"/>
  <c r="E72" i="104"/>
  <c r="E235" i="105"/>
  <c r="S195" i="106"/>
  <c r="E36" i="104"/>
  <c r="E34" i="104"/>
  <c r="E56" i="104"/>
  <c r="E71" i="104"/>
  <c r="F15" i="104"/>
  <c r="F10" i="104"/>
  <c r="S238" i="105"/>
  <c r="F234" i="105"/>
  <c r="E35" i="104"/>
  <c r="E233" i="105"/>
  <c r="F55" i="104"/>
  <c r="S55" i="104"/>
  <c r="E54" i="104"/>
  <c r="E73" i="104"/>
  <c r="E16" i="104"/>
  <c r="G40" i="104"/>
  <c r="F35" i="104"/>
  <c r="E234" i="105"/>
  <c r="E15" i="104"/>
  <c r="E55" i="104"/>
  <c r="F72" i="104"/>
  <c r="S82" i="104"/>
  <c r="G82" i="104" s="1"/>
  <c r="S87" i="104"/>
  <c r="G87" i="104" s="1"/>
  <c r="G25" i="104" l="1"/>
  <c r="E232" i="105"/>
  <c r="E70" i="104"/>
  <c r="E13" i="104"/>
  <c r="E53" i="104"/>
  <c r="E33" i="104"/>
  <c r="S35" i="104"/>
  <c r="G238" i="105"/>
  <c r="G234" i="105" s="1"/>
  <c r="S234" i="105"/>
  <c r="G59" i="104"/>
  <c r="G55" i="104" s="1"/>
  <c r="S10" i="104"/>
  <c r="G195" i="106"/>
  <c r="G191" i="106" s="1"/>
  <c r="S191" i="106"/>
  <c r="G35" i="104"/>
  <c r="G72" i="104"/>
  <c r="S72" i="104"/>
  <c r="G15" i="104" l="1"/>
  <c r="G10" i="104"/>
  <c r="F52" i="102"/>
  <c r="E19" i="102" l="1"/>
  <c r="E16" i="102" s="1"/>
  <c r="E40" i="102"/>
  <c r="E37" i="102" s="1"/>
  <c r="E36" i="102"/>
  <c r="I57" i="102"/>
  <c r="E23" i="102"/>
  <c r="E20" i="102" s="1"/>
  <c r="H57" i="102"/>
  <c r="H49" i="102" s="1"/>
  <c r="H56" i="102"/>
  <c r="F35" i="102"/>
  <c r="S208" i="102"/>
  <c r="S60" i="102" s="1"/>
  <c r="E57" i="102" l="1"/>
  <c r="E54" i="102" s="1"/>
  <c r="I49" i="102"/>
  <c r="E33" i="102"/>
  <c r="F56" i="102"/>
  <c r="F48" i="102" s="1"/>
  <c r="H48" i="102"/>
  <c r="E49" i="102"/>
  <c r="E46" i="102" s="1"/>
  <c r="F23" i="102"/>
  <c r="Q23" i="102" s="1"/>
  <c r="G23" i="102" s="1"/>
  <c r="Q40" i="102"/>
  <c r="G40" i="102" s="1"/>
  <c r="F19" i="102"/>
  <c r="Q19" i="102" s="1"/>
  <c r="G19" i="102" s="1"/>
  <c r="F18" i="102"/>
  <c r="Q18" i="102" s="1"/>
  <c r="G18" i="102" s="1"/>
  <c r="F39" i="102"/>
  <c r="Q39" i="102" s="1"/>
  <c r="G39" i="102" s="1"/>
  <c r="F36" i="102"/>
  <c r="F57" i="102"/>
  <c r="F22" i="102"/>
  <c r="Q22" i="102" s="1"/>
  <c r="G22" i="102" s="1"/>
  <c r="U198" i="106"/>
  <c r="U115" i="106"/>
  <c r="U84" i="106"/>
  <c r="U68" i="106" s="1"/>
  <c r="U245" i="105"/>
  <c r="U233" i="105" s="1"/>
  <c r="U97" i="106"/>
  <c r="U89" i="106" s="1"/>
  <c r="U128" i="106"/>
  <c r="U120" i="106" s="1"/>
  <c r="U66" i="104"/>
  <c r="U54" i="104" s="1"/>
  <c r="Q53" i="102"/>
  <c r="G53" i="102" s="1"/>
  <c r="H44" i="102"/>
  <c r="I27" i="102"/>
  <c r="E27" i="102" s="1"/>
  <c r="E24" i="102" s="1"/>
  <c r="I44" i="102"/>
  <c r="E44" i="102" s="1"/>
  <c r="E41" i="102" s="1"/>
  <c r="F15" i="102"/>
  <c r="E15" i="102"/>
  <c r="F14" i="102"/>
  <c r="Q52" i="102"/>
  <c r="G52" i="102" s="1"/>
  <c r="H43" i="102"/>
  <c r="F43" i="102" s="1"/>
  <c r="F31" i="102" s="1"/>
  <c r="H55" i="102"/>
  <c r="H47" i="102" s="1"/>
  <c r="J21" i="100"/>
  <c r="J9" i="100" s="1"/>
  <c r="O245" i="105"/>
  <c r="O58" i="104"/>
  <c r="F63" i="6"/>
  <c r="O194" i="106"/>
  <c r="C63" i="6"/>
  <c r="O241" i="105" s="1"/>
  <c r="B63" i="6"/>
  <c r="R112" i="104" s="1"/>
  <c r="E32" i="102" l="1"/>
  <c r="E11" i="102"/>
  <c r="E8" i="102" s="1"/>
  <c r="E12" i="102"/>
  <c r="Q56" i="102"/>
  <c r="G56" i="102" s="1"/>
  <c r="G48" i="102" s="1"/>
  <c r="Q36" i="102"/>
  <c r="G36" i="102" s="1"/>
  <c r="Q57" i="102"/>
  <c r="G57" i="102" s="1"/>
  <c r="G49" i="102" s="1"/>
  <c r="F49" i="102"/>
  <c r="O237" i="105"/>
  <c r="Q122" i="103"/>
  <c r="R122" i="103" s="1"/>
  <c r="G122" i="103" s="1"/>
  <c r="G121" i="103" s="1"/>
  <c r="O55" i="102"/>
  <c r="F55" i="102" s="1"/>
  <c r="O148" i="102"/>
  <c r="R19" i="104"/>
  <c r="P13" i="102"/>
  <c r="Q166" i="103"/>
  <c r="R166" i="103" s="1"/>
  <c r="F13" i="102"/>
  <c r="Q13" i="102" s="1"/>
  <c r="G13" i="102" s="1"/>
  <c r="Q14" i="102"/>
  <c r="G14" i="102" s="1"/>
  <c r="Q15" i="102"/>
  <c r="G15" i="102" s="1"/>
  <c r="E29" i="102"/>
  <c r="P196" i="102"/>
  <c r="P148" i="102"/>
  <c r="O176" i="102"/>
  <c r="F176" i="102" s="1"/>
  <c r="F175" i="102" s="1"/>
  <c r="O136" i="102"/>
  <c r="F136" i="102" s="1"/>
  <c r="F135" i="102" s="1"/>
  <c r="P140" i="102"/>
  <c r="P144" i="102" s="1"/>
  <c r="O200" i="102"/>
  <c r="F200" i="102" s="1"/>
  <c r="F199" i="102" s="1"/>
  <c r="O180" i="102"/>
  <c r="O196" i="102"/>
  <c r="F196" i="102" s="1"/>
  <c r="F195" i="102" s="1"/>
  <c r="O192" i="102"/>
  <c r="F192" i="102" s="1"/>
  <c r="F191" i="102" s="1"/>
  <c r="P176" i="102"/>
  <c r="P188" i="102" s="1"/>
  <c r="P42" i="102"/>
  <c r="P64" i="102"/>
  <c r="O96" i="102"/>
  <c r="F96" i="102" s="1"/>
  <c r="F95" i="102" s="1"/>
  <c r="O64" i="102"/>
  <c r="P116" i="102"/>
  <c r="P128" i="102"/>
  <c r="O112" i="102"/>
  <c r="F112" i="102" s="1"/>
  <c r="F111" i="102" s="1"/>
  <c r="P120" i="102"/>
  <c r="O128" i="102"/>
  <c r="F128" i="102" s="1"/>
  <c r="F127" i="102" s="1"/>
  <c r="O120" i="102"/>
  <c r="F120" i="102" s="1"/>
  <c r="F119" i="102" s="1"/>
  <c r="O116" i="102"/>
  <c r="P96" i="102"/>
  <c r="O9" i="112" s="1"/>
  <c r="O13" i="112" s="1"/>
  <c r="H11" i="102"/>
  <c r="F27" i="102"/>
  <c r="Q27" i="102" s="1"/>
  <c r="G27" i="102" s="1"/>
  <c r="H42" i="102"/>
  <c r="H30" i="102" s="1"/>
  <c r="F26" i="102"/>
  <c r="Q26" i="102" s="1"/>
  <c r="G26" i="102" s="1"/>
  <c r="H32" i="102"/>
  <c r="F44" i="102"/>
  <c r="Q44" i="102" s="1"/>
  <c r="G44" i="102" s="1"/>
  <c r="H113" i="105"/>
  <c r="H117" i="105"/>
  <c r="F117" i="105" s="1"/>
  <c r="H121" i="105"/>
  <c r="F121" i="105" s="1"/>
  <c r="H198" i="106"/>
  <c r="H194" i="106"/>
  <c r="H97" i="106"/>
  <c r="F97" i="106" s="1"/>
  <c r="H93" i="106"/>
  <c r="F93" i="106" s="1"/>
  <c r="H21" i="106"/>
  <c r="F21" i="106" s="1"/>
  <c r="H17" i="106"/>
  <c r="H83" i="105"/>
  <c r="H79" i="105"/>
  <c r="F79" i="105" s="1"/>
  <c r="H75" i="105"/>
  <c r="F75" i="105" s="1"/>
  <c r="H223" i="105"/>
  <c r="F223" i="105" s="1"/>
  <c r="H219" i="105"/>
  <c r="F219" i="105" s="1"/>
  <c r="H215" i="105"/>
  <c r="F215" i="105" s="1"/>
  <c r="H211" i="105"/>
  <c r="H177" i="105"/>
  <c r="H42" i="105"/>
  <c r="H29" i="105"/>
  <c r="H25" i="105"/>
  <c r="F25" i="105" s="1"/>
  <c r="H21" i="105"/>
  <c r="F21" i="105" s="1"/>
  <c r="H175" i="106"/>
  <c r="H110" i="106"/>
  <c r="F110" i="106" s="1"/>
  <c r="F109" i="106" s="1"/>
  <c r="H106" i="106"/>
  <c r="F106" i="106" s="1"/>
  <c r="H80" i="106"/>
  <c r="F80" i="106" s="1"/>
  <c r="H72" i="106"/>
  <c r="H151" i="105"/>
  <c r="F151" i="105" s="1"/>
  <c r="H143" i="105"/>
  <c r="H104" i="105"/>
  <c r="F104" i="105" s="1"/>
  <c r="H100" i="105"/>
  <c r="F100" i="105" s="1"/>
  <c r="H38" i="106"/>
  <c r="F38" i="106" s="1"/>
  <c r="F37" i="106" s="1"/>
  <c r="H30" i="106"/>
  <c r="F30" i="106" s="1"/>
  <c r="H71" i="105"/>
  <c r="H134" i="105"/>
  <c r="F134" i="105" s="1"/>
  <c r="H128" i="106"/>
  <c r="F128" i="106" s="1"/>
  <c r="F127" i="106" s="1"/>
  <c r="H124" i="106"/>
  <c r="H170" i="106"/>
  <c r="F170" i="106" s="1"/>
  <c r="H166" i="106"/>
  <c r="F166" i="106" s="1"/>
  <c r="F165" i="106" s="1"/>
  <c r="H162" i="106"/>
  <c r="F162" i="106" s="1"/>
  <c r="H158" i="106"/>
  <c r="F158" i="106" s="1"/>
  <c r="H145" i="106"/>
  <c r="F145" i="106" s="1"/>
  <c r="H141" i="106"/>
  <c r="F141" i="106" s="1"/>
  <c r="H137" i="106"/>
  <c r="F137" i="106" s="1"/>
  <c r="H87" i="105"/>
  <c r="F87" i="105" s="1"/>
  <c r="H202" i="105"/>
  <c r="F202" i="105" s="1"/>
  <c r="H198" i="105"/>
  <c r="F198" i="105" s="1"/>
  <c r="H194" i="105"/>
  <c r="H168" i="105"/>
  <c r="F168" i="105" s="1"/>
  <c r="H164" i="105"/>
  <c r="F164" i="105" s="1"/>
  <c r="H160" i="105"/>
  <c r="H237" i="105"/>
  <c r="H46" i="105"/>
  <c r="F46" i="105" s="1"/>
  <c r="H33" i="105"/>
  <c r="F33" i="105" s="1"/>
  <c r="H115" i="106"/>
  <c r="H149" i="106"/>
  <c r="F149" i="106" s="1"/>
  <c r="H84" i="106"/>
  <c r="F84" i="106" s="1"/>
  <c r="H76" i="106"/>
  <c r="F76" i="106" s="1"/>
  <c r="H51" i="106"/>
  <c r="H185" i="105"/>
  <c r="F185" i="105" s="1"/>
  <c r="H181" i="105"/>
  <c r="F181" i="105" s="1"/>
  <c r="H147" i="105"/>
  <c r="F147" i="105" s="1"/>
  <c r="H241" i="105"/>
  <c r="F241" i="105" s="1"/>
  <c r="H96" i="105"/>
  <c r="H58" i="105"/>
  <c r="F58" i="105" s="1"/>
  <c r="H50" i="105"/>
  <c r="H13" i="105"/>
  <c r="H63" i="106"/>
  <c r="F63" i="106" s="1"/>
  <c r="F62" i="106" s="1"/>
  <c r="H59" i="106"/>
  <c r="F59" i="106" s="1"/>
  <c r="H55" i="106"/>
  <c r="F55" i="106" s="1"/>
  <c r="H42" i="106"/>
  <c r="F42" i="106" s="1"/>
  <c r="F41" i="106" s="1"/>
  <c r="H34" i="106"/>
  <c r="F34" i="106" s="1"/>
  <c r="F33" i="106" s="1"/>
  <c r="H130" i="105"/>
  <c r="H245" i="105"/>
  <c r="F245" i="105" s="1"/>
  <c r="H62" i="105"/>
  <c r="H17" i="105"/>
  <c r="H54" i="105"/>
  <c r="F54" i="105" s="1"/>
  <c r="H99" i="104"/>
  <c r="F99" i="104" s="1"/>
  <c r="H81" i="104"/>
  <c r="H107" i="104"/>
  <c r="F107" i="104" s="1"/>
  <c r="H24" i="104"/>
  <c r="H14" i="104" s="1"/>
  <c r="H103" i="104"/>
  <c r="F103" i="104" s="1"/>
  <c r="H86" i="104"/>
  <c r="H95" i="104"/>
  <c r="F95" i="104" s="1"/>
  <c r="H76" i="104"/>
  <c r="H29" i="104"/>
  <c r="H39" i="104"/>
  <c r="H44" i="104"/>
  <c r="H49" i="104"/>
  <c r="H66" i="104"/>
  <c r="H58" i="104"/>
  <c r="F58" i="104" s="1"/>
  <c r="H62" i="104"/>
  <c r="F112" i="104"/>
  <c r="O19" i="104"/>
  <c r="O81" i="104"/>
  <c r="O29" i="104"/>
  <c r="O39" i="104"/>
  <c r="O44" i="104"/>
  <c r="O49" i="104"/>
  <c r="R24" i="104"/>
  <c r="R29" i="104"/>
  <c r="R39" i="104"/>
  <c r="R44" i="104"/>
  <c r="R49" i="104"/>
  <c r="O76" i="104"/>
  <c r="O24" i="104"/>
  <c r="O198" i="106"/>
  <c r="O190" i="106" s="1"/>
  <c r="O66" i="104"/>
  <c r="R66" i="104"/>
  <c r="H115" i="105"/>
  <c r="H123" i="105"/>
  <c r="F123" i="105" s="1"/>
  <c r="H119" i="105"/>
  <c r="F119" i="105" s="1"/>
  <c r="H117" i="106"/>
  <c r="F117" i="106" s="1"/>
  <c r="H112" i="106"/>
  <c r="F112" i="106" s="1"/>
  <c r="S112" i="106" s="1"/>
  <c r="H108" i="106"/>
  <c r="H151" i="106"/>
  <c r="F151" i="106" s="1"/>
  <c r="H86" i="106"/>
  <c r="H82" i="106"/>
  <c r="F82" i="106" s="1"/>
  <c r="H78" i="106"/>
  <c r="F78" i="106" s="1"/>
  <c r="H74" i="106"/>
  <c r="F74" i="106" s="1"/>
  <c r="H53" i="106"/>
  <c r="F53" i="106" s="1"/>
  <c r="H187" i="105"/>
  <c r="F187" i="105" s="1"/>
  <c r="H183" i="105"/>
  <c r="F183" i="105" s="1"/>
  <c r="H179" i="105"/>
  <c r="H153" i="105"/>
  <c r="F153" i="105" s="1"/>
  <c r="H149" i="105"/>
  <c r="F149" i="105" s="1"/>
  <c r="H145" i="105"/>
  <c r="H106" i="105"/>
  <c r="F106" i="105" s="1"/>
  <c r="H102" i="105"/>
  <c r="F102" i="105" s="1"/>
  <c r="H98" i="105"/>
  <c r="H64" i="105"/>
  <c r="F64" i="105" s="1"/>
  <c r="S64" i="105" s="1"/>
  <c r="G64" i="105" s="1"/>
  <c r="H52" i="105"/>
  <c r="F52" i="105" s="1"/>
  <c r="S52" i="105" s="1"/>
  <c r="G52" i="105" s="1"/>
  <c r="H48" i="105"/>
  <c r="F48" i="105" s="1"/>
  <c r="S48" i="105" s="1"/>
  <c r="G48" i="105" s="1"/>
  <c r="H15" i="105"/>
  <c r="H177" i="106"/>
  <c r="F177" i="106" s="1"/>
  <c r="H99" i="106"/>
  <c r="H23" i="106"/>
  <c r="F23" i="106" s="1"/>
  <c r="H19" i="106"/>
  <c r="F19" i="106" s="1"/>
  <c r="H85" i="105"/>
  <c r="F85" i="105" s="1"/>
  <c r="S85" i="105" s="1"/>
  <c r="G85" i="105" s="1"/>
  <c r="H81" i="105"/>
  <c r="F81" i="105" s="1"/>
  <c r="S81" i="105" s="1"/>
  <c r="G81" i="105" s="1"/>
  <c r="H225" i="105"/>
  <c r="F225" i="105" s="1"/>
  <c r="H217" i="105"/>
  <c r="F217" i="105" s="1"/>
  <c r="H213" i="105"/>
  <c r="H243" i="105"/>
  <c r="H44" i="105"/>
  <c r="H31" i="105"/>
  <c r="F31" i="105" s="1"/>
  <c r="S31" i="105" s="1"/>
  <c r="G31" i="105" s="1"/>
  <c r="H126" i="106"/>
  <c r="H172" i="106"/>
  <c r="F172" i="106" s="1"/>
  <c r="H168" i="106"/>
  <c r="F168" i="106" s="1"/>
  <c r="S168" i="106" s="1"/>
  <c r="H160" i="106"/>
  <c r="H143" i="106"/>
  <c r="F143" i="106" s="1"/>
  <c r="H139" i="106"/>
  <c r="H89" i="105"/>
  <c r="F89" i="105" s="1"/>
  <c r="S89" i="105" s="1"/>
  <c r="G89" i="105" s="1"/>
  <c r="H204" i="105"/>
  <c r="F204" i="105" s="1"/>
  <c r="S204" i="105" s="1"/>
  <c r="H200" i="105"/>
  <c r="F200" i="105" s="1"/>
  <c r="H166" i="105"/>
  <c r="F166" i="105" s="1"/>
  <c r="H56" i="105"/>
  <c r="F56" i="105" s="1"/>
  <c r="S56" i="105" s="1"/>
  <c r="G56" i="105" s="1"/>
  <c r="H65" i="106"/>
  <c r="F65" i="106" s="1"/>
  <c r="H61" i="106"/>
  <c r="F61" i="106" s="1"/>
  <c r="H57" i="106"/>
  <c r="F57" i="106" s="1"/>
  <c r="H44" i="106"/>
  <c r="F44" i="106" s="1"/>
  <c r="H40" i="106"/>
  <c r="F40" i="106" s="1"/>
  <c r="H36" i="106"/>
  <c r="F36" i="106" s="1"/>
  <c r="H32" i="106"/>
  <c r="F32" i="106" s="1"/>
  <c r="F28" i="106" s="1"/>
  <c r="H77" i="105"/>
  <c r="F77" i="105" s="1"/>
  <c r="H73" i="105"/>
  <c r="H136" i="105"/>
  <c r="F136" i="105" s="1"/>
  <c r="H132" i="105"/>
  <c r="H239" i="105"/>
  <c r="F239" i="105" s="1"/>
  <c r="H60" i="105"/>
  <c r="F60" i="105" s="1"/>
  <c r="S60" i="105" s="1"/>
  <c r="G60" i="105" s="1"/>
  <c r="H23" i="105"/>
  <c r="F23" i="105" s="1"/>
  <c r="S23" i="105" s="1"/>
  <c r="G23" i="105" s="1"/>
  <c r="H19" i="105"/>
  <c r="F19" i="105" s="1"/>
  <c r="S19" i="105" s="1"/>
  <c r="G19" i="105" s="1"/>
  <c r="H95" i="106"/>
  <c r="F95" i="106" s="1"/>
  <c r="H15" i="106"/>
  <c r="F15" i="106" s="1"/>
  <c r="H221" i="105"/>
  <c r="F221" i="105" s="1"/>
  <c r="H27" i="105"/>
  <c r="F27" i="105" s="1"/>
  <c r="S27" i="105" s="1"/>
  <c r="G27" i="105" s="1"/>
  <c r="H200" i="106"/>
  <c r="F200" i="106" s="1"/>
  <c r="H196" i="106"/>
  <c r="F196" i="106" s="1"/>
  <c r="F192" i="106" s="1"/>
  <c r="H130" i="106"/>
  <c r="F130" i="106" s="1"/>
  <c r="S130" i="106" s="1"/>
  <c r="G130" i="106" s="1"/>
  <c r="H164" i="106"/>
  <c r="F164" i="106" s="1"/>
  <c r="H147" i="106"/>
  <c r="F147" i="106" s="1"/>
  <c r="H196" i="105"/>
  <c r="H170" i="105"/>
  <c r="F170" i="105" s="1"/>
  <c r="H162" i="105"/>
  <c r="H247" i="105"/>
  <c r="H35" i="105"/>
  <c r="F35" i="105" s="1"/>
  <c r="S35" i="105" s="1"/>
  <c r="G35" i="105" s="1"/>
  <c r="H101" i="104"/>
  <c r="H83" i="104"/>
  <c r="F83" i="104" s="1"/>
  <c r="S83" i="104" s="1"/>
  <c r="G83" i="104" s="1"/>
  <c r="H51" i="104"/>
  <c r="H78" i="104"/>
  <c r="H105" i="104"/>
  <c r="H88" i="104"/>
  <c r="F88" i="104" s="1"/>
  <c r="S88" i="104" s="1"/>
  <c r="G88" i="104" s="1"/>
  <c r="H21" i="104"/>
  <c r="F21" i="104" s="1"/>
  <c r="S21" i="104" s="1"/>
  <c r="H26" i="104"/>
  <c r="F26" i="104" s="1"/>
  <c r="S26" i="104" s="1"/>
  <c r="H31" i="104"/>
  <c r="H41" i="104"/>
  <c r="F41" i="104" s="1"/>
  <c r="S41" i="104" s="1"/>
  <c r="H46" i="104"/>
  <c r="H109" i="104"/>
  <c r="H97" i="104"/>
  <c r="F97" i="104" s="1"/>
  <c r="H68" i="104"/>
  <c r="H60" i="104"/>
  <c r="H64" i="104"/>
  <c r="H114" i="104"/>
  <c r="F114" i="104" s="1"/>
  <c r="O86" i="104"/>
  <c r="R62" i="104"/>
  <c r="O62" i="104"/>
  <c r="R58" i="104"/>
  <c r="I32" i="102"/>
  <c r="I11" i="102"/>
  <c r="H10" i="102"/>
  <c r="Q48" i="102"/>
  <c r="G96" i="100" s="1"/>
  <c r="F96" i="100" s="1"/>
  <c r="H31" i="102"/>
  <c r="Q43" i="102"/>
  <c r="G43" i="102" s="1"/>
  <c r="Q35" i="102"/>
  <c r="G35" i="102" s="1"/>
  <c r="Q100" i="103"/>
  <c r="R100" i="103" s="1"/>
  <c r="G100" i="103" s="1"/>
  <c r="G99" i="103" s="1"/>
  <c r="Q128" i="103"/>
  <c r="R128" i="103" s="1"/>
  <c r="Q58" i="103"/>
  <c r="Q15" i="103"/>
  <c r="R15" i="103" s="1"/>
  <c r="Q95" i="103"/>
  <c r="Q74" i="103"/>
  <c r="Q79" i="103"/>
  <c r="R79" i="103" s="1"/>
  <c r="G79" i="103" s="1"/>
  <c r="G78" i="103" s="1"/>
  <c r="Q116" i="103"/>
  <c r="R116" i="103" s="1"/>
  <c r="G116" i="103" s="1"/>
  <c r="G115" i="103" s="1"/>
  <c r="Q31" i="103"/>
  <c r="Q110" i="103"/>
  <c r="R110" i="103" s="1"/>
  <c r="G110" i="103" s="1"/>
  <c r="G109" i="103" s="1"/>
  <c r="Q84" i="103"/>
  <c r="R84" i="103" s="1"/>
  <c r="G84" i="103" s="1"/>
  <c r="G83" i="103" s="1"/>
  <c r="Q161" i="103"/>
  <c r="Q145" i="103"/>
  <c r="Q150" i="103"/>
  <c r="R150" i="103" s="1"/>
  <c r="G150" i="103" s="1"/>
  <c r="G149" i="103" s="1"/>
  <c r="Q26" i="103"/>
  <c r="R42" i="103" s="1"/>
  <c r="O51" i="102"/>
  <c r="F51" i="102" s="1"/>
  <c r="F50" i="102" s="1"/>
  <c r="F33" i="102"/>
  <c r="O38" i="102"/>
  <c r="Q105" i="103"/>
  <c r="R105" i="103" s="1"/>
  <c r="G105" i="103" s="1"/>
  <c r="G104" i="103" s="1"/>
  <c r="Q63" i="103"/>
  <c r="R63" i="103" s="1"/>
  <c r="G63" i="103" s="1"/>
  <c r="G62" i="103" s="1"/>
  <c r="P34" i="102"/>
  <c r="P38" i="102"/>
  <c r="P17" i="102"/>
  <c r="O17" i="102"/>
  <c r="F17" i="102" s="1"/>
  <c r="F16" i="102" s="1"/>
  <c r="O42" i="102"/>
  <c r="P21" i="102"/>
  <c r="P25" i="102"/>
  <c r="O21" i="102"/>
  <c r="M145" i="5"/>
  <c r="M140" i="5"/>
  <c r="M17" i="105" s="1"/>
  <c r="M144" i="5"/>
  <c r="M51" i="106" s="1"/>
  <c r="M141" i="5"/>
  <c r="M42" i="105" s="1"/>
  <c r="M139" i="5"/>
  <c r="M13" i="105" s="1"/>
  <c r="M143" i="5"/>
  <c r="M71" i="105" s="1"/>
  <c r="M83" i="105" s="1"/>
  <c r="M142" i="5"/>
  <c r="M50" i="105" s="1"/>
  <c r="Q49" i="102" l="1"/>
  <c r="O99" i="112"/>
  <c r="O82" i="112"/>
  <c r="O61" i="112"/>
  <c r="O35" i="112"/>
  <c r="O129" i="112"/>
  <c r="O48" i="112"/>
  <c r="O78" i="112"/>
  <c r="O103" i="112"/>
  <c r="O116" i="112"/>
  <c r="F38" i="102"/>
  <c r="F37" i="102" s="1"/>
  <c r="O30" i="102"/>
  <c r="F21" i="102"/>
  <c r="F20" i="102" s="1"/>
  <c r="O25" i="102"/>
  <c r="G31" i="102"/>
  <c r="F32" i="102"/>
  <c r="G32" i="102"/>
  <c r="F54" i="102"/>
  <c r="F47" i="102"/>
  <c r="S99" i="106"/>
  <c r="G99" i="106" s="1"/>
  <c r="F99" i="106"/>
  <c r="F161" i="106"/>
  <c r="F89" i="106"/>
  <c r="F92" i="106"/>
  <c r="F140" i="106"/>
  <c r="H68" i="106"/>
  <c r="F72" i="106"/>
  <c r="F96" i="106"/>
  <c r="F91" i="106"/>
  <c r="G77" i="105"/>
  <c r="S77" i="105"/>
  <c r="F49" i="106"/>
  <c r="S86" i="106"/>
  <c r="G86" i="106" s="1"/>
  <c r="F86" i="106"/>
  <c r="F58" i="106"/>
  <c r="F83" i="106"/>
  <c r="F157" i="106"/>
  <c r="F154" i="106"/>
  <c r="F124" i="106"/>
  <c r="H120" i="106"/>
  <c r="F26" i="106"/>
  <c r="F25" i="106" s="1"/>
  <c r="F29" i="106"/>
  <c r="F102" i="106"/>
  <c r="F101" i="106" s="1"/>
  <c r="F20" i="106"/>
  <c r="F198" i="106"/>
  <c r="F197" i="106" s="1"/>
  <c r="F148" i="106"/>
  <c r="F136" i="106"/>
  <c r="F133" i="106"/>
  <c r="F132" i="106" s="1"/>
  <c r="F51" i="106"/>
  <c r="H47" i="106"/>
  <c r="F115" i="106"/>
  <c r="S115" i="106" s="1"/>
  <c r="G115" i="106" s="1"/>
  <c r="F180" i="106"/>
  <c r="S180" i="106" s="1"/>
  <c r="F175" i="106"/>
  <c r="F11" i="106"/>
  <c r="F12" i="106"/>
  <c r="F70" i="106"/>
  <c r="F66" i="104"/>
  <c r="F54" i="106"/>
  <c r="F75" i="106"/>
  <c r="F144" i="106"/>
  <c r="F79" i="106"/>
  <c r="H9" i="106"/>
  <c r="F17" i="106"/>
  <c r="F16" i="106" s="1"/>
  <c r="F194" i="106"/>
  <c r="H190" i="106"/>
  <c r="S117" i="106"/>
  <c r="G117" i="106" s="1"/>
  <c r="F114" i="106"/>
  <c r="F182" i="106"/>
  <c r="F179" i="106" s="1"/>
  <c r="F174" i="106"/>
  <c r="F156" i="106"/>
  <c r="F153" i="106" s="1"/>
  <c r="F169" i="106"/>
  <c r="S58" i="104"/>
  <c r="G58" i="104" s="1"/>
  <c r="F64" i="104"/>
  <c r="S64" i="104" s="1"/>
  <c r="S60" i="104"/>
  <c r="F60" i="104"/>
  <c r="F76" i="104"/>
  <c r="S76" i="104" s="1"/>
  <c r="F68" i="104"/>
  <c r="S68" i="104" s="1"/>
  <c r="G68" i="104" s="1"/>
  <c r="F62" i="104"/>
  <c r="S62" i="104" s="1"/>
  <c r="G10" i="102"/>
  <c r="G11" i="102"/>
  <c r="F12" i="102"/>
  <c r="S112" i="104"/>
  <c r="G112" i="104" s="1"/>
  <c r="R31" i="103"/>
  <c r="G31" i="103" s="1"/>
  <c r="G30" i="103" s="1"/>
  <c r="R47" i="103"/>
  <c r="G47" i="103" s="1"/>
  <c r="G46" i="103" s="1"/>
  <c r="G42" i="103"/>
  <c r="R26" i="103"/>
  <c r="G26" i="103" s="1"/>
  <c r="G25" i="103" s="1"/>
  <c r="S114" i="104"/>
  <c r="G114" i="104" s="1"/>
  <c r="S66" i="104"/>
  <c r="F237" i="105"/>
  <c r="F243" i="105"/>
  <c r="S243" i="105" s="1"/>
  <c r="G243" i="105" s="1"/>
  <c r="F247" i="105"/>
  <c r="S247" i="105" s="1"/>
  <c r="G247" i="105" s="1"/>
  <c r="F94" i="104"/>
  <c r="F57" i="105"/>
  <c r="F180" i="105"/>
  <c r="F167" i="105"/>
  <c r="F184" i="105"/>
  <c r="F111" i="104"/>
  <c r="F146" i="105"/>
  <c r="F32" i="105"/>
  <c r="F163" i="105"/>
  <c r="F201" i="105"/>
  <c r="F103" i="105"/>
  <c r="F20" i="105"/>
  <c r="F116" i="105"/>
  <c r="F150" i="105"/>
  <c r="F214" i="105"/>
  <c r="F78" i="105"/>
  <c r="F222" i="105"/>
  <c r="F53" i="105"/>
  <c r="F45" i="105"/>
  <c r="F86" i="105"/>
  <c r="F24" i="105"/>
  <c r="F74" i="105"/>
  <c r="F197" i="105"/>
  <c r="F133" i="105"/>
  <c r="F99" i="105"/>
  <c r="F218" i="105"/>
  <c r="F120" i="105"/>
  <c r="R14" i="104"/>
  <c r="S194" i="106"/>
  <c r="G194" i="106" s="1"/>
  <c r="F31" i="104"/>
  <c r="S182" i="106"/>
  <c r="F187" i="106"/>
  <c r="F19" i="104"/>
  <c r="G26" i="104"/>
  <c r="F227" i="105"/>
  <c r="F185" i="106"/>
  <c r="F184" i="106" s="1"/>
  <c r="F46" i="104"/>
  <c r="F51" i="104"/>
  <c r="S200" i="106"/>
  <c r="G200" i="106" s="1"/>
  <c r="S55" i="106"/>
  <c r="G55" i="106" s="1"/>
  <c r="S76" i="106"/>
  <c r="G76" i="106" s="1"/>
  <c r="G75" i="106" s="1"/>
  <c r="S170" i="106"/>
  <c r="G170" i="106" s="1"/>
  <c r="S80" i="106"/>
  <c r="G80" i="106" s="1"/>
  <c r="S59" i="106"/>
  <c r="G59" i="106" s="1"/>
  <c r="S84" i="106"/>
  <c r="G84" i="106" s="1"/>
  <c r="G83" i="106" s="1"/>
  <c r="S34" i="106"/>
  <c r="G34" i="106" s="1"/>
  <c r="S63" i="106"/>
  <c r="G63" i="106" s="1"/>
  <c r="S149" i="106"/>
  <c r="G149" i="106" s="1"/>
  <c r="G148" i="106" s="1"/>
  <c r="S162" i="106"/>
  <c r="G162" i="106" s="1"/>
  <c r="S128" i="106"/>
  <c r="G128" i="106" s="1"/>
  <c r="G127" i="106" s="1"/>
  <c r="S38" i="106"/>
  <c r="G38" i="106" s="1"/>
  <c r="S21" i="106"/>
  <c r="G21" i="106" s="1"/>
  <c r="G20" i="106" s="1"/>
  <c r="S42" i="106"/>
  <c r="G42" i="106" s="1"/>
  <c r="S141" i="106"/>
  <c r="G141" i="106" s="1"/>
  <c r="S166" i="106"/>
  <c r="G166" i="106" s="1"/>
  <c r="G165" i="106" s="1"/>
  <c r="S97" i="106"/>
  <c r="G97" i="106" s="1"/>
  <c r="G96" i="106" s="1"/>
  <c r="S147" i="105"/>
  <c r="G147" i="105" s="1"/>
  <c r="S164" i="105"/>
  <c r="G164" i="105" s="1"/>
  <c r="S202" i="105"/>
  <c r="G202" i="105" s="1"/>
  <c r="S104" i="105"/>
  <c r="G104" i="105" s="1"/>
  <c r="S223" i="105"/>
  <c r="G223" i="105" s="1"/>
  <c r="S117" i="105"/>
  <c r="G117" i="105" s="1"/>
  <c r="S181" i="105"/>
  <c r="G181" i="105" s="1"/>
  <c r="S168" i="105"/>
  <c r="G168" i="105" s="1"/>
  <c r="S185" i="105"/>
  <c r="G185" i="105" s="1"/>
  <c r="S151" i="105"/>
  <c r="G151" i="105" s="1"/>
  <c r="S215" i="105"/>
  <c r="G215" i="105" s="1"/>
  <c r="S198" i="105"/>
  <c r="G198" i="105" s="1"/>
  <c r="S134" i="105"/>
  <c r="G134" i="105" s="1"/>
  <c r="S100" i="105"/>
  <c r="G100" i="105" s="1"/>
  <c r="S219" i="105"/>
  <c r="G219" i="105" s="1"/>
  <c r="S121" i="105"/>
  <c r="G121" i="105" s="1"/>
  <c r="O57" i="112"/>
  <c r="O53" i="112" s="1"/>
  <c r="O27" i="112"/>
  <c r="O70" i="112"/>
  <c r="H16" i="104"/>
  <c r="F208" i="102"/>
  <c r="F50" i="105"/>
  <c r="F49" i="105" s="1"/>
  <c r="O112" i="112"/>
  <c r="O91" i="112"/>
  <c r="O74" i="112"/>
  <c r="O95" i="112"/>
  <c r="O31" i="112"/>
  <c r="O44" i="112"/>
  <c r="O40" i="112" s="1"/>
  <c r="O18" i="112"/>
  <c r="O125" i="112"/>
  <c r="G92" i="100"/>
  <c r="F92" i="100"/>
  <c r="F91" i="104"/>
  <c r="S172" i="106"/>
  <c r="G172" i="106" s="1"/>
  <c r="S106" i="105"/>
  <c r="G106" i="105" s="1"/>
  <c r="S119" i="105"/>
  <c r="G119" i="105" s="1"/>
  <c r="S147" i="106"/>
  <c r="G147" i="106" s="1"/>
  <c r="S44" i="106"/>
  <c r="G44" i="106" s="1"/>
  <c r="S225" i="105"/>
  <c r="G225" i="105" s="1"/>
  <c r="S23" i="106"/>
  <c r="G23" i="106" s="1"/>
  <c r="S102" i="105"/>
  <c r="G102" i="105" s="1"/>
  <c r="S153" i="105"/>
  <c r="G153" i="105" s="1"/>
  <c r="S164" i="106"/>
  <c r="G164" i="106" s="1"/>
  <c r="S57" i="106"/>
  <c r="G57" i="106" s="1"/>
  <c r="S170" i="105"/>
  <c r="G170" i="105" s="1"/>
  <c r="S61" i="106"/>
  <c r="G61" i="106" s="1"/>
  <c r="S183" i="105"/>
  <c r="G183" i="105" s="1"/>
  <c r="S78" i="106"/>
  <c r="G78" i="106" s="1"/>
  <c r="S123" i="105"/>
  <c r="G123" i="105" s="1"/>
  <c r="S110" i="106"/>
  <c r="G110" i="106" s="1"/>
  <c r="S166" i="105"/>
  <c r="G166" i="105" s="1"/>
  <c r="S151" i="106"/>
  <c r="G151" i="106" s="1"/>
  <c r="O14" i="104"/>
  <c r="F105" i="104"/>
  <c r="F102" i="104" s="1"/>
  <c r="F101" i="104"/>
  <c r="F98" i="104" s="1"/>
  <c r="S221" i="105"/>
  <c r="G221" i="105" s="1"/>
  <c r="S136" i="105"/>
  <c r="G136" i="105" s="1"/>
  <c r="S36" i="106"/>
  <c r="G36" i="106" s="1"/>
  <c r="S200" i="105"/>
  <c r="G200" i="105" s="1"/>
  <c r="S143" i="106"/>
  <c r="G143" i="106" s="1"/>
  <c r="F109" i="104"/>
  <c r="S40" i="106"/>
  <c r="G40" i="106" s="1"/>
  <c r="S65" i="106"/>
  <c r="G65" i="106" s="1"/>
  <c r="S217" i="105"/>
  <c r="G217" i="105" s="1"/>
  <c r="S19" i="106"/>
  <c r="G19" i="106" s="1"/>
  <c r="S149" i="105"/>
  <c r="G149" i="105" s="1"/>
  <c r="S187" i="105"/>
  <c r="G187" i="105" s="1"/>
  <c r="S82" i="106"/>
  <c r="G82" i="106" s="1"/>
  <c r="G166" i="103"/>
  <c r="G165" i="103" s="1"/>
  <c r="G128" i="103"/>
  <c r="G127" i="103" s="1"/>
  <c r="G134" i="103"/>
  <c r="O54" i="104"/>
  <c r="O34" i="104"/>
  <c r="P108" i="102"/>
  <c r="Q112" i="102"/>
  <c r="G112" i="102" s="1"/>
  <c r="G111" i="102" s="1"/>
  <c r="F148" i="102"/>
  <c r="F147" i="102" s="1"/>
  <c r="N9" i="112"/>
  <c r="F100" i="102"/>
  <c r="F99" i="102" s="1"/>
  <c r="F116" i="102"/>
  <c r="F115" i="102" s="1"/>
  <c r="Q200" i="102"/>
  <c r="G200" i="102" s="1"/>
  <c r="G199" i="102" s="1"/>
  <c r="O140" i="102"/>
  <c r="F132" i="102"/>
  <c r="F131" i="102" s="1"/>
  <c r="Q120" i="102"/>
  <c r="G120" i="102" s="1"/>
  <c r="G119" i="102" s="1"/>
  <c r="Q192" i="102"/>
  <c r="F204" i="102"/>
  <c r="F203" i="102" s="1"/>
  <c r="F124" i="102"/>
  <c r="F123" i="102" s="1"/>
  <c r="F64" i="102"/>
  <c r="F63" i="102" s="1"/>
  <c r="Q196" i="102"/>
  <c r="G196" i="102" s="1"/>
  <c r="G195" i="102" s="1"/>
  <c r="Q136" i="102"/>
  <c r="Q128" i="102"/>
  <c r="G128" i="102" s="1"/>
  <c r="G127" i="102" s="1"/>
  <c r="O184" i="102"/>
  <c r="F180" i="102"/>
  <c r="F179" i="102" s="1"/>
  <c r="F42" i="102"/>
  <c r="H9" i="102"/>
  <c r="F25" i="102"/>
  <c r="F24" i="102" s="1"/>
  <c r="F10" i="102"/>
  <c r="Q32" i="102"/>
  <c r="Q11" i="102"/>
  <c r="F81" i="104"/>
  <c r="F80" i="104" s="1"/>
  <c r="R54" i="104"/>
  <c r="H9" i="105"/>
  <c r="F17" i="105"/>
  <c r="F16" i="105" s="1"/>
  <c r="H235" i="105"/>
  <c r="G168" i="106"/>
  <c r="H40" i="105"/>
  <c r="F44" i="105"/>
  <c r="H49" i="106"/>
  <c r="F29" i="104"/>
  <c r="S29" i="104" s="1"/>
  <c r="F160" i="105"/>
  <c r="H156" i="105"/>
  <c r="H38" i="105"/>
  <c r="H36" i="104"/>
  <c r="H158" i="105"/>
  <c r="F162" i="105"/>
  <c r="H135" i="106"/>
  <c r="F139" i="106"/>
  <c r="F135" i="106" s="1"/>
  <c r="H175" i="105"/>
  <c r="F179" i="105"/>
  <c r="H71" i="104"/>
  <c r="S99" i="104"/>
  <c r="G99" i="104" s="1"/>
  <c r="S21" i="105"/>
  <c r="G21" i="105" s="1"/>
  <c r="G20" i="105" s="1"/>
  <c r="H173" i="105"/>
  <c r="F177" i="105"/>
  <c r="H93" i="104"/>
  <c r="H122" i="106"/>
  <c r="F126" i="106"/>
  <c r="F122" i="106" s="1"/>
  <c r="H209" i="105"/>
  <c r="F213" i="105"/>
  <c r="H141" i="105"/>
  <c r="F145" i="105"/>
  <c r="H104" i="106"/>
  <c r="F108" i="106"/>
  <c r="F104" i="106" s="1"/>
  <c r="R9" i="104"/>
  <c r="R34" i="104"/>
  <c r="O9" i="104"/>
  <c r="F44" i="104"/>
  <c r="S44" i="104" s="1"/>
  <c r="H91" i="104"/>
  <c r="F24" i="104"/>
  <c r="S24" i="104" s="1"/>
  <c r="S54" i="105"/>
  <c r="G54" i="105" s="1"/>
  <c r="G53" i="105" s="1"/>
  <c r="F130" i="105"/>
  <c r="H126" i="105"/>
  <c r="S58" i="105"/>
  <c r="G58" i="105" s="1"/>
  <c r="G57" i="105" s="1"/>
  <c r="S46" i="105"/>
  <c r="G46" i="105" s="1"/>
  <c r="G45" i="105" s="1"/>
  <c r="S87" i="105"/>
  <c r="G87" i="105" s="1"/>
  <c r="G86" i="105" s="1"/>
  <c r="H154" i="106"/>
  <c r="S124" i="106"/>
  <c r="H26" i="106"/>
  <c r="F143" i="105"/>
  <c r="H139" i="105"/>
  <c r="H102" i="106"/>
  <c r="S25" i="105"/>
  <c r="G25" i="105" s="1"/>
  <c r="G24" i="105" s="1"/>
  <c r="H207" i="105"/>
  <c r="F211" i="105"/>
  <c r="S75" i="105"/>
  <c r="G75" i="105" s="1"/>
  <c r="G74" i="105" s="1"/>
  <c r="H109" i="105"/>
  <c r="F113" i="105"/>
  <c r="H56" i="104"/>
  <c r="H11" i="104"/>
  <c r="H91" i="106"/>
  <c r="F86" i="104"/>
  <c r="F85" i="104" s="1"/>
  <c r="H89" i="106"/>
  <c r="S93" i="106"/>
  <c r="G93" i="106" s="1"/>
  <c r="H128" i="105"/>
  <c r="F132" i="105"/>
  <c r="H28" i="106"/>
  <c r="H70" i="106"/>
  <c r="F49" i="104"/>
  <c r="S49" i="104" s="1"/>
  <c r="S103" i="104"/>
  <c r="G103" i="104" s="1"/>
  <c r="S33" i="105"/>
  <c r="G33" i="105" s="1"/>
  <c r="G32" i="105" s="1"/>
  <c r="H67" i="105"/>
  <c r="H73" i="104"/>
  <c r="F78" i="104"/>
  <c r="F73" i="104" s="1"/>
  <c r="H192" i="105"/>
  <c r="F196" i="105"/>
  <c r="H192" i="106"/>
  <c r="H11" i="106"/>
  <c r="H69" i="105"/>
  <c r="F73" i="105"/>
  <c r="G204" i="105"/>
  <c r="F160" i="106"/>
  <c r="H156" i="106"/>
  <c r="H11" i="105"/>
  <c r="F15" i="105"/>
  <c r="H94" i="105"/>
  <c r="F98" i="105"/>
  <c r="G112" i="106"/>
  <c r="F115" i="105"/>
  <c r="H111" i="105"/>
  <c r="O71" i="104"/>
  <c r="O233" i="105"/>
  <c r="H54" i="104"/>
  <c r="F57" i="104"/>
  <c r="H34" i="104"/>
  <c r="F39" i="104"/>
  <c r="H9" i="104"/>
  <c r="S107" i="104"/>
  <c r="G107" i="104" s="1"/>
  <c r="F96" i="105"/>
  <c r="F95" i="105" s="1"/>
  <c r="H92" i="105"/>
  <c r="H233" i="105"/>
  <c r="F194" i="105"/>
  <c r="H190" i="105"/>
  <c r="H133" i="106"/>
  <c r="S79" i="105"/>
  <c r="G79" i="105" s="1"/>
  <c r="G78" i="105" s="1"/>
  <c r="M47" i="106"/>
  <c r="F83" i="105"/>
  <c r="F82" i="105" s="1"/>
  <c r="F71" i="105"/>
  <c r="F13" i="105"/>
  <c r="M133" i="106"/>
  <c r="F42" i="105"/>
  <c r="F11" i="102"/>
  <c r="Q31" i="102"/>
  <c r="Q10" i="102"/>
  <c r="Q17" i="102"/>
  <c r="Q34" i="102"/>
  <c r="G34" i="102" s="1"/>
  <c r="P9" i="102"/>
  <c r="G15" i="103"/>
  <c r="Q21" i="103"/>
  <c r="P30" i="102"/>
  <c r="Q53" i="103"/>
  <c r="R58" i="103"/>
  <c r="Q55" i="102"/>
  <c r="R74" i="103"/>
  <c r="Q69" i="103"/>
  <c r="O9" i="102"/>
  <c r="O47" i="102"/>
  <c r="R145" i="103"/>
  <c r="Q140" i="103"/>
  <c r="R161" i="103"/>
  <c r="G161" i="103" s="1"/>
  <c r="G160" i="103" s="1"/>
  <c r="Q156" i="103"/>
  <c r="Q90" i="103"/>
  <c r="R95" i="103"/>
  <c r="O121" i="112" l="1"/>
  <c r="Q38" i="102"/>
  <c r="F207" i="102"/>
  <c r="Q208" i="102"/>
  <c r="G208" i="102" s="1"/>
  <c r="G207" i="102" s="1"/>
  <c r="O108" i="112"/>
  <c r="Q21" i="102"/>
  <c r="N13" i="112"/>
  <c r="Q9" i="112"/>
  <c r="F41" i="102"/>
  <c r="F30" i="102"/>
  <c r="F29" i="102" s="1"/>
  <c r="G33" i="102"/>
  <c r="G109" i="106"/>
  <c r="G62" i="106"/>
  <c r="G114" i="106"/>
  <c r="G140" i="106"/>
  <c r="G33" i="106"/>
  <c r="G79" i="106"/>
  <c r="F105" i="106"/>
  <c r="F123" i="106"/>
  <c r="F120" i="106"/>
  <c r="F119" i="106" s="1"/>
  <c r="F88" i="106"/>
  <c r="G37" i="106"/>
  <c r="G58" i="106"/>
  <c r="G41" i="106"/>
  <c r="G161" i="106"/>
  <c r="S17" i="106"/>
  <c r="G17" i="106" s="1"/>
  <c r="G16" i="106" s="1"/>
  <c r="F9" i="106"/>
  <c r="F8" i="106" s="1"/>
  <c r="F190" i="106"/>
  <c r="F189" i="106" s="1"/>
  <c r="F193" i="106"/>
  <c r="F50" i="106"/>
  <c r="F47" i="106"/>
  <c r="F46" i="106" s="1"/>
  <c r="F68" i="106"/>
  <c r="F67" i="106" s="1"/>
  <c r="F71" i="106"/>
  <c r="F14" i="104"/>
  <c r="S19" i="104"/>
  <c r="G19" i="104" s="1"/>
  <c r="G54" i="106"/>
  <c r="G89" i="106"/>
  <c r="G169" i="106"/>
  <c r="G133" i="103"/>
  <c r="S51" i="104"/>
  <c r="G51" i="104" s="1"/>
  <c r="S109" i="104"/>
  <c r="G109" i="104" s="1"/>
  <c r="G106" i="104" s="1"/>
  <c r="S46" i="104"/>
  <c r="G46" i="104" s="1"/>
  <c r="S31" i="104"/>
  <c r="G31" i="104" s="1"/>
  <c r="F38" i="104"/>
  <c r="S39" i="104"/>
  <c r="F18" i="104"/>
  <c r="F244" i="105"/>
  <c r="F65" i="104"/>
  <c r="F70" i="105"/>
  <c r="F240" i="105"/>
  <c r="F12" i="105"/>
  <c r="F23" i="104"/>
  <c r="G14" i="103"/>
  <c r="F48" i="104"/>
  <c r="F142" i="105"/>
  <c r="G133" i="105"/>
  <c r="G222" i="105"/>
  <c r="G146" i="105"/>
  <c r="F236" i="105"/>
  <c r="F43" i="104"/>
  <c r="F106" i="104"/>
  <c r="F41" i="105"/>
  <c r="F28" i="104"/>
  <c r="F193" i="105"/>
  <c r="F159" i="105"/>
  <c r="F61" i="104"/>
  <c r="F176" i="105"/>
  <c r="G120" i="105"/>
  <c r="G167" i="105"/>
  <c r="G103" i="105"/>
  <c r="F210" i="105"/>
  <c r="G218" i="105"/>
  <c r="G214" i="105"/>
  <c r="G180" i="105"/>
  <c r="G201" i="105"/>
  <c r="G184" i="105"/>
  <c r="G197" i="105"/>
  <c r="F112" i="105"/>
  <c r="F129" i="105"/>
  <c r="G99" i="105"/>
  <c r="G150" i="105"/>
  <c r="G116" i="105"/>
  <c r="G163" i="105"/>
  <c r="F75" i="104"/>
  <c r="S187" i="106"/>
  <c r="G187" i="106" s="1"/>
  <c r="F56" i="104"/>
  <c r="S228" i="105"/>
  <c r="G228" i="105" s="1"/>
  <c r="G227" i="105" s="1"/>
  <c r="G64" i="104"/>
  <c r="S196" i="106"/>
  <c r="S81" i="104"/>
  <c r="G81" i="104" s="1"/>
  <c r="G80" i="104" s="1"/>
  <c r="S198" i="106"/>
  <c r="G198" i="106" s="1"/>
  <c r="G197" i="106" s="1"/>
  <c r="S145" i="106"/>
  <c r="S17" i="105"/>
  <c r="G17" i="105" s="1"/>
  <c r="G16" i="105" s="1"/>
  <c r="S245" i="105"/>
  <c r="G245" i="105" s="1"/>
  <c r="G244" i="105" s="1"/>
  <c r="O66" i="112"/>
  <c r="O23" i="112"/>
  <c r="P60" i="102"/>
  <c r="S50" i="105"/>
  <c r="G50" i="105" s="1"/>
  <c r="G49" i="105" s="1"/>
  <c r="O87" i="112"/>
  <c r="N112" i="112"/>
  <c r="Q112" i="112" s="1"/>
  <c r="N57" i="112"/>
  <c r="N95" i="112"/>
  <c r="Q95" i="112" s="1"/>
  <c r="N74" i="112"/>
  <c r="Q74" i="112" s="1"/>
  <c r="N70" i="112"/>
  <c r="Q70" i="112" s="1"/>
  <c r="N91" i="112"/>
  <c r="Q91" i="112" s="1"/>
  <c r="N31" i="112"/>
  <c r="Q31" i="112" s="1"/>
  <c r="N125" i="112"/>
  <c r="Q125" i="112" s="1"/>
  <c r="N44" i="112"/>
  <c r="Q44" i="112" s="1"/>
  <c r="E9" i="112"/>
  <c r="E8" i="112" s="1"/>
  <c r="G156" i="103"/>
  <c r="G155" i="103" s="1"/>
  <c r="F34" i="104"/>
  <c r="G66" i="104"/>
  <c r="G65" i="104" s="1"/>
  <c r="S101" i="104"/>
  <c r="G101" i="104" s="1"/>
  <c r="G98" i="104" s="1"/>
  <c r="F93" i="104"/>
  <c r="F90" i="104" s="1"/>
  <c r="F190" i="105"/>
  <c r="S194" i="105"/>
  <c r="S139" i="106"/>
  <c r="S51" i="106"/>
  <c r="S137" i="106"/>
  <c r="G137" i="106" s="1"/>
  <c r="F233" i="105"/>
  <c r="S237" i="105"/>
  <c r="G237" i="105" s="1"/>
  <c r="S143" i="105"/>
  <c r="F139" i="105"/>
  <c r="F173" i="105"/>
  <c r="S177" i="105"/>
  <c r="F71" i="104"/>
  <c r="F70" i="104" s="1"/>
  <c r="F175" i="105"/>
  <c r="S179" i="105"/>
  <c r="F158" i="105"/>
  <c r="S162" i="105"/>
  <c r="F9" i="104"/>
  <c r="F92" i="105"/>
  <c r="S96" i="105"/>
  <c r="S74" i="106"/>
  <c r="G74" i="106" s="1"/>
  <c r="G70" i="106" s="1"/>
  <c r="S95" i="106"/>
  <c r="F36" i="104"/>
  <c r="F156" i="105"/>
  <c r="S160" i="105"/>
  <c r="F235" i="105"/>
  <c r="S239" i="105"/>
  <c r="G239" i="105" s="1"/>
  <c r="G235" i="105" s="1"/>
  <c r="S108" i="106"/>
  <c r="S126" i="106"/>
  <c r="G111" i="104"/>
  <c r="S72" i="106"/>
  <c r="S105" i="104"/>
  <c r="G105" i="104" s="1"/>
  <c r="G102" i="104" s="1"/>
  <c r="F54" i="104"/>
  <c r="F94" i="105"/>
  <c r="S98" i="105"/>
  <c r="S32" i="106"/>
  <c r="F11" i="104"/>
  <c r="F109" i="105"/>
  <c r="S113" i="105"/>
  <c r="F207" i="105"/>
  <c r="S211" i="105"/>
  <c r="S106" i="106"/>
  <c r="S158" i="106"/>
  <c r="G158" i="106" s="1"/>
  <c r="S115" i="105"/>
  <c r="F111" i="105"/>
  <c r="S160" i="106"/>
  <c r="G160" i="106" s="1"/>
  <c r="G156" i="106" s="1"/>
  <c r="S15" i="106"/>
  <c r="F192" i="105"/>
  <c r="S196" i="105"/>
  <c r="S192" i="105" s="1"/>
  <c r="F128" i="105"/>
  <c r="S132" i="105"/>
  <c r="S30" i="106"/>
  <c r="F126" i="105"/>
  <c r="S130" i="105"/>
  <c r="F141" i="105"/>
  <c r="S145" i="105"/>
  <c r="F209" i="105"/>
  <c r="S213" i="105"/>
  <c r="S53" i="106"/>
  <c r="S241" i="105"/>
  <c r="G241" i="105" s="1"/>
  <c r="G240" i="105" s="1"/>
  <c r="G21" i="103"/>
  <c r="O188" i="102"/>
  <c r="F188" i="102" s="1"/>
  <c r="F187" i="102" s="1"/>
  <c r="F184" i="102"/>
  <c r="F183" i="102" s="1"/>
  <c r="Q132" i="102"/>
  <c r="G192" i="102"/>
  <c r="G191" i="102" s="1"/>
  <c r="O144" i="102"/>
  <c r="F144" i="102" s="1"/>
  <c r="F143" i="102" s="1"/>
  <c r="F140" i="102"/>
  <c r="F139" i="102" s="1"/>
  <c r="F104" i="102"/>
  <c r="F103" i="102" s="1"/>
  <c r="O108" i="102"/>
  <c r="Q124" i="102"/>
  <c r="G124" i="102" s="1"/>
  <c r="G123" i="102" s="1"/>
  <c r="Q204" i="102"/>
  <c r="G204" i="102" s="1"/>
  <c r="G203" i="102" s="1"/>
  <c r="Q116" i="102"/>
  <c r="G116" i="102" s="1"/>
  <c r="G115" i="102" s="1"/>
  <c r="G21" i="102"/>
  <c r="G20" i="102" s="1"/>
  <c r="G38" i="102"/>
  <c r="G37" i="102" s="1"/>
  <c r="G17" i="102"/>
  <c r="G16" i="102" s="1"/>
  <c r="G55" i="102"/>
  <c r="Q25" i="102"/>
  <c r="Q9" i="102" s="1"/>
  <c r="Q42" i="102"/>
  <c r="S86" i="104"/>
  <c r="G86" i="104" s="1"/>
  <c r="G85" i="104" s="1"/>
  <c r="S16" i="104"/>
  <c r="F16" i="104"/>
  <c r="G62" i="104"/>
  <c r="S73" i="105"/>
  <c r="F69" i="105"/>
  <c r="S78" i="104"/>
  <c r="S185" i="106"/>
  <c r="F40" i="105"/>
  <c r="S44" i="105"/>
  <c r="G44" i="104"/>
  <c r="G24" i="104"/>
  <c r="G23" i="104" s="1"/>
  <c r="G182" i="106"/>
  <c r="S15" i="105"/>
  <c r="F11" i="105"/>
  <c r="G49" i="104"/>
  <c r="S95" i="104"/>
  <c r="G95" i="104" s="1"/>
  <c r="S97" i="104"/>
  <c r="F67" i="105"/>
  <c r="S71" i="105"/>
  <c r="S42" i="105"/>
  <c r="S83" i="105"/>
  <c r="G83" i="105" s="1"/>
  <c r="G82" i="105" s="1"/>
  <c r="M38" i="105"/>
  <c r="F62" i="105"/>
  <c r="F61" i="105" s="1"/>
  <c r="S13" i="105"/>
  <c r="G13" i="105" s="1"/>
  <c r="M9" i="105"/>
  <c r="F29" i="105"/>
  <c r="F28" i="105" s="1"/>
  <c r="M67" i="105"/>
  <c r="Q9" i="103"/>
  <c r="R156" i="103"/>
  <c r="G95" i="103"/>
  <c r="G94" i="103" s="1"/>
  <c r="R90" i="103"/>
  <c r="G58" i="103"/>
  <c r="G57" i="103" s="1"/>
  <c r="R53" i="103"/>
  <c r="R21" i="103"/>
  <c r="G145" i="103"/>
  <c r="G144" i="103" s="1"/>
  <c r="R140" i="103"/>
  <c r="G74" i="103"/>
  <c r="G73" i="103" s="1"/>
  <c r="R69" i="103"/>
  <c r="Q51" i="102"/>
  <c r="G51" i="102" s="1"/>
  <c r="G50" i="102" s="1"/>
  <c r="F46" i="102"/>
  <c r="F9" i="102"/>
  <c r="F8" i="102" s="1"/>
  <c r="G41" i="103"/>
  <c r="R37" i="103"/>
  <c r="N35" i="112" l="1"/>
  <c r="N99" i="112"/>
  <c r="N103" i="112"/>
  <c r="N116" i="112"/>
  <c r="N78" i="112"/>
  <c r="N82" i="112"/>
  <c r="N66" i="112" s="1"/>
  <c r="N61" i="112"/>
  <c r="N129" i="112"/>
  <c r="N48" i="112"/>
  <c r="N40" i="112" s="1"/>
  <c r="Q13" i="112"/>
  <c r="E13" i="112"/>
  <c r="E12" i="112" s="1"/>
  <c r="G47" i="102"/>
  <c r="G54" i="102"/>
  <c r="G14" i="104"/>
  <c r="G136" i="106"/>
  <c r="F125" i="105"/>
  <c r="G190" i="106"/>
  <c r="G9" i="106"/>
  <c r="G154" i="106"/>
  <c r="G153" i="106" s="1"/>
  <c r="G157" i="106"/>
  <c r="N27" i="112"/>
  <c r="Q27" i="112" s="1"/>
  <c r="F27" i="112" s="1"/>
  <c r="F26" i="112" s="1"/>
  <c r="N18" i="112"/>
  <c r="G12" i="102"/>
  <c r="G20" i="103"/>
  <c r="E57" i="112"/>
  <c r="E56" i="112" s="1"/>
  <c r="Q57" i="112"/>
  <c r="S14" i="104"/>
  <c r="F53" i="104"/>
  <c r="G43" i="104"/>
  <c r="G48" i="104"/>
  <c r="F206" i="105"/>
  <c r="F172" i="105"/>
  <c r="G61" i="104"/>
  <c r="F108" i="105"/>
  <c r="F138" i="105"/>
  <c r="F33" i="104"/>
  <c r="F91" i="105"/>
  <c r="F155" i="105"/>
  <c r="F66" i="105"/>
  <c r="F13" i="104"/>
  <c r="F8" i="104"/>
  <c r="G236" i="105"/>
  <c r="F232" i="105"/>
  <c r="F189" i="105"/>
  <c r="G53" i="103"/>
  <c r="G69" i="103"/>
  <c r="G68" i="103" s="1"/>
  <c r="G37" i="103"/>
  <c r="G36" i="103" s="1"/>
  <c r="G140" i="103"/>
  <c r="G139" i="103" s="1"/>
  <c r="Q184" i="102"/>
  <c r="F9" i="105"/>
  <c r="F8" i="105" s="1"/>
  <c r="E91" i="112"/>
  <c r="E90" i="112" s="1"/>
  <c r="F74" i="112"/>
  <c r="F73" i="112" s="1"/>
  <c r="E74" i="112"/>
  <c r="E73" i="112" s="1"/>
  <c r="E44" i="112"/>
  <c r="E43" i="112" s="1"/>
  <c r="E70" i="112"/>
  <c r="E69" i="112" s="1"/>
  <c r="F95" i="112"/>
  <c r="F94" i="112" s="1"/>
  <c r="E95" i="112"/>
  <c r="E94" i="112" s="1"/>
  <c r="E125" i="112"/>
  <c r="E124" i="112" s="1"/>
  <c r="N53" i="112"/>
  <c r="E31" i="112"/>
  <c r="E30" i="112" s="1"/>
  <c r="E112" i="112"/>
  <c r="E111" i="112" s="1"/>
  <c r="S156" i="106"/>
  <c r="G196" i="105"/>
  <c r="G192" i="105" s="1"/>
  <c r="G233" i="105"/>
  <c r="G232" i="105" s="1"/>
  <c r="S173" i="105"/>
  <c r="G177" i="105"/>
  <c r="S175" i="105"/>
  <c r="G179" i="105"/>
  <c r="G175" i="105" s="1"/>
  <c r="F108" i="102"/>
  <c r="F107" i="102" s="1"/>
  <c r="O60" i="102"/>
  <c r="Q140" i="102"/>
  <c r="G42" i="102"/>
  <c r="G25" i="102"/>
  <c r="G24" i="102" s="1"/>
  <c r="S68" i="106"/>
  <c r="G72" i="106"/>
  <c r="G39" i="104"/>
  <c r="S34" i="104"/>
  <c r="S235" i="105"/>
  <c r="G115" i="105"/>
  <c r="G111" i="105" s="1"/>
  <c r="S111" i="105"/>
  <c r="G139" i="106"/>
  <c r="G135" i="106" s="1"/>
  <c r="S135" i="106"/>
  <c r="S71" i="104"/>
  <c r="G76" i="104"/>
  <c r="S190" i="106"/>
  <c r="G124" i="106"/>
  <c r="S120" i="106"/>
  <c r="G132" i="105"/>
  <c r="G128" i="105" s="1"/>
  <c r="S128" i="105"/>
  <c r="G44" i="105"/>
  <c r="G40" i="105" s="1"/>
  <c r="S40" i="105"/>
  <c r="S209" i="105"/>
  <c r="G213" i="105"/>
  <c r="G209" i="105" s="1"/>
  <c r="G21" i="104"/>
  <c r="S11" i="104"/>
  <c r="G91" i="104"/>
  <c r="S91" i="104"/>
  <c r="S192" i="106"/>
  <c r="G196" i="106"/>
  <c r="S54" i="104"/>
  <c r="G54" i="104"/>
  <c r="S190" i="105"/>
  <c r="G194" i="105"/>
  <c r="S158" i="105"/>
  <c r="G162" i="105"/>
  <c r="G158" i="105" s="1"/>
  <c r="S9" i="104"/>
  <c r="G130" i="105"/>
  <c r="S126" i="105"/>
  <c r="G30" i="106"/>
  <c r="S26" i="106"/>
  <c r="G185" i="106"/>
  <c r="G184" i="106" s="1"/>
  <c r="S89" i="106"/>
  <c r="S73" i="104"/>
  <c r="G78" i="104"/>
  <c r="G73" i="104" s="1"/>
  <c r="G29" i="104"/>
  <c r="G28" i="104" s="1"/>
  <c r="G113" i="105"/>
  <c r="S109" i="105"/>
  <c r="S139" i="105"/>
  <c r="G143" i="105"/>
  <c r="G53" i="106"/>
  <c r="S49" i="106"/>
  <c r="S233" i="105"/>
  <c r="S70" i="106"/>
  <c r="G15" i="105"/>
  <c r="G11" i="105" s="1"/>
  <c r="S11" i="105"/>
  <c r="G98" i="105"/>
  <c r="G94" i="105" s="1"/>
  <c r="S94" i="105"/>
  <c r="S156" i="105"/>
  <c r="G160" i="105"/>
  <c r="S9" i="106"/>
  <c r="S69" i="105"/>
  <c r="G73" i="105"/>
  <c r="G69" i="105" s="1"/>
  <c r="S141" i="105"/>
  <c r="G145" i="105"/>
  <c r="G141" i="105" s="1"/>
  <c r="S93" i="104"/>
  <c r="G97" i="104"/>
  <c r="G93" i="104" s="1"/>
  <c r="G108" i="106"/>
  <c r="G104" i="106" s="1"/>
  <c r="S104" i="106"/>
  <c r="S28" i="106"/>
  <c r="G32" i="106"/>
  <c r="G28" i="106" s="1"/>
  <c r="S102" i="106"/>
  <c r="G106" i="106"/>
  <c r="G96" i="105"/>
  <c r="S92" i="105"/>
  <c r="S122" i="106"/>
  <c r="G126" i="106"/>
  <c r="G122" i="106" s="1"/>
  <c r="G60" i="104"/>
  <c r="G57" i="104" s="1"/>
  <c r="S56" i="104"/>
  <c r="G41" i="104"/>
  <c r="S36" i="104"/>
  <c r="S91" i="106"/>
  <c r="G95" i="106"/>
  <c r="G180" i="106"/>
  <c r="G179" i="106" s="1"/>
  <c r="S154" i="106"/>
  <c r="G211" i="105"/>
  <c r="S207" i="105"/>
  <c r="G15" i="106"/>
  <c r="S11" i="106"/>
  <c r="S47" i="106"/>
  <c r="G51" i="106"/>
  <c r="G47" i="106" s="1"/>
  <c r="G42" i="105"/>
  <c r="G145" i="106"/>
  <c r="S133" i="106"/>
  <c r="G71" i="105"/>
  <c r="S67" i="105"/>
  <c r="S29" i="105"/>
  <c r="G29" i="105" s="1"/>
  <c r="G28" i="105" s="1"/>
  <c r="S62" i="105"/>
  <c r="G62" i="105" s="1"/>
  <c r="G61" i="105" s="1"/>
  <c r="F38" i="105"/>
  <c r="F37" i="105" s="1"/>
  <c r="R9" i="103"/>
  <c r="Q47" i="102"/>
  <c r="G90" i="103"/>
  <c r="G89" i="103" s="1"/>
  <c r="Q30" i="102"/>
  <c r="N87" i="112" l="1"/>
  <c r="E116" i="112"/>
  <c r="E115" i="112" s="1"/>
  <c r="Q116" i="112"/>
  <c r="F116" i="112" s="1"/>
  <c r="F115" i="112" s="1"/>
  <c r="Q61" i="112"/>
  <c r="F61" i="112" s="1"/>
  <c r="F60" i="112" s="1"/>
  <c r="E61" i="112"/>
  <c r="E60" i="112" s="1"/>
  <c r="Q82" i="112"/>
  <c r="F82" i="112" s="1"/>
  <c r="F81" i="112" s="1"/>
  <c r="E82" i="112"/>
  <c r="E81" i="112" s="1"/>
  <c r="Q99" i="112"/>
  <c r="F99" i="112" s="1"/>
  <c r="F98" i="112" s="1"/>
  <c r="E99" i="112"/>
  <c r="E98" i="112" s="1"/>
  <c r="Q129" i="112"/>
  <c r="F129" i="112" s="1"/>
  <c r="F128" i="112" s="1"/>
  <c r="E129" i="112"/>
  <c r="E128" i="112" s="1"/>
  <c r="E103" i="112"/>
  <c r="E102" i="112" s="1"/>
  <c r="Q103" i="112"/>
  <c r="F103" i="112" s="1"/>
  <c r="F102" i="112" s="1"/>
  <c r="N108" i="112"/>
  <c r="N121" i="112"/>
  <c r="Q48" i="112"/>
  <c r="F48" i="112" s="1"/>
  <c r="F47" i="112" s="1"/>
  <c r="E48" i="112"/>
  <c r="E47" i="112" s="1"/>
  <c r="E78" i="112"/>
  <c r="E77" i="112" s="1"/>
  <c r="Q78" i="112"/>
  <c r="F78" i="112" s="1"/>
  <c r="F77" i="112" s="1"/>
  <c r="E35" i="112"/>
  <c r="E34" i="112" s="1"/>
  <c r="Q35" i="112"/>
  <c r="F35" i="112" s="1"/>
  <c r="F34" i="112" s="1"/>
  <c r="G41" i="102"/>
  <c r="G30" i="102"/>
  <c r="G29" i="102" s="1"/>
  <c r="G11" i="106"/>
  <c r="G12" i="106"/>
  <c r="G192" i="106"/>
  <c r="G193" i="106"/>
  <c r="G91" i="106"/>
  <c r="G88" i="106" s="1"/>
  <c r="G92" i="106"/>
  <c r="G189" i="106"/>
  <c r="E27" i="112"/>
  <c r="E26" i="112" s="1"/>
  <c r="N23" i="112"/>
  <c r="Q18" i="112"/>
  <c r="F18" i="112" s="1"/>
  <c r="E18" i="112"/>
  <c r="E17" i="112" s="1"/>
  <c r="G52" i="103"/>
  <c r="G9" i="103"/>
  <c r="G8" i="103" s="1"/>
  <c r="G26" i="106"/>
  <c r="G29" i="106"/>
  <c r="G71" i="106"/>
  <c r="G68" i="106"/>
  <c r="G67" i="106" s="1"/>
  <c r="G123" i="106"/>
  <c r="G120" i="106"/>
  <c r="G119" i="106" s="1"/>
  <c r="G102" i="106"/>
  <c r="G101" i="106" s="1"/>
  <c r="G105" i="106"/>
  <c r="G144" i="106"/>
  <c r="G133" i="106"/>
  <c r="G132" i="106" s="1"/>
  <c r="G50" i="106"/>
  <c r="G49" i="106"/>
  <c r="G46" i="106" s="1"/>
  <c r="G9" i="102"/>
  <c r="G8" i="102" s="1"/>
  <c r="F57" i="112"/>
  <c r="F56" i="112" s="1"/>
  <c r="Q53" i="112"/>
  <c r="G70" i="105"/>
  <c r="G90" i="104"/>
  <c r="G75" i="104"/>
  <c r="G41" i="105"/>
  <c r="G210" i="105"/>
  <c r="G159" i="105"/>
  <c r="G18" i="104"/>
  <c r="G142" i="105"/>
  <c r="G129" i="105"/>
  <c r="G193" i="105"/>
  <c r="G94" i="104"/>
  <c r="G95" i="105"/>
  <c r="G176" i="105"/>
  <c r="G34" i="104"/>
  <c r="G38" i="104"/>
  <c r="G112" i="105"/>
  <c r="G12" i="105"/>
  <c r="G8" i="106"/>
  <c r="G92" i="105"/>
  <c r="G109" i="105"/>
  <c r="G173" i="105"/>
  <c r="G139" i="105"/>
  <c r="G207" i="105"/>
  <c r="G156" i="105"/>
  <c r="G126" i="105"/>
  <c r="G190" i="105"/>
  <c r="G71" i="104"/>
  <c r="G70" i="104" s="1"/>
  <c r="G56" i="104"/>
  <c r="G53" i="104" s="1"/>
  <c r="G36" i="104"/>
  <c r="F112" i="112"/>
  <c r="F111" i="112" s="1"/>
  <c r="Q108" i="112"/>
  <c r="F31" i="112"/>
  <c r="F30" i="112" s="1"/>
  <c r="Q23" i="112"/>
  <c r="F125" i="112"/>
  <c r="F124" i="112" s="1"/>
  <c r="F70" i="112"/>
  <c r="F69" i="112" s="1"/>
  <c r="F44" i="112"/>
  <c r="F43" i="112" s="1"/>
  <c r="F91" i="112"/>
  <c r="F90" i="112" s="1"/>
  <c r="G11" i="104"/>
  <c r="G16" i="104"/>
  <c r="G9" i="104"/>
  <c r="G38" i="105"/>
  <c r="Q188" i="102"/>
  <c r="G188" i="102" s="1"/>
  <c r="G187" i="102" s="1"/>
  <c r="Q144" i="102"/>
  <c r="G144" i="102" s="1"/>
  <c r="G143" i="102" s="1"/>
  <c r="Q108" i="102"/>
  <c r="G108" i="102" s="1"/>
  <c r="G107" i="102" s="1"/>
  <c r="F60" i="102"/>
  <c r="F59" i="102" s="1"/>
  <c r="S9" i="105"/>
  <c r="S38" i="105"/>
  <c r="G67" i="105"/>
  <c r="G9" i="105"/>
  <c r="G46" i="102"/>
  <c r="G97" i="100"/>
  <c r="F97" i="100" s="1"/>
  <c r="Q40" i="112" l="1"/>
  <c r="E121" i="112"/>
  <c r="E120" i="112" s="1"/>
  <c r="E66" i="112"/>
  <c r="E65" i="112" s="1"/>
  <c r="E108" i="112"/>
  <c r="E107" i="112" s="1"/>
  <c r="Q66" i="112"/>
  <c r="Q121" i="112"/>
  <c r="E53" i="112"/>
  <c r="E52" i="112" s="1"/>
  <c r="Q87" i="112"/>
  <c r="E40" i="112"/>
  <c r="E39" i="112" s="1"/>
  <c r="E87" i="112"/>
  <c r="E86" i="112" s="1"/>
  <c r="E23" i="112"/>
  <c r="E22" i="112" s="1"/>
  <c r="G13" i="104"/>
  <c r="G33" i="104"/>
  <c r="G8" i="104"/>
  <c r="G206" i="105"/>
  <c r="G25" i="106"/>
  <c r="G189" i="105"/>
  <c r="G138" i="105"/>
  <c r="G91" i="105"/>
  <c r="G8" i="105"/>
  <c r="G125" i="105"/>
  <c r="G172" i="105"/>
  <c r="G66" i="105"/>
  <c r="G37" i="105"/>
  <c r="G155" i="105"/>
  <c r="G108" i="105"/>
  <c r="F93" i="100"/>
  <c r="G93" i="100"/>
  <c r="F40" i="112"/>
  <c r="F39" i="112" s="1"/>
  <c r="F23" i="112"/>
  <c r="F22" i="112" s="1"/>
  <c r="F53" i="112"/>
  <c r="F52" i="112" s="1"/>
  <c r="F17" i="112"/>
  <c r="F87" i="112"/>
  <c r="F86" i="112" s="1"/>
  <c r="F66" i="112"/>
  <c r="F121" i="112"/>
  <c r="F120" i="112" s="1"/>
  <c r="F108" i="112"/>
  <c r="F107" i="112" s="1"/>
  <c r="G60" i="102"/>
  <c r="G59" i="102" s="1"/>
  <c r="Q60" i="102"/>
  <c r="F65" i="112" l="1"/>
  <c r="G95" i="100"/>
  <c r="G103" i="100"/>
  <c r="G99" i="100"/>
  <c r="G71" i="100"/>
  <c r="F71" i="100" s="1"/>
  <c r="F99" i="100" l="1"/>
  <c r="F98" i="100" s="1"/>
  <c r="F103" i="100"/>
  <c r="F95" i="100"/>
  <c r="F94" i="100" s="1"/>
  <c r="G91" i="100"/>
  <c r="G63" i="100"/>
  <c r="F63" i="100" s="1"/>
  <c r="G38" i="100"/>
  <c r="F38" i="100" s="1"/>
  <c r="G132" i="100"/>
  <c r="F132" i="100" s="1"/>
  <c r="G58" i="100"/>
  <c r="F58" i="100" s="1"/>
  <c r="G19" i="100"/>
  <c r="F19" i="100" s="1"/>
  <c r="G15" i="100"/>
  <c r="G152" i="100"/>
  <c r="F152" i="100" s="1"/>
  <c r="G23" i="100"/>
  <c r="F23" i="100" s="1"/>
  <c r="G162" i="100"/>
  <c r="F162" i="100" s="1"/>
  <c r="G48" i="100"/>
  <c r="F48" i="100" s="1"/>
  <c r="G68" i="100"/>
  <c r="F68" i="100" s="1"/>
  <c r="G53" i="100"/>
  <c r="F53" i="100" s="1"/>
  <c r="G147" i="100"/>
  <c r="F147" i="100" s="1"/>
  <c r="G33" i="100"/>
  <c r="F33" i="100" s="1"/>
  <c r="G78" i="100"/>
  <c r="F78" i="100" s="1"/>
  <c r="G43" i="100"/>
  <c r="F43" i="100" s="1"/>
  <c r="G157" i="100"/>
  <c r="F157" i="100" s="1"/>
  <c r="G137" i="100"/>
  <c r="F137" i="100" s="1"/>
  <c r="G83" i="100"/>
  <c r="F83" i="100" s="1"/>
  <c r="G88" i="100"/>
  <c r="F88" i="100" s="1"/>
  <c r="G28" i="100"/>
  <c r="F28" i="100" s="1"/>
  <c r="G167" i="100"/>
  <c r="F167" i="100" s="1"/>
  <c r="G86" i="100"/>
  <c r="F86" i="100" s="1"/>
  <c r="G76" i="100"/>
  <c r="F76" i="100" s="1"/>
  <c r="G36" i="100"/>
  <c r="F36" i="100" s="1"/>
  <c r="G51" i="100"/>
  <c r="F51" i="100" s="1"/>
  <c r="G31" i="100"/>
  <c r="F31" i="100" s="1"/>
  <c r="G155" i="100"/>
  <c r="F155" i="100" s="1"/>
  <c r="G145" i="100"/>
  <c r="F145" i="100" s="1"/>
  <c r="G150" i="100"/>
  <c r="F150" i="100" s="1"/>
  <c r="G130" i="100"/>
  <c r="F130" i="100" s="1"/>
  <c r="G81" i="100"/>
  <c r="F81" i="100" s="1"/>
  <c r="G160" i="100"/>
  <c r="F160" i="100" s="1"/>
  <c r="G165" i="100"/>
  <c r="F165" i="100" s="1"/>
  <c r="G41" i="100"/>
  <c r="F41" i="100" s="1"/>
  <c r="G66" i="100"/>
  <c r="F66" i="100" s="1"/>
  <c r="G56" i="100"/>
  <c r="F56" i="100" s="1"/>
  <c r="G61" i="100"/>
  <c r="F61" i="100" s="1"/>
  <c r="G26" i="100"/>
  <c r="F26" i="100" s="1"/>
  <c r="G135" i="100"/>
  <c r="F135" i="100" s="1"/>
  <c r="G21" i="100"/>
  <c r="F21" i="100" s="1"/>
  <c r="G17" i="100"/>
  <c r="F9" i="100" l="1"/>
  <c r="F140" i="100"/>
  <c r="F25" i="100"/>
  <c r="F17" i="100"/>
  <c r="G9" i="100"/>
  <c r="F15" i="100"/>
  <c r="F11" i="100" s="1"/>
  <c r="G11" i="100"/>
  <c r="F142" i="100"/>
  <c r="F91" i="100"/>
  <c r="F90" i="100" s="1"/>
  <c r="F102" i="100"/>
  <c r="G140" i="100"/>
  <c r="G142" i="100"/>
  <c r="G127" i="100"/>
  <c r="G72" i="100"/>
  <c r="F72" i="100" s="1"/>
  <c r="G32" i="100"/>
  <c r="F32" i="100" s="1"/>
  <c r="G47" i="100"/>
  <c r="F47" i="100" s="1"/>
  <c r="G87" i="100"/>
  <c r="G166" i="100"/>
  <c r="G18" i="100"/>
  <c r="G27" i="100"/>
  <c r="F27" i="100" s="1"/>
  <c r="G156" i="100"/>
  <c r="G37" i="100"/>
  <c r="G67" i="100"/>
  <c r="F67" i="100" s="1"/>
  <c r="G57" i="100"/>
  <c r="F57" i="100" s="1"/>
  <c r="G161" i="100"/>
  <c r="G146" i="100"/>
  <c r="F146" i="100" s="1"/>
  <c r="F14" i="100"/>
  <c r="G22" i="100"/>
  <c r="F22" i="100" s="1"/>
  <c r="G82" i="100"/>
  <c r="G42" i="100"/>
  <c r="G77" i="100"/>
  <c r="G62" i="100"/>
  <c r="F62" i="100" s="1"/>
  <c r="G52" i="100"/>
  <c r="F52" i="100" s="1"/>
  <c r="G151" i="100"/>
  <c r="G136" i="100"/>
  <c r="F136" i="100" s="1"/>
  <c r="G131" i="100"/>
  <c r="F131" i="100" s="1"/>
  <c r="G125" i="100"/>
  <c r="F18" i="100" l="1"/>
  <c r="G10" i="100"/>
  <c r="F139" i="100"/>
  <c r="F16" i="100"/>
  <c r="F141" i="100"/>
  <c r="F12" i="100"/>
  <c r="F10" i="100"/>
  <c r="F8" i="100" s="1"/>
  <c r="F82" i="100"/>
  <c r="F80" i="100" s="1"/>
  <c r="F156" i="100"/>
  <c r="F154" i="100" s="1"/>
  <c r="F151" i="100"/>
  <c r="F149" i="100" s="1"/>
  <c r="F42" i="100"/>
  <c r="F40" i="100" s="1"/>
  <c r="F37" i="100"/>
  <c r="F35" i="100" s="1"/>
  <c r="F166" i="100"/>
  <c r="F164" i="100" s="1"/>
  <c r="F161" i="100"/>
  <c r="F159" i="100" s="1"/>
  <c r="F87" i="100"/>
  <c r="F85" i="100" s="1"/>
  <c r="F77" i="100"/>
  <c r="F75" i="100" s="1"/>
  <c r="F70" i="100"/>
  <c r="F30" i="100"/>
  <c r="F50" i="100"/>
  <c r="F60" i="100"/>
  <c r="F20" i="100"/>
  <c r="F55" i="100"/>
  <c r="F45" i="100"/>
  <c r="F127" i="100"/>
  <c r="F134" i="100"/>
  <c r="F65" i="100"/>
  <c r="F125" i="100"/>
  <c r="G141" i="100"/>
  <c r="G126" i="100"/>
  <c r="F129" i="100"/>
  <c r="F144" i="100" l="1"/>
  <c r="F126" i="100"/>
  <c r="F124" i="100" s="1"/>
</calcChain>
</file>

<file path=xl/sharedStrings.xml><?xml version="1.0" encoding="utf-8"?>
<sst xmlns="http://schemas.openxmlformats.org/spreadsheetml/2006/main" count="5131" uniqueCount="1566">
  <si>
    <t>Hoki</t>
  </si>
  <si>
    <t>Sweden</t>
  </si>
  <si>
    <t>Production country</t>
  </si>
  <si>
    <t>Packaging</t>
  </si>
  <si>
    <t>Transportation</t>
  </si>
  <si>
    <t>Production of capital goods</t>
  </si>
  <si>
    <t>Salmon</t>
  </si>
  <si>
    <t>Vietnam</t>
  </si>
  <si>
    <t>Nordic electricity mix</t>
  </si>
  <si>
    <t>China</t>
  </si>
  <si>
    <t>Thailand</t>
  </si>
  <si>
    <t>United States</t>
  </si>
  <si>
    <t>World average</t>
  </si>
  <si>
    <t>Chlorodifluoromethane (HCFC-22)</t>
  </si>
  <si>
    <t>Methane (CH4)</t>
  </si>
  <si>
    <t>Carbon dioxide (CO2)</t>
  </si>
  <si>
    <t>Nitrous oxide (N2O)</t>
  </si>
  <si>
    <t>Production system</t>
  </si>
  <si>
    <t>Rapeseed oil</t>
  </si>
  <si>
    <t>Rapeseed meal</t>
  </si>
  <si>
    <t>Rice</t>
  </si>
  <si>
    <t>Grains</t>
  </si>
  <si>
    <t>Sugar</t>
  </si>
  <si>
    <t>Beet pulp and molasses</t>
  </si>
  <si>
    <t>Electricity</t>
  </si>
  <si>
    <t>Milk</t>
  </si>
  <si>
    <t>Beef from milk production</t>
  </si>
  <si>
    <t>Butter</t>
  </si>
  <si>
    <t>Cream</t>
  </si>
  <si>
    <t>Skimmed milk</t>
  </si>
  <si>
    <t>Cheese</t>
  </si>
  <si>
    <t>Whey</t>
  </si>
  <si>
    <t>Cocoa</t>
  </si>
  <si>
    <t>Cocoa powder</t>
  </si>
  <si>
    <t>Cocoa butter</t>
  </si>
  <si>
    <t>Buttermilk</t>
  </si>
  <si>
    <t>Brans and middlings</t>
  </si>
  <si>
    <t>Tomato</t>
  </si>
  <si>
    <t>Cucumber</t>
  </si>
  <si>
    <t>Bell pepper</t>
  </si>
  <si>
    <t>Heating oil</t>
  </si>
  <si>
    <t>Natural gas</t>
  </si>
  <si>
    <t>Bark and chips</t>
  </si>
  <si>
    <t>Pellets and briquettes</t>
  </si>
  <si>
    <t>Diesel fuel</t>
  </si>
  <si>
    <t>Emission factors of electricity</t>
  </si>
  <si>
    <t>European electricity mix*</t>
  </si>
  <si>
    <t>Brazil</t>
  </si>
  <si>
    <t>Turkey</t>
  </si>
  <si>
    <t>kg CO2e/kWh</t>
  </si>
  <si>
    <t>Best Available Technology (BAT)</t>
  </si>
  <si>
    <t>Ammonium nitrate</t>
  </si>
  <si>
    <t>kg CO2/kg fertilizer produced</t>
  </si>
  <si>
    <t>kg CH4/kg fertilizer produced</t>
  </si>
  <si>
    <t>kg N2O/kg fertilizer produced</t>
  </si>
  <si>
    <t>Product 1</t>
  </si>
  <si>
    <t xml:space="preserve">Product 2 </t>
  </si>
  <si>
    <t>Product 3</t>
  </si>
  <si>
    <t>Emissions from the production of capital goods</t>
  </si>
  <si>
    <t>kg CO2e/kg product</t>
  </si>
  <si>
    <t>Winter wheat</t>
  </si>
  <si>
    <t>Spring wheat</t>
  </si>
  <si>
    <t>Rye</t>
  </si>
  <si>
    <t>Winter barley</t>
  </si>
  <si>
    <t>Spring barley</t>
  </si>
  <si>
    <t>Oats</t>
  </si>
  <si>
    <t>Italy</t>
  </si>
  <si>
    <t>Rest of the world</t>
  </si>
  <si>
    <t>Potato</t>
  </si>
  <si>
    <t>Denmark</t>
  </si>
  <si>
    <t>Rest of Europe</t>
  </si>
  <si>
    <t>Winter rapeseed</t>
  </si>
  <si>
    <t>Spring rapeseed</t>
  </si>
  <si>
    <t>Iceberg lettuce</t>
  </si>
  <si>
    <t>Spain</t>
  </si>
  <si>
    <t>Peas</t>
  </si>
  <si>
    <t>Beans</t>
  </si>
  <si>
    <t>Carrot</t>
  </si>
  <si>
    <t>Onion</t>
  </si>
  <si>
    <t>The Netherlands</t>
  </si>
  <si>
    <t>Leek</t>
  </si>
  <si>
    <t>White cabbage</t>
  </si>
  <si>
    <t>Germany</t>
  </si>
  <si>
    <t>Cauliflower</t>
  </si>
  <si>
    <t>France</t>
  </si>
  <si>
    <t>Broccoli</t>
  </si>
  <si>
    <t>Apple</t>
  </si>
  <si>
    <t>Banana</t>
  </si>
  <si>
    <t>Costa Rica</t>
  </si>
  <si>
    <t>Ecuador</t>
  </si>
  <si>
    <t>Panama</t>
  </si>
  <si>
    <t>Melon</t>
  </si>
  <si>
    <t>Pears</t>
  </si>
  <si>
    <t>Belgium</t>
  </si>
  <si>
    <t>Lemon</t>
  </si>
  <si>
    <t>Strawberry</t>
  </si>
  <si>
    <t>Raspberry</t>
  </si>
  <si>
    <t>Avocado</t>
  </si>
  <si>
    <t>Orange</t>
  </si>
  <si>
    <t>Coffee</t>
  </si>
  <si>
    <t>Olives</t>
  </si>
  <si>
    <t>Greece</t>
  </si>
  <si>
    <t>Greenhouse</t>
  </si>
  <si>
    <t>Ivory Coast (Of the cocoa used in Swedish industry)</t>
  </si>
  <si>
    <t>Pasta baking</t>
  </si>
  <si>
    <t>Pressing and mixing of fruit and berries to juice and squash drinks</t>
  </si>
  <si>
    <t>Processing of chocolate</t>
  </si>
  <si>
    <t>Bread and pastry baking</t>
  </si>
  <si>
    <t>kg CO2e/kg 
prepared product</t>
  </si>
  <si>
    <t>Processing of potato chips</t>
  </si>
  <si>
    <t>Wheat flour</t>
  </si>
  <si>
    <t>Rye flour</t>
  </si>
  <si>
    <t>Margarine</t>
  </si>
  <si>
    <t>Fruit mix</t>
  </si>
  <si>
    <t>Wheat-rye bread</t>
  </si>
  <si>
    <t>Crisp bread</t>
  </si>
  <si>
    <t>Rusks</t>
  </si>
  <si>
    <t>Buns</t>
  </si>
  <si>
    <t>Wheat bread</t>
  </si>
  <si>
    <t>Pasta</t>
  </si>
  <si>
    <t>Follow-up formula</t>
  </si>
  <si>
    <t>Soda</t>
  </si>
  <si>
    <t>Apple juice</t>
  </si>
  <si>
    <t>Milk chocolate</t>
  </si>
  <si>
    <t>Set values for emissions from the production of packaging materials</t>
  </si>
  <si>
    <t>Berries</t>
  </si>
  <si>
    <t>Vegetable oil</t>
  </si>
  <si>
    <t>All other plant-based foods</t>
  </si>
  <si>
    <t>Herring, mackerel and salted roe</t>
  </si>
  <si>
    <t>Other fish and seafood</t>
  </si>
  <si>
    <r>
      <t>c</t>
    </r>
    <r>
      <rPr>
        <sz val="10"/>
        <color theme="1"/>
        <rFont val="Calibri"/>
        <family val="2"/>
        <scheme val="minor"/>
      </rPr>
      <t>Includes Italy and Spain</t>
    </r>
  </si>
  <si>
    <r>
      <t>d</t>
    </r>
    <r>
      <rPr>
        <sz val="10"/>
        <color theme="1"/>
        <rFont val="Calibri"/>
        <family val="2"/>
        <scheme val="minor"/>
      </rPr>
      <t>Includes Greece and Turkey</t>
    </r>
  </si>
  <si>
    <r>
      <t>e</t>
    </r>
    <r>
      <rPr>
        <sz val="10"/>
        <color theme="1"/>
        <rFont val="Calibri"/>
        <family val="2"/>
        <scheme val="minor"/>
      </rPr>
      <t xml:space="preserve">Includes </t>
    </r>
    <r>
      <rPr>
        <sz val="10"/>
        <color rgb="FF222222"/>
        <rFont val="Calibri"/>
        <family val="2"/>
        <scheme val="minor"/>
      </rPr>
      <t>Ivory Coast</t>
    </r>
  </si>
  <si>
    <r>
      <t>g</t>
    </r>
    <r>
      <rPr>
        <sz val="10"/>
        <color theme="1"/>
        <rFont val="Calibri"/>
        <family val="2"/>
        <scheme val="minor"/>
      </rPr>
      <t>Includes Thailand and Vietnam</t>
    </r>
  </si>
  <si>
    <r>
      <t>h</t>
    </r>
    <r>
      <rPr>
        <sz val="10"/>
        <color theme="1"/>
        <rFont val="Calibri"/>
        <family val="2"/>
        <scheme val="minor"/>
      </rPr>
      <t>Includes New Zeeland</t>
    </r>
  </si>
  <si>
    <r>
      <t>a</t>
    </r>
    <r>
      <rPr>
        <sz val="10"/>
        <color theme="1"/>
        <rFont val="Calibri"/>
        <family val="2"/>
        <scheme val="minor"/>
      </rPr>
      <t>Includes Denmark and Norway</t>
    </r>
  </si>
  <si>
    <r>
      <t>f</t>
    </r>
    <r>
      <rPr>
        <sz val="10"/>
        <color theme="1"/>
        <rFont val="Calibri"/>
        <family val="2"/>
        <scheme val="minor"/>
      </rPr>
      <t>Includes United States, Panamá, Costa Rica, Brazil and Ecuador</t>
    </r>
  </si>
  <si>
    <t>Set values for emissions from transportation of food</t>
  </si>
  <si>
    <t>Roots and tubers</t>
  </si>
  <si>
    <t>Fruits and vegetables</t>
  </si>
  <si>
    <t>Fish and seafood</t>
  </si>
  <si>
    <t>Europe</t>
  </si>
  <si>
    <t>Latin America</t>
  </si>
  <si>
    <t>Cod</t>
  </si>
  <si>
    <t>Herring</t>
  </si>
  <si>
    <t>Mackerel</t>
  </si>
  <si>
    <t>Saithe</t>
  </si>
  <si>
    <t xml:space="preserve">Northern Prawn </t>
  </si>
  <si>
    <t xml:space="preserve">Alaska pollock </t>
  </si>
  <si>
    <t xml:space="preserve">Rainbow trout </t>
  </si>
  <si>
    <t xml:space="preserve">European plaice </t>
  </si>
  <si>
    <t xml:space="preserve">Pangasius </t>
  </si>
  <si>
    <t>Juice</t>
  </si>
  <si>
    <t>Beef</t>
  </si>
  <si>
    <t>Pork meat</t>
  </si>
  <si>
    <t>Eggs</t>
  </si>
  <si>
    <t>Pastry</t>
  </si>
  <si>
    <t>Strawberries</t>
  </si>
  <si>
    <t>Raspberries</t>
  </si>
  <si>
    <t>Squash drink</t>
  </si>
  <si>
    <t>Potato crisps</t>
  </si>
  <si>
    <t>Hard cheese</t>
  </si>
  <si>
    <t>Dessert cheese</t>
  </si>
  <si>
    <t>Crème fraiche</t>
  </si>
  <si>
    <t>kg CO2</t>
  </si>
  <si>
    <t>kg CH4</t>
  </si>
  <si>
    <t>kg N2O</t>
  </si>
  <si>
    <t>Sweden and the Nordic countries</t>
  </si>
  <si>
    <t>Other countries</t>
  </si>
  <si>
    <t>kg CO2/MJ</t>
  </si>
  <si>
    <t>kg CH4/MJ</t>
  </si>
  <si>
    <t>kg N2O/MJ</t>
  </si>
  <si>
    <t>kg CO2/kg product</t>
  </si>
  <si>
    <t>Plant-based foods, feed for cattle, 
pigs, fowls and fish in aquaculture systems</t>
  </si>
  <si>
    <t>Emission, kg CO2e/kg transported to Sweden (sea and/or road)</t>
  </si>
  <si>
    <t>Total after processing</t>
  </si>
  <si>
    <t>LUC emissions</t>
  </si>
  <si>
    <t>Soil carbon emissions</t>
  </si>
  <si>
    <t>Emissions</t>
  </si>
  <si>
    <t>Share of Swedish market (fraction)</t>
  </si>
  <si>
    <t xml:space="preserve">Legumes </t>
  </si>
  <si>
    <t>Rape seed</t>
  </si>
  <si>
    <t>Emission or sequestration due to soil carbon changes</t>
  </si>
  <si>
    <t>Root crops and field vegetables</t>
  </si>
  <si>
    <t xml:space="preserve">Rest of the world </t>
  </si>
  <si>
    <t>Emission due to land use change</t>
  </si>
  <si>
    <t>Waste fractions for different product groups in different regions, from postharvest until retailer in Sweden*</t>
  </si>
  <si>
    <t>Myhre et al. (2013)</t>
  </si>
  <si>
    <t>Source</t>
  </si>
  <si>
    <t>Persson et al. (2015)</t>
  </si>
  <si>
    <t>Malmros, H., pers. comm. (2017)</t>
  </si>
  <si>
    <t>Flysjö et al. (2008)</t>
  </si>
  <si>
    <t>Recanati et al., 2018</t>
  </si>
  <si>
    <t>National Food Agency (2017), Löfgren, R., pers. comm. (2017)</t>
  </si>
  <si>
    <t>Gode et al. (2011)</t>
  </si>
  <si>
    <t>*Without Russia and Turkey, average 2011-2014</t>
  </si>
  <si>
    <t>New Zeeland**</t>
  </si>
  <si>
    <t>**Average 2011-2015</t>
  </si>
  <si>
    <t>Nordic: Gode et al. (2011), European: EEA (2017), New Zeeland: MBIE (2017), Vietnam: Brander et al. (2011)</t>
  </si>
  <si>
    <t>BAT: Yara International (2010)</t>
  </si>
  <si>
    <t>Swedish Agency for Public Management (2010)</t>
  </si>
  <si>
    <t>Transportation to Sweden: NTM (n.d.)</t>
  </si>
  <si>
    <t>Transportation in Sweden: Swedish Climate Certification for Food (2010)</t>
  </si>
  <si>
    <t>*Values &lt; 0 indicates a sequestration of CO2</t>
  </si>
  <si>
    <t>Henders et al. (2015)</t>
  </si>
  <si>
    <t>ANDERSSON, B. 1992. Utsädesmängder i stråsäd och oljeväxter. Swedish University of Agricultural Sciences.</t>
  </si>
  <si>
    <t>DANISH EPA 2017. DENMARK’S NATIONAL INVENTORY REPORT 2017. Emission Inventories 1990-2015 – Submitted under the United Nations Framework Convention on Climate Change and the Kyoto Protocol.</t>
  </si>
  <si>
    <t>EUROPEAN COMMISSION 2017. Statistical Database.</t>
  </si>
  <si>
    <t>ISPRA 2017. Italian Greenhouse Gas Inventory 1990 - 2015. National Inventory Report 2017. .</t>
  </si>
  <si>
    <t>NILSSON, K., FLORÉN, B. &amp; SONESSON, U. 2009. KLIMATPÅVERKAN FRÅN PRIMÄRFÖRPACKNINGAR FÖR OLIKA LIVSMEDELSGRUPPER. UNDERLAG TILL KLIMATCERTIFIERING.</t>
  </si>
  <si>
    <t>SEPA 2017. National Inventory Report Sweden 2017. Greenhouse Gas Emission Inventories 1990-2015. Submitted under the United Nations Framework Convention on Climate Change and the Kyoto Protocol. Stockholm, Sweden.</t>
  </si>
  <si>
    <t>SWEDISH AGENCY FOR PUBLIC MANAGEMENT 2010. Effekter på priset för handelsgödsel när skatten på kväve i handelsgödsel avskaffas.</t>
  </si>
  <si>
    <t>SWEDISH CLIMATE CERTIFICATION FOR FOOD 2009. LAGRING av färska frukter och grönsaker samt spannmålsprodukter. Underlag till regler för minskad klimatpåverkan inom livsmedelsproduktionen.</t>
  </si>
  <si>
    <t>SWEDISH CLIMATE CERTIFICATION FOR FOOD 2010. KLIMATPÅVERKAN FRÅN LIVSMEDELSTRANSPORTER UNDERLAG TILL KLIMATCERTIFIERING.</t>
  </si>
  <si>
    <t>UBA 2017. National Inventory Report for the German Greenhouse Gas Inventory 1990 – 2015. Federal Environment Agency Submission under the United Nations Framework Convention on Climate Change and the Kyoto Protocol 2017.</t>
  </si>
  <si>
    <t>WALLMAN, M. &amp; NILSSON, K. 2011. Klimatpåverkan och energianvändning från livsmedelsförpackningar.</t>
  </si>
  <si>
    <t>EUROPEAN COMMISSION 2016. REPORT FROM THE COMMISSION TO THE EUROPEAN PARLIAMENT, THE COUNCIL, THE EUROPEAN ECONOMIC AND SOCIAL COMMITTEE AND THE COMMITTEE OF THE REGIONS. Energy prices and costs in Europe. Brussels, Belgium.</t>
  </si>
  <si>
    <t>Gustavsson et al. (2011)</t>
  </si>
  <si>
    <t>Calculations with the ICBM-model (Andrén &amp; Kätterer, 1997)</t>
  </si>
  <si>
    <t>Soy oil</t>
  </si>
  <si>
    <t>Soy meal</t>
  </si>
  <si>
    <t>Eggs, beef, pork and poultry meat</t>
  </si>
  <si>
    <t>Energy use for drying</t>
  </si>
  <si>
    <t>Energy use for irrigation</t>
  </si>
  <si>
    <t>Energy use in greenhouses</t>
  </si>
  <si>
    <t>Open-field</t>
  </si>
  <si>
    <t>Emission factor field application of nitrogen</t>
  </si>
  <si>
    <t>MJ/liter</t>
  </si>
  <si>
    <t>Drying, demand of oil, liter/kg of dried product</t>
  </si>
  <si>
    <t>Drying, demand of electricity, kWh/kg of dried product</t>
  </si>
  <si>
    <t>Drying, demand of wood, kWh/kg of dried product</t>
  </si>
  <si>
    <t>Milling, demand of oil, liter/kg of milled product</t>
  </si>
  <si>
    <t>Milling, demand of electricity, kWh/kg of milled product</t>
  </si>
  <si>
    <t>Pressing, demand of natural gas, kWh/kg pressed product</t>
  </si>
  <si>
    <t>Pressing, demand of biofuel, kWh/kg pressed product</t>
  </si>
  <si>
    <t>Oil crops</t>
  </si>
  <si>
    <t>Energy requirement for drying, milling and pressing of crops</t>
  </si>
  <si>
    <t>Input data for crops grown in greenhouses</t>
  </si>
  <si>
    <t>Fruits</t>
  </si>
  <si>
    <t>Input data for rice cultivation</t>
  </si>
  <si>
    <t>Seasonal emission factor kg CH4/kg rice</t>
  </si>
  <si>
    <t>Seasonal emission factor kg CH4/ha</t>
  </si>
  <si>
    <t>Cultivation type - rain fed and deep water, fraction</t>
  </si>
  <si>
    <t>Moisture content before drying</t>
  </si>
  <si>
    <t>Moisture content after drying</t>
  </si>
  <si>
    <t>kg N2O per kg direct N2O emissions</t>
  </si>
  <si>
    <t>Direct emissions</t>
  </si>
  <si>
    <t>Indirect emissions</t>
  </si>
  <si>
    <t>kg N2O per kg N applied to crops</t>
  </si>
  <si>
    <t>Average</t>
  </si>
  <si>
    <t xml:space="preserve">Emissions from the production of N mineral fertilizer </t>
  </si>
  <si>
    <t>Use of N mineral fertilizer, fractions</t>
  </si>
  <si>
    <t>Heating values of fuels</t>
  </si>
  <si>
    <t>Kiwifruit</t>
  </si>
  <si>
    <t>Rapeseed</t>
  </si>
  <si>
    <t>Energy requirement in greenhouse (MJ/ha)</t>
  </si>
  <si>
    <t>kg CO2/kg</t>
  </si>
  <si>
    <t>kg CH4/kg</t>
  </si>
  <si>
    <t>kg N2O/kg</t>
  </si>
  <si>
    <t>Conventional indoor</t>
  </si>
  <si>
    <t xml:space="preserve">Average </t>
  </si>
  <si>
    <t>Enteric fermentation</t>
  </si>
  <si>
    <t>Market share</t>
  </si>
  <si>
    <t xml:space="preserve">Hoki </t>
  </si>
  <si>
    <t>Pangasius</t>
  </si>
  <si>
    <t>New Zeeland</t>
  </si>
  <si>
    <t>European electricity mix</t>
  </si>
  <si>
    <t>Electricity mix for processing of fish (fractions of each mix used)</t>
  </si>
  <si>
    <t>Winther et al. (2009)</t>
  </si>
  <si>
    <t xml:space="preserve"> kWh/kg fish</t>
  </si>
  <si>
    <t>Electricity use in processing of fish</t>
  </si>
  <si>
    <t>Other ingredients</t>
  </si>
  <si>
    <t>Cassava meal</t>
  </si>
  <si>
    <t>By-products rice</t>
  </si>
  <si>
    <t>Vitamins and minerals</t>
  </si>
  <si>
    <t>Peas and horsebeans</t>
  </si>
  <si>
    <t>Sunflower meal</t>
  </si>
  <si>
    <t>By-products cereal industry</t>
  </si>
  <si>
    <t>Soy protein</t>
  </si>
  <si>
    <t>Marine protein</t>
  </si>
  <si>
    <t>Marine oils</t>
  </si>
  <si>
    <t>Rainbow trout</t>
  </si>
  <si>
    <t>Feed composition of farmed fish (fractions)</t>
  </si>
  <si>
    <t>kg N2O/kg feed</t>
  </si>
  <si>
    <t>kg CH4/kg feed</t>
  </si>
  <si>
    <t>kg CO2/kg feed</t>
  </si>
  <si>
    <t>Soil emissions</t>
  </si>
  <si>
    <t>Emissions from energy use and mineral fertilizer production</t>
  </si>
  <si>
    <t>Electricty use fish farming</t>
  </si>
  <si>
    <t>kg CO2e/kg fish produced</t>
  </si>
  <si>
    <t>Fry and fingerling production</t>
  </si>
  <si>
    <t>Emission factors aquaculture systems</t>
  </si>
  <si>
    <t xml:space="preserve"> kg HCFC-22/kg landed fish</t>
  </si>
  <si>
    <t>Emission factors from storage of fish at vessels using R-22</t>
  </si>
  <si>
    <t>kg N2O/liter diesel</t>
  </si>
  <si>
    <t>kg CH4/liter diesel</t>
  </si>
  <si>
    <t>kg CO2/liter diesel</t>
  </si>
  <si>
    <t>Average of other farmed</t>
  </si>
  <si>
    <t>Aquaculture</t>
  </si>
  <si>
    <t>Other fish species</t>
  </si>
  <si>
    <t>Average of other wild-caught</t>
  </si>
  <si>
    <t>Wild-caught</t>
  </si>
  <si>
    <t>Pelagic trawl</t>
  </si>
  <si>
    <t>Bottom trawl</t>
  </si>
  <si>
    <t>The Netherlands, Denmark</t>
  </si>
  <si>
    <t>Beam trawl</t>
  </si>
  <si>
    <t>Farmed</t>
  </si>
  <si>
    <t>Norway, Iceland</t>
  </si>
  <si>
    <t xml:space="preserve">United States </t>
  </si>
  <si>
    <t>Norway, Denmark</t>
  </si>
  <si>
    <t>Purse seine</t>
  </si>
  <si>
    <t>Sweden, Norway, Latvia</t>
  </si>
  <si>
    <t>Trolling line</t>
  </si>
  <si>
    <t>Diesel use for pelagic trawl for saithe is an average of records of Oceania and North America due to few records of Europe from Parker and Tyedmers (2015)</t>
  </si>
  <si>
    <t>Norway, Denmark, Sweden</t>
  </si>
  <si>
    <t>Norway</t>
  </si>
  <si>
    <t>Feed consumption</t>
  </si>
  <si>
    <t>Edible yield (fraction of whole weight)</t>
  </si>
  <si>
    <t>Diesel use, liter/kg landed catch</t>
  </si>
  <si>
    <t>Fishing countries</t>
  </si>
  <si>
    <t>Gear use (fractions)</t>
  </si>
  <si>
    <t>Gear type</t>
  </si>
  <si>
    <t>Fish species, share of Swedish market (fraction)</t>
  </si>
  <si>
    <t xml:space="preserve">Input data for wild-caught and farmed seafood </t>
  </si>
  <si>
    <t>Piglets</t>
  </si>
  <si>
    <t>Fattening pigs</t>
  </si>
  <si>
    <t>Boars</t>
  </si>
  <si>
    <t>Sows</t>
  </si>
  <si>
    <t>Deep litter</t>
  </si>
  <si>
    <t>Liquid</t>
  </si>
  <si>
    <t>Solid</t>
  </si>
  <si>
    <t>NH3 loss, ventilation in stables and in storage, kg</t>
  </si>
  <si>
    <t>Liquid manure</t>
  </si>
  <si>
    <t>Solid manure</t>
  </si>
  <si>
    <t>Fraction NH3 loss, ventilation in stables and in storage</t>
  </si>
  <si>
    <t>Ammonia emissions</t>
  </si>
  <si>
    <t>Parents and grandparents</t>
  </si>
  <si>
    <t>Bo, m3 CH4/kg VS</t>
  </si>
  <si>
    <t>Slaughter chickens</t>
  </si>
  <si>
    <t>Volatile solids (VS), fraction of manure</t>
  </si>
  <si>
    <t>EF N2O volatilization</t>
  </si>
  <si>
    <t>EF N2O deep litter</t>
  </si>
  <si>
    <t>EF N2O liquid manure</t>
  </si>
  <si>
    <t>EF N2O solid manure</t>
  </si>
  <si>
    <t>MCF deep litter piglets</t>
  </si>
  <si>
    <t>MCF deep litter fattening pigs</t>
  </si>
  <si>
    <t>MCF liquid manure</t>
  </si>
  <si>
    <t>MCF solid manure</t>
  </si>
  <si>
    <t>Emission factors manure management</t>
  </si>
  <si>
    <t>Of which deep litter</t>
  </si>
  <si>
    <t>Bo, m3 CH4/kg VS - parents and grandparents</t>
  </si>
  <si>
    <t>Bo, m3 CH4/kg VS - slaughter chickens</t>
  </si>
  <si>
    <t>Of which liquid manure</t>
  </si>
  <si>
    <t>EF N2O Deep litter</t>
  </si>
  <si>
    <t>Of which solid manure</t>
  </si>
  <si>
    <t xml:space="preserve">Total amount of nitrogen excreted </t>
  </si>
  <si>
    <t>Total CH4 emissions manure</t>
  </si>
  <si>
    <t>Parents and grandparents, kg/head and year</t>
  </si>
  <si>
    <t>Slaughter chickens, kg/head and year</t>
  </si>
  <si>
    <t>CH4 emissions manure management</t>
  </si>
  <si>
    <t>Nitrogen excretion, kg/head and year</t>
  </si>
  <si>
    <t>Emission factors for manure management</t>
  </si>
  <si>
    <t>Laying hens</t>
  </si>
  <si>
    <t>Amount of excreted nitrogen</t>
  </si>
  <si>
    <t>Manure management systems</t>
  </si>
  <si>
    <t>Fraction NH3 loss, ventilation in stables</t>
  </si>
  <si>
    <t>Emission factor N2O</t>
  </si>
  <si>
    <t>Total amount of manure produced</t>
  </si>
  <si>
    <t>Germany, kg VS/day</t>
  </si>
  <si>
    <t>Denmark, kg VS/day</t>
  </si>
  <si>
    <t>Sweden, kg DM/day</t>
  </si>
  <si>
    <t>Manure production</t>
  </si>
  <si>
    <t>Total amount of manure produced, kg</t>
  </si>
  <si>
    <t>Total feed consumed/kg CW</t>
  </si>
  <si>
    <t>Parents and grandparents, kg VS/head and day</t>
  </si>
  <si>
    <t>Slaughter chickens, kg VS/head and day</t>
  </si>
  <si>
    <t>Germany, kg/head and year</t>
  </si>
  <si>
    <t>Denmark, kg/head and year</t>
  </si>
  <si>
    <t>Sweden, kg/head</t>
  </si>
  <si>
    <t>Parents and grandparents, kg/head</t>
  </si>
  <si>
    <t>Slaughter chickens, kg/kg CW</t>
  </si>
  <si>
    <t>Sows and boars</t>
  </si>
  <si>
    <t>Emission factors enteric fermentation, kg CH4/head and year</t>
  </si>
  <si>
    <t>Animals in production</t>
  </si>
  <si>
    <t>Total feed consumed/kg egg</t>
  </si>
  <si>
    <t>Meat yield, kg CW/head</t>
  </si>
  <si>
    <t>Boars*</t>
  </si>
  <si>
    <t>Laying hens, number</t>
  </si>
  <si>
    <t>Slaughtered heads</t>
  </si>
  <si>
    <t>Slaughtered meat, kg CW</t>
  </si>
  <si>
    <t>Production of eggs, kg</t>
  </si>
  <si>
    <t>Lifetime, days</t>
  </si>
  <si>
    <t>Number of days in production</t>
  </si>
  <si>
    <t>Slaughter age fattening pigs, days</t>
  </si>
  <si>
    <t>Number of days from hatching until delivery to egg farm</t>
  </si>
  <si>
    <t>Time of fattening phase, days</t>
  </si>
  <si>
    <t>Slaughter age, fractions slaughtered after days</t>
  </si>
  <si>
    <t>Time birth to weaning for piglets, days</t>
  </si>
  <si>
    <t>Egg production</t>
  </si>
  <si>
    <t>Slaughter chicken production</t>
  </si>
  <si>
    <t>Pig production</t>
  </si>
  <si>
    <t>Slaughter chickens, kWh/kg CW</t>
  </si>
  <si>
    <t>Swine, kWh/kg CW</t>
  </si>
  <si>
    <t>Electricity use</t>
  </si>
  <si>
    <t xml:space="preserve">Eggs, kWh/kg </t>
  </si>
  <si>
    <t>Fattening pigs, kWh/kg CW</t>
  </si>
  <si>
    <t>Fats and fatty acids</t>
  </si>
  <si>
    <t>Protein concentrate</t>
  </si>
  <si>
    <t>Feed ingredients, fractions</t>
  </si>
  <si>
    <t xml:space="preserve">Total </t>
  </si>
  <si>
    <t>Soil emissions, fraction</t>
  </si>
  <si>
    <t>Energy use and mineral fertilizer production, fraction</t>
  </si>
  <si>
    <t>Pasture</t>
  </si>
  <si>
    <t>Nordic countries</t>
  </si>
  <si>
    <t>kg HCFC-22</t>
  </si>
  <si>
    <t>Storage at vessels</t>
  </si>
  <si>
    <t>Diesel use at vessels</t>
  </si>
  <si>
    <t>Production of feed</t>
  </si>
  <si>
    <t>Production of fry and fingerlings</t>
  </si>
  <si>
    <t>Beef production</t>
  </si>
  <si>
    <t>Dairy production</t>
  </si>
  <si>
    <t>Other cattle than dairy cows, kWh/kg CW</t>
  </si>
  <si>
    <t>Dairy cows</t>
  </si>
  <si>
    <t>Piglets, kWh/head</t>
  </si>
  <si>
    <t>Beef and dairy cattle, kWh/kg CW</t>
  </si>
  <si>
    <t>*Numbers for Denmark and Germany are adjusted according to the ratio of sows and boars in Sweden</t>
  </si>
  <si>
    <t>Young bulls</t>
  </si>
  <si>
    <t>Bulls</t>
  </si>
  <si>
    <t>Steers</t>
  </si>
  <si>
    <t>Calves</t>
  </si>
  <si>
    <t>Heifers</t>
  </si>
  <si>
    <t>Replacement heifers</t>
  </si>
  <si>
    <t>Suckler cows</t>
  </si>
  <si>
    <t>Slaughter weight, kg</t>
  </si>
  <si>
    <t>Forage, kg TS</t>
  </si>
  <si>
    <t>Pasture, kg TS</t>
  </si>
  <si>
    <t xml:space="preserve">Grains, kg </t>
  </si>
  <si>
    <t>Protein concentrate, kg</t>
  </si>
  <si>
    <t>VS dairy and beef cattle, fraction of manure</t>
  </si>
  <si>
    <t>Bo dairy cattle, m3 CH4/kg VS</t>
  </si>
  <si>
    <t>Bo beef cattle, m3 CH4/kg VS</t>
  </si>
  <si>
    <t>Factor, kg/m3</t>
  </si>
  <si>
    <t xml:space="preserve">EF N2O volitilization all manure, kg N2O indirect per kg emitted NH3 </t>
  </si>
  <si>
    <t>PASTA</t>
  </si>
  <si>
    <t>Resulting emissions, kg CO2/ha</t>
  </si>
  <si>
    <t>Resulting emissions, kg CH4/ha</t>
  </si>
  <si>
    <t>Resulting emissions, kg N2O/ha</t>
  </si>
  <si>
    <t>Greenhouses - Recirculation of drainage water</t>
  </si>
  <si>
    <t>Energy requirement in greenhouse - Other fossil sources</t>
  </si>
  <si>
    <t xml:space="preserve">Energy requirement in greenhouse - Heating oil </t>
  </si>
  <si>
    <t>Energy requirement in greenhouse - Natural gas</t>
  </si>
  <si>
    <t xml:space="preserve">Energy requirement in greenhouse - Electrical energy </t>
  </si>
  <si>
    <t xml:space="preserve">Energy requirement in greenhouse - District heating </t>
  </si>
  <si>
    <t xml:space="preserve">Energy requirement in greenhouse - Other renewable sources </t>
  </si>
  <si>
    <t xml:space="preserve">Energy requirement in greenhouse - Pellets &amp; briquettes </t>
  </si>
  <si>
    <t xml:space="preserve">Energy requirement in greenhouse - Wood Chips </t>
  </si>
  <si>
    <t>Results meat and eggs</t>
  </si>
  <si>
    <t>Results fish and seafood</t>
  </si>
  <si>
    <t>Low fat margarine</t>
  </si>
  <si>
    <t>Diesel use machinery</t>
  </si>
  <si>
    <t>Country/region of origin for transportation to Sweden, fractions</t>
  </si>
  <si>
    <t>Grains and rice</t>
  </si>
  <si>
    <t>North America and Oceania</t>
  </si>
  <si>
    <t>Butter (82% fat)</t>
  </si>
  <si>
    <t>Cream (40% fat)</t>
  </si>
  <si>
    <t>Yougurt (3% fat)</t>
  </si>
  <si>
    <t>Crème fraiche (34% fat)</t>
  </si>
  <si>
    <t>Hard cheese (38% fat)</t>
  </si>
  <si>
    <t>Dessert cheese (25% fat)</t>
  </si>
  <si>
    <t>Pasteurized milk</t>
  </si>
  <si>
    <t>Milk powder</t>
  </si>
  <si>
    <t>Climate impact of the production of dairy products including energy use and the production of other ingredients than milk</t>
  </si>
  <si>
    <t>kg CO2e/kg  prepared product</t>
  </si>
  <si>
    <t>kg CO2e</t>
  </si>
  <si>
    <t>Refining sugar beet to sugar and other products, demand of oil, kWh/kg sugar beet</t>
  </si>
  <si>
    <t>Refining sugar beet to sugar and other products, demand of natural gas, kWh/kg sugar beet</t>
  </si>
  <si>
    <t>Refining sugar beet to sugar and other products, demand of electricity, kWh/kg sugar beet</t>
  </si>
  <si>
    <t>Refining sugar beet to sugar and other products, demand of biofuel, kWh/kg sugar beet</t>
  </si>
  <si>
    <t>Products included:</t>
  </si>
  <si>
    <t>Biscuits</t>
  </si>
  <si>
    <t>Emissions for ingredients before entering factory gate*</t>
  </si>
  <si>
    <t>Palm oil</t>
  </si>
  <si>
    <t>Sunflower oil</t>
  </si>
  <si>
    <t>Soy lecithin</t>
  </si>
  <si>
    <t>Lactose</t>
  </si>
  <si>
    <t>Rapeseed/rapeseed oil</t>
  </si>
  <si>
    <t>Ivory Coast</t>
  </si>
  <si>
    <t>Input products</t>
  </si>
  <si>
    <t>Energy use processing</t>
  </si>
  <si>
    <t>BUNS</t>
  </si>
  <si>
    <t>WHEAT BREAD</t>
  </si>
  <si>
    <t>WHEAT-RYE BREAD</t>
  </si>
  <si>
    <t>CRISP BREAD</t>
  </si>
  <si>
    <t>RUSKS</t>
  </si>
  <si>
    <t>BISCUITS</t>
  </si>
  <si>
    <t>MARGARINE</t>
  </si>
  <si>
    <t>ORANGE JUICE</t>
  </si>
  <si>
    <t>APPLE JUICE</t>
  </si>
  <si>
    <t>STRAWBERRY SQUASH DRINK</t>
  </si>
  <si>
    <t>RASPBERRY SQUASH DRINK</t>
  </si>
  <si>
    <t>Set values for industrial processing of crops</t>
  </si>
  <si>
    <t xml:space="preserve">kg CO2/kg product </t>
  </si>
  <si>
    <t>Soy beans</t>
  </si>
  <si>
    <t>Cocoa beans</t>
  </si>
  <si>
    <t>Liquor and shells</t>
  </si>
  <si>
    <t>Sub-Saharan Africa</t>
  </si>
  <si>
    <t>Ley and perennial tree crops**</t>
  </si>
  <si>
    <t>Product</t>
  </si>
  <si>
    <t>Input of milk in the production, kg</t>
  </si>
  <si>
    <t>POTATO CRISPS</t>
  </si>
  <si>
    <t>LOW FAT MARGARINE</t>
  </si>
  <si>
    <t>MILK CHOCOLATE</t>
  </si>
  <si>
    <t>FOLLOW-UP FORMULA</t>
  </si>
  <si>
    <t>Cocoa drink powder</t>
  </si>
  <si>
    <t>Whey protein concentrate</t>
  </si>
  <si>
    <t>SODA</t>
  </si>
  <si>
    <t>Rapeseed for rapeseed oil</t>
  </si>
  <si>
    <t>Olives for olive oil</t>
  </si>
  <si>
    <t>Ingredients, kg per kg of prepared product</t>
  </si>
  <si>
    <t>Cider (non-alcoholic)</t>
  </si>
  <si>
    <t>Oranges</t>
  </si>
  <si>
    <t>Apples</t>
  </si>
  <si>
    <t>Ice cream (dairy-based)</t>
  </si>
  <si>
    <t>Glucose syrup</t>
  </si>
  <si>
    <t>**Approximated with rapeseed oil</t>
  </si>
  <si>
    <t>Sunflower oil**</t>
  </si>
  <si>
    <t>RAC-table, Röös et al. (2013)</t>
  </si>
  <si>
    <t>RAC-table</t>
  </si>
  <si>
    <t>COCOA DRINK POWDER</t>
  </si>
  <si>
    <t>Orange juice</t>
  </si>
  <si>
    <t>ICE CREAM (DAIRY-BASED)</t>
  </si>
  <si>
    <t>RESULTS</t>
  </si>
  <si>
    <t>To farm-gate</t>
  </si>
  <si>
    <t>To retail-gate</t>
  </si>
  <si>
    <t>Processed products</t>
  </si>
  <si>
    <t>CIDER (NON-ALCOHOLIC)</t>
  </si>
  <si>
    <t>Strawberry squash drink</t>
  </si>
  <si>
    <t>Raspberry squash drink</t>
  </si>
  <si>
    <t>Barley grain</t>
  </si>
  <si>
    <t>Cocoa 
butter</t>
  </si>
  <si>
    <t>Olives/Olive oil</t>
  </si>
  <si>
    <t xml:space="preserve">Input data sheet </t>
  </si>
  <si>
    <t>Meat and eggs</t>
  </si>
  <si>
    <t>YOGURT (3% FAT)</t>
  </si>
  <si>
    <t>CREAM (40% FAT)</t>
  </si>
  <si>
    <t>HARD CHEESE (38% FAT)</t>
  </si>
  <si>
    <t>DESSERT CHEESE (25% FAT)</t>
  </si>
  <si>
    <t>CRÈME FRAICHE (34% FAT)</t>
  </si>
  <si>
    <t>MILK POWDER</t>
  </si>
  <si>
    <t>BUTTER (82% FAT)</t>
  </si>
  <si>
    <t>Choice of climate metric:</t>
  </si>
  <si>
    <t>Include land use change?</t>
  </si>
  <si>
    <t>PASTEURIZED MILK (3% FAT)</t>
  </si>
  <si>
    <t>Chicken meat</t>
  </si>
  <si>
    <t>Agricultural emissions only</t>
  </si>
  <si>
    <t>PORK MEAT</t>
  </si>
  <si>
    <t>Ireland</t>
  </si>
  <si>
    <t>Suckler cows and offsprings</t>
  </si>
  <si>
    <t>Bulls dairy</t>
  </si>
  <si>
    <t>Steers dairy</t>
  </si>
  <si>
    <t>Heifer dairy</t>
  </si>
  <si>
    <t>Calves dairy</t>
  </si>
  <si>
    <t>Energy use and mineral fertilizer production</t>
  </si>
  <si>
    <t xml:space="preserve">Manure management </t>
  </si>
  <si>
    <t>CHICKEN MEAT</t>
  </si>
  <si>
    <t>EGGS</t>
  </si>
  <si>
    <t>SALMON</t>
  </si>
  <si>
    <t>COD</t>
  </si>
  <si>
    <t>Wild-caught with bottom trawl</t>
  </si>
  <si>
    <t>Wild-caught with autoline</t>
  </si>
  <si>
    <t>Gear use fraction</t>
  </si>
  <si>
    <t>Production of 
capital goods</t>
  </si>
  <si>
    <t>Energy use for 
aquaculture</t>
  </si>
  <si>
    <t>Energy use 
for processing</t>
  </si>
  <si>
    <t>HERRING</t>
  </si>
  <si>
    <t>NORTHERN PRAWN</t>
  </si>
  <si>
    <t>Norway and Denmark</t>
  </si>
  <si>
    <t>ALASKA POLLOCK</t>
  </si>
  <si>
    <t>Wild-caught with pelagic trawl</t>
  </si>
  <si>
    <t>RAINBOW TROUT</t>
  </si>
  <si>
    <t>PANGASIUS</t>
  </si>
  <si>
    <t>EUROPEAN PLAICE</t>
  </si>
  <si>
    <t>Wild-caught with beam trawl</t>
  </si>
  <si>
    <t>Norway and Iceland</t>
  </si>
  <si>
    <t>HOKI</t>
  </si>
  <si>
    <t>Wild-caught with purse seine</t>
  </si>
  <si>
    <t>Wild-caught with trolling line</t>
  </si>
  <si>
    <t>MACKEREL</t>
  </si>
  <si>
    <t>SAITHE</t>
  </si>
  <si>
    <t>Autoline</t>
  </si>
  <si>
    <t>Production of mineral fertilizer</t>
  </si>
  <si>
    <t>AVOCADO</t>
  </si>
  <si>
    <t>Per kg sugar beet</t>
  </si>
  <si>
    <t>Per kg sugar</t>
  </si>
  <si>
    <t>Per kg cocoa powder</t>
  </si>
  <si>
    <t>Per kg cocoa butter</t>
  </si>
  <si>
    <t>PEAS</t>
  </si>
  <si>
    <t>COCOA</t>
  </si>
  <si>
    <t>COCOA POWDER</t>
  </si>
  <si>
    <t>COCOA BUTTER</t>
  </si>
  <si>
    <t>COFFEE</t>
  </si>
  <si>
    <t>ORANGE</t>
  </si>
  <si>
    <t>LEMON</t>
  </si>
  <si>
    <t>CARROT</t>
  </si>
  <si>
    <t>KIWIFRUIT</t>
  </si>
  <si>
    <t>RICE</t>
  </si>
  <si>
    <t>BEANS</t>
  </si>
  <si>
    <t>AVERAGE OF FISH AND SEAFOOD ON THE SWEDISH MARKET</t>
  </si>
  <si>
    <t>STRAWBERRY</t>
  </si>
  <si>
    <t>ICEBERG LETTUCE</t>
  </si>
  <si>
    <t>MELON</t>
  </si>
  <si>
    <t>BANANA</t>
  </si>
  <si>
    <t>BROCCOLI</t>
  </si>
  <si>
    <t>WHITE CABBAGE</t>
  </si>
  <si>
    <t>LEEK</t>
  </si>
  <si>
    <t>ONION</t>
  </si>
  <si>
    <t>PEAR</t>
  </si>
  <si>
    <t>RASPBERRY</t>
  </si>
  <si>
    <t>CAULIFLOWER</t>
  </si>
  <si>
    <t>POTATO</t>
  </si>
  <si>
    <t>APPLE</t>
  </si>
  <si>
    <t>Share of market</t>
  </si>
  <si>
    <t>BELL PEPPER</t>
  </si>
  <si>
    <t>CUCUMBER</t>
  </si>
  <si>
    <t>TOMATO</t>
  </si>
  <si>
    <t>WHEAT</t>
  </si>
  <si>
    <t>RYE</t>
  </si>
  <si>
    <t>BARLEY</t>
  </si>
  <si>
    <t>OATS</t>
  </si>
  <si>
    <t>Results processed products</t>
  </si>
  <si>
    <t>Rapeseed and rapeseed oil</t>
  </si>
  <si>
    <t>Olives and olive oil</t>
  </si>
  <si>
    <t>Sugar beet/sugar</t>
  </si>
  <si>
    <t>SUGAR BEET/SUGAR</t>
  </si>
  <si>
    <t>RAPESEED/RAPESEED OIL</t>
  </si>
  <si>
    <t>OLIVE/OLIVE OIL</t>
  </si>
  <si>
    <t>GRAINS AVERAGE</t>
  </si>
  <si>
    <t>Common input data</t>
  </si>
  <si>
    <t>Common input data sheet</t>
  </si>
  <si>
    <t>Input data meat and eggs</t>
  </si>
  <si>
    <t>Input data fish and seafood</t>
  </si>
  <si>
    <t>Input data plant-based products</t>
  </si>
  <si>
    <t>Input data processed products</t>
  </si>
  <si>
    <t>Reference list</t>
  </si>
  <si>
    <t>Common data</t>
  </si>
  <si>
    <t>Palm kernal oil</t>
  </si>
  <si>
    <t>Palm kernal meal</t>
  </si>
  <si>
    <t>Pastries</t>
  </si>
  <si>
    <t>Grains, oil crops and sugar</t>
  </si>
  <si>
    <t>Vegetables, root crops and legumes</t>
  </si>
  <si>
    <t>Squash drink of strawberry and raspberry</t>
  </si>
  <si>
    <t>Juice of orange and apple</t>
  </si>
  <si>
    <t>Fruits, berries, cocoa and coffee</t>
  </si>
  <si>
    <t>Based on Wallman and Nilsson (2011), Nilsson et al. (2009) and Stripple et al. (2014)</t>
  </si>
  <si>
    <t>MINERAL WATER</t>
  </si>
  <si>
    <t>Mineral water*</t>
  </si>
  <si>
    <t>Production of soda, cider, beer and mineral water</t>
  </si>
  <si>
    <t>Sweden and Nordic countries</t>
  </si>
  <si>
    <t>Processing of margarine</t>
  </si>
  <si>
    <t>Production of ice cream (dairy based)</t>
  </si>
  <si>
    <t>Results grains, oil crops and sugar</t>
  </si>
  <si>
    <t>Results vegetables, root crops and legumes</t>
  </si>
  <si>
    <t>Results fruits, berries, cocoa and coffee</t>
  </si>
  <si>
    <t>Pear</t>
  </si>
  <si>
    <t>Feed use</t>
  </si>
  <si>
    <t>Meat from animal, kg</t>
  </si>
  <si>
    <t>Meat from mother animal</t>
  </si>
  <si>
    <t>Total meat system, kg</t>
  </si>
  <si>
    <t>By-products cereal industry (86% DM)</t>
  </si>
  <si>
    <t>Forage (100% DM)</t>
  </si>
  <si>
    <t>Pasture (100% DM)</t>
  </si>
  <si>
    <t>Maize (92% DM)</t>
  </si>
  <si>
    <t>Rapeseed, whole (91% DM)</t>
  </si>
  <si>
    <t>By-products sugar industry (84% DM)</t>
  </si>
  <si>
    <t>Palmkernal expels (91% DM)</t>
  </si>
  <si>
    <t>Rapeseed, meal (91% DM)</t>
  </si>
  <si>
    <t>Soymeal and soy-based products (87% DM)</t>
  </si>
  <si>
    <t>Peas and horsebeans (86% DM)</t>
  </si>
  <si>
    <t>Total kg of energy corrected milk (ECM) per year</t>
  </si>
  <si>
    <t>Beef and dairy production</t>
  </si>
  <si>
    <t>BEEF</t>
  </si>
  <si>
    <t>Heifers in dairy system</t>
  </si>
  <si>
    <t>Young bulls in dairy system</t>
  </si>
  <si>
    <t>Bulls in dairy system</t>
  </si>
  <si>
    <t>Steers in dairy system</t>
  </si>
  <si>
    <t>Calves in dairy system</t>
  </si>
  <si>
    <t>Total dairy cows and replacement heifers</t>
  </si>
  <si>
    <t>Allocation to culled dairy cows</t>
  </si>
  <si>
    <t>Young bulls dairy</t>
  </si>
  <si>
    <t>Yogurt</t>
  </si>
  <si>
    <t>Total in suckler system</t>
  </si>
  <si>
    <t>Suckler cows (total emissions for all heads)</t>
  </si>
  <si>
    <t>Replacement heifers suckler system (total emissions for all heads)</t>
  </si>
  <si>
    <t>Heifers in suckler system (total emissions for all heads)</t>
  </si>
  <si>
    <t>Young bulls in suckler system (total emissions for all heads)</t>
  </si>
  <si>
    <t>Bulls in suckler system (total emissions for all heads)</t>
  </si>
  <si>
    <t>Steers in suckler system (total emissions for all heads)</t>
  </si>
  <si>
    <t>Calves in suckler system (total emissions for all heads)</t>
  </si>
  <si>
    <t>Mineral water</t>
  </si>
  <si>
    <t>Average of fish and seafood</t>
  </si>
  <si>
    <t>Barley</t>
  </si>
  <si>
    <t>Wheat</t>
  </si>
  <si>
    <t>Average grains</t>
  </si>
  <si>
    <t>PASTRY</t>
  </si>
  <si>
    <t>Replacement heifers dairy production</t>
  </si>
  <si>
    <t>Beef from culled dairy cows</t>
  </si>
  <si>
    <r>
      <t>b</t>
    </r>
    <r>
      <rPr>
        <sz val="10"/>
        <color theme="1"/>
        <rFont val="Calibri"/>
        <family val="2"/>
        <scheme val="minor"/>
      </rPr>
      <t>Includes Germany, Belgium, the Netherlands, France and Ireland</t>
    </r>
  </si>
  <si>
    <t>Feed production</t>
  </si>
  <si>
    <t>Beef from intensive dairy production</t>
  </si>
  <si>
    <t>*Approximated with Germany</t>
  </si>
  <si>
    <t>IPCC default</t>
  </si>
  <si>
    <t>MCF CH4 Sweden</t>
  </si>
  <si>
    <t>Germany and Poland</t>
  </si>
  <si>
    <t>MCF CH4 Germany and Poland*</t>
  </si>
  <si>
    <t>Germany and Poland*</t>
  </si>
  <si>
    <t>Beef production with dairy cows and breeds</t>
  </si>
  <si>
    <t>Beef and dairy production with cows and breeds from dairy</t>
  </si>
  <si>
    <t>Beef production with suckler herds</t>
  </si>
  <si>
    <t>Cows</t>
  </si>
  <si>
    <t xml:space="preserve">Total dairy cows and replacement heifers </t>
  </si>
  <si>
    <t xml:space="preserve">Allocation to culled dairy cows </t>
  </si>
  <si>
    <t>Beef replacement heifers</t>
  </si>
  <si>
    <t xml:space="preserve">Bullocks </t>
  </si>
  <si>
    <t>Bulls and steers</t>
  </si>
  <si>
    <t>Bullocks in suckler system (total emissions for all heads)</t>
  </si>
  <si>
    <t>Total suckler system</t>
  </si>
  <si>
    <t>Raw milk</t>
  </si>
  <si>
    <t>Parker et al. (2018)</t>
  </si>
  <si>
    <t>Average of winter wheat and spring wheat</t>
  </si>
  <si>
    <t>Average of all grains</t>
  </si>
  <si>
    <t>Average of winter barley and spring barley</t>
  </si>
  <si>
    <t>Rest of the world average</t>
  </si>
  <si>
    <t>Soda, cider, beer, mineral water, juice and squash drink</t>
  </si>
  <si>
    <t>All other processed foods</t>
  </si>
  <si>
    <t>Soy*</t>
  </si>
  <si>
    <t>NATIONAL FOOD AGENCY, SWEDEN. 2017. The food database. 2017 ed. Uppsala, Sweden: National Food Agency, Sweden.</t>
  </si>
  <si>
    <t>NATIONAL FOOD AGENCY, SWEDEN. n.d. Aminosyror i livsmedel, mg per 100 g ätlig del.</t>
  </si>
  <si>
    <t>Personal communication</t>
  </si>
  <si>
    <t>STRIPPLE, H., ALMEMARK, M., WRANNE, J. &amp; ERIKSSON, E. 2014. Livscykelanalys av glasflaskor, PET-flaskor och aluminiumburkar i det svenska distributionssystemet för drycker. En uppföljning av studierna från år 2008. För Sveriges Bryggerier. Stockholm, Sweden: IVL Svenska Miljöinstitutet.</t>
  </si>
  <si>
    <r>
      <t>Nordic and Baltic countries</t>
    </r>
    <r>
      <rPr>
        <b/>
        <vertAlign val="superscript"/>
        <sz val="10"/>
        <color theme="1"/>
        <rFont val="Calibri"/>
        <family val="2"/>
        <scheme val="minor"/>
      </rPr>
      <t>a</t>
    </r>
  </si>
  <si>
    <r>
      <t>West Europe</t>
    </r>
    <r>
      <rPr>
        <b/>
        <vertAlign val="superscript"/>
        <sz val="10"/>
        <color theme="1"/>
        <rFont val="Calibri"/>
        <family val="2"/>
        <scheme val="minor"/>
      </rPr>
      <t>b</t>
    </r>
  </si>
  <si>
    <r>
      <t>South Europe</t>
    </r>
    <r>
      <rPr>
        <b/>
        <vertAlign val="superscript"/>
        <sz val="10"/>
        <color theme="1"/>
        <rFont val="Calibri"/>
        <family val="2"/>
        <scheme val="minor"/>
      </rPr>
      <t>c</t>
    </r>
  </si>
  <si>
    <r>
      <t>East Europe</t>
    </r>
    <r>
      <rPr>
        <b/>
        <vertAlign val="superscript"/>
        <sz val="10"/>
        <color theme="1"/>
        <rFont val="Calibri"/>
        <family val="2"/>
        <scheme val="minor"/>
      </rPr>
      <t>d</t>
    </r>
  </si>
  <si>
    <r>
      <t>West Africa</t>
    </r>
    <r>
      <rPr>
        <b/>
        <vertAlign val="superscript"/>
        <sz val="10"/>
        <color theme="1"/>
        <rFont val="Calibri"/>
        <family val="2"/>
        <scheme val="minor"/>
      </rPr>
      <t>e</t>
    </r>
  </si>
  <si>
    <r>
      <t>North, Central and South America</t>
    </r>
    <r>
      <rPr>
        <b/>
        <vertAlign val="superscript"/>
        <sz val="10"/>
        <color theme="1"/>
        <rFont val="Calibri"/>
        <family val="2"/>
        <scheme val="minor"/>
      </rPr>
      <t>f</t>
    </r>
  </si>
  <si>
    <r>
      <t>Southeast Asia</t>
    </r>
    <r>
      <rPr>
        <b/>
        <vertAlign val="superscript"/>
        <sz val="10"/>
        <color theme="1"/>
        <rFont val="Calibri"/>
        <family val="2"/>
        <scheme val="minor"/>
      </rPr>
      <t>g</t>
    </r>
  </si>
  <si>
    <r>
      <t>Oceania</t>
    </r>
    <r>
      <rPr>
        <b/>
        <vertAlign val="superscript"/>
        <sz val="10"/>
        <color theme="1"/>
        <rFont val="Calibri"/>
        <family val="2"/>
        <scheme val="minor"/>
      </rPr>
      <t>h</t>
    </r>
  </si>
  <si>
    <t>Emission factor, kg CO2e/kg transported by road in Sweden</t>
  </si>
  <si>
    <r>
      <rPr>
        <b/>
        <sz val="10"/>
        <color theme="1"/>
        <rFont val="Calibri"/>
        <family val="2"/>
        <scheme val="minor"/>
      </rPr>
      <t>Gear type for wild-caught fish</t>
    </r>
    <r>
      <rPr>
        <sz val="10"/>
        <color theme="1"/>
        <rFont val="Calibri"/>
        <family val="2"/>
        <scheme val="minor"/>
      </rPr>
      <t>: Cod, herring, saithe, European plaice and hoki: Ziegler, F., pers. comm. (2017). Mackerel: Winther et al. (2009). Northern Prawn and Alaska pollock: WWF (n.d.)</t>
    </r>
  </si>
  <si>
    <t>Edible yield of hoki is approximated with European hake based on FAO (1989)</t>
  </si>
  <si>
    <t>Diesel use for beam trawl for European plaice is assumed the same as bottom trawl based on Parker et al. (2018)</t>
  </si>
  <si>
    <t>Feed consumption for rainbow trout is approximated with salmon based on Hognes et al. (2014)</t>
  </si>
  <si>
    <t xml:space="preserve">Alaska pollock and hoki and are assumed to be semi-pelagic and are calculated as an average of the pelagic and demersal fleets </t>
  </si>
  <si>
    <r>
      <rPr>
        <b/>
        <sz val="10"/>
        <color theme="1"/>
        <rFont val="Calibri"/>
        <family val="2"/>
        <scheme val="minor"/>
      </rPr>
      <t xml:space="preserve">Salmon: </t>
    </r>
    <r>
      <rPr>
        <sz val="10"/>
        <color theme="1"/>
        <rFont val="Calibri"/>
        <family val="2"/>
        <scheme val="minor"/>
      </rPr>
      <t xml:space="preserve">Hognes et al. (2014). </t>
    </r>
    <r>
      <rPr>
        <b/>
        <sz val="10"/>
        <color theme="1"/>
        <rFont val="Calibri"/>
        <family val="2"/>
        <scheme val="minor"/>
      </rPr>
      <t>Pangasius:</t>
    </r>
    <r>
      <rPr>
        <sz val="10"/>
        <color theme="1"/>
        <rFont val="Calibri"/>
        <family val="2"/>
        <scheme val="minor"/>
      </rPr>
      <t xml:space="preserve"> Henriksson et al. (2014)</t>
    </r>
  </si>
  <si>
    <r>
      <rPr>
        <b/>
        <sz val="10"/>
        <color theme="1"/>
        <rFont val="Calibri"/>
        <family val="2"/>
        <scheme val="minor"/>
      </rPr>
      <t>Feed consumption</t>
    </r>
    <r>
      <rPr>
        <sz val="10"/>
        <color theme="1"/>
        <rFont val="Calibri"/>
        <family val="2"/>
        <scheme val="minor"/>
      </rPr>
      <t>: Salmon: Hognes et al. (2014). Pangasius: Henriksson et al. (2014)</t>
    </r>
  </si>
  <si>
    <t>Values for rainbow trout are approximated with salmon based on Hognes et al. (2014)</t>
  </si>
  <si>
    <r>
      <rPr>
        <b/>
        <sz val="10"/>
        <color theme="1"/>
        <rFont val="Calibri"/>
        <family val="2"/>
        <scheme val="minor"/>
      </rPr>
      <t>Salmon:</t>
    </r>
    <r>
      <rPr>
        <sz val="10"/>
        <color theme="1"/>
        <rFont val="Calibri"/>
        <family val="2"/>
        <scheme val="minor"/>
      </rPr>
      <t xml:space="preserve"> Hognes et al. (2014). </t>
    </r>
    <r>
      <rPr>
        <b/>
        <sz val="10"/>
        <color theme="1"/>
        <rFont val="Calibri"/>
        <family val="2"/>
        <scheme val="minor"/>
      </rPr>
      <t>Pangasius:</t>
    </r>
    <r>
      <rPr>
        <sz val="10"/>
        <color theme="1"/>
        <rFont val="Calibri"/>
        <family val="2"/>
        <scheme val="minor"/>
      </rPr>
      <t xml:space="preserve"> Henriksson et al. (2014)</t>
    </r>
  </si>
  <si>
    <t>Southeast Asia**</t>
  </si>
  <si>
    <t>Industrialized Asia***</t>
  </si>
  <si>
    <t>**Includes Thailand, Vietnam and Malaysia</t>
  </si>
  <si>
    <t>***Includes China</t>
  </si>
  <si>
    <t>Pelagic vessels*</t>
  </si>
  <si>
    <t>Demersal vessels**</t>
  </si>
  <si>
    <t>*Includes herring and mackerel</t>
  </si>
  <si>
    <t>**Includes cod, saithe, Northern prawn and European plaice</t>
  </si>
  <si>
    <t>ZIEGLER, F. &amp; BERGMAN, K. 2017. Svensk konsumtion av sjömat - en växande mångfald. Gothenburg, Sweden: RISE Research Institutes of Sweden.</t>
  </si>
  <si>
    <t xml:space="preserve">HOGNES, E. S., NILSSON, K., SUND, V. &amp; ZIEGLER, F. 2014. LCA of Norwegian salmon production 2012. SINTEF Fiskeri og havbruk.
</t>
  </si>
  <si>
    <t>Set values for the energy requirement of industrial processing</t>
  </si>
  <si>
    <t>SIK 2011. Klimatpåverkan från bröd – kommunikationsunderlag. P80427. Utdrag ur rapport till Brödinstitutet januari 2009. SIK Institutet för livsmedel och bioteknik.</t>
  </si>
  <si>
    <t>Fruit mix***</t>
  </si>
  <si>
    <t>Lactose****</t>
  </si>
  <si>
    <t>Soy lecithin*****</t>
  </si>
  <si>
    <t>Whey protein 
concentrate******</t>
  </si>
  <si>
    <t>****Approximated with milk</t>
  </si>
  <si>
    <t>*****Approximated with soy bean oil</t>
  </si>
  <si>
    <t>******Approximated with mik powder</t>
  </si>
  <si>
    <t xml:space="preserve">***Average of apple, pear, banana, orange, strawberry and raspberry </t>
  </si>
  <si>
    <t>SYSTEMBOLAGET 2016. Lanseringsplan 2017.</t>
  </si>
  <si>
    <t>Dadhich et al. (2015)</t>
  </si>
  <si>
    <t>DADHICH, J., SMITH, J., IELLAMO, A. &amp; SULEIMAN, A. 2015. Carbon footprint due to milk formula. A study from selected countries of the Asia-Pacific region.</t>
  </si>
  <si>
    <t>Kung Markatta (2018), O’boy (2018)</t>
  </si>
  <si>
    <t>Coca cola (n.d.)</t>
  </si>
  <si>
    <t>National Food Agency (2009)</t>
  </si>
  <si>
    <t>Angervall and Sonesson (2011)</t>
  </si>
  <si>
    <t>Nilsson et al. (2011a)</t>
  </si>
  <si>
    <t>Berlin and Sund (2009)</t>
  </si>
  <si>
    <r>
      <rPr>
        <b/>
        <sz val="10"/>
        <color theme="1"/>
        <rFont val="Calibri"/>
        <family val="2"/>
        <scheme val="minor"/>
      </rPr>
      <t>Juice, squash drinks, chocolate:</t>
    </r>
    <r>
      <rPr>
        <sz val="10"/>
        <color theme="1"/>
        <rFont val="Calibri"/>
        <family val="2"/>
        <scheme val="minor"/>
      </rPr>
      <t xml:space="preserve"> Angervall and Sonesson (2011). </t>
    </r>
    <r>
      <rPr>
        <b/>
        <sz val="10"/>
        <color theme="1"/>
        <rFont val="Calibri"/>
        <family val="2"/>
        <scheme val="minor"/>
      </rPr>
      <t>Potato crisps</t>
    </r>
    <r>
      <rPr>
        <sz val="10"/>
        <color theme="1"/>
        <rFont val="Calibri"/>
        <family val="2"/>
        <scheme val="minor"/>
      </rPr>
      <t>: Nilsson et al. (2011a). Ice cream: Berlin and Sund (2009).</t>
    </r>
  </si>
  <si>
    <t>SPENDRUPS 2017. Spendrups hållbarhetsredovisning 2016.</t>
  </si>
  <si>
    <r>
      <rPr>
        <b/>
        <sz val="10"/>
        <color theme="1"/>
        <rFont val="Calibri"/>
        <family val="2"/>
        <scheme val="minor"/>
      </rPr>
      <t>Pasta:</t>
    </r>
    <r>
      <rPr>
        <sz val="10"/>
        <color theme="1"/>
        <rFont val="Calibri"/>
        <family val="2"/>
        <scheme val="minor"/>
      </rPr>
      <t xml:space="preserve"> Carlsson-Kanyama (2001). </t>
    </r>
    <r>
      <rPr>
        <b/>
        <sz val="10"/>
        <color theme="1"/>
        <rFont val="Calibri"/>
        <family val="2"/>
        <scheme val="minor"/>
      </rPr>
      <t>Bread and pastry</t>
    </r>
    <r>
      <rPr>
        <sz val="10"/>
        <color theme="1"/>
        <rFont val="Calibri"/>
        <family val="2"/>
        <scheme val="minor"/>
      </rPr>
      <t xml:space="preserve">: SIK (2011). </t>
    </r>
    <r>
      <rPr>
        <b/>
        <sz val="10"/>
        <color theme="1"/>
        <rFont val="Calibri"/>
        <family val="2"/>
        <scheme val="minor"/>
      </rPr>
      <t>Margarine:</t>
    </r>
    <r>
      <rPr>
        <sz val="10"/>
        <color theme="1"/>
        <rFont val="Calibri"/>
        <family val="2"/>
        <scheme val="minor"/>
      </rPr>
      <t xml:space="preserve"> Nilsson et al. (2010). </t>
    </r>
    <r>
      <rPr>
        <b/>
        <sz val="10"/>
        <color theme="1"/>
        <rFont val="Calibri"/>
        <family val="2"/>
        <scheme val="minor"/>
      </rPr>
      <t>Soda, cider, beer and mineral water</t>
    </r>
    <r>
      <rPr>
        <sz val="10"/>
        <color theme="1"/>
        <rFont val="Calibri"/>
        <family val="2"/>
        <scheme val="minor"/>
      </rPr>
      <t>: Dugges, pers. comm. (2018), Spendrups (2017).</t>
    </r>
  </si>
  <si>
    <t>Per kg carcass weight</t>
  </si>
  <si>
    <t>Per kg edible weight</t>
  </si>
  <si>
    <t>MILK DELIVERED TO DAIRY PLANTS</t>
  </si>
  <si>
    <t>Per kg milk</t>
  </si>
  <si>
    <t>Per kg butter</t>
  </si>
  <si>
    <t>Per kg yogurt</t>
  </si>
  <si>
    <t>Per kg cream</t>
  </si>
  <si>
    <t>Per kg hard cheese</t>
  </si>
  <si>
    <t>Per kg dessert cheese</t>
  </si>
  <si>
    <t>Per kg crème fraiche</t>
  </si>
  <si>
    <t>Per kg milk powder</t>
  </si>
  <si>
    <t>Per kg pasta</t>
  </si>
  <si>
    <t>Per kg with shell</t>
  </si>
  <si>
    <t xml:space="preserve">Per kg live weight </t>
  </si>
  <si>
    <t>Per kg pasteurized milk</t>
  </si>
  <si>
    <t>Per kg rice</t>
  </si>
  <si>
    <t>Per kg rapeseed</t>
  </si>
  <si>
    <t>Per liter rapeseed oil</t>
  </si>
  <si>
    <t>Per kg olives</t>
  </si>
  <si>
    <t>Per liter olive oil</t>
  </si>
  <si>
    <t>Per kg tomato</t>
  </si>
  <si>
    <t>Per kg cucumber</t>
  </si>
  <si>
    <t>Per kg bell pepper</t>
  </si>
  <si>
    <t>Per kg iceberg lettuce</t>
  </si>
  <si>
    <t>Per kg beans</t>
  </si>
  <si>
    <t>Per kg peas</t>
  </si>
  <si>
    <t>Per kg cauliflower</t>
  </si>
  <si>
    <t>Per kg white cabbage</t>
  </si>
  <si>
    <t>Per kg broccoli</t>
  </si>
  <si>
    <t>Per kg leek</t>
  </si>
  <si>
    <t>Per kg onion</t>
  </si>
  <si>
    <t>Per kg carrot</t>
  </si>
  <si>
    <t>Per kg potato</t>
  </si>
  <si>
    <t>Per kg apple</t>
  </si>
  <si>
    <t>Per kg pear</t>
  </si>
  <si>
    <t>Per kg melon</t>
  </si>
  <si>
    <t>Per kg banana</t>
  </si>
  <si>
    <t>Per kg orange</t>
  </si>
  <si>
    <t>Per kg lemon</t>
  </si>
  <si>
    <t>Per kg avocado</t>
  </si>
  <si>
    <t>Per kg kiwifruit</t>
  </si>
  <si>
    <t>Per kg strawberry</t>
  </si>
  <si>
    <t>Per kg raspberry</t>
  </si>
  <si>
    <t>Per kg cocoa</t>
  </si>
  <si>
    <t>Per kg coffee bean</t>
  </si>
  <si>
    <t>Per kg milled coffee</t>
  </si>
  <si>
    <t>Per kg buns</t>
  </si>
  <si>
    <t>Per kg biscuits</t>
  </si>
  <si>
    <t>Per kg pastry</t>
  </si>
  <si>
    <t>Per kg rusks</t>
  </si>
  <si>
    <t>Per kg wheat bread</t>
  </si>
  <si>
    <t>Per kg wheat-rye bread</t>
  </si>
  <si>
    <t>Per kg crisp bread</t>
  </si>
  <si>
    <t>Per kg follow-up formula (powder)</t>
  </si>
  <si>
    <t>Per kg margarine</t>
  </si>
  <si>
    <t>Per kg low fat margarine</t>
  </si>
  <si>
    <t>Per kg cocoa drink powder</t>
  </si>
  <si>
    <t>Per liter soda</t>
  </si>
  <si>
    <t>Per liter cider</t>
  </si>
  <si>
    <t>Per liter beer</t>
  </si>
  <si>
    <t>Per liter mineral water</t>
  </si>
  <si>
    <t>Per liter orange juice</t>
  </si>
  <si>
    <t xml:space="preserve">Per liter juice </t>
  </si>
  <si>
    <t>JUICE (AVERAGE)</t>
  </si>
  <si>
    <t>SQUASH DRINK (AVERAGE)</t>
  </si>
  <si>
    <t>Per liter apple juice</t>
  </si>
  <si>
    <t>Per liter squash drink</t>
  </si>
  <si>
    <t>Per liter strawberry squash drink</t>
  </si>
  <si>
    <t>Per liter raspberry squash drink</t>
  </si>
  <si>
    <t>Per kg milk chocolate</t>
  </si>
  <si>
    <t>Per kg potato crisps</t>
  </si>
  <si>
    <t>Per kg ice cream</t>
  </si>
  <si>
    <t>Nilsson, A., pers. comm. (2017) for amount of fruits. Assumption of sugar content based on standard recipes.</t>
  </si>
  <si>
    <t>Nilsson, A., pers. comm. (2017) for amount of berries. Assumption of sugar content based on standard recipes.</t>
  </si>
  <si>
    <t>To farm-gate (before processing of fish)</t>
  </si>
  <si>
    <t>Cocoa/Cocoa powder/Cocoa butter</t>
  </si>
  <si>
    <t>Input of milk in the production</t>
  </si>
  <si>
    <t>Production country and share of Swedish market</t>
  </si>
  <si>
    <t>SBA, 2017b. Statistical Database. Swedish Board of Agriculture.</t>
  </si>
  <si>
    <t>Flysjö et al. (2014), SBA (2016b)</t>
  </si>
  <si>
    <t>Löfgren, R., pers. comm. (2017)</t>
  </si>
  <si>
    <t>Arla Forum Konsumentkontakt, pers. comm. (2017)</t>
  </si>
  <si>
    <t>Soruce</t>
  </si>
  <si>
    <t>*Dessert cheese assumed the same as hard cheese</t>
  </si>
  <si>
    <t>**Crème fraiche assumed the same as yougurt</t>
  </si>
  <si>
    <t>Dessert cheese (25% fat)*</t>
  </si>
  <si>
    <t>Crème fraiche (34% fat)**</t>
  </si>
  <si>
    <t>Production country*</t>
  </si>
  <si>
    <t>Yield</t>
  </si>
  <si>
    <t>Nitrogen in crop residues</t>
  </si>
  <si>
    <t>SBA (2014b)</t>
  </si>
  <si>
    <t>SBA (2016c)</t>
  </si>
  <si>
    <t>Marabou (n.d.)</t>
  </si>
  <si>
    <t>SBA (2016c), SBA (2017b)</t>
  </si>
  <si>
    <t>SBA (2017b)</t>
  </si>
  <si>
    <t>FAO (2017)</t>
  </si>
  <si>
    <t>Production country, production system, share of Swedish market</t>
  </si>
  <si>
    <t>Andersson, P., pers. comm. (2018)</t>
  </si>
  <si>
    <t>Mineral and organic fertilizer application rate</t>
  </si>
  <si>
    <t>Mapama (n.d.)</t>
  </si>
  <si>
    <t>Marmolin &amp; Björkholm (n.d.)</t>
  </si>
  <si>
    <t>Abeliotis et al. (2013)</t>
  </si>
  <si>
    <t>Spruijt &amp; van der Voort (2015)</t>
  </si>
  <si>
    <t>SBA (2004)</t>
  </si>
  <si>
    <t>Nilsson (2011)</t>
  </si>
  <si>
    <t>IPCC (2006)</t>
  </si>
  <si>
    <t>BÅTH, B. 2015. Växtnäringsförsörjning. EKOLOGISK GRÖNSAKSODLING PÅ FRILAND. Swedish Board of Agriculture.</t>
  </si>
  <si>
    <t>Båth (2015)</t>
  </si>
  <si>
    <t>Magnusson (1995)</t>
  </si>
  <si>
    <t xml:space="preserve">COLTRO, L. MOURAD, A. OLIVEIRA, P., BADDINI, J. &amp; KLETECKE, R. 2006. 
Environmental profile of Brazilian green coffee. Int J Life Cycle Assess 11(1):16–21.
</t>
  </si>
  <si>
    <t>Coltro et al. (2006), Rodrigues et al. (2010)</t>
  </si>
  <si>
    <t>National Food Agency, Sweden (n.d.), Recanati et al. (2018)</t>
  </si>
  <si>
    <t>Baky et al. (2010)</t>
  </si>
  <si>
    <t>Fusi et al. (2014)</t>
  </si>
  <si>
    <t>Aguilera et al. (2015a)</t>
  </si>
  <si>
    <t>Aguilera et al. (2015b)</t>
  </si>
  <si>
    <t>SBA (2011)</t>
  </si>
  <si>
    <t>Mithraratne et al. (2008)</t>
  </si>
  <si>
    <t xml:space="preserve">*Strawberry production Rest of Europe, greenhouses is calculated based on the production in the Netherlands as the Netherlands is a major exporter to Sweden and due to lack of other input data. </t>
  </si>
  <si>
    <t>VELDEN, N. &amp; SMIT, P. 2012. Energiemonitor van de Nederlandse glastuinbouw 2011. Wageningen University &amp; Research. Wageningen, the Netherlands.</t>
  </si>
  <si>
    <t>VELDEN, N. &amp; SMIT, P. 2013. Energiemonitor van de Nederlandse glastuinbouw 2012. Wageningen University &amp; Research. Wageningen, the Netherlands.</t>
  </si>
  <si>
    <t>VELDEN, N. &amp; SMIT, P. 2014. Energiemonitor van de Nederlandse glastuinbouw 2013. Wageningen University &amp; Research. Wageningen, the Netherlands.</t>
  </si>
  <si>
    <t>VELDEN, N. &amp; SMIT, P. 2015. Energiemonitor van de Nederlandse glastuinbouw 2014. Wageningen University &amp; Research. Wageningen, the Netherlands.</t>
  </si>
  <si>
    <t>VELDEN, N. &amp; SMIT, P. 2016. Energiemonitor van de Nederlandse glastuinbouw 2015. Wageningen University &amp; Research. Wageningen, the Netherlands.</t>
  </si>
  <si>
    <t>*Emissions from production and use of fuels</t>
  </si>
  <si>
    <t>Emissions from fuels*</t>
  </si>
  <si>
    <t>**Average of heating oil and natural gas</t>
  </si>
  <si>
    <t>***Average of bark and chips; pellets and briquettes</t>
  </si>
  <si>
    <t>****Representative for Sweden</t>
  </si>
  <si>
    <t>Other fossil energy sources**</t>
  </si>
  <si>
    <t xml:space="preserve">Other renewable energy sources*** </t>
  </si>
  <si>
    <t>District heating****</t>
  </si>
  <si>
    <t>Ammonium nitrate*</t>
  </si>
  <si>
    <t>*Ammonium nitrate is commonly used as nitrogen mineral fertilizer (Berglund et al., 2009)</t>
  </si>
  <si>
    <t>Mineral fertilizer of phosphate and potassium</t>
  </si>
  <si>
    <t xml:space="preserve">Fertilizer is applied mainly as nitrogen in the cultivation of plant-based products whereas smaller amounts of phosphate and potassium is used (SS, 2017) which cause negligible emissions (Berglund et al., 2009). </t>
  </si>
  <si>
    <t>Additional motivation to processes which have been excluded in the assessment</t>
  </si>
  <si>
    <t>Fixed value based on Frischknecht et al. (2007)</t>
  </si>
  <si>
    <t>Greenhouse**</t>
  </si>
  <si>
    <t>Yield (kg/ha)***</t>
  </si>
  <si>
    <t>**In Spain, greenhouses are simple plastic roof greenhouses which are unheated (Mapama, 2012; 2013; 2014; 2015; 2016, Montero et al., 2016).</t>
  </si>
  <si>
    <t xml:space="preserve">*Included for crops grown in open-field. Assumed to be included in the overall energy consumption in greenhouses. For crops grown in unheated greenhouses, electricity use for irrigation is accounted for separately. </t>
  </si>
  <si>
    <t>Set values for the climate impact of  electricity use for irrigation of crops grown in open-field and unheated greenhouses*</t>
  </si>
  <si>
    <t>Indirect emissions*</t>
  </si>
  <si>
    <t>*Assumption due to data limitations regarding nitrogen leaching from soils in different regions.</t>
  </si>
  <si>
    <t>Energy requirement in greenhouse and energy source</t>
  </si>
  <si>
    <t>SBA (2015a)</t>
  </si>
  <si>
    <t>SBA (2015b)</t>
  </si>
  <si>
    <t xml:space="preserve">SBA 2015c. Energianvändning i växthus 2014. Tomat, gurka och prydnadsväxter. Greenhouse energy use in 2014. Statistikrapport 2015:04. Swedish Board of Agriculture.
</t>
  </si>
  <si>
    <t xml:space="preserve">SBA 2015b. Trädgårdsproduktion 2014. The 2014 Horticultural Census. JO 33 SM 1501. Swedish Board of Agriculture.
</t>
  </si>
  <si>
    <t>*Energy consumption for the import countries stated as "Rest of Europe" are calculated as an average of the energy use in  other countries. The only exception is strawberry production where none of the larger export countries produce strawberries in greenhouses. Here, energy consumption is calculated based on the use in the Netherlands as this country represents the majority of the export of the countries in the group "Rest of Europe".</t>
  </si>
  <si>
    <t>ISPRA (2017)</t>
  </si>
  <si>
    <t>*Rice grown in cultivations upland are assumed to not cause emissions of CH4 as the soils are aerated and do not become flooded for a significant time period (IPCC, 2000).</t>
  </si>
  <si>
    <t>Cultivation type</t>
  </si>
  <si>
    <t>IPCC (2006), IPCC (2000)</t>
  </si>
  <si>
    <t>Cultivation type - irrigated, fraction</t>
  </si>
  <si>
    <t>Cultivation type - upland, fraction*</t>
  </si>
  <si>
    <t>Daily emission factor (kg CH4/ha)</t>
  </si>
  <si>
    <t>Scaling factor - rainfed and deep water</t>
  </si>
  <si>
    <t>Scaling factor - irrigated</t>
  </si>
  <si>
    <t>Scaling factor - upland</t>
  </si>
  <si>
    <t>Days of cultivation - rain fed and deep water</t>
  </si>
  <si>
    <t>Days of cultivation - irrigated</t>
  </si>
  <si>
    <t>Emission factors and days of cultivation</t>
  </si>
  <si>
    <t>Energy demand</t>
  </si>
  <si>
    <t>Moisture content before and after drying</t>
  </si>
  <si>
    <t>Lindh &amp; Neuman (2010)</t>
  </si>
  <si>
    <t>SBA (2010a), Edström et al. (2005), Lindh &amp; Neuman (2010)</t>
  </si>
  <si>
    <t>Coltro et al. (2006)</t>
  </si>
  <si>
    <t>Edström et al. (2005)</t>
  </si>
  <si>
    <t>MONTERO, J., BAPTISTA, F., GIUFFRIDA, F., MUNOZ, P., KEMPKES, F., GILLI, C., STEPOWSKA, A. &amp; STANGHELLINI, C. 2016. Energy use for greenhouse heating in organic production in southern European countries.  III International Symposium on Organic Greenhouse Horticulture 1164, 2016. 439-444.</t>
  </si>
  <si>
    <t>Mutua (2000)</t>
  </si>
  <si>
    <t>Fusi et al. (2014), Pachanawan et al. (2017)</t>
  </si>
  <si>
    <t>Kailis &amp; Harris (2007)</t>
  </si>
  <si>
    <t>Flysjö et al. (2008), Dansukker Kundforum, pers. comm. (2018)</t>
  </si>
  <si>
    <t>Svensk Raps, pers. comm. (2017), SBA (2010b)</t>
  </si>
  <si>
    <t>Recanati et al. (2018)</t>
  </si>
  <si>
    <t>SBA (2010a), Edström et al. (2005), Flysjö et al. (2008)</t>
  </si>
  <si>
    <t>Recanati et al. (2018), Angervall &amp; Sonesson (2011)</t>
  </si>
  <si>
    <t>Velden &amp; Smit (2012; 2013; 2014; 2015; 2016)</t>
  </si>
  <si>
    <t>SBA (2015c)</t>
  </si>
  <si>
    <t xml:space="preserve">It is assumed that 200 kg/ha of seeds are required for the production of grains and oil crops (Andersson, 1992) as well as for rice (Blengini and Busto, 2009, Fusi et al., 2014). This has a negligible effect on the overall climate impact of the products and is therefore excluded from the accounting. </t>
  </si>
  <si>
    <t>Production of seeds and baby plants</t>
  </si>
  <si>
    <t>kg CO2e/kg</t>
  </si>
  <si>
    <t>Climate impact of pesticide production and application</t>
  </si>
  <si>
    <t>kg CO2e/kg pesticide</t>
  </si>
  <si>
    <t>Pesticide use (kg active ingredient/ha)</t>
  </si>
  <si>
    <t>Sugar beet</t>
  </si>
  <si>
    <t>Sweden (greenhouse)</t>
  </si>
  <si>
    <t>The Netherlands (greenhouse)</t>
  </si>
  <si>
    <t>Spain (greenhouse/field grown)</t>
  </si>
  <si>
    <t>Rest of Europe (greenhouse)</t>
  </si>
  <si>
    <t>Sweden (greenhouse/field grown)</t>
  </si>
  <si>
    <t>Rest of Europe (Greenhouse/field grown)</t>
  </si>
  <si>
    <t>Belgium (greenhouse)</t>
  </si>
  <si>
    <t>Kiwi</t>
  </si>
  <si>
    <t>Table 3. Application rates of pesticides for the plant-based products included in the study.</t>
  </si>
  <si>
    <t>The climate impact from pesticide production and use has a negligible effect on the overall climate impact of the plant-based products and is therefore excluded for the accounting (Table 2 and 3).</t>
  </si>
  <si>
    <t>Application rates of pesticides are shown in Table 3.</t>
  </si>
  <si>
    <t xml:space="preserve">Table 2. Emission factor of pesticide production. </t>
  </si>
  <si>
    <t>Table 1. Emissions from the production of baby plants.</t>
  </si>
  <si>
    <t>SS (2011)</t>
  </si>
  <si>
    <t>*Approximated with tomatoes</t>
  </si>
  <si>
    <t>SS (2011), Spruijt &amp; van der Voort (2015)</t>
  </si>
  <si>
    <t>SS (2011), Abeliotis et al. (2013)</t>
  </si>
  <si>
    <t>Ministry of Environment and Food of Denmark (2017)</t>
  </si>
  <si>
    <t>Storage of food products before and at retailer</t>
  </si>
  <si>
    <t>Longer storage of food products before retail which require refrigeration includes root crops, vegetables and some fruits (Olsson, H., pers. comm, 2017; Swedish Climate Certification for Food, 2009)</t>
  </si>
  <si>
    <t>Swedish Climate Certification for Food (2009), Nilsson &amp; Lindberg (2011)</t>
  </si>
  <si>
    <t>Table 4. Set values for the climate impact of food products for storage before retail.</t>
  </si>
  <si>
    <r>
      <t>a</t>
    </r>
    <r>
      <rPr>
        <sz val="10"/>
        <color theme="1"/>
        <rFont val="Calibri"/>
        <family val="2"/>
        <scheme val="minor"/>
      </rPr>
      <t>Cod (60%), mackerel (66%), saithe (60%), Northern prawn (60%), Alaska Pollock (100%), Pangasius (100%), European plaice (80%), hoki (100%) (Ziegler and Bergman, 2017).</t>
    </r>
  </si>
  <si>
    <r>
      <t>b</t>
    </r>
    <r>
      <rPr>
        <sz val="10"/>
        <color theme="1"/>
        <rFont val="Calibri"/>
        <family val="2"/>
        <scheme val="minor"/>
      </rPr>
      <t>Potato, onion, carrot (Olsson, 2017, Swedish Climate Certification for Food, 2009).</t>
    </r>
  </si>
  <si>
    <r>
      <t>c</t>
    </r>
    <r>
      <rPr>
        <sz val="10"/>
        <color theme="1"/>
        <rFont val="Calibri"/>
        <family val="2"/>
        <scheme val="minor"/>
      </rPr>
      <t>Leek, cauliflower, white cabbage, broccoli (Olsson, 2017, Swedish Climate Certification for Food, 2009).</t>
    </r>
  </si>
  <si>
    <r>
      <t>d</t>
    </r>
    <r>
      <rPr>
        <sz val="10"/>
        <color theme="1"/>
        <rFont val="Calibri"/>
        <family val="2"/>
        <scheme val="minor"/>
      </rPr>
      <t>Apples, pears, kiwi, citrus fruits (Olsson, 2017, Swedish Climate Certification for Food, 2009).</t>
    </r>
  </si>
  <si>
    <r>
      <t>Fish</t>
    </r>
    <r>
      <rPr>
        <vertAlign val="superscript"/>
        <sz val="10"/>
        <color theme="1"/>
        <rFont val="Calibri"/>
        <family val="2"/>
        <scheme val="minor"/>
      </rPr>
      <t>a</t>
    </r>
    <r>
      <rPr>
        <sz val="10"/>
        <color theme="1"/>
        <rFont val="Calibri"/>
        <family val="2"/>
        <scheme val="minor"/>
      </rPr>
      <t>, root crops</t>
    </r>
    <r>
      <rPr>
        <vertAlign val="superscript"/>
        <sz val="10"/>
        <color theme="1"/>
        <rFont val="Calibri"/>
        <family val="2"/>
        <scheme val="minor"/>
      </rPr>
      <t>b</t>
    </r>
    <r>
      <rPr>
        <sz val="10"/>
        <color theme="1"/>
        <rFont val="Calibri"/>
        <family val="2"/>
        <scheme val="minor"/>
      </rPr>
      <t>, vegetables</t>
    </r>
    <r>
      <rPr>
        <vertAlign val="superscript"/>
        <sz val="10"/>
        <color theme="1"/>
        <rFont val="Calibri"/>
        <family val="2"/>
        <scheme val="minor"/>
      </rPr>
      <t>c</t>
    </r>
    <r>
      <rPr>
        <sz val="10"/>
        <color theme="1"/>
        <rFont val="Calibri"/>
        <family val="2"/>
        <scheme val="minor"/>
      </rPr>
      <t>, legumes, fruits</t>
    </r>
    <r>
      <rPr>
        <vertAlign val="superscript"/>
        <sz val="10"/>
        <color theme="1"/>
        <rFont val="Calibri"/>
        <family val="2"/>
        <scheme val="minor"/>
      </rPr>
      <t>d</t>
    </r>
  </si>
  <si>
    <t>Furthermore, parts of the seafood consumed in Sweden is transported and sold frozen (Ziegler and Bergman, 2017). Many other foods such as a variety of fruits and vegetables are transported in a cool environment and are later repacked at wholesaler before they are transported to retailer (Swedish Climate Certification for Food, 2009). Based on the Swedish Climate Certification for Food (2009) and Nilsson and Lindberg (2011), set values are developed for the food products which usually are stored during a longer time period and for the share of fish which is transported and stored frozen, see Table 4. The values are based on the use of a Nordic electricity mix. 
Based on the calculations, it is found that emissions resulting from storage of food products before and at retailer are negligible to the overall climate impact and these are therefore excluded from the accounting of the climate impact.</t>
  </si>
  <si>
    <t>For wild-caught seafood, impact from capital goods (e.g. boats and fishing gear) is assumed to be negligible based on Winther et al. (2009).</t>
  </si>
  <si>
    <t>*Includes a life-cycle perspective of the diesel, e.g. mining, processing and burning</t>
  </si>
  <si>
    <t>Emissions diesel fuel for vessels*</t>
  </si>
  <si>
    <t xml:space="preserve">Parts of the fish caught by Norwegian fishing fleets is transported to Asia to be filleted and is later sent to Sweden. The process is more efficient as regards the yield output as the filleting is carried out manually but requires transportation and storage with refrigeration onboard the ocean ships (Winther et al., 2009, KRAV, 2010). Here, it is assumed that the increase in yield output equals the climate impact from the transportation. </t>
  </si>
  <si>
    <t>KRAV 2010. Klimatsmart KRAV-fisk. Utsläpp av växthusgaser från 400 gr torskblock. En jämförelse mellan KRAV-godkända torskblock och genomsnittliga block. Uppsala, Sweden.</t>
  </si>
  <si>
    <r>
      <t xml:space="preserve">ADDITIONAL INFORMATION ABOUT TRANSPORTATION CALCULATIONS: </t>
    </r>
    <r>
      <rPr>
        <sz val="10"/>
        <color theme="1"/>
        <rFont val="Calibri"/>
        <family val="2"/>
        <scheme val="minor"/>
      </rPr>
      <t xml:space="preserve">Default load factors that NTM provides are used which represent a typical transport as carried out today (70% for both ships and large trucks). Sea transports are assumed to be carried out with large ocean container ships whereas road transports are assumed to take place with large trucks with trailers loading up to 60 tons. It is assumed that products transported by sea from South America and Asia are reloaded to trucks in Rotterdam, the Netherlands and further transported to Sweden (Knudsen, 2011) 
Transports within Sweden are calculated based on a simplified calculation model by the 
Swedish Climate Certification for Food (2010) where the average distances to central warehouses and retailers are estimated with weighting according to the demographic distribution of Sweden. The Mälaren Valley is used as starting point from which the average distances to a central warehouse and further to a retailer are estimated to be 362 km and 64 km respectively. The emissions from the transportation are then calculated with NTMCalc Basic 4.0 (NTM, n.d.) and the transportation is assumed to be carried out with large trucks with trailers loading up to 60 tons. </t>
    </r>
  </si>
  <si>
    <t xml:space="preserve">No consideration is taken of how the waste is handled after leaving the system, e.g. whether the waste is composted or used for energy production. </t>
  </si>
  <si>
    <t>Results dairy products</t>
  </si>
  <si>
    <t>Dairy products</t>
  </si>
  <si>
    <t>Input data dairy products</t>
  </si>
  <si>
    <t>FAO (2017), Eurostat (2017)</t>
  </si>
  <si>
    <t>Stanghellini et al. (2005)</t>
  </si>
  <si>
    <t>Bouman et al. (2007), Maclean (2002)</t>
  </si>
  <si>
    <t>Input data is calculated as an average 2011-2015 for the share of Swedish market, yield and fertilizer application rate when data is derived from national or official statistics</t>
  </si>
  <si>
    <t>Input data is calculated as an average 2011-2015 for the energy requirement in greenhouses and energy source</t>
  </si>
  <si>
    <t>Emissions are calculated as an average 2011-2015 for Italy where national statistics have been used.</t>
  </si>
  <si>
    <t>Energy use and 
mineral fertilizer production</t>
  </si>
  <si>
    <t>Energy use 
at slaughter</t>
  </si>
  <si>
    <t>Energy use and mineral 
fertilizer production</t>
  </si>
  <si>
    <t>Energy use 
in stables</t>
  </si>
  <si>
    <t>Energy use 
dairy plant</t>
  </si>
  <si>
    <r>
      <rPr>
        <b/>
        <sz val="10"/>
        <color theme="1"/>
        <rFont val="Calibri"/>
        <family val="2"/>
        <scheme val="minor"/>
      </rPr>
      <t>Share of Swedish market, production system and fishing countries</t>
    </r>
    <r>
      <rPr>
        <sz val="10"/>
        <color theme="1"/>
        <rFont val="Calibri"/>
        <family val="2"/>
        <scheme val="minor"/>
      </rPr>
      <t>: Ziegler &amp; Bergman (2017)</t>
    </r>
  </si>
  <si>
    <r>
      <rPr>
        <b/>
        <sz val="10"/>
        <color theme="1"/>
        <rFont val="Calibri"/>
        <family val="2"/>
        <scheme val="minor"/>
      </rPr>
      <t xml:space="preserve">Diesel use: </t>
    </r>
    <r>
      <rPr>
        <sz val="10"/>
        <color theme="1"/>
        <rFont val="Calibri"/>
        <family val="2"/>
        <scheme val="minor"/>
      </rPr>
      <t>Pelagic trawl for saithe: Parker &amp; Tyedmers (2015). All others: Parker et al. (2018)</t>
    </r>
  </si>
  <si>
    <r>
      <rPr>
        <b/>
        <sz val="10"/>
        <color theme="1"/>
        <rFont val="Calibri"/>
        <family val="2"/>
        <scheme val="minor"/>
      </rPr>
      <t>Edible yield:</t>
    </r>
    <r>
      <rPr>
        <sz val="10"/>
        <color theme="1"/>
        <rFont val="Calibri"/>
        <family val="2"/>
        <scheme val="minor"/>
      </rPr>
      <t xml:space="preserve"> Cod: Ziegler &amp; Bergman (2017). Pangasius: Ziegler F., pers. comm. (2017). All others: FAO (1989)</t>
    </r>
  </si>
  <si>
    <t>Based on own calculations with this model</t>
  </si>
  <si>
    <t>Based on own calculations with this model, Flysjö et al. (2008)</t>
  </si>
  <si>
    <t>Gårds- och djurhälsan (2012; 2013; 2014; 2015; 2016)</t>
  </si>
  <si>
    <t xml:space="preserve">GÅRDS- OCH DJURHÄLSAN. 2012. Genomsnittligt kvalitetsutfall för nötkreatur slaktade under 2011. </t>
  </si>
  <si>
    <t xml:space="preserve">GÅRDS- OCH DJURHÄLSAN. 2013. Genomsnittligt kvalitetsutfall för nötkreatur slaktade under 2012. </t>
  </si>
  <si>
    <t xml:space="preserve">GÅRDS- OCH DJURHÄLSAN. 2014. Genomsnittligt kvalitetsutfall för nötkreatur slaktade under 2013. </t>
  </si>
  <si>
    <t xml:space="preserve">GÅRDS- OCH DJURHÄLSAN. 2015. Genomsnittligt kvalitetsutfall för nötkreatur slaktade under 2014. </t>
  </si>
  <si>
    <t xml:space="preserve">GÅRDS- OCH DJURHÄLSAN. 2016. Genomsnittligt kvalitetsutfall för nötkreatur slaktade under 2015. </t>
  </si>
  <si>
    <t>Hallström et al. (2014)</t>
  </si>
  <si>
    <t>LEIP, A., WEISS, F., WASSENAAR, T., PEREZ, I., FELLMANN, T., LOUDJANI, P., TUBIELLO, F., GRANDGIRARD, D., MONNI, S. &amp; BIALA, K. 2010. Evaluation of the livestock sector's contribution to the EU greenhouse gas emissions (GGELS).</t>
  </si>
  <si>
    <t>Leip et al. (2010)</t>
  </si>
  <si>
    <t>SEPA (2014; 2017)</t>
  </si>
  <si>
    <t>DANISH EPA 2014. DENMARK’S NATIONAL INVENTORY REPORT 2014. Emission Inventories 1990-2012 – Submitted under the United Nations Framework Convention on Climate Change and the Kyoto Protocol.</t>
  </si>
  <si>
    <t>Danish EPA (2014, 2017)</t>
  </si>
  <si>
    <t>UBA (2017)</t>
  </si>
  <si>
    <t>Deblitz et al. (2005), European Commission (2017)</t>
  </si>
  <si>
    <t>Deblitz et al. (2005; 2008)</t>
  </si>
  <si>
    <t>Based on the share for grains with calculations with this model.</t>
  </si>
  <si>
    <t>Electricity use all countries except Ireland</t>
  </si>
  <si>
    <t>Share of grains: Eriksson, I., pers. comm. (2017), Cederberg et al. (2009)</t>
  </si>
  <si>
    <t>SBA, 2012. Foderstatistik 2011. Råvaror ingående i foderblandningar för samtliga djurslag. Swedish Board of Agriculture.</t>
  </si>
  <si>
    <t>SBA, 2013. Foderstatistik 2012. Råvaror ingående i foderblandningar för samtliga djurslag. Swedish Board of Agriculture.</t>
  </si>
  <si>
    <t>SBA, 2014c. Foderstatistik 2013. Råvaror ingående i foderblandningar för samtliga djurslag. Swedish Board of Agriculture.</t>
  </si>
  <si>
    <t>SBA, 2015d. Foderstatistik 2014. Råvaror ingående i foderblandningar för samtliga djurslag. Swedish Board of Agriculture.</t>
  </si>
  <si>
    <t>SBA, 2016d. Foderstatistik 2015. Råvaror ingående i foderblandningar för samtliga djurslag. Swedish Board of Agriculture.</t>
  </si>
  <si>
    <t>Share of grains: Cederberg et al. (2009)</t>
  </si>
  <si>
    <t>Share of grains: Svensk Fågel (n.d.)</t>
  </si>
  <si>
    <t>Energy use in stables*</t>
  </si>
  <si>
    <t>*Assuming the same energy use in all production countries</t>
  </si>
  <si>
    <t>Electricity use Ireland**</t>
  </si>
  <si>
    <t>**Numbers for Ireland are calculated based on data for Swedish energy use but adjusted according to milk yield.</t>
  </si>
  <si>
    <t>Dairy cows, kWh/head and year***</t>
  </si>
  <si>
    <t>***Adjusted from per kg milk to per head and year based on average milk yield</t>
  </si>
  <si>
    <t xml:space="preserve">LRF MJÖLK 2016. Mjölk i siffror 2016. The Federation of Swedish Farmers. </t>
  </si>
  <si>
    <t>LRF (2017), average 2011-2015</t>
  </si>
  <si>
    <t>SBA (2017b), average 2011-2015</t>
  </si>
  <si>
    <t>Cederberg et al. (2009), adjusted to slaughter weight</t>
  </si>
  <si>
    <t>SEPA (2014; 2017), average 2011-2015</t>
  </si>
  <si>
    <t>SEPA (2014)</t>
  </si>
  <si>
    <t>FAO (2017), average 2011-2015</t>
  </si>
  <si>
    <t xml:space="preserve">INTERPIG 2016. Internationella rapporten 2015. Gårds- och djurhälsan. </t>
  </si>
  <si>
    <t xml:space="preserve">INTERPIG 2015. Internationella rapporten 2014. Gårds- och djurhälsan. </t>
  </si>
  <si>
    <t xml:space="preserve">INTERPIG 2014. Internationella rapporten 2013. Gårds- och djurhälsan. </t>
  </si>
  <si>
    <t xml:space="preserve">INTERPIG 2013. Internationella rapporten 2012. Gårds- och djurhälsan. </t>
  </si>
  <si>
    <t xml:space="preserve">INTERPIG 2012. Internationella rapporten 2011. Gårds- och djurhälsan. </t>
  </si>
  <si>
    <t>Interpig (2012; 2013; 2014; 2015; 2016)</t>
  </si>
  <si>
    <t>Danish EPA (2014, 2017), average 2011-2015</t>
  </si>
  <si>
    <t>UBA (2017), average 2011-2015</t>
  </si>
  <si>
    <t>Danish EPA (2017)</t>
  </si>
  <si>
    <t>Emissions feed production*</t>
  </si>
  <si>
    <t>*Emissions from transportation included with 0.05 kg CO2e/kg for all products except for soymeal and soy-based products where 0.3 kg CO2e/kg is added.</t>
  </si>
  <si>
    <t>Cederberg et al. (2009)</t>
  </si>
  <si>
    <t xml:space="preserve">SBA (2017b), average 2011-2015. </t>
  </si>
  <si>
    <t>Recounted from Cederberg et al. (2009) to match fowl population</t>
  </si>
  <si>
    <r>
      <t xml:space="preserve">AGUILERA, E., GUZMÁN, A. &amp; ALONSO, A. 2015a. Greenhouse gas emissions from conventional and organic cropping systems in Spain. I. Herbaceous crops. </t>
    </r>
    <r>
      <rPr>
        <i/>
        <sz val="10"/>
        <rFont val="Calibri"/>
        <family val="2"/>
        <scheme val="minor"/>
      </rPr>
      <t>Agron. Sustain. Dev.,</t>
    </r>
    <r>
      <rPr>
        <sz val="10"/>
        <rFont val="Calibri"/>
        <family val="2"/>
        <scheme val="minor"/>
      </rPr>
      <t> 35, 713-724.</t>
    </r>
  </si>
  <si>
    <r>
      <t xml:space="preserve">AGUILERA, E., GUZMÁN, A. &amp; ALONSO, A. 2015b. Greenhouse gas emissions from conventional and organic cropping systems in Spain: II. Fruit tree orchards. </t>
    </r>
    <r>
      <rPr>
        <i/>
        <sz val="10"/>
        <rFont val="Calibri"/>
        <family val="2"/>
        <scheme val="minor"/>
      </rPr>
      <t>Agron. Sustain. Dev</t>
    </r>
    <r>
      <rPr>
        <sz val="10"/>
        <rFont val="Calibri"/>
        <family val="2"/>
        <scheme val="minor"/>
      </rPr>
      <t>., 35, 725-737.</t>
    </r>
  </si>
  <si>
    <r>
      <t xml:space="preserve">ANDRÉN, O. &amp; KÄTTERER, T. 1997. ICBM: the introductory carbon balance model for exploration of soil carbon balances. </t>
    </r>
    <r>
      <rPr>
        <i/>
        <sz val="10"/>
        <rFont val="Calibri"/>
        <family val="2"/>
        <scheme val="minor"/>
      </rPr>
      <t>Ecological Applications,</t>
    </r>
    <r>
      <rPr>
        <sz val="10"/>
        <rFont val="Calibri"/>
        <family val="2"/>
        <scheme val="minor"/>
      </rPr>
      <t xml:space="preserve"> 7</t>
    </r>
    <r>
      <rPr>
        <b/>
        <sz val="10"/>
        <rFont val="Calibri"/>
        <family val="2"/>
        <scheme val="minor"/>
      </rPr>
      <t>,</t>
    </r>
    <r>
      <rPr>
        <sz val="10"/>
        <rFont val="Calibri"/>
        <family val="2"/>
        <scheme val="minor"/>
      </rPr>
      <t xml:space="preserve"> 1226-1236.</t>
    </r>
  </si>
  <si>
    <r>
      <t xml:space="preserve">ANGERVALL, T. &amp; SONESSON, U. 2011. </t>
    </r>
    <r>
      <rPr>
        <i/>
        <sz val="10"/>
        <rFont val="Calibri"/>
        <family val="2"/>
        <scheme val="minor"/>
      </rPr>
      <t>Förenklad metod för klimat-/GWP-beräkningar av livsmedel: slutrapport, ver 1</t>
    </r>
    <r>
      <rPr>
        <sz val="10"/>
        <rFont val="Calibri"/>
        <family val="2"/>
        <scheme val="minor"/>
      </rPr>
      <t>, SIK Institutet för livsmedel och bioteknik.</t>
    </r>
  </si>
  <si>
    <r>
      <t xml:space="preserve">BACENETTI, J., FUSI, A., NEGRI, M., BOCCHI, S. &amp; FIALA, M. 2016. Organic production systems: Sustainability assessment of rice in Italy. </t>
    </r>
    <r>
      <rPr>
        <i/>
        <sz val="10"/>
        <rFont val="Calibri"/>
        <family val="2"/>
        <scheme val="minor"/>
      </rPr>
      <t>Agriculture, Ecosystems &amp; Environment,</t>
    </r>
    <r>
      <rPr>
        <sz val="10"/>
        <rFont val="Calibri"/>
        <family val="2"/>
        <scheme val="minor"/>
      </rPr>
      <t xml:space="preserve"> 225</t>
    </r>
    <r>
      <rPr>
        <b/>
        <sz val="10"/>
        <rFont val="Calibri"/>
        <family val="2"/>
        <scheme val="minor"/>
      </rPr>
      <t>,</t>
    </r>
    <r>
      <rPr>
        <sz val="10"/>
        <rFont val="Calibri"/>
        <family val="2"/>
        <scheme val="minor"/>
      </rPr>
      <t xml:space="preserve"> 33-44.</t>
    </r>
  </si>
  <si>
    <r>
      <t xml:space="preserve">BERLIN, J. &amp; SUND, V. 2009. </t>
    </r>
    <r>
      <rPr>
        <i/>
        <sz val="10"/>
        <rFont val="Calibri"/>
        <family val="2"/>
        <scheme val="minor"/>
      </rPr>
      <t>Klimatpåverkan från glassprodukter</t>
    </r>
    <r>
      <rPr>
        <sz val="10"/>
        <rFont val="Calibri"/>
        <family val="2"/>
        <scheme val="minor"/>
      </rPr>
      <t>, SIK Institutet för livsmedel och bioteknik.</t>
    </r>
  </si>
  <si>
    <r>
      <t xml:space="preserve">BLENGINI, G. A. &amp; BUSTO, M. 2009. The life cycle of rice: LCA of alternative agri-food chain management systems in Vercelli (Italy). </t>
    </r>
    <r>
      <rPr>
        <i/>
        <sz val="10"/>
        <rFont val="Calibri"/>
        <family val="2"/>
        <scheme val="minor"/>
      </rPr>
      <t>Journal of environmental management,</t>
    </r>
    <r>
      <rPr>
        <sz val="10"/>
        <rFont val="Calibri"/>
        <family val="2"/>
        <scheme val="minor"/>
      </rPr>
      <t xml:space="preserve"> 90</t>
    </r>
    <r>
      <rPr>
        <b/>
        <sz val="10"/>
        <rFont val="Calibri"/>
        <family val="2"/>
        <scheme val="minor"/>
      </rPr>
      <t>,</t>
    </r>
    <r>
      <rPr>
        <sz val="10"/>
        <rFont val="Calibri"/>
        <family val="2"/>
        <scheme val="minor"/>
      </rPr>
      <t xml:space="preserve"> 1512-1522.</t>
    </r>
  </si>
  <si>
    <r>
      <t xml:space="preserve">BOUMAN, B., LAMPAYAN, R.M. &amp; TUONG, T.P. 2007. </t>
    </r>
    <r>
      <rPr>
        <i/>
        <sz val="10"/>
        <rFont val="Calibri"/>
        <family val="2"/>
        <scheme val="minor"/>
      </rPr>
      <t>Water management in irrigated rice: coping with water scarcity</t>
    </r>
    <r>
      <rPr>
        <sz val="10"/>
        <rFont val="Calibri"/>
        <family val="2"/>
        <scheme val="minor"/>
      </rPr>
      <t>, Int. Rice Res. Inst.</t>
    </r>
  </si>
  <si>
    <r>
      <t xml:space="preserve">BRANDER, M., SOOD, A., WYLIE, C., HAUGHTON, A. &amp; LOVELL, J. 2011. Technical Paper| Electricity-specific emission factors for grid electricity. </t>
    </r>
    <r>
      <rPr>
        <i/>
        <sz val="10"/>
        <rFont val="Calibri"/>
        <family val="2"/>
        <scheme val="minor"/>
      </rPr>
      <t>Ecometrica, Emissionfactors. com</t>
    </r>
    <r>
      <rPr>
        <sz val="10"/>
        <rFont val="Calibri"/>
        <family val="2"/>
        <scheme val="minor"/>
      </rPr>
      <t>.</t>
    </r>
  </si>
  <si>
    <r>
      <t xml:space="preserve">CARLSSON-KANYAMA, A. &amp; BOSTRÖM-CARLSSON, K. 2001. Energy use for cooking and other stages in the life cycle of food. </t>
    </r>
    <r>
      <rPr>
        <i/>
        <sz val="10"/>
        <rFont val="Calibri"/>
        <family val="2"/>
        <scheme val="minor"/>
      </rPr>
      <t>Stockholm, Sweden: Stockhoms universitet</t>
    </r>
    <r>
      <rPr>
        <sz val="10"/>
        <rFont val="Calibri"/>
        <family val="2"/>
        <scheme val="minor"/>
      </rPr>
      <t>.</t>
    </r>
  </si>
  <si>
    <r>
      <t xml:space="preserve">CEDERBERG, C., SONESSON, U., HENRIKSSON, M., SUND, V. &amp; DAVIS, J. 2009. </t>
    </r>
    <r>
      <rPr>
        <i/>
        <sz val="10"/>
        <rFont val="Calibri"/>
        <family val="2"/>
        <scheme val="minor"/>
      </rPr>
      <t>Greenhouse gas emissions from Swedish production of meat, milk and eggs 1990 and 2005</t>
    </r>
    <r>
      <rPr>
        <sz val="10"/>
        <rFont val="Calibri"/>
        <family val="2"/>
        <scheme val="minor"/>
      </rPr>
      <t>, SIK Institutet för livsmedel och bioteknik.</t>
    </r>
  </si>
  <si>
    <r>
      <t xml:space="preserve">DEBLITZ, C., BROMMER, J. &amp; BRUGGEMANN, D. 2008. Beef production in Germany-production systems and their spatial distribution. </t>
    </r>
    <r>
      <rPr>
        <i/>
        <sz val="10"/>
        <rFont val="Calibri"/>
        <family val="2"/>
        <scheme val="minor"/>
      </rPr>
      <t>LANDBAUFORSCHUNG VOLKENRODE,</t>
    </r>
    <r>
      <rPr>
        <sz val="10"/>
        <rFont val="Calibri"/>
        <family val="2"/>
        <scheme val="minor"/>
      </rPr>
      <t xml:space="preserve"> 58</t>
    </r>
    <r>
      <rPr>
        <b/>
        <sz val="10"/>
        <rFont val="Calibri"/>
        <family val="2"/>
        <scheme val="minor"/>
      </rPr>
      <t>,</t>
    </r>
    <r>
      <rPr>
        <sz val="10"/>
        <rFont val="Calibri"/>
        <family val="2"/>
        <scheme val="minor"/>
      </rPr>
      <t xml:space="preserve"> 29.</t>
    </r>
  </si>
  <si>
    <r>
      <t xml:space="preserve">DEBLITZ, C., CHARRY, A. &amp; PARTON, K. 2005. Beef farming systems across the world: an expert assessment from an international co-operative research project (IFCN). </t>
    </r>
    <r>
      <rPr>
        <i/>
        <sz val="10"/>
        <rFont val="Calibri"/>
        <family val="2"/>
        <scheme val="minor"/>
      </rPr>
      <t>Extension Farming Systems Journal,</t>
    </r>
    <r>
      <rPr>
        <sz val="10"/>
        <rFont val="Calibri"/>
        <family val="2"/>
        <scheme val="minor"/>
      </rPr>
      <t xml:space="preserve"> 1</t>
    </r>
    <r>
      <rPr>
        <b/>
        <sz val="10"/>
        <rFont val="Calibri"/>
        <family val="2"/>
        <scheme val="minor"/>
      </rPr>
      <t>,</t>
    </r>
    <r>
      <rPr>
        <sz val="10"/>
        <rFont val="Calibri"/>
        <family val="2"/>
        <scheme val="minor"/>
      </rPr>
      <t xml:space="preserve"> 1.</t>
    </r>
  </si>
  <si>
    <r>
      <t xml:space="preserve">EEA 2017. Overview of electricity production and use in Europe. </t>
    </r>
    <r>
      <rPr>
        <i/>
        <sz val="10"/>
        <rFont val="Calibri"/>
        <family val="2"/>
        <scheme val="minor"/>
      </rPr>
      <t>In:</t>
    </r>
    <r>
      <rPr>
        <sz val="10"/>
        <rFont val="Calibri"/>
        <family val="2"/>
        <scheme val="minor"/>
      </rPr>
      <t xml:space="preserve"> AGENCY, E. E. (ed.).</t>
    </r>
  </si>
  <si>
    <r>
      <t xml:space="preserve">FAO 1989. Yield and Nutritional Value of the Commercially More Important Fish Species. </t>
    </r>
    <r>
      <rPr>
        <i/>
        <sz val="10"/>
        <rFont val="Calibri"/>
        <family val="2"/>
        <scheme val="minor"/>
      </rPr>
      <t>FAO Fisheries Technical Paper No. 309.</t>
    </r>
    <r>
      <rPr>
        <sz val="10"/>
        <rFont val="Calibri"/>
        <family val="2"/>
        <scheme val="minor"/>
      </rPr>
      <t xml:space="preserve"> Rome, Italy: Food and Agriculture Organization of the United Nations.</t>
    </r>
  </si>
  <si>
    <r>
      <t xml:space="preserve">FLYSJÖ, A., THRANE, M. &amp; HERMANSEN, J. E. 2014. Method to assess the carbon footprint at product level in the dairy industry. </t>
    </r>
    <r>
      <rPr>
        <i/>
        <sz val="10"/>
        <rFont val="Calibri"/>
        <family val="2"/>
        <scheme val="minor"/>
      </rPr>
      <t>International Dairy Journal,</t>
    </r>
    <r>
      <rPr>
        <sz val="10"/>
        <rFont val="Calibri"/>
        <family val="2"/>
        <scheme val="minor"/>
      </rPr>
      <t xml:space="preserve"> 34</t>
    </r>
    <r>
      <rPr>
        <b/>
        <sz val="10"/>
        <rFont val="Calibri"/>
        <family val="2"/>
        <scheme val="minor"/>
      </rPr>
      <t>,</t>
    </r>
    <r>
      <rPr>
        <sz val="10"/>
        <rFont val="Calibri"/>
        <family val="2"/>
        <scheme val="minor"/>
      </rPr>
      <t xml:space="preserve"> 86-92.</t>
    </r>
  </si>
  <si>
    <r>
      <t xml:space="preserve">FLYSJÖ, A., CEDERBERG, C. &amp; STRID, I. 2008. </t>
    </r>
    <r>
      <rPr>
        <i/>
        <sz val="10"/>
        <rFont val="Calibri"/>
        <family val="2"/>
        <scheme val="minor"/>
      </rPr>
      <t>LCA-databas för konventionella fodermedel: miljöpåverkan i samband med produktion</t>
    </r>
    <r>
      <rPr>
        <sz val="10"/>
        <rFont val="Calibri"/>
        <family val="2"/>
        <scheme val="minor"/>
      </rPr>
      <t>, SIK Institutet för livsmedel och bioteknik.</t>
    </r>
  </si>
  <si>
    <r>
      <t xml:space="preserve">FRISCHKNECHT, R., ALTHAUS, H.-J., BAUER, C., DOKA, G., HECK, T., JUNGBLUTH, N., KELLENBERGER, D. &amp; NEMECEK, T. 2007. The environmental relevance of capital goods in life cycle assessments of products and services. </t>
    </r>
    <r>
      <rPr>
        <i/>
        <sz val="10"/>
        <rFont val="Calibri"/>
        <family val="2"/>
        <scheme val="minor"/>
      </rPr>
      <t>International Journal of Life Cycle Assessment,</t>
    </r>
    <r>
      <rPr>
        <sz val="10"/>
        <rFont val="Calibri"/>
        <family val="2"/>
        <scheme val="minor"/>
      </rPr>
      <t xml:space="preserve"> 12</t>
    </r>
    <r>
      <rPr>
        <b/>
        <sz val="10"/>
        <rFont val="Calibri"/>
        <family val="2"/>
        <scheme val="minor"/>
      </rPr>
      <t>,</t>
    </r>
    <r>
      <rPr>
        <sz val="10"/>
        <rFont val="Calibri"/>
        <family val="2"/>
        <scheme val="minor"/>
      </rPr>
      <t xml:space="preserve"> 7-17.</t>
    </r>
  </si>
  <si>
    <r>
      <t xml:space="preserve">FUSI, A., BACENETTI, J., GONZÁLEZ-GARCÍA, S., VERCESI, A., BOCCHI, S. &amp; FIALA, M. 2014. Environmental profile of paddy rice cultivation with different straw management. </t>
    </r>
    <r>
      <rPr>
        <i/>
        <sz val="10"/>
        <rFont val="Calibri"/>
        <family val="2"/>
        <scheme val="minor"/>
      </rPr>
      <t>Science of the Total Environment,</t>
    </r>
    <r>
      <rPr>
        <sz val="10"/>
        <rFont val="Calibri"/>
        <family val="2"/>
        <scheme val="minor"/>
      </rPr>
      <t xml:space="preserve"> 494</t>
    </r>
    <r>
      <rPr>
        <b/>
        <sz val="10"/>
        <rFont val="Calibri"/>
        <family val="2"/>
        <scheme val="minor"/>
      </rPr>
      <t>,</t>
    </r>
    <r>
      <rPr>
        <sz val="10"/>
        <rFont val="Calibri"/>
        <family val="2"/>
        <scheme val="minor"/>
      </rPr>
      <t xml:space="preserve"> 119-128.</t>
    </r>
  </si>
  <si>
    <r>
      <t xml:space="preserve">GODE, J., MARTINSSON, F., HAGBERG, L., ÖMAN, A., HÖGLUND, J. &amp; PALM, D. 2011. Miljöfaktaboken 2011—estimated emission factors for fuels, electricity, heat and transport in Sweden. </t>
    </r>
    <r>
      <rPr>
        <i/>
        <sz val="10"/>
        <rFont val="Calibri"/>
        <family val="2"/>
        <scheme val="minor"/>
      </rPr>
      <t>Värmeforsk, Stockholm</t>
    </r>
    <r>
      <rPr>
        <sz val="10"/>
        <rFont val="Calibri"/>
        <family val="2"/>
        <scheme val="minor"/>
      </rPr>
      <t>.</t>
    </r>
  </si>
  <si>
    <r>
      <t xml:space="preserve">HALLSTRÖM, E., RÖÖS, E. &amp; BÖRJESSON, P. 2014. Sustainable meat consumption: A quantitative analysis of nutritional intake, greenhouse gas emissions and land use from a Swedish perspective. </t>
    </r>
    <r>
      <rPr>
        <i/>
        <sz val="10"/>
        <rFont val="Calibri"/>
        <family val="2"/>
        <scheme val="minor"/>
      </rPr>
      <t>Food Policy,</t>
    </r>
    <r>
      <rPr>
        <sz val="10"/>
        <rFont val="Calibri"/>
        <family val="2"/>
        <scheme val="minor"/>
      </rPr>
      <t xml:space="preserve"> 47</t>
    </r>
    <r>
      <rPr>
        <b/>
        <sz val="10"/>
        <rFont val="Calibri"/>
        <family val="2"/>
        <scheme val="minor"/>
      </rPr>
      <t>,</t>
    </r>
    <r>
      <rPr>
        <sz val="10"/>
        <rFont val="Calibri"/>
        <family val="2"/>
        <scheme val="minor"/>
      </rPr>
      <t xml:space="preserve"> 81-90.</t>
    </r>
  </si>
  <si>
    <r>
      <t xml:space="preserve">HENDERS, S., PERSSON, U. M. &amp; KASTNER, T. 2015. Trading forests: land-use change and carbon emissions embodied in production and exports of forest-risk commodities. </t>
    </r>
    <r>
      <rPr>
        <i/>
        <sz val="10"/>
        <rFont val="Calibri"/>
        <family val="2"/>
        <scheme val="minor"/>
      </rPr>
      <t>Environmental Research Letters,</t>
    </r>
    <r>
      <rPr>
        <sz val="10"/>
        <rFont val="Calibri"/>
        <family val="2"/>
        <scheme val="minor"/>
      </rPr>
      <t xml:space="preserve"> 10</t>
    </r>
    <r>
      <rPr>
        <b/>
        <sz val="10"/>
        <rFont val="Calibri"/>
        <family val="2"/>
        <scheme val="minor"/>
      </rPr>
      <t>,</t>
    </r>
    <r>
      <rPr>
        <sz val="10"/>
        <rFont val="Calibri"/>
        <family val="2"/>
        <scheme val="minor"/>
      </rPr>
      <t xml:space="preserve"> 125012.</t>
    </r>
  </si>
  <si>
    <r>
      <t xml:space="preserve">HENRIKSSON, P., ZHANG, W., NAHID, S., NEWTON, R., PHAN, L., DAO, H., ZHANG, Z., JAITHIANG, J., ANDONG, R. &amp; CHAIMANUSKUL, K. 2014. Final LCA case study report—results of LCA studies of Asian aquaculture systems for tilapia, catfish, shrimp, and freshwater prawn. </t>
    </r>
    <r>
      <rPr>
        <i/>
        <sz val="10"/>
        <rFont val="Calibri"/>
        <family val="2"/>
        <scheme val="minor"/>
      </rPr>
      <t>SEAT Deliverable D,</t>
    </r>
    <r>
      <rPr>
        <sz val="10"/>
        <rFont val="Calibri"/>
        <family val="2"/>
        <scheme val="minor"/>
      </rPr>
      <t xml:space="preserve"> 3.</t>
    </r>
  </si>
  <si>
    <r>
      <t xml:space="preserve">IPCC 2000. CH4 EMISSIONS FROM RICE AGRICULTURE. </t>
    </r>
    <r>
      <rPr>
        <i/>
        <sz val="10"/>
        <rFont val="Calibri"/>
        <family val="2"/>
        <scheme val="minor"/>
      </rPr>
      <t>Good Practice Guidance and Uncertainty Management in National Greenhouse Gas Inventories.</t>
    </r>
  </si>
  <si>
    <r>
      <t xml:space="preserve">KNUDSEN, M. T. 2011. </t>
    </r>
    <r>
      <rPr>
        <i/>
        <sz val="10"/>
        <rFont val="Calibri"/>
        <family val="2"/>
        <scheme val="minor"/>
      </rPr>
      <t>Environmental assessment of imported organic products-focusing on orange juice from Brazil and soybeans from China</t>
    </r>
    <r>
      <rPr>
        <sz val="10"/>
        <rFont val="Calibri"/>
        <family val="2"/>
        <scheme val="minor"/>
      </rPr>
      <t>, Faculty of Life Sciences, University of Copenhagen.</t>
    </r>
  </si>
  <si>
    <r>
      <t xml:space="preserve">MACLEAN, J. L. 2002. </t>
    </r>
    <r>
      <rPr>
        <i/>
        <sz val="10"/>
        <rFont val="Calibri"/>
        <family val="2"/>
        <scheme val="minor"/>
      </rPr>
      <t>Rice almanac: Source book for the most important economic activity on earth</t>
    </r>
    <r>
      <rPr>
        <sz val="10"/>
        <rFont val="Calibri"/>
        <family val="2"/>
        <scheme val="minor"/>
      </rPr>
      <t>, Int. Rice Res. Inst.</t>
    </r>
  </si>
  <si>
    <r>
      <t xml:space="preserve">MAGNUSSON, M. 1995. Frilandsodlade grönsaker. Växtnäringsstudier. </t>
    </r>
    <r>
      <rPr>
        <i/>
        <sz val="10"/>
        <rFont val="Calibri"/>
        <family val="2"/>
        <scheme val="minor"/>
      </rPr>
      <t>Fakta Trädgård. Swedish University of Agricultural Sciences.</t>
    </r>
  </si>
  <si>
    <r>
      <t xml:space="preserve">MBIE 2017. Annual emission factors data table. </t>
    </r>
    <r>
      <rPr>
        <i/>
        <sz val="10"/>
        <rFont val="Calibri"/>
        <family val="2"/>
        <scheme val="minor"/>
      </rPr>
      <t>In:</t>
    </r>
    <r>
      <rPr>
        <sz val="10"/>
        <rFont val="Calibri"/>
        <family val="2"/>
        <scheme val="minor"/>
      </rPr>
      <t xml:space="preserve"> MINISTRY OF BUSINESS, I. E., NEW ZEELAND (ed.).</t>
    </r>
  </si>
  <si>
    <r>
      <t xml:space="preserve">MYHRE, G., SHINDELL, D., BRÉON, F.-M., COLLINS, W., FUGLESTVEDT, J., HUANG, J., KOCH, D., LAMARQUE, J.-F., LEE, D., MENDOZA, B., NAKAJIMA, T., ROBOCK, A., STEPHENS, G., TAKEMURA, T. &amp; ZHANG, H. 2013. Anthropogenic and Natural Radiative Forcing. In: Climate Change 2013: The Physical Science Basis. Contribution of Working Group I to the Fifth Assessment Report of the Intergovernmental Panel on Climate Change. </t>
    </r>
    <r>
      <rPr>
        <i/>
        <sz val="10"/>
        <rFont val="Calibri"/>
        <family val="2"/>
        <scheme val="minor"/>
      </rPr>
      <t>In:</t>
    </r>
    <r>
      <rPr>
        <sz val="10"/>
        <rFont val="Calibri"/>
        <family val="2"/>
        <scheme val="minor"/>
      </rPr>
      <t xml:space="preserve"> STOCKER, T. F., QIN, D., PLATTNER, G.-K., TIGNOR, M., ALLEN, S. K., BOSCHUNG, J., NAUELS, A., XIA, Y., BEX, V. &amp; MIDGLEY, P. M. (eds.).</t>
    </r>
  </si>
  <si>
    <r>
      <t xml:space="preserve">NILSSON, K. &amp; LINDBERG, U. 2011b. Klimatpåverkan i kylkedjan–från livsmedelsindustri till konsument. </t>
    </r>
    <r>
      <rPr>
        <i/>
        <sz val="10"/>
        <rFont val="Calibri"/>
        <family val="2"/>
        <scheme val="minor"/>
      </rPr>
      <t>Sweden: Livsmedelsverket</t>
    </r>
    <r>
      <rPr>
        <sz val="10"/>
        <rFont val="Calibri"/>
        <family val="2"/>
        <scheme val="minor"/>
      </rPr>
      <t>.</t>
    </r>
  </si>
  <si>
    <r>
      <t xml:space="preserve">NILSSON, K., FLYSJÖ, A., DAVIS, J., SIM, S., UNGER, N. &amp; BELL, S. 2010. Comparative life cycle assessment of margarine and butter consumed in the UK, Germany and France. </t>
    </r>
    <r>
      <rPr>
        <i/>
        <sz val="10"/>
        <rFont val="Calibri"/>
        <family val="2"/>
        <scheme val="minor"/>
      </rPr>
      <t>The International Journal of Life Cycle Assessment,</t>
    </r>
    <r>
      <rPr>
        <sz val="10"/>
        <rFont val="Calibri"/>
        <family val="2"/>
        <scheme val="minor"/>
      </rPr>
      <t xml:space="preserve"> 15</t>
    </r>
    <r>
      <rPr>
        <b/>
        <sz val="10"/>
        <rFont val="Calibri"/>
        <family val="2"/>
        <scheme val="minor"/>
      </rPr>
      <t>,</t>
    </r>
    <r>
      <rPr>
        <sz val="10"/>
        <rFont val="Calibri"/>
        <family val="2"/>
        <scheme val="minor"/>
      </rPr>
      <t xml:space="preserve"> 916-926.</t>
    </r>
  </si>
  <si>
    <r>
      <t xml:space="preserve">NILSSON, K., SUND, V. &amp; FLORÉN, B. 2011a. </t>
    </r>
    <r>
      <rPr>
        <i/>
        <sz val="10"/>
        <rFont val="Calibri"/>
        <family val="2"/>
        <scheme val="minor"/>
      </rPr>
      <t>The environmental impact of the consumption of sweets, crisps and soft drinks</t>
    </r>
    <r>
      <rPr>
        <sz val="10"/>
        <rFont val="Calibri"/>
        <family val="2"/>
        <scheme val="minor"/>
      </rPr>
      <t>, Nordic Council of Ministers.</t>
    </r>
  </si>
  <si>
    <r>
      <t xml:space="preserve">PARKER, R. W., BLANCHARD, J. L., GARDNER, C., GREEN, B. S., HARTMANN, K., TYEDMERS, P. H. &amp; WATSON, R. A. 2018. Fuel use and greenhouse gas emissions of world fisheries. </t>
    </r>
    <r>
      <rPr>
        <i/>
        <sz val="10"/>
        <rFont val="Calibri"/>
        <family val="2"/>
        <scheme val="minor"/>
      </rPr>
      <t>Nature Climate Change,</t>
    </r>
    <r>
      <rPr>
        <sz val="10"/>
        <rFont val="Calibri"/>
        <family val="2"/>
        <scheme val="minor"/>
      </rPr>
      <t xml:space="preserve"> 8</t>
    </r>
    <r>
      <rPr>
        <b/>
        <sz val="10"/>
        <rFont val="Calibri"/>
        <family val="2"/>
        <scheme val="minor"/>
      </rPr>
      <t>,</t>
    </r>
    <r>
      <rPr>
        <sz val="10"/>
        <rFont val="Calibri"/>
        <family val="2"/>
        <scheme val="minor"/>
      </rPr>
      <t xml:space="preserve"> 333.</t>
    </r>
  </si>
  <si>
    <r>
      <t xml:space="preserve">PARKER, R. W. &amp; TYEDMERS, P. H. 2015. Fuel consumption of global fishing fleets: current understanding and knowledge gaps. </t>
    </r>
    <r>
      <rPr>
        <i/>
        <sz val="10"/>
        <rFont val="Calibri"/>
        <family val="2"/>
        <scheme val="minor"/>
      </rPr>
      <t>Fish and Fisheries,</t>
    </r>
    <r>
      <rPr>
        <sz val="10"/>
        <rFont val="Calibri"/>
        <family val="2"/>
        <scheme val="minor"/>
      </rPr>
      <t xml:space="preserve"> 16</t>
    </r>
    <r>
      <rPr>
        <b/>
        <sz val="10"/>
        <rFont val="Calibri"/>
        <family val="2"/>
        <scheme val="minor"/>
      </rPr>
      <t>,</t>
    </r>
    <r>
      <rPr>
        <sz val="10"/>
        <rFont val="Calibri"/>
        <family val="2"/>
        <scheme val="minor"/>
      </rPr>
      <t xml:space="preserve"> 684-696.</t>
    </r>
  </si>
  <si>
    <r>
      <t xml:space="preserve">PERSSON, U. M., JOHANSSON, D. J., CEDERBERG, C., HEDENUS, F. &amp; BRYNGELSSON, D. 2015. Climate metrics and the carbon footprint of livestock products: where’s the beef? </t>
    </r>
    <r>
      <rPr>
        <i/>
        <sz val="10"/>
        <rFont val="Calibri"/>
        <family val="2"/>
        <scheme val="minor"/>
      </rPr>
      <t>Environmental Research Letters,</t>
    </r>
    <r>
      <rPr>
        <sz val="10"/>
        <rFont val="Calibri"/>
        <family val="2"/>
        <scheme val="minor"/>
      </rPr>
      <t xml:space="preserve"> 10</t>
    </r>
    <r>
      <rPr>
        <b/>
        <sz val="10"/>
        <rFont val="Calibri"/>
        <family val="2"/>
        <scheme val="minor"/>
      </rPr>
      <t>,</t>
    </r>
    <r>
      <rPr>
        <sz val="10"/>
        <rFont val="Calibri"/>
        <family val="2"/>
        <scheme val="minor"/>
      </rPr>
      <t xml:space="preserve"> 034005.</t>
    </r>
  </si>
  <si>
    <r>
      <t xml:space="preserve">RECANATI, F., MARVEGGIO, D. &amp; DOTELLI, G. 2018. From beans to bar: A life cycle assessment towards sustainable chocolate supply chain. </t>
    </r>
    <r>
      <rPr>
        <i/>
        <sz val="10"/>
        <rFont val="Calibri"/>
        <family val="2"/>
        <scheme val="minor"/>
      </rPr>
      <t>Science of The Total Environment,</t>
    </r>
    <r>
      <rPr>
        <sz val="10"/>
        <rFont val="Calibri"/>
        <family val="2"/>
        <scheme val="minor"/>
      </rPr>
      <t xml:space="preserve"> 613</t>
    </r>
    <r>
      <rPr>
        <b/>
        <sz val="10"/>
        <rFont val="Calibri"/>
        <family val="2"/>
        <scheme val="minor"/>
      </rPr>
      <t>,</t>
    </r>
    <r>
      <rPr>
        <sz val="10"/>
        <rFont val="Calibri"/>
        <family val="2"/>
        <scheme val="minor"/>
      </rPr>
      <t xml:space="preserve"> 1013-1023.</t>
    </r>
  </si>
  <si>
    <r>
      <t xml:space="preserve">RÖÖS, E., SUNDBERG, C. &amp; HANSSON, P.-A. 2011. Uncertainties in the carbon footprint of refined wheat products: a case study on Swedish pasta. </t>
    </r>
    <r>
      <rPr>
        <i/>
        <sz val="10"/>
        <rFont val="Calibri"/>
        <family val="2"/>
        <scheme val="minor"/>
      </rPr>
      <t>The International Journal of Life Cycle Assessment,</t>
    </r>
    <r>
      <rPr>
        <sz val="10"/>
        <rFont val="Calibri"/>
        <family val="2"/>
        <scheme val="minor"/>
      </rPr>
      <t xml:space="preserve"> 16</t>
    </r>
    <r>
      <rPr>
        <b/>
        <sz val="10"/>
        <rFont val="Calibri"/>
        <family val="2"/>
        <scheme val="minor"/>
      </rPr>
      <t>,</t>
    </r>
    <r>
      <rPr>
        <sz val="10"/>
        <rFont val="Calibri"/>
        <family val="2"/>
        <scheme val="minor"/>
      </rPr>
      <t xml:space="preserve"> 338.</t>
    </r>
  </si>
  <si>
    <r>
      <t xml:space="preserve">STANGHELLINI, C., KEMPKES, F., PARDOSSI, A. &amp; INCROCCI, L. 2005. Closed water loop in greenhouses: effect of water quality and value of produce. </t>
    </r>
    <r>
      <rPr>
        <i/>
        <sz val="10"/>
        <rFont val="Calibri"/>
        <family val="2"/>
        <scheme val="minor"/>
      </rPr>
      <t>Acta Horticulturae,</t>
    </r>
    <r>
      <rPr>
        <sz val="10"/>
        <rFont val="Calibri"/>
        <family val="2"/>
        <scheme val="minor"/>
      </rPr>
      <t xml:space="preserve"> 691</t>
    </r>
    <r>
      <rPr>
        <b/>
        <sz val="10"/>
        <rFont val="Calibri"/>
        <family val="2"/>
        <scheme val="minor"/>
      </rPr>
      <t>,</t>
    </r>
    <r>
      <rPr>
        <sz val="10"/>
        <rFont val="Calibri"/>
        <family val="2"/>
        <scheme val="minor"/>
      </rPr>
      <t xml:space="preserve"> 233-242.</t>
    </r>
  </si>
  <si>
    <r>
      <t xml:space="preserve">TSIROPOULOS, I., COK, B. &amp; PATEL, M. K. 2013. Energy and greenhouse gas assessment of European glucose production from corn–a multiple allocation approach for a key ingredient of the bio-based economy. </t>
    </r>
    <r>
      <rPr>
        <i/>
        <sz val="10"/>
        <rFont val="Calibri"/>
        <family val="2"/>
        <scheme val="minor"/>
      </rPr>
      <t>Journal of cleaner production,</t>
    </r>
    <r>
      <rPr>
        <sz val="10"/>
        <rFont val="Calibri"/>
        <family val="2"/>
        <scheme val="minor"/>
      </rPr>
      <t xml:space="preserve"> 43</t>
    </r>
    <r>
      <rPr>
        <b/>
        <sz val="10"/>
        <rFont val="Calibri"/>
        <family val="2"/>
        <scheme val="minor"/>
      </rPr>
      <t>,</t>
    </r>
    <r>
      <rPr>
        <sz val="10"/>
        <rFont val="Calibri"/>
        <family val="2"/>
        <scheme val="minor"/>
      </rPr>
      <t xml:space="preserve"> 182-190.</t>
    </r>
  </si>
  <si>
    <r>
      <t xml:space="preserve">WINTHER, U., ZIEGLER, F., HOGNES, E. S., EMANUELSSON, A., SUND, V. &amp; ELLINGSEN, H. 2009. Carbon footprint and energy use of Norwegian seafood products. </t>
    </r>
    <r>
      <rPr>
        <i/>
        <sz val="10"/>
        <rFont val="Calibri"/>
        <family val="2"/>
        <scheme val="minor"/>
      </rPr>
      <t>SINTEF Fisheries and aquaculture,</t>
    </r>
    <r>
      <rPr>
        <sz val="10"/>
        <rFont val="Calibri"/>
        <family val="2"/>
        <scheme val="minor"/>
      </rPr>
      <t xml:space="preserve"> 32.</t>
    </r>
  </si>
  <si>
    <r>
      <t xml:space="preserve">DUGGE ENGSTRÖM, M. 2018. </t>
    </r>
    <r>
      <rPr>
        <i/>
        <sz val="10"/>
        <rFont val="Calibri"/>
        <family val="2"/>
        <scheme val="minor"/>
      </rPr>
      <t>CEO, Dugges Bryggeri AB.</t>
    </r>
  </si>
  <si>
    <r>
      <t>LÖFGREN, R. 2017.</t>
    </r>
    <r>
      <rPr>
        <i/>
        <sz val="10"/>
        <rFont val="Calibri"/>
        <family val="2"/>
        <scheme val="minor"/>
      </rPr>
      <t xml:space="preserve"> R&amp;D, Skånemejerier.</t>
    </r>
  </si>
  <si>
    <r>
      <t xml:space="preserve">MALMROS, H. 2017. </t>
    </r>
    <r>
      <rPr>
        <i/>
        <sz val="10"/>
        <rFont val="Calibri"/>
        <family val="2"/>
        <scheme val="minor"/>
      </rPr>
      <t xml:space="preserve">Technical Product Manager, Aarhus Karlshamn (AAK) </t>
    </r>
  </si>
  <si>
    <r>
      <t xml:space="preserve">NILSSON, A. 2017. </t>
    </r>
    <r>
      <rPr>
        <i/>
        <sz val="10"/>
        <rFont val="Calibri"/>
        <family val="2"/>
        <scheme val="minor"/>
      </rPr>
      <t>Utvecklingschef/Manager R&amp;D, KIVIKS MUSTERI AB.</t>
    </r>
  </si>
  <si>
    <r>
      <t xml:space="preserve">OLSSON, H. 2017. </t>
    </r>
    <r>
      <rPr>
        <i/>
        <sz val="10"/>
        <rFont val="Calibri"/>
        <family val="2"/>
        <scheme val="minor"/>
      </rPr>
      <t>Quality and Environment, Everfresh.</t>
    </r>
  </si>
  <si>
    <r>
      <t xml:space="preserve">ZIEGLER, F. 2017. </t>
    </r>
    <r>
      <rPr>
        <i/>
        <sz val="10"/>
        <rFont val="Calibri"/>
        <family val="2"/>
        <scheme val="minor"/>
      </rPr>
      <t>Senior scientist, Agrifood and Bioscience, Research Institutes of Sweden (RISE).</t>
    </r>
  </si>
  <si>
    <t>FAO 2017. FAOSTAT Statistical Database. Food and Agricultural Organization of the United Nations.</t>
  </si>
  <si>
    <r>
      <t xml:space="preserve">GUSTAVSSON, J., CEDERBERG, C., SONESSON, U., VAN OTTERDIJK, R. &amp; MEYBECK, A. 2011. </t>
    </r>
    <r>
      <rPr>
        <i/>
        <sz val="10"/>
        <rFont val="Calibri"/>
        <family val="2"/>
        <scheme val="minor"/>
      </rPr>
      <t>Global food losses and food waste</t>
    </r>
    <r>
      <rPr>
        <sz val="10"/>
        <rFont val="Calibri"/>
        <family val="2"/>
        <scheme val="minor"/>
      </rPr>
      <t>, FAO, Rome.</t>
    </r>
  </si>
  <si>
    <t>IPCC 2006. IPCC Guidelines for National Greenhouse Gas Inventories. Volume 4. Agriculture, Forestry and Other Land Use. Geneva, Switzerland.</t>
  </si>
  <si>
    <t>MAPAMA 2016. Esyrce. Encuesta sobre Superficies y Rendimientos. Ministerio de Agricultura y Pesca, Alimentación y Medio Ambiente, España.</t>
  </si>
  <si>
    <t>MAPAMA 2015. Esyrce. Encuesta sobre Superficies y Rendimientos. Ministerio de Agricultura y Pesca, Alimentación y Medio Ambiente, España.</t>
  </si>
  <si>
    <t>MAPAMA 2014. Esyrce. Encuesta sobre Superficies y Rendimientos. Ministerio de Agricultura y Pesca, Alimentación y Medio Ambiente, España.</t>
  </si>
  <si>
    <t>MAPAMA 2013. Esyrce. Encuesta sobre Superficies y Rendimientos. Ministerio de Agricultura y Pesca, Alimentación y Medio Ambiente, España.</t>
  </si>
  <si>
    <t>MAPAMA 2012. Esyrce. Encuesta sobre Superficies y Rendimientos. Ministerio de Agricultura y Pesca, Alimentación y Medio Ambiente, España.</t>
  </si>
  <si>
    <t>MAPAMA n.d. GUÍA PRÁCTICA DE LA FERTILIZACIÓN RACIONAL DE LOS CULTIVOS EN ESPAÑA. Abonado de los principales cultivos en España. Ministerio de Agricultura y Pesca, Alimentación y Medio Ambiente, España.</t>
  </si>
  <si>
    <t xml:space="preserve">SBA, 2017a. Price Indices and Prices in the Food Sector – Annual and Monthly Statistics – 2017:03. Swedish Board of Agriculture. </t>
  </si>
  <si>
    <t xml:space="preserve">SBA, 2014a. Price Indices and Prices in the Food Sector – Annual and Monthly Statistics – 2014:03. Swedish Board of Agriculture. </t>
  </si>
  <si>
    <t xml:space="preserve">SBA, 2014b. Marknadsöversikt – Spannmål. Rapport 2014:08. Swedish Board of Agriculture. </t>
  </si>
  <si>
    <r>
      <t xml:space="preserve">MARABOU, n.d. </t>
    </r>
    <r>
      <rPr>
        <i/>
        <sz val="10"/>
        <rFont val="Calibri"/>
        <family val="2"/>
        <scheme val="minor"/>
      </rPr>
      <t>FAQ</t>
    </r>
    <r>
      <rPr>
        <sz val="10"/>
        <rFont val="Calibri"/>
        <family val="2"/>
        <scheme val="minor"/>
      </rPr>
      <t xml:space="preserve"> [Online] Available: http://www.marabou.se/faq [Accessed January 2018].</t>
    </r>
  </si>
  <si>
    <r>
      <t xml:space="preserve">SVENSK FÅGEL n.d. </t>
    </r>
    <r>
      <rPr>
        <i/>
        <sz val="10"/>
        <rFont val="Calibri"/>
        <family val="2"/>
        <scheme val="minor"/>
      </rPr>
      <t xml:space="preserve">Produktionskedjan </t>
    </r>
    <r>
      <rPr>
        <sz val="10"/>
        <rFont val="Calibri"/>
        <family val="2"/>
        <scheme val="minor"/>
      </rPr>
      <t>[Online]. Available: https://svenskfagel.se/produktionskedjan/ [Accessed November 2017].</t>
    </r>
  </si>
  <si>
    <t>YARA INTERNATIONAL 2010. Klimatavtryck. Gödslingens klimatpåverkan och möjliga förbättringar.</t>
  </si>
  <si>
    <r>
      <t xml:space="preserve">               ASTIER, M., MERLÍN-URIBE, Y., VILLAMIL-ECHEVERRI, L., GARCIARREAL, A., GAVITO, M.E., &amp; MASERA, O.R. 2014. Energy balance and greenhouse gas emissions in organic and conventional avocado orchards in Mexico. </t>
    </r>
    <r>
      <rPr>
        <i/>
        <sz val="10"/>
        <rFont val="Calibri"/>
        <family val="2"/>
        <scheme val="minor"/>
      </rPr>
      <t>Ecol Indic</t>
    </r>
    <r>
      <rPr>
        <sz val="10"/>
        <rFont val="Calibri"/>
        <family val="2"/>
        <scheme val="minor"/>
      </rPr>
      <t xml:space="preserve">, 43, 281-287. </t>
    </r>
  </si>
  <si>
    <t xml:space="preserve">               BAKY, A., SUNDBERG, M. &amp; BROWN, N. 2010. Kartläggning av jordbrukets energianvändning Ett projekt utfört på uppdrag av Jordbruksverket. JTI – Institutet för jordbruks- och miljöteknik. </t>
  </si>
  <si>
    <t xml:space="preserve">               BERGLUND, M., CEDERBERG, C., CLASON, C., HENRIKSSON, M. &amp; TÖRNER, L. 2009. Jordbrukets klimatpåverkan – underlag för att beräkna växthusgasutsläpp på gårdsnivå och nulägesanalyser av exempelgårdar. Delrapport i JoKer-proJeKtet, Hushållningssällskapet Halland.</t>
  </si>
  <si>
    <t xml:space="preserve">              CBS 2017. Statistical database. Centraal Bureau voor de Statistiek of Netherlands.</t>
  </si>
  <si>
    <t xml:space="preserve">              JONSSON, I. 1987. Gödsling av frilandsodlade grönsaker. Trädgårdsrådgivningen informerar. Nr 21. Lantbruksstyrelsen (LBS) (now Swedish Board of Agriculture).</t>
  </si>
  <si>
    <t xml:space="preserve">              KAILIS, S. &amp; HARRIS, J.H. 2007. Producing Table Olives. Landlinks Press, Melbourne, Australia. </t>
  </si>
  <si>
    <t xml:space="preserve">              LINDH, C. &amp; NEUMAN, L. 2010. Tillverkning av gårdsbaserad RME. Ekonomisk rapport med känslighetsanalys. LRF KONSULT AB.</t>
  </si>
  <si>
    <t xml:space="preserve">              LRF 2017. Statistikplattform kött. The Federation of Swedish Farmers. </t>
  </si>
  <si>
    <t xml:space="preserve">              MITHRARATNE, N., MCLAREN, S. &amp; BARBER, A. 2008. Carbon footprinting for the Kiwifruit supply chain—report on methodology and scoping study. Landcare research Contract Report LC0708/156, prepared for New Zealand Ministry of Agriculture and Forestry. </t>
  </si>
  <si>
    <t xml:space="preserve">              MARMOLIN, C. &amp; BJÖRKHOLM, A-M. n.d. Växtnäringsrekommendationer till frilandsgrönsaker En sammanställning av rekommendationer som ges i Sverige, Norge, Finland, Tyskland, Holland och UK. Hushållningssällskapet. </t>
  </si>
  <si>
    <r>
      <t xml:space="preserve">              NILSSON, T. 2011. Gödsling av hallon. LTJ-fakultetens faktablad. Fakta från Tillväxt Trädgård, nr 8.</t>
    </r>
    <r>
      <rPr>
        <i/>
        <sz val="10"/>
        <rFont val="Calibri"/>
        <family val="2"/>
        <scheme val="minor"/>
      </rPr>
      <t xml:space="preserve"> </t>
    </r>
    <r>
      <rPr>
        <sz val="10"/>
        <rFont val="Calibri"/>
        <family val="2"/>
        <scheme val="minor"/>
      </rPr>
      <t>Fakulteten för landskapsplanering, trädgårds- och jordbruksvetenskap 2011. Swedish University of Agricultural Sciences.</t>
    </r>
  </si>
  <si>
    <r>
      <t xml:space="preserve">               SBA, 2016a.</t>
    </r>
    <r>
      <rPr>
        <b/>
        <sz val="10"/>
        <rFont val="Calibri"/>
        <family val="2"/>
        <scheme val="minor"/>
      </rPr>
      <t xml:space="preserve"> </t>
    </r>
    <r>
      <rPr>
        <sz val="10"/>
        <rFont val="Calibri"/>
        <family val="2"/>
        <scheme val="minor"/>
      </rPr>
      <t xml:space="preserve">Hur stor andel av livsmedlen som säljs på marknaden är producerade i Sverige? På tal om jordbruk och fiske – fördjupning om aktuella frågor. Swedish Board of Agriculture. </t>
    </r>
  </si>
  <si>
    <t xml:space="preserve">               SBA, 2016b. Marknadsöversikt – mjölk och mejeriprodukter. Rapport 2016:11. Swedish Board of Agriculture.</t>
  </si>
  <si>
    <r>
      <t xml:space="preserve">               SBA, 2015a. Marknadsöversikt potatis till mat och stärkelseproduktion 2015 Fredagsmys och husmanskost</t>
    </r>
    <r>
      <rPr>
        <i/>
        <sz val="10"/>
        <rFont val="Calibri"/>
        <family val="2"/>
        <scheme val="minor"/>
      </rPr>
      <t xml:space="preserve">. </t>
    </r>
    <r>
      <rPr>
        <sz val="10"/>
        <rFont val="Calibri"/>
        <family val="2"/>
        <scheme val="minor"/>
      </rPr>
      <t xml:space="preserve">Rapport 2015:9. Swedish Board of Agriculture. </t>
    </r>
  </si>
  <si>
    <r>
      <t xml:space="preserve">               SBA, 2016c. Marknadsöversikt 2016 Frukt och grönsaker</t>
    </r>
    <r>
      <rPr>
        <i/>
        <sz val="10"/>
        <rFont val="Calibri"/>
        <family val="2"/>
        <scheme val="minor"/>
      </rPr>
      <t xml:space="preserve">. </t>
    </r>
    <r>
      <rPr>
        <sz val="10"/>
        <rFont val="Calibri"/>
        <family val="2"/>
        <scheme val="minor"/>
      </rPr>
      <t xml:space="preserve">Rapport 2016:22. Swedish Board of Agriculture. </t>
    </r>
  </si>
  <si>
    <r>
      <t xml:space="preserve">               RODRIGUES, CI., MAIA, R. &amp; MÁGUAS, C. 2010. Comparing total nitrogen and crude protein content of green coffee beans (</t>
    </r>
    <r>
      <rPr>
        <i/>
        <sz val="10"/>
        <rFont val="Calibri"/>
        <family val="2"/>
        <scheme val="minor"/>
      </rPr>
      <t>coffea</t>
    </r>
    <r>
      <rPr>
        <sz val="10"/>
        <rFont val="Calibri"/>
        <family val="2"/>
        <scheme val="minor"/>
      </rPr>
      <t xml:space="preserve"> spp.) from different geographical origins. </t>
    </r>
    <r>
      <rPr>
        <i/>
        <sz val="10"/>
        <rFont val="Calibri"/>
        <family val="2"/>
        <scheme val="minor"/>
      </rPr>
      <t>Coffee Science</t>
    </r>
    <r>
      <rPr>
        <sz val="10"/>
        <rFont val="Calibri"/>
        <family val="2"/>
        <scheme val="minor"/>
      </rPr>
      <t>, 5:197–205.</t>
    </r>
  </si>
  <si>
    <r>
      <t xml:space="preserve">              PACHANAWAN, A. CHUAN-UDOM, S., SAENGPRACHATANARUG, K. &amp; WONGPICHET, S. 2017. Electrical Energy Consumption and Energy Conservation of Rice Mills in the Northeastern of Thailand. </t>
    </r>
    <r>
      <rPr>
        <i/>
        <sz val="10"/>
        <rFont val="Calibri"/>
        <family val="2"/>
        <scheme val="minor"/>
      </rPr>
      <t xml:space="preserve">Engineering Journal, </t>
    </r>
    <r>
      <rPr>
        <sz val="10"/>
        <rFont val="Calibri"/>
        <family val="2"/>
        <scheme val="minor"/>
      </rPr>
      <t xml:space="preserve">21(4), 73-82. </t>
    </r>
  </si>
  <si>
    <t xml:space="preserve">               SBA 2011. Ekonomi i bärodling Kalkyler för jordgubbar och hallon. Jordbruksinformation 13 – 2011. Swedish Board of Agriculture.</t>
  </si>
  <si>
    <t xml:space="preserve">               SBA 2004. Gödslings- och kalkningsråd för fruktodling 2004. Jordbruksinformation 5 – 2004. Swedish Board of Agriculture. </t>
  </si>
  <si>
    <t xml:space="preserve">               SEPA 2014. National Inventory Report Sweden 2014. Greenhouse Gas Emission Inventories 1990-2012. Submitted under the United Nations Framework Convention on Climate Change and the Kyoto Protocol. Swedish Environmental Protection Agency. 
</t>
  </si>
  <si>
    <t xml:space="preserve">               SS 2011. Växtskyddsmedel i jord- och trädgårdsbruket 2010 Användning i grödor. Plant protection products in agriculture and horticulture. Use in crops. MI 31 SM 1101. Statistics Sweden. </t>
  </si>
  <si>
    <t xml:space="preserve">               SPRUIJT, J. &amp; VAN DER VOORT, M. 2015. Kwantitatieve Informatie Akkerbouw en Vollegrondsgroenteteelt 2015. Wageningen, the Netherlands: Wageningen University &amp; Research.</t>
  </si>
  <si>
    <t xml:space="preserve">              SWEDISH ENERGY AGENCY 2014. Energianvändning inom jordbruket 2013 Energy use in the agricultural sector 2013. ES 2014:07. Eskilstuna, Sweden. </t>
  </si>
  <si>
    <t xml:space="preserve">                DANSUKKER Kundforum, 2018</t>
  </si>
  <si>
    <t xml:space="preserve">               ARLA FORUM KONSUMENTKONTAKT. 2018</t>
  </si>
  <si>
    <r>
      <t xml:space="preserve">               ANDERSSON, P. 2018. </t>
    </r>
    <r>
      <rPr>
        <i/>
        <sz val="10"/>
        <rFont val="Calibri"/>
        <family val="2"/>
        <scheme val="minor"/>
      </rPr>
      <t>Kalmar-Ölands Trädgårdsprodukter.</t>
    </r>
  </si>
  <si>
    <r>
      <t xml:space="preserve">              HANSSON, T. 2017.</t>
    </r>
    <r>
      <rPr>
        <i/>
        <sz val="10"/>
        <rFont val="Calibri"/>
        <family val="2"/>
        <scheme val="minor"/>
      </rPr>
      <t xml:space="preserve"> Grön Kompetens AB. </t>
    </r>
  </si>
  <si>
    <r>
      <t xml:space="preserve">              LARSSON, G. 2017. </t>
    </r>
    <r>
      <rPr>
        <i/>
        <sz val="10"/>
        <rFont val="Calibri"/>
        <family val="2"/>
        <scheme val="minor"/>
      </rPr>
      <t xml:space="preserve">Svensk Raps AB. </t>
    </r>
  </si>
  <si>
    <t>Kg ECM/cow and year sold to retailer*</t>
  </si>
  <si>
    <r>
      <t xml:space="preserve">              BERTILSSON, J. 2016. </t>
    </r>
    <r>
      <rPr>
        <sz val="10"/>
        <color rgb="FF32322F"/>
        <rFont val="Calibri"/>
        <family val="2"/>
      </rPr>
      <t xml:space="preserve">Updating Swedish emission factors for cattle to be used for calculations of greenhouse gases. Department of Animal Nutrition and Management, Swedish University of Agricultural Sciences. </t>
    </r>
  </si>
  <si>
    <r>
      <t xml:space="preserve">               BERLIN, J. 2002. Environmental life cycle assessment (LCA) of Swedish semi-hard cheese. </t>
    </r>
    <r>
      <rPr>
        <i/>
        <sz val="10"/>
        <rFont val="Calibri"/>
        <family val="2"/>
        <scheme val="minor"/>
      </rPr>
      <t>International Dairy Journal</t>
    </r>
    <r>
      <rPr>
        <sz val="10"/>
        <rFont val="Calibri"/>
        <family val="2"/>
        <scheme val="minor"/>
      </rPr>
      <t>, 12(11): 939–953.</t>
    </r>
  </si>
  <si>
    <r>
      <t xml:space="preserve">ABELIOTIS, K., DETSIS, V. &amp; PAPPIA, C. 2013. Life cycle assessment of bean production in the Prespa National Park, Greece. </t>
    </r>
    <r>
      <rPr>
        <i/>
        <sz val="10"/>
        <rFont val="Calibri"/>
        <family val="2"/>
        <scheme val="minor"/>
      </rPr>
      <t>Journal of Cleaner Production,</t>
    </r>
    <r>
      <rPr>
        <sz val="10"/>
        <rFont val="Calibri"/>
        <family val="2"/>
        <scheme val="minor"/>
      </rPr>
      <t> 41, 89-96.</t>
    </r>
  </si>
  <si>
    <t xml:space="preserve">              MINISTRY OF ENVIRONMENT AND FOOD OF DENMARK 2017. Bekæmpelsesmiddelstatistik 2015. Behandlingshyppighed og pesticidbelastning, baseret på salgsstatistik og sprøjtejournaldata. Orientering fra Miljøstyrelsen nr. 17 Januar 2017. </t>
  </si>
  <si>
    <t xml:space="preserve">              MUTUA, J. 2000. POST HARVEST HANDLING AND PROCESSING OF COFFEE IN AFRICAN COUNTRIES. FOOD AND AGRICULTURE ORGANIZATION OF THE UNITED NATIONS, FAO. </t>
  </si>
  <si>
    <t>NTM n.d. NTMCalc Basic 4.0. Environmental Performance Calculator. Network for Transport and Environment, NTM Road transport.</t>
  </si>
  <si>
    <t>*On farm consumption of 5.6% results in total of 9129 kg ECM/cow and year (Bertilsson, 2016).</t>
  </si>
  <si>
    <t>SEPA (2014; 2017), average 2011-2015, UBA (2017), average 2011-2015</t>
  </si>
  <si>
    <t>EF N2O manure</t>
  </si>
  <si>
    <t>Nitrogen excretion, 
kg N/head and year</t>
  </si>
  <si>
    <t>Enteric fermentation, 
kg CH4/head and year</t>
  </si>
  <si>
    <t>Manure production, 
kg DM/year</t>
  </si>
  <si>
    <t>Manure management system</t>
  </si>
  <si>
    <t>CH4 emissions from manure, kg/year</t>
  </si>
  <si>
    <t>SEPA (2014), IPCC (2006)</t>
  </si>
  <si>
    <t>Number of animals, slaughtered heads, slaughter weight</t>
  </si>
  <si>
    <t>Slaughter age</t>
  </si>
  <si>
    <r>
      <t xml:space="preserve">Sweden: </t>
    </r>
    <r>
      <rPr>
        <sz val="10"/>
        <color theme="1"/>
        <rFont val="Calibri"/>
        <family val="2"/>
        <scheme val="minor"/>
      </rPr>
      <t>SBA (2017b), Gårds- och djurhälsan (2012; 2013; 2014; 2015; 2016), average 2011-2015</t>
    </r>
  </si>
  <si>
    <t xml:space="preserve">               SS 2017b. Gödselmedel i jordbruket 2015/16. Mineral- och stallgödsel till olika grödor samt hantering och lagring av stallgödsel. Use of fertilisers and animal manure in agriculture in 2015/16. MI 30 SM 1702. Statistics Sweden. </t>
  </si>
  <si>
    <t>SS, 2017a. Statistical Database. Statistics Sweden.</t>
  </si>
  <si>
    <t>SS (2017a), SBA (2016a)</t>
  </si>
  <si>
    <t>SS (2017a), Ziegler &amp; Bergman (2017)</t>
  </si>
  <si>
    <t>SS (2017a)</t>
  </si>
  <si>
    <t>SS (2017a), CBS (2017)</t>
  </si>
  <si>
    <t>SS (2017a), Mapama (2012-2016)</t>
  </si>
  <si>
    <t>SS (2017a), FAO (2017)</t>
  </si>
  <si>
    <t>SS (2017a), Systembolaget (2016)</t>
  </si>
  <si>
    <t>SS (2017a) and assumption based on Ramvall, C., pers. comm. (2017)</t>
  </si>
  <si>
    <r>
      <t xml:space="preserve">Germany and Poland: </t>
    </r>
    <r>
      <rPr>
        <sz val="10"/>
        <color theme="1"/>
        <rFont val="Calibri"/>
        <family val="2"/>
        <scheme val="minor"/>
      </rPr>
      <t>European Commission (2017), average 2011-2015</t>
    </r>
  </si>
  <si>
    <r>
      <t xml:space="preserve">Ireland: </t>
    </r>
    <r>
      <rPr>
        <sz val="10"/>
        <color theme="1"/>
        <rFont val="Calibri"/>
        <family val="2"/>
        <scheme val="minor"/>
      </rPr>
      <t>European Commission (2017), average 2011-2015</t>
    </r>
  </si>
  <si>
    <t xml:space="preserve">               TEAGASC 2015. Beef Production System guidelines. Animal &amp; Grassland Research &amp; Innovation Programme.  The Agriculture and Food Development Authority, Ireland. </t>
  </si>
  <si>
    <t xml:space="preserve">              KAVANAGH, S. n.d. Feeding the Dairy Cow. Animal &amp; Grassland Research &amp; Innovation Programme. TEAGASC, The Agriculture and Food Development Authority, Ireland.</t>
  </si>
  <si>
    <t xml:space="preserve">               CEDERBERG, C. &amp; NILSSON, B. 2004. Livscykelanalys (LCA) av ekologisk nötköttsproduktion i ranchdrift. SIK-rapport Nr 718 2004. Institutet för Livsmedel och Bioteknik.</t>
  </si>
  <si>
    <r>
      <t xml:space="preserve">Ireland: </t>
    </r>
    <r>
      <rPr>
        <sz val="10"/>
        <color theme="1"/>
        <rFont val="Calibri"/>
        <family val="2"/>
        <scheme val="minor"/>
      </rPr>
      <t>Casey &amp; Holden (2006) and Teagasc (2015) for bulls, bullocks and heifers, European Commission (2017) for calves</t>
    </r>
  </si>
  <si>
    <t xml:space="preserve">               GOULDING (n.d.). Grass Intake of Dairy Cows. [Online] Available: http://www.gouldings.ie/ni/grass-growth/research-on-grazing/grass-intake-of-dairy-cows/ [Accessed April 2018].</t>
  </si>
  <si>
    <t xml:space="preserve">               EPA, IRELAND 2017. Ireland’s National Inventory Report 2017. Greenhouse Gas Emissions 1990-2015. Environmental Protection Agency, Ireland. </t>
  </si>
  <si>
    <r>
      <t xml:space="preserve">Ireland: </t>
    </r>
    <r>
      <rPr>
        <sz val="10"/>
        <color theme="1"/>
        <rFont val="Calibri"/>
        <family val="2"/>
        <scheme val="minor"/>
      </rPr>
      <t>EPA, IRELAND (2017), average 2011-2015</t>
    </r>
  </si>
  <si>
    <r>
      <t>Germany and Poland:</t>
    </r>
    <r>
      <rPr>
        <sz val="10"/>
        <color theme="1"/>
        <rFont val="Calibri"/>
        <family val="2"/>
        <scheme val="minor"/>
      </rPr>
      <t xml:space="preserve"> UBA (2017), average 2011-2015</t>
    </r>
  </si>
  <si>
    <r>
      <t>Germany and Poland:</t>
    </r>
    <r>
      <rPr>
        <sz val="10"/>
        <color theme="1"/>
        <rFont val="Calibri"/>
        <family val="2"/>
        <scheme val="minor"/>
      </rPr>
      <t xml:space="preserve"> Assumed same as Sweden but adjusted according to slaughter age, slaughter weight and grazing period of animals</t>
    </r>
  </si>
  <si>
    <r>
      <t xml:space="preserve">Sweden: </t>
    </r>
    <r>
      <rPr>
        <sz val="10"/>
        <color theme="1"/>
        <rFont val="Calibri"/>
        <family val="2"/>
        <scheme val="minor"/>
      </rPr>
      <t>Based on Cederberg et al. (2009) and updated and adjusted to slaughter age, slaughter weight and grazing period of animals with input from Danielsson, R., pers. comm. (2018), Hessle, A., pers. comm. (2018) and Lindberg, H., pers. comm. (2018)</t>
    </r>
  </si>
  <si>
    <r>
      <t xml:space="preserve">Germany and Poland: </t>
    </r>
    <r>
      <rPr>
        <sz val="10"/>
        <color theme="1"/>
        <rFont val="Calibri"/>
        <family val="2"/>
        <scheme val="minor"/>
      </rPr>
      <t>Deblitz et al. (2008) for bulls and calves, heifers assumed same as Sweden</t>
    </r>
  </si>
  <si>
    <t>Nitrogen excretion, enteric fermentation, manure production, manure management systems</t>
  </si>
  <si>
    <r>
      <t xml:space="preserve">Sweden: </t>
    </r>
    <r>
      <rPr>
        <sz val="10"/>
        <color theme="1"/>
        <rFont val="Calibri"/>
        <family val="2"/>
        <scheme val="minor"/>
      </rPr>
      <t>Gårds- och djurhälsan (2012; 2013; 2014; 2015; 2016), average 2011-2015</t>
    </r>
  </si>
  <si>
    <r>
      <t xml:space="preserve">Sweden: </t>
    </r>
    <r>
      <rPr>
        <sz val="10"/>
        <color theme="1"/>
        <rFont val="Calibri"/>
        <family val="2"/>
        <scheme val="minor"/>
      </rPr>
      <t>SEPA (2014; 2017), average 2011-2015 with grazing period for bulls and calves adjusted according to SS (2017b)</t>
    </r>
  </si>
  <si>
    <r>
      <t xml:space="preserve">Ireland: </t>
    </r>
    <r>
      <rPr>
        <sz val="10"/>
        <color theme="1"/>
        <rFont val="Calibri"/>
        <family val="2"/>
        <scheme val="minor"/>
      </rPr>
      <t>Kavanagh (n.d.) and Goulding (n.d.) for dairy cows, Cederberg &amp; Nilsson (2004) for suckler cows, Teagasc (2015) for bulls, bullocks and heifers, calves assumed same as Sweden but adjusted according to slaughter age, slaughter weight and grazing period of animals</t>
    </r>
  </si>
  <si>
    <t>Beef from extensive dairy production**</t>
  </si>
  <si>
    <t>Extensive suckler cows and offsprings***</t>
  </si>
  <si>
    <t>**Approximated with Swedish production of dairy steers</t>
  </si>
  <si>
    <t>***Approximated with suckler production in Sweden and Ireland</t>
  </si>
  <si>
    <t>*Average 2011-2015</t>
  </si>
  <si>
    <t>Share of Swedish market*</t>
  </si>
  <si>
    <t>Share of grains shown in input data of beef and dairy production systems further down.</t>
  </si>
  <si>
    <t>Maize and protein concentrate: SBA (2012; 2013; 2014c; 2015d; 2016d), average 2011-2015</t>
  </si>
  <si>
    <t>Energy use at slaughter*</t>
  </si>
  <si>
    <t>SBA (2017b), average 2011-2015. Including sales outside of the largest storehouses in Sweden.</t>
  </si>
  <si>
    <t xml:space="preserve">Additional motivation to excluded data </t>
  </si>
  <si>
    <r>
      <t xml:space="preserve">COCA COLA n.d. </t>
    </r>
    <r>
      <rPr>
        <i/>
        <sz val="10"/>
        <rFont val="Calibri"/>
        <family val="2"/>
        <scheme val="minor"/>
      </rPr>
      <t xml:space="preserve">Socker </t>
    </r>
    <r>
      <rPr>
        <sz val="10"/>
        <rFont val="Calibri"/>
        <family val="2"/>
        <scheme val="minor"/>
      </rPr>
      <t>[Online]. Available: https://www.coca-cola.se/stories/Socker# [Accessed January 2018].</t>
    </r>
  </si>
  <si>
    <r>
      <t xml:space="preserve">KUNG MARKATTA 2018. </t>
    </r>
    <r>
      <rPr>
        <i/>
        <sz val="10"/>
        <rFont val="Calibri"/>
        <family val="2"/>
        <scheme val="minor"/>
      </rPr>
      <t xml:space="preserve">Ingredients list "Chokladdryck 310 g" </t>
    </r>
    <r>
      <rPr>
        <sz val="10"/>
        <rFont val="Calibri"/>
        <family val="2"/>
        <scheme val="minor"/>
      </rPr>
      <t>[Online]. Available: https://www.kungmarkatta.se/produkter/visa-produkt/chokladdryck-310g-500407/ [Accessed January 2018]</t>
    </r>
  </si>
  <si>
    <r>
      <t xml:space="preserve">LANTMÄNNEN CEREALIA AB 2018. </t>
    </r>
    <r>
      <rPr>
        <i/>
        <sz val="10"/>
        <rFont val="Calibri"/>
        <family val="2"/>
        <scheme val="minor"/>
      </rPr>
      <t>Produktionsanläggningen</t>
    </r>
    <r>
      <rPr>
        <sz val="10"/>
        <rFont val="Calibri"/>
        <family val="2"/>
        <scheme val="minor"/>
      </rPr>
      <t>[Online]. Available: http://nordmills.se/om-oss/produktionen/produktionsanläggningen/ [Accessed January 2018]</t>
    </r>
  </si>
  <si>
    <r>
      <t xml:space="preserve">NATIONAL FOOD AGENCY, SWEDEN. 2009. </t>
    </r>
    <r>
      <rPr>
        <i/>
        <sz val="10"/>
        <rFont val="Calibri"/>
        <family val="2"/>
        <scheme val="minor"/>
      </rPr>
      <t>Livsmedelsverkets författningssamling, Livsmedelsverkets föreskrifter om cider, LIVSFS 2005: 11.</t>
    </r>
  </si>
  <si>
    <t>NESTLÉ n.d. [Online]. Available: https://www.nestlebarnmat.se [Accessed March 2018].</t>
  </si>
  <si>
    <r>
      <t xml:space="preserve">              O'BOY 2018. </t>
    </r>
    <r>
      <rPr>
        <i/>
        <sz val="10"/>
        <rFont val="Calibri"/>
        <family val="2"/>
        <scheme val="minor"/>
      </rPr>
      <t xml:space="preserve">Ingredients list "O'boy original" </t>
    </r>
    <r>
      <rPr>
        <sz val="10"/>
        <rFont val="Calibri"/>
        <family val="2"/>
        <scheme val="minor"/>
      </rPr>
      <t>[Online]. Available: http://www.oboy.se/produkter/oboy-original [Accessed January 2018].</t>
    </r>
  </si>
  <si>
    <r>
      <t xml:space="preserve">WWF n.d. </t>
    </r>
    <r>
      <rPr>
        <i/>
        <sz val="10"/>
        <rFont val="Calibri"/>
        <family val="2"/>
        <scheme val="minor"/>
      </rPr>
      <t xml:space="preserve">Fiskguiden. </t>
    </r>
    <r>
      <rPr>
        <sz val="10"/>
        <rFont val="Calibri"/>
        <family val="2"/>
        <scheme val="minor"/>
      </rPr>
      <t>World Wildlife Fund.</t>
    </r>
  </si>
  <si>
    <r>
      <rPr>
        <b/>
        <sz val="10"/>
        <color theme="1"/>
        <rFont val="Calibri"/>
        <family val="2"/>
        <scheme val="minor"/>
      </rPr>
      <t>All others</t>
    </r>
    <r>
      <rPr>
        <sz val="10"/>
        <color theme="1"/>
        <rFont val="Calibri"/>
        <family val="2"/>
        <scheme val="minor"/>
      </rPr>
      <t>: Based on own calculations with this model.</t>
    </r>
  </si>
  <si>
    <t>**Includes fruits, olives, coffee and cocoa as these as for ley have great potential to store carbon in soils depending on management practices (Vicente-Vicente et al., 2016). For both methods, we used the same potential as for ley based on the Tier 1 approach in the IPCC Guidelines, which considers the soil sequestration potential of perennial crops to be similar to that of ley or fallow (IPCC, 2006)</t>
  </si>
  <si>
    <r>
      <t xml:space="preserve">   VICENTE-VICENTE, J.L., GARCÍA-RUIZ, R., FRANCAVIGLIA, R., AGUILERA, E. &amp; SMITH, P. 2016. Soil carbon sequestration rates under Mediterranean woody crops using recommended management practices: A meta-analysis. </t>
    </r>
    <r>
      <rPr>
        <i/>
        <sz val="10"/>
        <rFont val="Calibri"/>
        <family val="2"/>
        <scheme val="minor"/>
      </rPr>
      <t>Agriculture, Ecosystems and Environment.</t>
    </r>
    <r>
      <rPr>
        <sz val="10"/>
        <rFont val="Calibri"/>
        <family val="2"/>
        <scheme val="minor"/>
      </rPr>
      <t xml:space="preserve"> 235, 204-214.</t>
    </r>
  </si>
  <si>
    <t>Feed consumption/kg farmed fish</t>
  </si>
  <si>
    <t>Palm oil*</t>
  </si>
  <si>
    <t>GTP limiting the global warming to 2°C, without fb</t>
  </si>
  <si>
    <t>Characterization factors of greenhouse gases with or without climate-carbon feedbacks (fb)</t>
  </si>
  <si>
    <t>GWP100 with fb</t>
  </si>
  <si>
    <t>GWP100 without fb</t>
  </si>
  <si>
    <t>GTP100 with fb</t>
  </si>
  <si>
    <t>GTP100 without fb</t>
  </si>
  <si>
    <t>Calculations with the IPCC Tier 1 approach from the Guidelines for National Greenhouse Gas Inventories (IPCC, 2006)</t>
  </si>
  <si>
    <t>IPCC Tier 1, 100 years, kg CO2/kg*</t>
  </si>
  <si>
    <t>ICBM, 100 years, kg CO2/kg*</t>
  </si>
  <si>
    <t>Choose factors for soil carbon changes:</t>
  </si>
  <si>
    <t>Include soil carbon changes?
Go to: "Common input data" --&gt; "Choose factors for soil carbon changes"</t>
  </si>
  <si>
    <t>Milled grains</t>
  </si>
  <si>
    <t>Milled rice</t>
  </si>
  <si>
    <t>Processed sugar</t>
  </si>
  <si>
    <t>*No material inputs as the climate impact of water is assumed to be negligible</t>
  </si>
  <si>
    <t>SS (2017a), Lantmännen Cerealia AB (2018). Assumed to be the same share of market for ingredients as for direct consumption.</t>
  </si>
  <si>
    <t>SS (2017a). Assumed to be the same share of market for ingredients as for direct consumption.</t>
  </si>
  <si>
    <t xml:space="preserve">SS (2017a). Assumed to be the same share of market for ingredients as for direct consumption. </t>
  </si>
  <si>
    <t>SS (2017a), Semper, pers. comm. (2018), Nestlé (n.d.). Assumed to be the same share of market for ingredients as for direct consumption.</t>
  </si>
  <si>
    <t>All production assumed to take place in Sweden with ingredients assumed to have the same share of market as for direct consumption.</t>
  </si>
  <si>
    <t>All production assumed to take place in Sweden with ingredients assumed to have the same share of market as for direct consumption (SBA, 2015a)</t>
  </si>
  <si>
    <t>Maintenance of data</t>
  </si>
  <si>
    <t xml:space="preserve">              KAMB, A. &amp; LARSSON, J. 2018. Klimatpåverkan från svenska befolkningens flygresor 1990 – 2017.  Institutionen för Rymd-, geo- och miljövetenskap, Avdelningen för fysisk resursteori, Chalmers tekniska högskola. </t>
  </si>
  <si>
    <t xml:space="preserve"> </t>
  </si>
  <si>
    <t>Main sources of data</t>
  </si>
  <si>
    <t>Suggested update frequency</t>
  </si>
  <si>
    <t xml:space="preserve">Suggested initiative for improvement </t>
  </si>
  <si>
    <t>COMMON TO ALL FOOD CATEGORIES</t>
  </si>
  <si>
    <t>Allocation factors</t>
  </si>
  <si>
    <t>Contact with the industry, European Commission, National Food Agency, LCA papers and reports</t>
  </si>
  <si>
    <t>Yearly</t>
  </si>
  <si>
    <t>Create incentives for the industry to share data</t>
  </si>
  <si>
    <t>GWP factors</t>
  </si>
  <si>
    <t>IPCC Assessment Reports</t>
  </si>
  <si>
    <t>When new report is launched</t>
  </si>
  <si>
    <t>Soil carbon factors</t>
  </si>
  <si>
    <t>Calculations with the ICBM (Andrén and Kätterer, 1997)</t>
  </si>
  <si>
    <t>Assess soil carbon changes for several production countries</t>
  </si>
  <si>
    <t>LUC factors</t>
  </si>
  <si>
    <t>Factors retrieved from Henders et al. (2015)</t>
  </si>
  <si>
    <t>Report by Swedish research company Värmeforsk (now Energiforsk)</t>
  </si>
  <si>
    <t>The industry, Ecoinvent database</t>
  </si>
  <si>
    <t>Swedish Agency for Public Management</t>
  </si>
  <si>
    <t>Based on LCA paper</t>
  </si>
  <si>
    <t>Based on LCA reports</t>
  </si>
  <si>
    <t>Calculations with NTM (n.d.) and report by Swedish Climate Certification for Food (2010)</t>
  </si>
  <si>
    <t>Food waste</t>
  </si>
  <si>
    <t xml:space="preserve">FAO report </t>
  </si>
  <si>
    <t>Statistics Sweden</t>
  </si>
  <si>
    <t xml:space="preserve">Yearly </t>
  </si>
  <si>
    <t>Enable better tracing of origin of imported goods</t>
  </si>
  <si>
    <t>MEAT AND EGGS</t>
  </si>
  <si>
    <t>Amount of meat, milk and egg produced</t>
  </si>
  <si>
    <t>Swedish Board of Agriculture, Eurostat, FAOstat</t>
  </si>
  <si>
    <t>Production systems</t>
  </si>
  <si>
    <t>Swedish advisory service (Gårds- och djurhälsan), NIR, LCA papers and reports, other reports</t>
  </si>
  <si>
    <t xml:space="preserve">Establish more detailed statistics </t>
  </si>
  <si>
    <t>Calculations with this method, SIK feed database (Flysjö et al., 2008)</t>
  </si>
  <si>
    <t xml:space="preserve">Create initiative to maintain feed database, e.g. by the Swedish Board of Agriculture. </t>
  </si>
  <si>
    <t xml:space="preserve">Enable better tracing of origin of feed ingredients. </t>
  </si>
  <si>
    <t>NIR, LCA reports</t>
  </si>
  <si>
    <t>Feed rations and ingredients</t>
  </si>
  <si>
    <t>Swedish advisory service (Gårds- och djurhälsan), Swedish Board of Agriculture, LCA reports</t>
  </si>
  <si>
    <t>Swedish Board of Agriculture, other Swedish advisory service</t>
  </si>
  <si>
    <t>Swedish advisory service (Gårds- och djurhälsan), Federation of Swedish Farmers (LRF), NIR, Eurostat, LCA papers and reports</t>
  </si>
  <si>
    <t>NIR</t>
  </si>
  <si>
    <t>Yearly (with NIR update)</t>
  </si>
  <si>
    <t>Nitrogen excretion</t>
  </si>
  <si>
    <t>DAIRY PRODUCTS AND OTHER PROCESSED PRODUCTS</t>
  </si>
  <si>
    <t>Share of ingredients/recipes</t>
  </si>
  <si>
    <t xml:space="preserve">Establish database of recipes or create initiatives for the industry to share data  </t>
  </si>
  <si>
    <t xml:space="preserve">Electricity use for processing </t>
  </si>
  <si>
    <t>Ecoinvent database, LCA papers and reports, contact with the industry</t>
  </si>
  <si>
    <t>FISH AND SEAFOOD</t>
  </si>
  <si>
    <t>Landed catch</t>
  </si>
  <si>
    <t>LCA paper</t>
  </si>
  <si>
    <t xml:space="preserve">Develop database, e.g. by the Swedish Agency for Marine and Water Management </t>
  </si>
  <si>
    <t>Fuel use in vessels</t>
  </si>
  <si>
    <t>Production systems and gear type</t>
  </si>
  <si>
    <t xml:space="preserve">Reports, WWF Fiskguiden </t>
  </si>
  <si>
    <t>Edible yield of fish</t>
  </si>
  <si>
    <t>FAO, reports</t>
  </si>
  <si>
    <t>Feed consumption, feed rations and ingredients</t>
  </si>
  <si>
    <t>LCA papers and reports</t>
  </si>
  <si>
    <t>LCA report</t>
  </si>
  <si>
    <t>PLANT-BASED PRODUCTS</t>
  </si>
  <si>
    <t>Swedish Board of Agriculture, FAOstat</t>
  </si>
  <si>
    <t>Statistics Sweden, Ecoinvent database, National advisory services</t>
  </si>
  <si>
    <t>IPCC, National advisory services</t>
  </si>
  <si>
    <t>Diesel use in machinery</t>
  </si>
  <si>
    <t>IPCC</t>
  </si>
  <si>
    <t>Energy use for heating of greenhouses</t>
  </si>
  <si>
    <t>Swedish Board of Agriculture, National advisory service, Ecoinvent</t>
  </si>
  <si>
    <t>Other energy use on farm</t>
  </si>
  <si>
    <t>Swedish Board of Agriculture, National advisory services, LCA papers</t>
  </si>
  <si>
    <t>Recirculation of drainage water in greenhouses</t>
  </si>
  <si>
    <t>Swedish Board of Agriculture, LCA paper</t>
  </si>
  <si>
    <t>IPCC, NIR, reports and books</t>
  </si>
  <si>
    <t>Yes</t>
  </si>
  <si>
    <t>Conversion factors from carcass weight to bone free meat</t>
  </si>
  <si>
    <t xml:space="preserve">Beef </t>
  </si>
  <si>
    <t>Pork</t>
  </si>
  <si>
    <t>Chicken</t>
  </si>
  <si>
    <t>Clune et al. (2017)</t>
  </si>
  <si>
    <t xml:space="preserve">               CLUNE, S., CROSSIN, E. &amp; VERGHESE, K. 2017. Systematic review of greenhouse gas emissions for different fresh food categories. J. Clean. Prod. 140, 766-783.</t>
  </si>
  <si>
    <t>In the following, suggestions are provided on how data for calculations of the climate impact of food on the Swedish market could be updated. The suggestions are based on a report on the climate impact of air travel by the Swedish population (Kamb and Larsson, 2018).</t>
  </si>
  <si>
    <t xml:space="preserve">Ideally, a simplified update of primary data should be made every year. A more comprehensive update should made every five years and it should include all parameters listed below. For each product group, input parameters to the model, main source of data and suggested frequency of update are presented. Suggested initiatives for improvement of each data source are also presented. </t>
  </si>
  <si>
    <t>Every 5 years</t>
  </si>
  <si>
    <t>Include factors for more products. Create incentives for yearly update of values by e.g. Swedish Environmental Protection Agency.</t>
  </si>
  <si>
    <t xml:space="preserve">Emissions factors for fuels and electricity </t>
  </si>
  <si>
    <t>Include emissions factors for whole life cycle of fuels in statistics from Swedish Energy Agency (now only available for combustion of fuels)</t>
  </si>
  <si>
    <t>Emissions factors for production of nitrogen fertiliser</t>
  </si>
  <si>
    <t>Type of nitrogen fertiliser applied</t>
  </si>
  <si>
    <t>Include in statistics on nitrogen application rates</t>
  </si>
  <si>
    <t>Emissions factors for production of capital goods</t>
  </si>
  <si>
    <t xml:space="preserve">Emissions factors for packaging </t>
  </si>
  <si>
    <t>Emissions factors for transportation</t>
  </si>
  <si>
    <t>Establish more detailed statistics. Include better statistics for processed products.</t>
  </si>
  <si>
    <t>Exporting countries and market shares</t>
  </si>
  <si>
    <t xml:space="preserve">Emissions factors for feed </t>
  </si>
  <si>
    <t xml:space="preserve">Include statistics in databases run by Swedish Board of Agriculture, Eurostat and FAOstat </t>
  </si>
  <si>
    <t>Energy use in animal houses and slaughterhouses</t>
  </si>
  <si>
    <t xml:space="preserve">Slaughter age </t>
  </si>
  <si>
    <t>Include more detailed statistics in databases run by Swedish Board of Agriculture, Eurostat and FAOstat</t>
  </si>
  <si>
    <t>Emissions factors for enteric fermentation</t>
  </si>
  <si>
    <t xml:space="preserve">Emissions factors for manure </t>
  </si>
  <si>
    <t>RAC tables, contact with the industry, LCA papers and reports</t>
  </si>
  <si>
    <t>Include statistics in databases run by e.g. Swedish Board of Agriculture and Eurostat</t>
  </si>
  <si>
    <t xml:space="preserve">Develop database, e.g. by Swedish Agency for Marine and Water Management </t>
  </si>
  <si>
    <t>Emissions factors for storage of fish at vessels using cooling media</t>
  </si>
  <si>
    <t>Emissions factors and electricity use in aquaculture systems</t>
  </si>
  <si>
    <t>Fertiliser application rates</t>
  </si>
  <si>
    <t>Include more detailed statistics in databases run by Swedish Board of Agriculture, Eurostat, FAOstat</t>
  </si>
  <si>
    <t>Include amount of crop residues left in field in databases run by Swedish Board of Agriculture, Eurostat and FAOstat</t>
  </si>
  <si>
    <t>Swedish Board of Agriculture, National advisory services, Ecoinvent database, LCA papers and reports</t>
  </si>
  <si>
    <t>Include in databases run by Swedish Board of Agriculture, Eurostat and FAOstat</t>
  </si>
  <si>
    <t>Emissions factors for field application of nitrogen</t>
  </si>
  <si>
    <t>Emissions factors for methane and other data for rice cultivation</t>
  </si>
  <si>
    <t>Include data on production systems in databases run by Eurostat and FAOstat</t>
  </si>
  <si>
    <t xml:space="preserve">*LUC factors are accounted for as an average of the country specific factors available in Henders et al. (2015) due to the limited traceability of the specific origin of soy and palm oil imported to Europe. In Henders et al. (2015), LUC factors are available for countries representing 50 and 82% of world production of soy and palm oil respectively between 2011 and 2015. LUC for soy cultivation do however also take place in other countries than those available in Henders et al. (2015), e.g. the United States (Lark et al., 2015) causing emissions of CO2 (Spawn et al., 2017). Hence, to account for this, the share of world production for the countries available in Henders et al. (2015) were scaled up to represent the whole world market. The same assumption was made for palm oil. </t>
  </si>
  <si>
    <r>
      <t xml:space="preserve">LARK, T. J., SALMON, J. M. &amp; GIBBS, H. K. 2015. Cropland expansion outpaces agricultural and biofuel policies in the United States. </t>
    </r>
    <r>
      <rPr>
        <i/>
        <sz val="10"/>
        <color theme="1"/>
        <rFont val="Calibri"/>
        <family val="2"/>
        <scheme val="minor"/>
      </rPr>
      <t>Environmental Research Letters,</t>
    </r>
    <r>
      <rPr>
        <sz val="10"/>
        <color theme="1"/>
        <rFont val="Calibri"/>
        <family val="2"/>
        <scheme val="minor"/>
      </rPr>
      <t xml:space="preserve"> 10</t>
    </r>
    <r>
      <rPr>
        <b/>
        <sz val="10"/>
        <color theme="1"/>
        <rFont val="Calibri"/>
        <family val="2"/>
        <scheme val="minor"/>
      </rPr>
      <t>,</t>
    </r>
    <r>
      <rPr>
        <sz val="10"/>
        <color theme="1"/>
        <rFont val="Calibri"/>
        <family val="2"/>
        <scheme val="minor"/>
      </rPr>
      <t xml:space="preserve"> 044003.</t>
    </r>
  </si>
  <si>
    <t>SPAWN, S., LARK, T. &amp; GIBBS, H. High carbon losses due to recent cropland expansion in the United States.  AGU Fall Meeting Abstracts, 2017.</t>
  </si>
  <si>
    <t>Coffee*</t>
  </si>
  <si>
    <t>*Drying is calculated separately for coffee.</t>
  </si>
  <si>
    <t>Mortality rate breeding, fraction</t>
  </si>
  <si>
    <t>Meat****</t>
  </si>
  <si>
    <t>Dairy products and eggs*****</t>
  </si>
  <si>
    <t>*****The same waste fraction as milk is assumed for other dairy products and eggs</t>
  </si>
  <si>
    <t>****Waste fractions for "post harvest handling and storage" (mortality rate during transportation to slaughter and rejection rate at slaughterhouse) for meat are included directly in the calculations to account for the animals needed in production.</t>
  </si>
  <si>
    <t>Mortality rate transportation to slaughter 
and rejection rate at slaughterhouse</t>
  </si>
  <si>
    <t>Laying hens, including mortality during breeding</t>
  </si>
  <si>
    <t>Number of animals</t>
  </si>
  <si>
    <t>Slaughter age, months*</t>
  </si>
  <si>
    <t>Number of animals including mortality</t>
  </si>
  <si>
    <t>LRF Mjölk (2016), SBA (2014a), SBA (2017a), average 2011-2015</t>
  </si>
  <si>
    <t>European Commission (2017), European Commission (2016), average 2011-2015</t>
  </si>
  <si>
    <t>Average of allocation of other products grown in Dutch greenhouses, average 2011-2015</t>
  </si>
  <si>
    <t>Melon**</t>
  </si>
  <si>
    <t>**Input data of energy use calculated with average energy use for Swedish greenhouses (SBA, 2015c)</t>
  </si>
  <si>
    <t>Mineral fertilizer application rate (kg N/ha)****</t>
  </si>
  <si>
    <t>Organic fertilizer application rate (kg N/ha)****</t>
  </si>
  <si>
    <t>Nitrogen in crop residues (kg nitrogen/ha)*****</t>
  </si>
  <si>
    <t>Diesel use machinery (l/ha)******</t>
  </si>
  <si>
    <t xml:space="preserve">*****Crop residues for crops grown in greenhouses are not accounted for. Crop residues from fruits left in orchards are assumed to be negligible as fruits generally have a low content of nitrogen (National Food Agency, n.d.). </t>
  </si>
  <si>
    <t xml:space="preserve">******Diesel fuel is used as default fuel in machinery based on Swedish Energy Agency (2014). </t>
  </si>
  <si>
    <t>****When input data of fertilizer application rates have been collected from other sources than national statistics, the rates are adjusted to yield.</t>
  </si>
  <si>
    <t>This material presents datasets of the climate impact of a variety of food available on the Swedish market calculated with the proposed methodology in Moberg et al. (2019). Food products are divided into food groups as follows by the Table of content. 
For each product, the results of the calculations of the climate impact are given for the production countries representing more than 10% of the Swedish consumption of a certain food product during a five-year period (2011 to 2015). Food imported from countries representing less than 10% of Swedish consumption are accounted for as an average of the larger producing countries if no global or regional input data is available. For all products, an average value of the climate impact is presented based on the market shares. For some cases, import data only show the country of import to Europe. By contacting with the wholesaler business, it was possible to partly trace the origin for some products, e.g. beef. For other products such as rice and avocado, an average of world production systems was accounted for. 
The results are divided into three parts with different system boundaries to show how the choice of system boundary affect the climate impact of foods: 
i) Agricultural emissions: Including only emissions from biological processes giving rise to emissions of CH4 and N2O (emission from enteric fermentation, soils and manure management)
ii) The cradle-to-farm gate boundary: Including emissions from pre-farm processes, e.g. production of input materials such as fertiliser, emissions from agricultural processes and energy use on the farm 
iii) The full cradle-to-retail gate boundary
Further, results are shown as emissions per kg of each individual greenhouse gas (CO2, CH4 and N2O, as well as HCFC-22 for the case of fish and seafood) as well as aggregated into the common unit of kg of CO2e using different climate metrics. Here, it is possible to choose between the following metrics by using the drop-down list to the right of “Choice of climate metric” placed above the “Results” cells in each results worksheet:
i) GWP100  - available both with and without climate-carbon feedbacks (Myhre et al., 2013)
ii) GTP100 - available both with and without climate-carbon feedbacks (Myhre et al., 2013) 
iii) GTP characterisation factors adjusted to limit global warming to 2°C by assuming that it is equally likely that the limit will be reached in 2050, 2075 and 2100 (Persson et al., 2015)
Additionally, it is possible to choose whether or not to include emissions of CO2 from land use change and soil carbon changes in the results by using the drop-down lists to the right of “Include land use change?” and “Include soil carbon changes?” respectively, which are placed above the “Results” cells in each results worksheet. Additionally, factors for assessing soil carbon changes can be chosen in "Common input data" --&gt; "Choose factors for soil carbon changes".
Emissions of greenhouse gases arising from each production step in the production of a food product can be seen to the right of the box showing the results for different system boundaries.</t>
  </si>
  <si>
    <t>SBA (2010a), Edström et al. (2005)</t>
  </si>
  <si>
    <t>Sources for emissions feed production (to be used for estimations of emissions using different system boundaries)</t>
  </si>
  <si>
    <t xml:space="preserve">kg/liter </t>
  </si>
  <si>
    <t>Seeds needed for oil production, consideration taken for number of liter/kg oil*</t>
  </si>
  <si>
    <t>*Assuming the same density for olive oil as for rapeseed oil</t>
  </si>
  <si>
    <t>Elmquist et al. (2015) for dairy cows, fattening pigs and piglets; SBA (2010a) for slaughter chickens, eggs and other cattle than dairy cows</t>
  </si>
  <si>
    <r>
      <t xml:space="preserve">               ELMQUIST, H., NEUMAN, L., HÅRSMAR, D. &amp; HELMERSSON, N. (2015). </t>
    </r>
    <r>
      <rPr>
        <sz val="10"/>
        <color theme="1"/>
        <rFont val="Calibri"/>
        <family val="2"/>
        <scheme val="minor"/>
      </rPr>
      <t>Energinyckeltal inom lantbruket och potentialen att spara energi utifrån energikartläggningar.</t>
    </r>
  </si>
  <si>
    <t xml:space="preserve">               EDSTRÖM, M., PETTERSSON, O., NILSSON, L. &amp; HÖRNDAHL, T. 2005. Jordbrukssektorns energianvändning. JTI-rapport Lantbruk &amp; Industri 342. JTI – Institutet för jordbruks- och miljöteknik.</t>
  </si>
  <si>
    <r>
      <t xml:space="preserve">               DJEKIC, I., MIOCINOVIC, J., TOMASEVIC, I., SMIGIC, N. &amp; TOMIC, N. 2014. Environmental life-cycle assessment of various dairy products. </t>
    </r>
    <r>
      <rPr>
        <i/>
        <sz val="10"/>
        <rFont val="Calibri"/>
        <family val="2"/>
        <scheme val="minor"/>
      </rPr>
      <t>Journal of Cleaner Production</t>
    </r>
    <r>
      <rPr>
        <sz val="10"/>
        <rFont val="Calibri"/>
        <family val="2"/>
        <scheme val="minor"/>
      </rPr>
      <t xml:space="preserve">, 68, 64-72. </t>
    </r>
  </si>
  <si>
    <r>
      <t>Beans (</t>
    </r>
    <r>
      <rPr>
        <sz val="10"/>
        <color theme="1"/>
        <rFont val="Calibri"/>
        <family val="2"/>
        <scheme val="minor"/>
      </rPr>
      <t>for human consumption)</t>
    </r>
  </si>
  <si>
    <t xml:space="preserve">               SBA 2010a. Energikartläggning av de areella näringarna. Regeringsuppdrag Jo 2009/1596. Rapport 2010:16. Swedish Board of Agriculture. </t>
  </si>
  <si>
    <t xml:space="preserve">               SBA 2010b. Olivolja och bordsoliver. Rapport 2010:34. Swedish Board of Agriculture.  </t>
  </si>
  <si>
    <t xml:space="preserve">               SBA n.d. Miljöersättning för bruna bönor på Öland programperiod 2007-2013. [Online]. Available: https://www.jordbruksverket.se/amnesomraden/stod/jordbrukarstod/stodochersattningar2018/miljoersattningar/miljoersattningar20072013/brunabonorpaoland20072013.4.7850716f11cd786b52d8000802.html [Accessed January 2019].</t>
  </si>
  <si>
    <t>***Yield of grains/oil crops/beans is recounted to 20/15/21.5% moisture at harvest (SBA, 2017b; Andersson, P., pers. comm., 2018)</t>
  </si>
  <si>
    <t>Cod fish</t>
  </si>
  <si>
    <t xml:space="preserve">   ORKLA FOODS SVERIGE Konsumentkontakt. 2019</t>
  </si>
  <si>
    <t xml:space="preserve">Amount needed to obtain 1 kg after drying </t>
  </si>
  <si>
    <t>Product fraction obtained from 
1 kg input</t>
  </si>
  <si>
    <t>Poulsen, J.H., pers. comm. (2019)</t>
  </si>
  <si>
    <r>
      <t xml:space="preserve">              POULSEN, J.H. 2019.</t>
    </r>
    <r>
      <rPr>
        <i/>
        <sz val="10"/>
        <rFont val="Calibri"/>
        <family val="2"/>
        <scheme val="minor"/>
      </rPr>
      <t xml:space="preserve"> Nordic Development Director Professional Baking &amp; B2B, Sales &amp; Marketing Director B2B Denmark, Lantmännen Cerealia.</t>
    </r>
    <r>
      <rPr>
        <sz val="10"/>
        <rFont val="Calibri"/>
        <family val="2"/>
        <scheme val="minor"/>
      </rPr>
      <t xml:space="preserve"> </t>
    </r>
  </si>
  <si>
    <t>Orkla Foods Sverige Konsumentkontakt, pers. comm. (2019); Ziegler &amp; Bergman (2017)</t>
  </si>
  <si>
    <t>Grains*</t>
  </si>
  <si>
    <t>Tomato**</t>
  </si>
  <si>
    <t>Cucumber**</t>
  </si>
  <si>
    <t>Bell pepper**</t>
  </si>
  <si>
    <t>Strawberry**</t>
  </si>
  <si>
    <t>Butter***</t>
  </si>
  <si>
    <t>Cream***</t>
  </si>
  <si>
    <t>Cheese***</t>
  </si>
  <si>
    <t>Crème fraiche***</t>
  </si>
  <si>
    <t>*Data for wheat is used as approximation for other cereals.</t>
  </si>
  <si>
    <t>Beer (regular)</t>
  </si>
  <si>
    <t>BEER (REGULAR)</t>
  </si>
  <si>
    <t>Slaughtered heads including mortality</t>
  </si>
  <si>
    <t xml:space="preserve">**Only for Dutch greenhouses which produce surplus electricity in combined heat and power installations. The electricity is sold to the national electricity grid (van der Velden and Smit, 2016). </t>
  </si>
  <si>
    <t>***Allocation of dairy products is made based on the economic value according to the protein and fat in the dairy products according to price data from Skånemejerier. For whey, skimmed milk and buttermilk, the economic value is based on price data from Skånemejerier (Löfgren, R., pers. comm., 2017). Protein and fat content in dairy products are derived from the food database of the Swedish National Food Agency (2017).</t>
  </si>
  <si>
    <t>Economic allocation factor</t>
  </si>
  <si>
    <t>Blengini &amp; Busto (2009)</t>
  </si>
  <si>
    <t>Rice husk, flour and other by-products from milling</t>
  </si>
  <si>
    <t>Per kg milled rice</t>
  </si>
  <si>
    <t>Per kg oats</t>
  </si>
  <si>
    <t>Per kg milled oats</t>
  </si>
  <si>
    <t>Per kg barley</t>
  </si>
  <si>
    <t>Per kg milled barley</t>
  </si>
  <si>
    <t>Per kg rye</t>
  </si>
  <si>
    <t>Per kg milled rye</t>
  </si>
  <si>
    <t>Per kg milled wheat</t>
  </si>
  <si>
    <t>Per kg wheat</t>
  </si>
  <si>
    <t>Per kg grains</t>
  </si>
  <si>
    <t>Per kg milled grains</t>
  </si>
  <si>
    <t>Cod fish and salted roe</t>
  </si>
  <si>
    <t>ROE (FROM COD FISH)</t>
  </si>
  <si>
    <t>Per kg roe</t>
  </si>
  <si>
    <t>Roe</t>
  </si>
  <si>
    <t>Roe (from cod fish)</t>
  </si>
  <si>
    <t xml:space="preserve">The majority of the roe is derived from cod fish (Ziegler, F., pers. comm. 2017) and cod roe is therefore used for the calculations of the climate impact. </t>
  </si>
  <si>
    <t>Gårds- och djurhälsan (2012; 2013; 2014; 2015; 2016), average 2011-2015</t>
  </si>
  <si>
    <t>Dairy replacement heifers</t>
  </si>
  <si>
    <t>Products based on fruits and vegetables</t>
  </si>
  <si>
    <t>Products based on grains and rice</t>
  </si>
  <si>
    <t>Products based on oilcrops</t>
  </si>
  <si>
    <t>Oilcrops and legumes</t>
  </si>
  <si>
    <t>*Assumed to have the same waste fraction as the raw material</t>
  </si>
  <si>
    <t>Waste fractions for processed product groups, at Swedish retail*</t>
  </si>
  <si>
    <t>Products based on roots and tubers</t>
  </si>
  <si>
    <t>*Excluding packaging. Including waste with the same waste fraction used for the raw material before retailer.</t>
  </si>
  <si>
    <r>
      <rPr>
        <b/>
        <sz val="10"/>
        <rFont val="Calibri"/>
        <family val="2"/>
        <scheme val="minor"/>
      </rPr>
      <t>Palm oil and soy bean oil:</t>
    </r>
    <r>
      <rPr>
        <sz val="10"/>
        <rFont val="Calibri"/>
        <family val="2"/>
        <scheme val="minor"/>
      </rPr>
      <t xml:space="preserve"> Angervall and Sonesson (2011). </t>
    </r>
    <r>
      <rPr>
        <b/>
        <sz val="10"/>
        <rFont val="Calibri"/>
        <family val="2"/>
        <scheme val="minor"/>
      </rPr>
      <t>Glucose syrup</t>
    </r>
    <r>
      <rPr>
        <sz val="10"/>
        <rFont val="Calibri"/>
        <family val="2"/>
        <scheme val="minor"/>
      </rPr>
      <t>: Tsiropoulos et al. (2013)</t>
    </r>
  </si>
  <si>
    <t>Grains (86% DM)</t>
  </si>
  <si>
    <t>**Average of protein sources</t>
  </si>
  <si>
    <t xml:space="preserve">*Cows are assessed per year, others per head for whole lifetime. </t>
  </si>
  <si>
    <t>Beef cows</t>
  </si>
  <si>
    <t>Age at first calving</t>
  </si>
  <si>
    <t>Mortality rate beef and dairy cattle (breeding, transportation to slaughter and rejection at slaughterhouse)</t>
  </si>
  <si>
    <r>
      <t xml:space="preserve">               DANIELSSON, R. 2018. </t>
    </r>
    <r>
      <rPr>
        <i/>
        <sz val="10"/>
        <rFont val="Calibri"/>
        <family val="2"/>
        <scheme val="minor"/>
      </rPr>
      <t>Researcher, Institutionen för husdjurens utfodring och vård, Swedish University of Agricultural Sciences.</t>
    </r>
  </si>
  <si>
    <r>
      <t xml:space="preserve">              HESSLE, A. 2018. </t>
    </r>
    <r>
      <rPr>
        <i/>
        <sz val="10"/>
        <rFont val="Calibri"/>
        <family val="2"/>
        <scheme val="minor"/>
      </rPr>
      <t>Researcher, FLK vid Institutionen för husdjurens miljö och hälsa, Swedish University of Agricultural Sciences.</t>
    </r>
  </si>
  <si>
    <r>
      <t xml:space="preserve">              RAMVALL, C. 2017.</t>
    </r>
    <r>
      <rPr>
        <i/>
        <sz val="10"/>
        <rFont val="Calibri"/>
        <family val="2"/>
        <scheme val="minor"/>
      </rPr>
      <t xml:space="preserve"> Quality and Environment, Norvida. </t>
    </r>
  </si>
  <si>
    <r>
      <t xml:space="preserve">              ÖGREN, E. 2017. </t>
    </r>
    <r>
      <rPr>
        <i/>
        <sz val="10"/>
        <rFont val="Calibri"/>
        <family val="2"/>
        <scheme val="minor"/>
      </rPr>
      <t xml:space="preserve">Advisor, organic production, Rådgivningsenheten Norr, Swedish Board of Agriculture. </t>
    </r>
  </si>
  <si>
    <r>
      <t>SEMPER. 2018. Kons</t>
    </r>
    <r>
      <rPr>
        <i/>
        <sz val="10"/>
        <rFont val="Calibri"/>
        <family val="2"/>
        <scheme val="minor"/>
      </rPr>
      <t>umentrådgivare/Consumer advisor, Semper Konsumentkontakt.</t>
    </r>
  </si>
  <si>
    <r>
      <t xml:space="preserve">              LINDBERG, H. 2018. </t>
    </r>
    <r>
      <rPr>
        <i/>
        <sz val="10"/>
        <rFont val="Calibri"/>
        <family val="2"/>
        <scheme val="minor"/>
      </rPr>
      <t>Produktionsrådgivare/Production advisor, Växa Sverige.</t>
    </r>
  </si>
  <si>
    <r>
      <t xml:space="preserve">ERIKSSON, I. 2017. </t>
    </r>
    <r>
      <rPr>
        <i/>
        <sz val="10"/>
        <rFont val="Calibri"/>
        <family val="2"/>
        <scheme val="minor"/>
      </rPr>
      <t xml:space="preserve">Husdjursagronom/Pet agronomist. Affärsområdeschef - gris. Produktionsrådgivare - gris/Production advisor - pigs. Gårds- och djurhälsan. </t>
    </r>
  </si>
  <si>
    <t>Other protein feed**</t>
  </si>
  <si>
    <t>ECOINVENT CENTRE 2018. Ecoinvent Database Version 3.5. Dübendorf, Switzerland: Swiss Centre for Life Cycle Inventories.</t>
  </si>
  <si>
    <t>All other: Ecoinvent Centre (2018). Activity name: “Market for electricity, medium voltage” for each country</t>
  </si>
  <si>
    <t>Ecoinvent (2018), "Rice production, RoW"</t>
  </si>
  <si>
    <t>Ecoinvent (2018), "Potato production, RoW"</t>
  </si>
  <si>
    <t>Ecoinvent (2018), "Tomato production in heated greenhouse, the Netherlands"</t>
  </si>
  <si>
    <t>Ecoinvent (2018), "Tomato production in unheated greenhouse, RoW"</t>
  </si>
  <si>
    <t>Ecoinvent (2018), "Tomato production, fresh grade, open field, RoW"</t>
  </si>
  <si>
    <t>Ecoinvent (2018), "Cucumber production, global" (Greenhouse production)</t>
  </si>
  <si>
    <t>Ecoinvent (2018), "Carrot production, RoW"</t>
  </si>
  <si>
    <t>Ecoinvent (2018), "Onion production, RoW"</t>
  </si>
  <si>
    <t>Ecoinvent (2018), "Cauliflower production, Global"</t>
  </si>
  <si>
    <t>Ecoinvent (2018), "Broccoli production, Global"</t>
  </si>
  <si>
    <t>Ecoinvent (2018), "Green bell pepper production, Global"</t>
  </si>
  <si>
    <t>Ecoinvent (2018), "Apple production, Italy"</t>
  </si>
  <si>
    <t>Ecoinvent (2018), "Banana production, Costa Rica"</t>
  </si>
  <si>
    <t>Ecoinvent (2018), "Banana production, Ecuador"</t>
  </si>
  <si>
    <t>Ecoinvent (2018), "Banana production, Global"</t>
  </si>
  <si>
    <t>Ecoinvent (2018), "Melon production, Global"</t>
  </si>
  <si>
    <t>Ecoinvent (2018), "Pear production, Belgium"</t>
  </si>
  <si>
    <t>Ecoinvent (2018), "Pear production, RoW"</t>
  </si>
  <si>
    <t>Ecoinvent (2018), "Lemon production, RoW"</t>
  </si>
  <si>
    <t>Ecoinvent (2018), "Strawberry production, open field, macro tunnel, RoW"</t>
  </si>
  <si>
    <t>Ecoinvent (2018), "Strawberry production, in heated greenhouse, RoW"</t>
  </si>
  <si>
    <t>Ecoinvent (2018), "Avocado production, Global"</t>
  </si>
  <si>
    <t>Ecoinvent (2018), "Kiwi production, Global"</t>
  </si>
  <si>
    <t>Ecoinvent (2018), "Orange production, fresh grade, RoW"</t>
  </si>
  <si>
    <t>Ecoinvent (2018), "Cocoa bean production, sun-dried, Ivory Coast"</t>
  </si>
  <si>
    <t>Ecoinvent (2018), "Coffee green bean production, arabica, Brazil"</t>
  </si>
  <si>
    <t>Ecoinvent (2018), "Coffee green bean production, arabica, RoW"</t>
  </si>
  <si>
    <t>Ecoinvent (2018), "Olive production, RoW"</t>
  </si>
  <si>
    <t>Ecoinvent (2018), "Olive production, Italy"</t>
  </si>
  <si>
    <t>Ecoinvent (2018), "Olive production, Spain"</t>
  </si>
  <si>
    <t>Ecoinvent (2018), "Strawberry production, in heated greenhouse, Rest of the World"</t>
  </si>
  <si>
    <t>Ecoinvent (2018)</t>
  </si>
  <si>
    <t xml:space="preserve">Set values based Ecoinvent (2018): irrigation volumes for crops in "Rest of the world" together with data of electricity use for “Irrigation, Rest of the World". </t>
  </si>
  <si>
    <t>Ammonium nitrate: Ecoinvent Centre (2018). Activity name: “Ammonium nitrate production", Rest of the world</t>
  </si>
  <si>
    <r>
      <rPr>
        <b/>
        <sz val="10"/>
        <color theme="1"/>
        <rFont val="Calibri"/>
        <family val="2"/>
        <scheme val="minor"/>
      </rPr>
      <t>Pasteurized milk, butter, yogurt, cream</t>
    </r>
    <r>
      <rPr>
        <sz val="10"/>
        <color theme="1"/>
        <rFont val="Calibri"/>
        <family val="2"/>
        <scheme val="minor"/>
      </rPr>
      <t xml:space="preserve">: Djekic et al. (2014), Ecoinvent (2018) using activity data for Calcium chloride: “Market for calcium chloride” data for Europe. For saltpeter: “Calcium nitrate production” data for Europe. For salt: “Sodium chloride production, powder”, global data. For nitric acid: “Nitric acid production, product in 50% solution state”, data for Europe. For sodium hydroxide: “Sodium hydroxide to generic market for neutralising agent”, global data. 
</t>
    </r>
    <r>
      <rPr>
        <b/>
        <sz val="10"/>
        <color theme="1"/>
        <rFont val="Calibri"/>
        <family val="2"/>
        <scheme val="minor"/>
      </rPr>
      <t>Hard cheese</t>
    </r>
    <r>
      <rPr>
        <sz val="10"/>
        <color theme="1"/>
        <rFont val="Calibri"/>
        <family val="2"/>
        <scheme val="minor"/>
      </rPr>
      <t xml:space="preserve">: Djekic et al. (2014), Ecoinvent (2018) using activity data for Calcium chloride: “Market for calcium chloride” global data. For saltpeter: “Calcium nitrate production” data for Europe. For salt: “Sodium chloride production, powder”, data for Europe. For nitric acid: “Nitric acid production, product in 50% solution state”, data for Europe. For sodium hydroxide: “Sodium hydroxide to generic market for neutralising agent”, global data., Berlin (2002)
</t>
    </r>
    <r>
      <rPr>
        <b/>
        <sz val="10"/>
        <color theme="1"/>
        <rFont val="Calibri"/>
        <family val="2"/>
        <scheme val="minor"/>
      </rPr>
      <t>Milk powder</t>
    </r>
    <r>
      <rPr>
        <sz val="10"/>
        <color theme="1"/>
        <rFont val="Calibri"/>
        <family val="2"/>
        <scheme val="minor"/>
      </rPr>
      <t>: Flysjö et al. (2014)</t>
    </r>
  </si>
  <si>
    <t>Ecoinvent (2016). Based on activity “Tomato seedling production in unheated greenhouse, for planting” for each production country or region.</t>
  </si>
  <si>
    <t>Ecoinvent (2016). Based on activity “Pesticide, unspecified production” global average.</t>
  </si>
  <si>
    <t>Ecoinvent (2016)</t>
  </si>
  <si>
    <t>Ecoinvent (2016)*</t>
  </si>
  <si>
    <t>Emission data of pesticide production is taken from the Ecoinvent database and is accounted for as an aggregated value, see table 2 for emission factor of pesticide production (Ecoinvent, 2016).</t>
  </si>
  <si>
    <t xml:space="preserve">Baby plants are commonly produced in greenhouses for further cultivation of tomato, cucumber, cauliflower, white cabbage, broccoli, iceberg lettuce and leek (Ögren, E., pers. comm., 2017). The production generates emission for e.g. growing substrate and energy for heating. Emissions from the production of baby plants for tomato cultivation has been derived from the World Food LCA database (Ecoinvent, 2016), see table 1. Calculations are based on the climate impact per seedling unit multiplied by amount of seedlings needed for the production of 1 kg. Based on the assumption that the energy requirement for tomato baby plant production is more pronounced than for other field-crops (Hansson, T., pers. comm. 2017) and that these emissions are negligible to the overall climate impact of the tomatoes, the emissions from the production of baby plants has been excluded from the accounting of the climate impact of tomato and the other crops. </t>
  </si>
  <si>
    <t>ECOINVENT CENTRE 2016. Ecoinvent Database Version 3.3. Dübendorf, Switzerland: Swiss Centre for Life Cycle Inventories.</t>
  </si>
  <si>
    <t>Ecoinvent (2018), "Apple production, RoW"</t>
  </si>
  <si>
    <t>Blengini &amp; Busto (2009); Fusi et al. (2014)</t>
  </si>
  <si>
    <t>Ecoinvent (2018), "Rape seed production, RoW"</t>
  </si>
  <si>
    <t>Ecoinvent (2018), "Iceberg lettuce production, Global"</t>
  </si>
  <si>
    <t>Ecoinvent (2018), "White cabbage production, Global"</t>
  </si>
  <si>
    <t>Röös &amp; Karlsson (2013)</t>
  </si>
  <si>
    <t>Davis et al. (2011)</t>
  </si>
  <si>
    <t>Stoessel et al. (2012)</t>
  </si>
  <si>
    <t>Kaltsas et al. (2007)</t>
  </si>
  <si>
    <t>Miljø- og Fødevareministeriet (2012; 2013; 2014; 2015)</t>
  </si>
  <si>
    <t xml:space="preserve">MILJØ- OG FØDEVAREMINISTERIET 2013. Bekendtgørelse om jordbrugets anvendelse af gødning i planperioden 2013/2014 og om plantedække. BEKENDTGØRELSE nr 1092 af 06/09/2013. </t>
  </si>
  <si>
    <t xml:space="preserve">MILJØ- OG FØDEVAREMINISTERIET 2012. Bekendtgørelse om jordbrugets anvendelse af gødning i planperioden 2012/2013 og om plantedække. BEKENDTGØRELSE nr 804 af 18/07/2012. </t>
  </si>
  <si>
    <t>MILJØ- OG FØDEVAREMINISTERIET 2015. Bekendtgørelse om jordbrugets anvendelse af gødning i planperioden 2015/2016 og om plantedække. BEKENDTGØRELSE nr 929 af 29/07/2015.</t>
  </si>
  <si>
    <t>MILJØ- OG FØDEVAREMINISTERIET 2014. Bekendtgørelse om jordbrugets anvendelse af gødning i planperioden 2014/2015 og om plantedække. BEKENDTGØRELSE nr 903 af 29/07/2014.</t>
  </si>
  <si>
    <r>
      <t xml:space="preserve">DAVIS, J. WALLMAN, M., SUND, V., EMANUELSSON, A., CEDERBERG, C. &amp; SONESSON, U. 2011. </t>
    </r>
    <r>
      <rPr>
        <i/>
        <sz val="12"/>
        <color theme="1"/>
        <rFont val="Times New Roman"/>
        <family val="1"/>
      </rPr>
      <t>Emissions of greenhouse gases from production of horticultural products: analysis of 17 products cultivated in Sweden</t>
    </r>
    <r>
      <rPr>
        <sz val="12"/>
        <color theme="1"/>
        <rFont val="Times New Roman"/>
        <family val="1"/>
      </rPr>
      <t>, SIK Institutet för livsmedel och bioteknik.</t>
    </r>
  </si>
  <si>
    <r>
      <t xml:space="preserve">KALTSAS, A. M., MAMOLOS, A. P., TSATSARELIS, C. A., NANOS, G. D. &amp; KALBURTJI, K. L. 2007. Energy budget in organic and conventional olive groves. </t>
    </r>
    <r>
      <rPr>
        <i/>
        <sz val="12"/>
        <color theme="1"/>
        <rFont val="Times New Roman"/>
        <family val="1"/>
      </rPr>
      <t>Agriculture, ecosystems &amp; environment,</t>
    </r>
    <r>
      <rPr>
        <sz val="12"/>
        <color theme="1"/>
        <rFont val="Times New Roman"/>
        <family val="1"/>
      </rPr>
      <t xml:space="preserve"> 122</t>
    </r>
    <r>
      <rPr>
        <b/>
        <sz val="12"/>
        <color theme="1"/>
        <rFont val="Times New Roman"/>
        <family val="1"/>
      </rPr>
      <t>,</t>
    </r>
    <r>
      <rPr>
        <sz val="12"/>
        <color theme="1"/>
        <rFont val="Times New Roman"/>
        <family val="1"/>
      </rPr>
      <t xml:space="preserve"> 243-251.</t>
    </r>
  </si>
  <si>
    <r>
      <t xml:space="preserve">RÖÖS, E. &amp; KARLSSON, H. 2013. Effect of eating seasonal on the carbon footprint of Swedish vegetable consumption. </t>
    </r>
    <r>
      <rPr>
        <i/>
        <sz val="12"/>
        <color theme="1"/>
        <rFont val="Times New Roman"/>
        <family val="1"/>
      </rPr>
      <t>Journal of Cleaner Production,</t>
    </r>
    <r>
      <rPr>
        <sz val="12"/>
        <color theme="1"/>
        <rFont val="Times New Roman"/>
        <family val="1"/>
      </rPr>
      <t xml:space="preserve"> 59</t>
    </r>
    <r>
      <rPr>
        <b/>
        <sz val="12"/>
        <color theme="1"/>
        <rFont val="Times New Roman"/>
        <family val="1"/>
      </rPr>
      <t>,</t>
    </r>
    <r>
      <rPr>
        <sz val="12"/>
        <color theme="1"/>
        <rFont val="Times New Roman"/>
        <family val="1"/>
      </rPr>
      <t xml:space="preserve"> 63-72.</t>
    </r>
  </si>
  <si>
    <r>
      <t xml:space="preserve">STOESSEL, F., JURASKE, R., PFISTER, S. &amp; HELLWEG, S. 2012. Life cycle inventory and carbon and water FoodPrint of fruits and vegetables: Application to a Swiss retailer. </t>
    </r>
    <r>
      <rPr>
        <i/>
        <sz val="12"/>
        <color theme="1"/>
        <rFont val="Times New Roman"/>
        <family val="1"/>
      </rPr>
      <t>Environmental science &amp; technology,</t>
    </r>
    <r>
      <rPr>
        <sz val="12"/>
        <color theme="1"/>
        <rFont val="Times New Roman"/>
        <family val="1"/>
      </rPr>
      <t xml:space="preserve"> 46</t>
    </r>
    <r>
      <rPr>
        <b/>
        <sz val="12"/>
        <color theme="1"/>
        <rFont val="Times New Roman"/>
        <family val="1"/>
      </rPr>
      <t>,</t>
    </r>
    <r>
      <rPr>
        <sz val="12"/>
        <color theme="1"/>
        <rFont val="Times New Roman"/>
        <family val="1"/>
      </rPr>
      <t xml:space="preserve"> 3253-3262.</t>
    </r>
  </si>
  <si>
    <t xml:space="preserve">              BJÖRKHOLM, A-M. 2019. Rådgivning grönsaker, bär och frukt, växtodling/Advisor vegetables, berries and fruits, plant production. Hushållningssällskapet.</t>
  </si>
  <si>
    <t>Marmolin &amp; Björkholm (n.d.), Björkholm, A-M., pers. comm. (2019)</t>
  </si>
  <si>
    <t>SBA (n.d.); Björkholm, A-M., pers. comm. (2019)</t>
  </si>
  <si>
    <t>Average of other countries</t>
  </si>
  <si>
    <t>Average of other countries with open-field production</t>
  </si>
  <si>
    <t>Other vegetables, root crops, grains and oil crops</t>
  </si>
  <si>
    <t xml:space="preserve">*The same fraction for retail waste is used for all products and regions. </t>
  </si>
  <si>
    <t>Minerals and salt (100% DM)</t>
  </si>
  <si>
    <t>MCF deep litter sows and boars</t>
  </si>
  <si>
    <t>MCF deep litter</t>
  </si>
  <si>
    <t>Sunflower meal is approximated with rapeseed meal for estimations of soil carbon changes</t>
  </si>
  <si>
    <r>
      <rPr>
        <b/>
        <sz val="10"/>
        <color theme="1"/>
        <rFont val="Calibri"/>
        <family val="2"/>
        <scheme val="minor"/>
      </rPr>
      <t>Salmon</t>
    </r>
    <r>
      <rPr>
        <sz val="10"/>
        <color theme="1"/>
        <rFont val="Calibri"/>
        <family val="2"/>
        <scheme val="minor"/>
      </rPr>
      <t xml:space="preserve">: Hognes et al. (2014). </t>
    </r>
    <r>
      <rPr>
        <b/>
        <sz val="10"/>
        <color theme="1"/>
        <rFont val="Calibri"/>
        <family val="2"/>
        <scheme val="minor"/>
      </rPr>
      <t>Pangasius</t>
    </r>
    <r>
      <rPr>
        <sz val="10"/>
        <color theme="1"/>
        <rFont val="Calibri"/>
        <family val="2"/>
        <scheme val="minor"/>
      </rPr>
      <t>: Henriksson et al. (2014)</t>
    </r>
  </si>
  <si>
    <t>Fractions between emission sources based on the share for grains with calculations with this model.</t>
  </si>
  <si>
    <t>Emission factors feed in aquaculture systems</t>
  </si>
  <si>
    <r>
      <t xml:space="preserve">Guide to the supplementary material to Moberg et al. (2019)
</t>
    </r>
    <r>
      <rPr>
        <sz val="14"/>
        <color theme="1"/>
        <rFont val="Calibri"/>
        <family val="2"/>
        <scheme val="minor"/>
      </rPr>
      <t>Determining the climate impact of food for use in a climate tax – design of a consistent and transparent model</t>
    </r>
    <r>
      <rPr>
        <i/>
        <sz val="14"/>
        <color theme="1"/>
        <rFont val="Calibri"/>
        <family val="2"/>
        <scheme val="minor"/>
      </rPr>
      <t xml:space="preserve">
</t>
    </r>
    <r>
      <rPr>
        <sz val="14"/>
        <color theme="1"/>
        <rFont val="Calibri"/>
        <family val="2"/>
        <scheme val="minor"/>
      </rPr>
      <t>The International Journal of Life Cycle Assessment 
Moberg, E.*, Walker Andersson, M., Säll, S., Hansson, P-A. &amp; Röös, E. 
*Corresponding author: Department of Energy and Technology, Swedish University of Agricultural Sciences, Uppsala, SE-750 07, Sweden, emma.moberg@slu.se, +46 18 67 35 48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</si>
</sst>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00"/>
    <numFmt numFmtId="165" formatCode="0.0"/>
    <numFmt numFmtId="166" formatCode="0.00000000"/>
    <numFmt numFmtId="167" formatCode="0.00000"/>
    <numFmt numFmtId="168" formatCode="0.0000000"/>
    <numFmt numFmtId="169" formatCode="0.000000"/>
    <numFmt numFmtId="170" formatCode="0.0000"/>
    <numFmt numFmtId="171" formatCode="#,##0.0"/>
  </numFmts>
  <fonts count="49" x14ac:knownFonts="1">
    <font>
      <sz val="11"/>
      <color theme="1"/>
      <name val="Calibri"/>
      <family val="2"/>
      <scheme val="minor"/>
    </font>
    <font>
      <b/>
      <sz val="11"/>
      <color theme="1"/>
      <name val="Calibri"/>
      <family val="2"/>
      <scheme val="minor"/>
    </font>
    <font>
      <sz val="11"/>
      <name val="Calibri"/>
      <family val="2"/>
      <scheme val="minor"/>
    </font>
    <font>
      <sz val="12"/>
      <color theme="1"/>
      <name val="Times New Roman"/>
      <family val="1"/>
    </font>
    <font>
      <sz val="11"/>
      <color theme="1"/>
      <name val="Calibri"/>
      <family val="2"/>
      <scheme val="minor"/>
    </font>
    <font>
      <sz val="10"/>
      <color theme="1"/>
      <name val="Calibri"/>
      <family val="2"/>
      <scheme val="minor"/>
    </font>
    <font>
      <b/>
      <sz val="10"/>
      <color rgb="FF000000"/>
      <name val="Calibri"/>
      <family val="2"/>
      <scheme val="minor"/>
    </font>
    <font>
      <b/>
      <sz val="10"/>
      <color theme="1"/>
      <name val="Calibri"/>
      <family val="2"/>
      <scheme val="minor"/>
    </font>
    <font>
      <sz val="10"/>
      <color rgb="FF000000"/>
      <name val="Calibri"/>
      <family val="2"/>
      <scheme val="minor"/>
    </font>
    <font>
      <vertAlign val="superscript"/>
      <sz val="10"/>
      <color theme="1"/>
      <name val="Calibri"/>
      <family val="2"/>
      <scheme val="minor"/>
    </font>
    <font>
      <sz val="10"/>
      <color rgb="FF222222"/>
      <name val="Calibri"/>
      <family val="2"/>
      <scheme val="minor"/>
    </font>
    <font>
      <i/>
      <sz val="10"/>
      <color theme="1"/>
      <name val="Calibri"/>
      <family val="2"/>
      <scheme val="minor"/>
    </font>
    <font>
      <b/>
      <vertAlign val="superscript"/>
      <sz val="10"/>
      <color theme="1"/>
      <name val="Calibri"/>
      <family val="2"/>
      <scheme val="minor"/>
    </font>
    <font>
      <sz val="10"/>
      <name val="Calibri"/>
      <family val="2"/>
      <scheme val="minor"/>
    </font>
    <font>
      <sz val="10"/>
      <name val="Arial"/>
      <family val="2"/>
    </font>
    <font>
      <u/>
      <sz val="11"/>
      <color theme="10"/>
      <name val="Calibri"/>
      <family val="2"/>
      <scheme val="minor"/>
    </font>
    <font>
      <sz val="10"/>
      <name val="Calibri"/>
      <family val="2"/>
    </font>
    <font>
      <sz val="11"/>
      <color rgb="FF000000"/>
      <name val="Calibri"/>
      <family val="2"/>
      <scheme val="minor"/>
    </font>
    <font>
      <b/>
      <sz val="10"/>
      <name val="Calibri"/>
      <family val="2"/>
    </font>
    <font>
      <b/>
      <i/>
      <sz val="10"/>
      <color theme="1"/>
      <name val="Calibri"/>
      <family val="2"/>
      <scheme val="minor"/>
    </font>
    <font>
      <b/>
      <sz val="10"/>
      <name val="Calibri"/>
      <family val="2"/>
      <scheme val="minor"/>
    </font>
    <font>
      <b/>
      <sz val="11"/>
      <name val="Calibri"/>
      <family val="2"/>
      <scheme val="minor"/>
    </font>
    <font>
      <sz val="24"/>
      <color theme="1"/>
      <name val="Calibri"/>
      <family val="2"/>
      <scheme val="minor"/>
    </font>
    <font>
      <b/>
      <sz val="14"/>
      <color theme="1"/>
      <name val="Calibri"/>
      <family val="2"/>
      <scheme val="minor"/>
    </font>
    <font>
      <b/>
      <sz val="13"/>
      <color theme="1"/>
      <name val="Calibri"/>
      <family val="2"/>
      <scheme val="minor"/>
    </font>
    <font>
      <sz val="13"/>
      <color theme="1"/>
      <name val="Calibri"/>
      <family val="2"/>
      <scheme val="minor"/>
    </font>
    <font>
      <b/>
      <sz val="13"/>
      <name val="Calibri"/>
      <family val="2"/>
      <scheme val="minor"/>
    </font>
    <font>
      <b/>
      <sz val="24"/>
      <color theme="1"/>
      <name val="Calibri"/>
      <family val="2"/>
      <scheme val="minor"/>
    </font>
    <font>
      <b/>
      <sz val="18"/>
      <color theme="1"/>
      <name val="Calibri"/>
      <family val="2"/>
      <scheme val="minor"/>
    </font>
    <font>
      <u/>
      <sz val="11"/>
      <color theme="4" tint="-0.249977111117893"/>
      <name val="Calibri"/>
      <family val="2"/>
      <scheme val="minor"/>
    </font>
    <font>
      <sz val="11"/>
      <name val="Calibri"/>
      <family val="2"/>
    </font>
    <font>
      <sz val="10"/>
      <color rgb="FF333333"/>
      <name val="Calibri"/>
      <family val="2"/>
      <scheme val="minor"/>
    </font>
    <font>
      <sz val="12"/>
      <color rgb="FF000000"/>
      <name val="Times New Roman"/>
      <family val="1"/>
    </font>
    <font>
      <sz val="14"/>
      <color theme="1"/>
      <name val="Calibri"/>
      <family val="2"/>
      <scheme val="minor"/>
    </font>
    <font>
      <b/>
      <sz val="16"/>
      <color theme="1"/>
      <name val="Calibri"/>
      <family val="2"/>
      <scheme val="minor"/>
    </font>
    <font>
      <u/>
      <sz val="10"/>
      <color theme="10"/>
      <name val="Calibri"/>
      <family val="2"/>
      <scheme val="minor"/>
    </font>
    <font>
      <i/>
      <sz val="10"/>
      <name val="Calibri"/>
      <family val="2"/>
      <scheme val="minor"/>
    </font>
    <font>
      <b/>
      <sz val="10"/>
      <color theme="4"/>
      <name val="Calibri"/>
      <family val="2"/>
      <scheme val="minor"/>
    </font>
    <font>
      <b/>
      <sz val="18"/>
      <name val="Calibri"/>
      <family val="2"/>
      <scheme val="minor"/>
    </font>
    <font>
      <b/>
      <sz val="14"/>
      <name val="Calibri"/>
      <family val="2"/>
      <scheme val="minor"/>
    </font>
    <font>
      <sz val="10"/>
      <color theme="1"/>
      <name val="Calibri"/>
      <family val="2"/>
    </font>
    <font>
      <sz val="10"/>
      <color rgb="FF32322F"/>
      <name val="Calibri"/>
      <family val="2"/>
    </font>
    <font>
      <i/>
      <sz val="14"/>
      <color theme="1"/>
      <name val="Calibri"/>
      <family val="2"/>
      <scheme val="minor"/>
    </font>
    <font>
      <sz val="14"/>
      <name val="Calibri"/>
      <family val="2"/>
      <scheme val="minor"/>
    </font>
    <font>
      <sz val="8"/>
      <color rgb="FF000000"/>
      <name val="Trebuchet MS"/>
      <family val="2"/>
    </font>
    <font>
      <sz val="10"/>
      <color rgb="FFFF0000"/>
      <name val="Calibri"/>
      <family val="2"/>
      <scheme val="minor"/>
    </font>
    <font>
      <sz val="8"/>
      <color rgb="FFFF0000"/>
      <name val="Trebuchet MS"/>
      <family val="2"/>
    </font>
    <font>
      <i/>
      <sz val="12"/>
      <color theme="1"/>
      <name val="Times New Roman"/>
      <family val="1"/>
    </font>
    <font>
      <b/>
      <sz val="12"/>
      <color theme="1"/>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rgb="FFD0CECE"/>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4">
    <xf numFmtId="0" fontId="0" fillId="0" borderId="0"/>
    <xf numFmtId="0" fontId="4" fillId="0" borderId="0"/>
    <xf numFmtId="0" fontId="14" fillId="0" borderId="0"/>
    <xf numFmtId="0" fontId="15" fillId="0" borderId="0" applyNumberFormat="0" applyFill="0" applyBorder="0" applyAlignment="0" applyProtection="0"/>
  </cellStyleXfs>
  <cellXfs count="885">
    <xf numFmtId="0" fontId="0" fillId="0" borderId="0" xfId="0"/>
    <xf numFmtId="0" fontId="0" fillId="0" borderId="0" xfId="0" applyFill="1"/>
    <xf numFmtId="0" fontId="2" fillId="0" borderId="0" xfId="0" applyFont="1" applyFill="1" applyBorder="1" applyAlignment="1">
      <alignment horizontal="center"/>
    </xf>
    <xf numFmtId="0" fontId="5" fillId="0" borderId="0" xfId="0" applyFont="1" applyBorder="1" applyAlignment="1">
      <alignment vertical="center" wrapText="1"/>
    </xf>
    <xf numFmtId="0" fontId="5" fillId="0" borderId="0" xfId="0" applyFont="1" applyBorder="1" applyAlignment="1">
      <alignment vertical="center"/>
    </xf>
    <xf numFmtId="0" fontId="8" fillId="0" borderId="0" xfId="0" applyFont="1" applyBorder="1" applyAlignment="1">
      <alignment horizontal="center" vertical="center" wrapText="1"/>
    </xf>
    <xf numFmtId="0" fontId="7" fillId="0" borderId="0" xfId="0" applyFont="1" applyBorder="1" applyAlignment="1">
      <alignment vertical="center"/>
    </xf>
    <xf numFmtId="0" fontId="5" fillId="0" borderId="0" xfId="0" applyFont="1" applyBorder="1" applyAlignment="1">
      <alignment horizontal="center" vertical="center" wrapText="1"/>
    </xf>
    <xf numFmtId="0" fontId="8" fillId="0" borderId="5" xfId="0" applyFont="1" applyBorder="1" applyAlignment="1">
      <alignment horizontal="center" vertical="center" wrapText="1"/>
    </xf>
    <xf numFmtId="0" fontId="5" fillId="0" borderId="0" xfId="0" applyFont="1" applyAlignment="1">
      <alignment vertical="center"/>
    </xf>
    <xf numFmtId="2" fontId="5" fillId="0" borderId="0" xfId="0" applyNumberFormat="1" applyFont="1" applyBorder="1" applyAlignment="1">
      <alignment horizontal="center"/>
    </xf>
    <xf numFmtId="2" fontId="8" fillId="0" borderId="5" xfId="0" applyNumberFormat="1" applyFont="1" applyFill="1" applyBorder="1" applyAlignment="1">
      <alignment horizontal="center" vertical="center" wrapText="1"/>
    </xf>
    <xf numFmtId="2" fontId="5" fillId="0" borderId="5" xfId="0" applyNumberFormat="1" applyFont="1" applyFill="1" applyBorder="1" applyAlignment="1">
      <alignment horizontal="center"/>
    </xf>
    <xf numFmtId="2" fontId="5" fillId="0" borderId="7" xfId="0" applyNumberFormat="1" applyFont="1" applyBorder="1" applyAlignment="1">
      <alignment horizontal="center"/>
    </xf>
    <xf numFmtId="2" fontId="5" fillId="0" borderId="8" xfId="0" applyNumberFormat="1" applyFont="1" applyFill="1" applyBorder="1" applyAlignment="1">
      <alignment horizontal="center"/>
    </xf>
    <xf numFmtId="0" fontId="5" fillId="0" borderId="0"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wrapText="1"/>
    </xf>
    <xf numFmtId="0" fontId="6" fillId="0" borderId="2" xfId="0" applyFont="1" applyBorder="1" applyAlignment="1">
      <alignment horizontal="center" vertical="center" wrapText="1"/>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8" fillId="0" borderId="1" xfId="0" applyFont="1" applyBorder="1" applyAlignment="1">
      <alignment horizontal="center" vertical="center" wrapText="1"/>
    </xf>
    <xf numFmtId="0" fontId="6"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2" fontId="8" fillId="0" borderId="0" xfId="0" applyNumberFormat="1" applyFont="1" applyBorder="1" applyAlignment="1">
      <alignment horizontal="center" vertical="center" wrapText="1"/>
    </xf>
    <xf numFmtId="2" fontId="8" fillId="0" borderId="7" xfId="0" applyNumberFormat="1" applyFont="1" applyBorder="1" applyAlignment="1">
      <alignment horizontal="center" vertical="center" wrapText="1"/>
    </xf>
    <xf numFmtId="2" fontId="8" fillId="0" borderId="8" xfId="0" applyNumberFormat="1" applyFont="1" applyBorder="1" applyAlignment="1">
      <alignment horizontal="center" vertical="center" wrapText="1"/>
    </xf>
    <xf numFmtId="0" fontId="7" fillId="0" borderId="3" xfId="0" applyFont="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3" fontId="5" fillId="0" borderId="0"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xf>
    <xf numFmtId="0" fontId="5" fillId="0" borderId="0" xfId="0" applyFont="1" applyBorder="1"/>
    <xf numFmtId="0" fontId="7" fillId="0" borderId="0" xfId="0" applyFont="1"/>
    <xf numFmtId="0" fontId="5"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9" fillId="0" borderId="0" xfId="0" applyFont="1" applyFill="1" applyBorder="1" applyAlignment="1">
      <alignment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0" xfId="0" applyFont="1" applyFill="1" applyBorder="1" applyAlignment="1">
      <alignment vertical="center"/>
    </xf>
    <xf numFmtId="0" fontId="6" fillId="0" borderId="0" xfId="0" applyFont="1" applyFill="1" applyBorder="1" applyAlignment="1">
      <alignment vertical="center" wrapText="1"/>
    </xf>
    <xf numFmtId="0" fontId="8" fillId="0" borderId="0" xfId="0" applyFont="1" applyFill="1" applyBorder="1" applyAlignment="1">
      <alignment vertical="center" wrapText="1"/>
    </xf>
    <xf numFmtId="0" fontId="8" fillId="0" borderId="1" xfId="0" applyFont="1" applyBorder="1" applyAlignment="1">
      <alignment vertical="center" wrapText="1"/>
    </xf>
    <xf numFmtId="0" fontId="0" fillId="0" borderId="0" xfId="0" applyFill="1" applyBorder="1"/>
    <xf numFmtId="0" fontId="1" fillId="0" borderId="0" xfId="0" applyFont="1" applyFill="1" applyBorder="1" applyAlignment="1">
      <alignment horizontal="center"/>
    </xf>
    <xf numFmtId="0" fontId="5"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9" fillId="0" borderId="0" xfId="0" applyFont="1" applyAlignment="1">
      <alignment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6" xfId="0" applyFont="1" applyFill="1" applyBorder="1" applyAlignment="1">
      <alignment horizontal="center" vertical="center" wrapText="1"/>
    </xf>
    <xf numFmtId="2" fontId="0" fillId="0" borderId="0" xfId="0" applyNumberFormat="1" applyFill="1" applyBorder="1"/>
    <xf numFmtId="0" fontId="7" fillId="0" borderId="0" xfId="0" applyFont="1" applyFill="1" applyAlignment="1">
      <alignment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 fillId="0" borderId="0" xfId="0" applyFont="1" applyAlignment="1">
      <alignment horizontal="center"/>
    </xf>
    <xf numFmtId="164" fontId="5" fillId="0" borderId="0" xfId="0" applyNumberFormat="1" applyFont="1" applyBorder="1" applyAlignment="1">
      <alignment vertical="center" wrapText="1"/>
    </xf>
    <xf numFmtId="0" fontId="2" fillId="0" borderId="0" xfId="0" applyFont="1" applyFill="1" applyBorder="1" applyAlignment="1">
      <alignment horizontal="center" vertical="center"/>
    </xf>
    <xf numFmtId="0" fontId="0" fillId="0" borderId="0" xfId="0" applyFill="1" applyBorder="1" applyAlignment="1">
      <alignment horizontal="center" vertical="center"/>
    </xf>
    <xf numFmtId="2" fontId="0" fillId="0" borderId="0" xfId="0" applyNumberFormat="1" applyFill="1" applyBorder="1" applyAlignment="1">
      <alignment horizontal="center" vertical="center"/>
    </xf>
    <xf numFmtId="2" fontId="5" fillId="0" borderId="0" xfId="0" applyNumberFormat="1" applyFont="1" applyFill="1" applyBorder="1" applyAlignment="1">
      <alignment horizontal="center" vertical="center"/>
    </xf>
    <xf numFmtId="2" fontId="5" fillId="0" borderId="7" xfId="0" applyNumberFormat="1" applyFont="1" applyFill="1" applyBorder="1" applyAlignment="1">
      <alignment horizontal="center" vertical="center"/>
    </xf>
    <xf numFmtId="2" fontId="0" fillId="0" borderId="0" xfId="0" applyNumberFormat="1" applyFill="1" applyBorder="1" applyAlignment="1">
      <alignment horizontal="center"/>
    </xf>
    <xf numFmtId="1" fontId="0" fillId="0" borderId="0" xfId="0" applyNumberFormat="1" applyFill="1" applyBorder="1" applyAlignment="1">
      <alignment horizontal="center" vertical="center"/>
    </xf>
    <xf numFmtId="2" fontId="0" fillId="0" borderId="0" xfId="0" applyNumberFormat="1" applyFont="1" applyFill="1" applyBorder="1" applyAlignment="1">
      <alignment horizontal="center" vertical="center"/>
    </xf>
    <xf numFmtId="0" fontId="5" fillId="0" borderId="0" xfId="0" applyFont="1" applyBorder="1" applyAlignment="1">
      <alignment vertical="top" wrapText="1"/>
    </xf>
    <xf numFmtId="0" fontId="5" fillId="0" borderId="1" xfId="0" applyFont="1" applyBorder="1" applyAlignment="1">
      <alignment vertical="top" wrapText="1"/>
    </xf>
    <xf numFmtId="0" fontId="0" fillId="0" borderId="0" xfId="0" applyFont="1" applyFill="1" applyBorder="1"/>
    <xf numFmtId="2" fontId="8" fillId="0" borderId="0"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0" xfId="0" applyFont="1" applyBorder="1" applyAlignment="1">
      <alignment horizontal="center"/>
    </xf>
    <xf numFmtId="2" fontId="8" fillId="0" borderId="0" xfId="0" applyNumberFormat="1" applyFont="1" applyFill="1" applyBorder="1" applyAlignment="1">
      <alignment vertical="center" wrapText="1"/>
    </xf>
    <xf numFmtId="0" fontId="7" fillId="0" borderId="2" xfId="0" applyFont="1" applyBorder="1" applyAlignment="1">
      <alignment horizontal="center"/>
    </xf>
    <xf numFmtId="0" fontId="0" fillId="0" borderId="7" xfId="0" applyFill="1" applyBorder="1"/>
    <xf numFmtId="0" fontId="0" fillId="0" borderId="7" xfId="0" applyFill="1" applyBorder="1" applyAlignment="1">
      <alignment horizontal="center" vertical="center"/>
    </xf>
    <xf numFmtId="2" fontId="0" fillId="0" borderId="7" xfId="0" applyNumberFormat="1" applyFill="1" applyBorder="1" applyAlignment="1">
      <alignment horizontal="center" vertical="center"/>
    </xf>
    <xf numFmtId="0" fontId="0" fillId="2" borderId="0" xfId="0" applyFill="1" applyBorder="1"/>
    <xf numFmtId="0" fontId="1" fillId="0" borderId="4" xfId="0" applyFont="1" applyFill="1" applyBorder="1" applyAlignment="1">
      <alignment horizontal="center"/>
    </xf>
    <xf numFmtId="2" fontId="0" fillId="2" borderId="0" xfId="0" applyNumberFormat="1" applyFill="1" applyBorder="1" applyAlignment="1">
      <alignment horizontal="center" vertical="center"/>
    </xf>
    <xf numFmtId="2" fontId="0" fillId="0" borderId="7" xfId="0" applyNumberFormat="1" applyFill="1" applyBorder="1" applyAlignment="1">
      <alignment horizontal="center"/>
    </xf>
    <xf numFmtId="2" fontId="0" fillId="2" borderId="0" xfId="0" applyNumberFormat="1" applyFont="1" applyFill="1" applyBorder="1" applyAlignment="1">
      <alignment horizontal="center" vertical="center"/>
    </xf>
    <xf numFmtId="0" fontId="0" fillId="0" borderId="4" xfId="0" applyFill="1" applyBorder="1"/>
    <xf numFmtId="2" fontId="0" fillId="0" borderId="7" xfId="0" applyNumberFormat="1" applyFont="1" applyFill="1" applyBorder="1" applyAlignment="1">
      <alignment horizontal="center" vertical="center"/>
    </xf>
    <xf numFmtId="2" fontId="0" fillId="0" borderId="5"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0" fontId="0" fillId="2" borderId="0" xfId="0" applyFill="1" applyBorder="1" applyAlignment="1">
      <alignment horizontal="center" vertical="center"/>
    </xf>
    <xf numFmtId="2" fontId="2" fillId="2" borderId="0" xfId="0" applyNumberFormat="1" applyFont="1" applyFill="1" applyBorder="1" applyAlignment="1">
      <alignment horizontal="center"/>
    </xf>
    <xf numFmtId="2" fontId="2" fillId="0" borderId="0" xfId="0" applyNumberFormat="1" applyFont="1" applyFill="1" applyBorder="1" applyAlignment="1">
      <alignment horizontal="center"/>
    </xf>
    <xf numFmtId="0" fontId="7"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xf>
    <xf numFmtId="0" fontId="5" fillId="0" borderId="0" xfId="0" applyFont="1"/>
    <xf numFmtId="0" fontId="5" fillId="0" borderId="0" xfId="0" applyFont="1" applyAlignment="1">
      <alignment horizontal="left"/>
    </xf>
    <xf numFmtId="0" fontId="6" fillId="0" borderId="0" xfId="0" applyFont="1" applyFill="1" applyBorder="1" applyAlignment="1">
      <alignment horizontal="center" vertical="center" wrapText="1"/>
    </xf>
    <xf numFmtId="0" fontId="7" fillId="0" borderId="0" xfId="0" applyFont="1" applyFill="1" applyBorder="1" applyAlignment="1">
      <alignment horizontal="left" vertical="center"/>
    </xf>
    <xf numFmtId="0" fontId="5" fillId="0" borderId="2" xfId="0" applyFont="1" applyFill="1" applyBorder="1" applyAlignment="1">
      <alignment horizontal="center" vertical="center"/>
    </xf>
    <xf numFmtId="0" fontId="0" fillId="2" borderId="4" xfId="0" applyFont="1" applyFill="1" applyBorder="1" applyAlignment="1">
      <alignment horizontal="center"/>
    </xf>
    <xf numFmtId="0" fontId="7" fillId="0" borderId="0" xfId="0" applyFont="1" applyAlignment="1">
      <alignment vertical="center"/>
    </xf>
    <xf numFmtId="0" fontId="11" fillId="0" borderId="1" xfId="0" applyFont="1" applyBorder="1" applyAlignment="1">
      <alignment horizontal="center" vertical="center" wrapText="1"/>
    </xf>
    <xf numFmtId="165" fontId="5" fillId="0" borderId="7" xfId="0" applyNumberFormat="1" applyFont="1" applyBorder="1" applyAlignment="1">
      <alignment horizontal="center" vertical="center"/>
    </xf>
    <xf numFmtId="165" fontId="5" fillId="0" borderId="8" xfId="0" applyNumberFormat="1" applyFont="1" applyBorder="1" applyAlignment="1">
      <alignment horizontal="center" vertical="center"/>
    </xf>
    <xf numFmtId="2" fontId="5" fillId="0" borderId="0" xfId="0" applyNumberFormat="1" applyFont="1" applyFill="1" applyBorder="1" applyAlignment="1">
      <alignment horizontal="center" vertical="center" wrapText="1"/>
    </xf>
    <xf numFmtId="0" fontId="5" fillId="0" borderId="2" xfId="0" applyFont="1" applyFill="1" applyBorder="1" applyAlignment="1">
      <alignment horizontal="left" vertical="center"/>
    </xf>
    <xf numFmtId="2" fontId="5" fillId="0" borderId="7" xfId="0" applyNumberFormat="1" applyFont="1" applyFill="1" applyBorder="1" applyAlignment="1">
      <alignment horizontal="center" vertical="center" wrapText="1"/>
    </xf>
    <xf numFmtId="0" fontId="5" fillId="0" borderId="3" xfId="0" applyFont="1" applyFill="1" applyBorder="1" applyAlignment="1">
      <alignment horizontal="left" vertical="center"/>
    </xf>
    <xf numFmtId="0" fontId="5" fillId="0" borderId="8" xfId="0" applyFont="1" applyFill="1" applyBorder="1" applyAlignment="1">
      <alignment horizontal="left" vertical="center"/>
    </xf>
    <xf numFmtId="0" fontId="0" fillId="2" borderId="0" xfId="0" applyFont="1" applyFill="1" applyBorder="1" applyAlignment="1">
      <alignment horizontal="center"/>
    </xf>
    <xf numFmtId="165" fontId="13" fillId="0" borderId="5" xfId="0" applyNumberFormat="1" applyFont="1" applyFill="1" applyBorder="1" applyAlignment="1">
      <alignment horizontal="center"/>
    </xf>
    <xf numFmtId="165" fontId="13" fillId="0" borderId="8" xfId="0" applyNumberFormat="1" applyFont="1" applyFill="1" applyBorder="1" applyAlignment="1">
      <alignment horizontal="center"/>
    </xf>
    <xf numFmtId="0" fontId="0" fillId="2" borderId="1" xfId="0" applyFont="1" applyFill="1" applyBorder="1" applyAlignment="1">
      <alignment horizontal="center"/>
    </xf>
    <xf numFmtId="2" fontId="2" fillId="2" borderId="2" xfId="0" applyNumberFormat="1" applyFont="1" applyFill="1" applyBorder="1" applyAlignment="1">
      <alignment horizontal="center"/>
    </xf>
    <xf numFmtId="2" fontId="0" fillId="2" borderId="2" xfId="0" applyNumberFormat="1" applyFill="1" applyBorder="1" applyAlignment="1">
      <alignment horizontal="center" vertical="center"/>
    </xf>
    <xf numFmtId="2" fontId="0" fillId="2" borderId="2" xfId="0" applyNumberFormat="1" applyFont="1" applyFill="1" applyBorder="1" applyAlignment="1">
      <alignment horizontal="center" vertical="center"/>
    </xf>
    <xf numFmtId="0" fontId="0" fillId="2" borderId="1" xfId="0" applyFont="1" applyFill="1" applyBorder="1" applyAlignment="1">
      <alignment horizontal="center" vertical="center"/>
    </xf>
    <xf numFmtId="2" fontId="2" fillId="2" borderId="2" xfId="0" applyNumberFormat="1" applyFont="1" applyFill="1" applyBorder="1" applyAlignment="1">
      <alignment horizontal="center" vertical="center"/>
    </xf>
    <xf numFmtId="0" fontId="1" fillId="0" borderId="4" xfId="0" applyFont="1" applyFill="1" applyBorder="1" applyAlignment="1">
      <alignment horizontal="center" vertical="center"/>
    </xf>
    <xf numFmtId="2" fontId="2" fillId="0" borderId="0" xfId="0" applyNumberFormat="1" applyFont="1" applyFill="1" applyBorder="1" applyAlignment="1">
      <alignment horizontal="center" vertical="center"/>
    </xf>
    <xf numFmtId="0" fontId="0" fillId="2" borderId="4" xfId="0" applyFont="1" applyFill="1" applyBorder="1" applyAlignment="1">
      <alignment horizontal="center" vertical="center"/>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0" fillId="2" borderId="2" xfId="0" applyFont="1" applyFill="1" applyBorder="1" applyAlignment="1">
      <alignment horizontal="center" vertical="center"/>
    </xf>
    <xf numFmtId="165" fontId="5" fillId="0" borderId="0" xfId="0" applyNumberFormat="1" applyFont="1" applyFill="1" applyBorder="1" applyAlignment="1">
      <alignment horizontal="center" vertical="center" wrapText="1"/>
    </xf>
    <xf numFmtId="2" fontId="5" fillId="0" borderId="5" xfId="0" applyNumberFormat="1" applyFont="1" applyBorder="1" applyAlignment="1">
      <alignment horizontal="center" vertical="center"/>
    </xf>
    <xf numFmtId="2" fontId="0" fillId="0" borderId="0" xfId="0" quotePrefix="1" applyNumberFormat="1" applyFill="1" applyBorder="1" applyAlignment="1">
      <alignment horizontal="center" vertical="center"/>
    </xf>
    <xf numFmtId="0" fontId="0" fillId="2" borderId="0" xfId="0" applyFont="1" applyFill="1" applyBorder="1" applyAlignment="1">
      <alignment horizontal="center" vertical="center"/>
    </xf>
    <xf numFmtId="2" fontId="0" fillId="0" borderId="5" xfId="0" applyNumberFormat="1" applyFill="1" applyBorder="1" applyAlignment="1">
      <alignment horizontal="center"/>
    </xf>
    <xf numFmtId="2" fontId="0" fillId="2" borderId="0" xfId="0" applyNumberFormat="1" applyFont="1" applyFill="1" applyBorder="1" applyAlignment="1">
      <alignment horizontal="center"/>
    </xf>
    <xf numFmtId="2" fontId="0" fillId="2" borderId="0" xfId="0" applyNumberFormat="1" applyFill="1" applyBorder="1" applyAlignment="1">
      <alignment horizontal="center"/>
    </xf>
    <xf numFmtId="2" fontId="16" fillId="0" borderId="0" xfId="2" applyNumberFormat="1" applyFont="1" applyFill="1" applyBorder="1" applyAlignment="1">
      <alignment horizontal="center" vertical="center"/>
    </xf>
    <xf numFmtId="0" fontId="0" fillId="0" borderId="4" xfId="0" applyFill="1" applyBorder="1" applyAlignment="1">
      <alignment horizontal="center"/>
    </xf>
    <xf numFmtId="0" fontId="8" fillId="0" borderId="0" xfId="0" applyFont="1" applyFill="1" applyBorder="1" applyAlignment="1">
      <alignment horizontal="center" vertical="center"/>
    </xf>
    <xf numFmtId="0" fontId="0" fillId="0" borderId="0" xfId="0" applyFill="1" applyBorder="1" applyAlignment="1">
      <alignment horizontal="center"/>
    </xf>
    <xf numFmtId="0" fontId="5" fillId="0" borderId="0" xfId="0" applyFont="1" applyFill="1" applyBorder="1" applyAlignment="1">
      <alignment horizontal="left"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7" fillId="0" borderId="4" xfId="0" applyFont="1" applyFill="1" applyBorder="1" applyAlignment="1">
      <alignment horizontal="center" vertical="center"/>
    </xf>
    <xf numFmtId="2" fontId="5" fillId="0" borderId="8" xfId="0" applyNumberFormat="1" applyFont="1" applyFill="1" applyBorder="1" applyAlignment="1">
      <alignment horizontal="center" vertical="center"/>
    </xf>
    <xf numFmtId="2" fontId="5" fillId="0" borderId="5" xfId="0" applyNumberFormat="1" applyFont="1" applyFill="1" applyBorder="1" applyAlignment="1">
      <alignment horizontal="center" vertical="center"/>
    </xf>
    <xf numFmtId="165" fontId="5" fillId="0" borderId="0" xfId="0" applyNumberFormat="1" applyFont="1" applyFill="1" applyBorder="1" applyAlignment="1">
      <alignment horizontal="center" vertical="center"/>
    </xf>
    <xf numFmtId="0" fontId="7" fillId="0" borderId="4" xfId="0" applyFont="1" applyBorder="1" applyAlignment="1">
      <alignment horizontal="center" vertical="center" wrapText="1"/>
    </xf>
    <xf numFmtId="0" fontId="8" fillId="0" borderId="8" xfId="0" applyFont="1" applyFill="1" applyBorder="1" applyAlignment="1">
      <alignment horizontal="center" vertical="center" wrapText="1"/>
    </xf>
    <xf numFmtId="0" fontId="5" fillId="0" borderId="7" xfId="0" applyFont="1" applyFill="1" applyBorder="1" applyAlignment="1">
      <alignment horizontal="center"/>
    </xf>
    <xf numFmtId="1" fontId="8" fillId="0" borderId="5" xfId="0" applyNumberFormat="1" applyFont="1" applyFill="1" applyBorder="1" applyAlignment="1">
      <alignment horizontal="center" vertical="center" wrapText="1"/>
    </xf>
    <xf numFmtId="0" fontId="5" fillId="0" borderId="0" xfId="0" applyFont="1" applyFill="1" applyBorder="1" applyAlignment="1">
      <alignment horizontal="center"/>
    </xf>
    <xf numFmtId="0" fontId="13" fillId="0" borderId="0" xfId="0" applyFont="1" applyFill="1" applyBorder="1" applyAlignment="1">
      <alignment horizontal="center" vertical="center"/>
    </xf>
    <xf numFmtId="0" fontId="6" fillId="0" borderId="2" xfId="0" applyFont="1" applyFill="1" applyBorder="1" applyAlignment="1">
      <alignment horizontal="center" vertical="center"/>
    </xf>
    <xf numFmtId="0" fontId="16" fillId="0" borderId="6" xfId="2" applyFont="1" applyFill="1" applyBorder="1" applyAlignment="1">
      <alignment horizontal="center" vertical="center"/>
    </xf>
    <xf numFmtId="1" fontId="16" fillId="0" borderId="0" xfId="2" applyNumberFormat="1" applyFont="1" applyFill="1" applyBorder="1" applyAlignment="1">
      <alignment horizontal="center" vertical="center"/>
    </xf>
    <xf numFmtId="0" fontId="16" fillId="0" borderId="4" xfId="2" applyFont="1" applyFill="1" applyBorder="1" applyAlignment="1">
      <alignment horizontal="center" vertical="center"/>
    </xf>
    <xf numFmtId="0" fontId="18" fillId="0" borderId="4" xfId="2" applyFont="1" applyFill="1" applyBorder="1" applyAlignment="1">
      <alignment horizontal="center" vertical="center"/>
    </xf>
    <xf numFmtId="0" fontId="7" fillId="0" borderId="5" xfId="0" applyFont="1" applyFill="1" applyBorder="1" applyAlignment="1">
      <alignment horizontal="center" vertical="center"/>
    </xf>
    <xf numFmtId="0" fontId="16" fillId="0" borderId="0" xfId="2" applyFont="1" applyFill="1" applyBorder="1"/>
    <xf numFmtId="1" fontId="11" fillId="0" borderId="5" xfId="0" applyNumberFormat="1" applyFont="1" applyFill="1" applyBorder="1" applyAlignment="1">
      <alignment horizontal="center" vertical="center"/>
    </xf>
    <xf numFmtId="1" fontId="11" fillId="0" borderId="0" xfId="0" applyNumberFormat="1" applyFont="1" applyFill="1" applyBorder="1" applyAlignment="1">
      <alignment horizontal="center" vertical="center"/>
    </xf>
    <xf numFmtId="0" fontId="11" fillId="0" borderId="4" xfId="0" applyFont="1" applyFill="1" applyBorder="1" applyAlignment="1">
      <alignment horizontal="center" vertical="center"/>
    </xf>
    <xf numFmtId="0" fontId="19" fillId="0" borderId="4" xfId="0" applyFont="1" applyFill="1" applyBorder="1" applyAlignment="1">
      <alignment horizontal="center" vertical="center"/>
    </xf>
    <xf numFmtId="1" fontId="16" fillId="0" borderId="0" xfId="2" applyNumberFormat="1" applyFont="1" applyFill="1" applyBorder="1" applyAlignment="1">
      <alignment horizontal="center"/>
    </xf>
    <xf numFmtId="2" fontId="5" fillId="0" borderId="0" xfId="0" applyNumberFormat="1" applyFont="1" applyFill="1" applyBorder="1" applyAlignment="1">
      <alignment horizontal="center"/>
    </xf>
    <xf numFmtId="1" fontId="5" fillId="0" borderId="5" xfId="0" applyNumberFormat="1" applyFont="1" applyFill="1" applyBorder="1" applyAlignment="1">
      <alignment horizontal="center" vertical="center"/>
    </xf>
    <xf numFmtId="165" fontId="5" fillId="0" borderId="5"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18" fillId="0" borderId="0" xfId="2" applyFont="1" applyFill="1" applyBorder="1" applyAlignment="1">
      <alignment horizontal="center"/>
    </xf>
    <xf numFmtId="0" fontId="13" fillId="0" borderId="5" xfId="2" applyFont="1" applyFill="1" applyBorder="1" applyAlignment="1">
      <alignment horizontal="center" vertical="center"/>
    </xf>
    <xf numFmtId="165" fontId="13" fillId="0" borderId="0" xfId="2" applyNumberFormat="1" applyFont="1" applyFill="1" applyBorder="1" applyAlignment="1">
      <alignment horizontal="center" vertical="center"/>
    </xf>
    <xf numFmtId="2" fontId="13" fillId="0" borderId="0" xfId="2" applyNumberFormat="1" applyFont="1" applyFill="1" applyBorder="1" applyAlignment="1">
      <alignment horizontal="center" vertical="center"/>
    </xf>
    <xf numFmtId="1" fontId="13" fillId="0" borderId="5" xfId="2" applyNumberFormat="1" applyFont="1" applyFill="1" applyBorder="1" applyAlignment="1">
      <alignment horizontal="center" vertical="center"/>
    </xf>
    <xf numFmtId="1" fontId="13" fillId="0" borderId="0" xfId="2" applyNumberFormat="1" applyFont="1" applyFill="1" applyBorder="1" applyAlignment="1">
      <alignment horizontal="center" vertical="center"/>
    </xf>
    <xf numFmtId="2" fontId="16" fillId="0" borderId="0" xfId="2" applyNumberFormat="1" applyFont="1" applyFill="1" applyBorder="1"/>
    <xf numFmtId="165" fontId="8" fillId="0" borderId="5" xfId="0" applyNumberFormat="1" applyFont="1" applyFill="1" applyBorder="1" applyAlignment="1">
      <alignment horizontal="center" vertical="center"/>
    </xf>
    <xf numFmtId="165" fontId="8" fillId="0" borderId="0" xfId="0" applyNumberFormat="1" applyFont="1" applyFill="1" applyBorder="1" applyAlignment="1">
      <alignment horizontal="center" vertical="center"/>
    </xf>
    <xf numFmtId="3" fontId="8" fillId="0" borderId="0" xfId="0" applyNumberFormat="1" applyFont="1" applyFill="1" applyBorder="1" applyAlignment="1">
      <alignment horizontal="center" vertical="center"/>
    </xf>
    <xf numFmtId="1" fontId="13" fillId="0" borderId="5"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5" xfId="0" applyNumberFormat="1" applyFont="1" applyFill="1" applyBorder="1" applyAlignment="1">
      <alignment horizontal="center" vertical="center"/>
    </xf>
    <xf numFmtId="0" fontId="8"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168" fontId="5" fillId="0" borderId="0" xfId="0" applyNumberFormat="1" applyFont="1" applyFill="1" applyBorder="1" applyAlignment="1">
      <alignment horizontal="center" vertical="center"/>
    </xf>
    <xf numFmtId="2" fontId="11" fillId="0" borderId="0" xfId="0" applyNumberFormat="1" applyFont="1" applyFill="1" applyBorder="1" applyAlignment="1">
      <alignment horizontal="center" vertical="center"/>
    </xf>
    <xf numFmtId="166" fontId="5" fillId="0" borderId="0" xfId="0" applyNumberFormat="1" applyFont="1" applyFill="1" applyBorder="1" applyAlignment="1">
      <alignment horizontal="center" vertical="center"/>
    </xf>
    <xf numFmtId="0" fontId="16" fillId="0" borderId="0" xfId="2" applyFont="1" applyFill="1" applyBorder="1" applyAlignment="1">
      <alignment horizontal="center" vertical="center"/>
    </xf>
    <xf numFmtId="2" fontId="0" fillId="0" borderId="5" xfId="0" applyNumberFormat="1" applyFill="1" applyBorder="1" applyAlignment="1">
      <alignment horizontal="center" vertical="center"/>
    </xf>
    <xf numFmtId="2" fontId="0" fillId="0" borderId="8" xfId="0" applyNumberFormat="1" applyFill="1" applyBorder="1" applyAlignment="1">
      <alignment horizontal="center"/>
    </xf>
    <xf numFmtId="0" fontId="8" fillId="2" borderId="0" xfId="0" applyFont="1" applyFill="1" applyBorder="1" applyAlignment="1">
      <alignment horizontal="center" vertical="center" wrapText="1"/>
    </xf>
    <xf numFmtId="0" fontId="5" fillId="2" borderId="0" xfId="0" applyFont="1" applyFill="1" applyBorder="1" applyAlignment="1">
      <alignment horizontal="center" vertical="center"/>
    </xf>
    <xf numFmtId="2" fontId="0" fillId="0" borderId="0" xfId="0" applyNumberFormat="1" applyFont="1" applyFill="1" applyBorder="1" applyAlignment="1">
      <alignment horizontal="center"/>
    </xf>
    <xf numFmtId="2" fontId="8" fillId="0" borderId="0" xfId="0" quotePrefix="1" applyNumberFormat="1" applyFont="1" applyFill="1" applyBorder="1" applyAlignment="1">
      <alignment horizontal="center" vertical="center"/>
    </xf>
    <xf numFmtId="2" fontId="8" fillId="0" borderId="0" xfId="0" applyNumberFormat="1" applyFont="1" applyFill="1" applyBorder="1" applyAlignment="1">
      <alignment horizontal="center" vertical="center"/>
    </xf>
    <xf numFmtId="0" fontId="1" fillId="0" borderId="0" xfId="0" applyFont="1" applyFill="1" applyBorder="1"/>
    <xf numFmtId="2" fontId="0" fillId="0" borderId="7" xfId="0" applyNumberFormat="1" applyFont="1" applyFill="1" applyBorder="1" applyAlignment="1">
      <alignment horizontal="center"/>
    </xf>
    <xf numFmtId="2" fontId="8" fillId="0" borderId="0" xfId="0" applyNumberFormat="1" applyFont="1" applyFill="1" applyBorder="1" applyAlignment="1">
      <alignment horizontal="center" wrapText="1"/>
    </xf>
    <xf numFmtId="2" fontId="17" fillId="0" borderId="0" xfId="0" applyNumberFormat="1" applyFont="1" applyFill="1" applyBorder="1" applyAlignment="1">
      <alignment horizontal="center" wrapText="1"/>
    </xf>
    <xf numFmtId="2" fontId="8" fillId="0" borderId="0" xfId="0" quotePrefix="1" applyNumberFormat="1" applyFont="1" applyFill="1" applyBorder="1" applyAlignment="1">
      <alignment horizontal="center"/>
    </xf>
    <xf numFmtId="0" fontId="8" fillId="2" borderId="4" xfId="0" applyFont="1" applyFill="1" applyBorder="1" applyAlignment="1">
      <alignment horizontal="center" vertical="center"/>
    </xf>
    <xf numFmtId="2" fontId="0" fillId="0" borderId="8" xfId="0" applyNumberFormat="1" applyFill="1" applyBorder="1" applyAlignment="1">
      <alignment horizontal="center" vertical="center"/>
    </xf>
    <xf numFmtId="2" fontId="17" fillId="0" borderId="0" xfId="0" applyNumberFormat="1" applyFont="1" applyFill="1" applyBorder="1" applyAlignment="1">
      <alignment horizontal="center" vertical="center" wrapText="1"/>
    </xf>
    <xf numFmtId="1" fontId="0" fillId="0" borderId="0" xfId="0" applyNumberFormat="1" applyFill="1" applyBorder="1" applyAlignment="1">
      <alignment horizontal="center"/>
    </xf>
    <xf numFmtId="0" fontId="0" fillId="2" borderId="0" xfId="0" applyFill="1" applyBorder="1" applyAlignment="1">
      <alignment horizontal="center"/>
    </xf>
    <xf numFmtId="1" fontId="0" fillId="0" borderId="0" xfId="0" applyNumberFormat="1" applyFont="1" applyFill="1" applyBorder="1" applyAlignment="1">
      <alignment horizontal="center" vertical="center"/>
    </xf>
    <xf numFmtId="1" fontId="0" fillId="0" borderId="0" xfId="0" applyNumberFormat="1" applyFont="1" applyFill="1" applyBorder="1" applyAlignment="1">
      <alignment horizontal="center"/>
    </xf>
    <xf numFmtId="1" fontId="8" fillId="0" borderId="0" xfId="0" applyNumberFormat="1" applyFont="1" applyFill="1" applyBorder="1" applyAlignment="1">
      <alignment horizontal="center" vertical="center" wrapText="1"/>
    </xf>
    <xf numFmtId="1" fontId="17" fillId="0" borderId="0" xfId="0" applyNumberFormat="1" applyFont="1" applyFill="1" applyBorder="1" applyAlignment="1">
      <alignment horizontal="center" vertical="center" wrapText="1"/>
    </xf>
    <xf numFmtId="2" fontId="11" fillId="0" borderId="5" xfId="0" applyNumberFormat="1" applyFont="1" applyFill="1" applyBorder="1" applyAlignment="1">
      <alignment horizontal="center" vertical="center"/>
    </xf>
    <xf numFmtId="2" fontId="11" fillId="0" borderId="7" xfId="0" applyNumberFormat="1" applyFont="1" applyFill="1" applyBorder="1" applyAlignment="1">
      <alignment horizontal="center" vertical="center"/>
    </xf>
    <xf numFmtId="2" fontId="11" fillId="0" borderId="8" xfId="0" applyNumberFormat="1" applyFont="1" applyFill="1" applyBorder="1" applyAlignment="1">
      <alignment horizontal="center" vertical="center"/>
    </xf>
    <xf numFmtId="1" fontId="20" fillId="0" borderId="0" xfId="2" applyNumberFormat="1" applyFont="1" applyFill="1" applyBorder="1"/>
    <xf numFmtId="1" fontId="13" fillId="0" borderId="0" xfId="2" applyNumberFormat="1" applyFont="1" applyFill="1" applyBorder="1"/>
    <xf numFmtId="164" fontId="13" fillId="0" borderId="0" xfId="2" applyNumberFormat="1" applyFont="1" applyFill="1" applyBorder="1"/>
    <xf numFmtId="2" fontId="5" fillId="0" borderId="5"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5" fillId="0" borderId="0" xfId="0" applyNumberFormat="1" applyFont="1" applyBorder="1" applyAlignment="1">
      <alignment horizontal="center" vertical="center" wrapText="1"/>
    </xf>
    <xf numFmtId="169" fontId="5" fillId="0" borderId="0" xfId="0" applyNumberFormat="1" applyFont="1" applyFill="1" applyBorder="1" applyAlignment="1">
      <alignment horizontal="center" vertical="center"/>
    </xf>
    <xf numFmtId="2" fontId="5" fillId="0" borderId="0" xfId="0" applyNumberFormat="1" applyFont="1" applyFill="1" applyBorder="1" applyAlignment="1">
      <alignment vertical="center"/>
    </xf>
    <xf numFmtId="1" fontId="5" fillId="0" borderId="7" xfId="0" applyNumberFormat="1" applyFont="1" applyBorder="1" applyAlignment="1">
      <alignment horizontal="center" vertical="center"/>
    </xf>
    <xf numFmtId="1" fontId="5" fillId="0" borderId="8" xfId="0" applyNumberFormat="1" applyFont="1" applyBorder="1" applyAlignment="1">
      <alignment horizontal="center" vertical="center"/>
    </xf>
    <xf numFmtId="0" fontId="0" fillId="0" borderId="2" xfId="0" applyFill="1" applyBorder="1"/>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2" fontId="5" fillId="0" borderId="8" xfId="0" applyNumberFormat="1" applyFont="1" applyBorder="1" applyAlignment="1">
      <alignment horizontal="center" vertical="center"/>
    </xf>
    <xf numFmtId="0" fontId="7" fillId="0" borderId="11"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9" xfId="0" applyFont="1" applyFill="1" applyBorder="1" applyAlignment="1">
      <alignment horizontal="center" vertical="center" wrapText="1"/>
    </xf>
    <xf numFmtId="165" fontId="5" fillId="0" borderId="8" xfId="0" applyNumberFormat="1" applyFont="1" applyBorder="1" applyAlignment="1">
      <alignment horizontal="center" vertical="center" wrapText="1"/>
    </xf>
    <xf numFmtId="0" fontId="7" fillId="0" borderId="1" xfId="0" applyFont="1" applyBorder="1" applyAlignment="1">
      <alignment horizontal="center" vertical="center"/>
    </xf>
    <xf numFmtId="2" fontId="7" fillId="0" borderId="0" xfId="0" applyNumberFormat="1" applyFont="1" applyFill="1" applyBorder="1" applyAlignment="1">
      <alignment horizontal="center" vertical="center"/>
    </xf>
    <xf numFmtId="0" fontId="0" fillId="0" borderId="0" xfId="0" applyFont="1" applyFill="1" applyBorder="1" applyAlignment="1">
      <alignment horizontal="center"/>
    </xf>
    <xf numFmtId="0" fontId="0" fillId="0" borderId="0" xfId="0" applyFont="1" applyFill="1" applyBorder="1" applyAlignment="1">
      <alignment horizontal="center" vertical="center"/>
    </xf>
    <xf numFmtId="0" fontId="22" fillId="0" borderId="0" xfId="0" applyFont="1" applyFill="1" applyBorder="1"/>
    <xf numFmtId="0" fontId="0" fillId="0" borderId="3" xfId="0" applyFill="1" applyBorder="1"/>
    <xf numFmtId="0" fontId="1" fillId="3" borderId="4"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0" xfId="0" applyFont="1" applyFill="1" applyBorder="1" applyAlignment="1">
      <alignment horizontal="center" vertical="center" wrapText="1"/>
    </xf>
    <xf numFmtId="2" fontId="0" fillId="0" borderId="15" xfId="0" applyNumberFormat="1" applyFill="1" applyBorder="1" applyAlignment="1">
      <alignment horizontal="center" vertical="center"/>
    </xf>
    <xf numFmtId="2" fontId="0" fillId="0" borderId="16" xfId="0" applyNumberFormat="1" applyFill="1" applyBorder="1" applyAlignment="1">
      <alignment horizontal="center" vertical="center"/>
    </xf>
    <xf numFmtId="0" fontId="1" fillId="4" borderId="0" xfId="0" applyFont="1" applyFill="1" applyBorder="1" applyAlignment="1">
      <alignment horizontal="center" vertical="center"/>
    </xf>
    <xf numFmtId="2" fontId="0" fillId="4" borderId="0" xfId="0" applyNumberFormat="1" applyFill="1" applyBorder="1" applyAlignment="1">
      <alignment horizontal="center" vertical="center"/>
    </xf>
    <xf numFmtId="2" fontId="0" fillId="4" borderId="0" xfId="0" applyNumberFormat="1" applyFont="1" applyFill="1" applyBorder="1" applyAlignment="1">
      <alignment horizontal="center" vertical="center"/>
    </xf>
    <xf numFmtId="2" fontId="0" fillId="0" borderId="17" xfId="0" applyNumberFormat="1" applyFill="1" applyBorder="1" applyAlignment="1">
      <alignment horizontal="center" vertical="center"/>
    </xf>
    <xf numFmtId="2" fontId="0" fillId="0" borderId="18" xfId="0" applyNumberFormat="1" applyFill="1" applyBorder="1" applyAlignment="1">
      <alignment horizontal="center" vertical="center"/>
    </xf>
    <xf numFmtId="2" fontId="0" fillId="0" borderId="18" xfId="0" applyNumberFormat="1" applyFont="1" applyFill="1" applyBorder="1" applyAlignment="1">
      <alignment horizontal="center" vertical="center"/>
    </xf>
    <xf numFmtId="2" fontId="0" fillId="0" borderId="19" xfId="0" applyNumberFormat="1" applyFill="1" applyBorder="1" applyAlignment="1">
      <alignment horizontal="center" vertical="center"/>
    </xf>
    <xf numFmtId="0" fontId="5" fillId="0" borderId="1" xfId="0" applyFont="1" applyBorder="1" applyAlignment="1">
      <alignment horizontal="center" vertical="center"/>
    </xf>
    <xf numFmtId="49" fontId="5" fillId="0" borderId="4" xfId="0" applyNumberFormat="1" applyFont="1" applyBorder="1" applyAlignment="1">
      <alignment horizontal="center" vertical="center"/>
    </xf>
    <xf numFmtId="0" fontId="1" fillId="2" borderId="0" xfId="0" applyFont="1" applyFill="1" applyBorder="1" applyAlignment="1">
      <alignment horizontal="center" vertical="center"/>
    </xf>
    <xf numFmtId="2" fontId="0" fillId="0" borderId="15" xfId="0" applyNumberFormat="1" applyFont="1" applyFill="1" applyBorder="1" applyAlignment="1">
      <alignment horizontal="center" vertical="center"/>
    </xf>
    <xf numFmtId="2" fontId="0" fillId="0" borderId="17" xfId="0" applyNumberFormat="1" applyFont="1" applyFill="1" applyBorder="1" applyAlignment="1">
      <alignment horizontal="center" vertical="center"/>
    </xf>
    <xf numFmtId="0" fontId="1" fillId="0" borderId="0" xfId="0" applyFont="1" applyBorder="1" applyAlignment="1">
      <alignment horizont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2" fontId="0" fillId="3" borderId="0" xfId="0" applyNumberFormat="1" applyFill="1" applyBorder="1" applyAlignment="1">
      <alignment horizontal="center" vertical="center"/>
    </xf>
    <xf numFmtId="2" fontId="0" fillId="0" borderId="16"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2" borderId="0" xfId="0" applyFont="1" applyFill="1" applyBorder="1" applyAlignment="1">
      <alignment horizontal="center" vertical="center" wrapText="1"/>
    </xf>
    <xf numFmtId="0" fontId="0" fillId="3" borderId="0" xfId="0" applyFill="1" applyBorder="1" applyAlignment="1">
      <alignment horizontal="center" vertical="center"/>
    </xf>
    <xf numFmtId="0" fontId="0" fillId="3" borderId="0" xfId="0" applyFill="1" applyBorder="1"/>
    <xf numFmtId="0" fontId="0" fillId="0" borderId="5" xfId="0" applyFill="1" applyBorder="1" applyAlignment="1">
      <alignment horizontal="center"/>
    </xf>
    <xf numFmtId="0" fontId="0" fillId="2" borderId="4" xfId="0" applyFill="1" applyBorder="1" applyAlignment="1">
      <alignment horizontal="center" vertical="center"/>
    </xf>
    <xf numFmtId="2" fontId="0" fillId="0" borderId="0" xfId="0" applyNumberFormat="1" applyFont="1" applyFill="1" applyBorder="1"/>
    <xf numFmtId="0" fontId="0" fillId="0" borderId="0" xfId="0" applyFont="1" applyAlignment="1">
      <alignment horizontal="center"/>
    </xf>
    <xf numFmtId="0" fontId="0" fillId="0" borderId="0" xfId="0" applyFont="1" applyFill="1" applyAlignment="1">
      <alignment horizontal="center"/>
    </xf>
    <xf numFmtId="0" fontId="23" fillId="0" borderId="0" xfId="0" applyFont="1" applyAlignment="1">
      <alignment horizontal="center"/>
    </xf>
    <xf numFmtId="0" fontId="23" fillId="0" borderId="0" xfId="0" applyFont="1" applyFill="1" applyBorder="1" applyAlignment="1">
      <alignment horizontal="center"/>
    </xf>
    <xf numFmtId="2" fontId="8" fillId="0" borderId="7" xfId="0" applyNumberFormat="1" applyFont="1" applyFill="1" applyBorder="1" applyAlignment="1">
      <alignment horizontal="center" vertical="center" wrapText="1"/>
    </xf>
    <xf numFmtId="0" fontId="24" fillId="0" borderId="0" xfId="0" applyFont="1" applyFill="1" applyBorder="1"/>
    <xf numFmtId="0" fontId="25" fillId="0" borderId="0" xfId="0" applyFont="1" applyFill="1" applyBorder="1"/>
    <xf numFmtId="0" fontId="24" fillId="0" borderId="0"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0" xfId="0" applyFont="1" applyFill="1" applyBorder="1" applyAlignment="1">
      <alignment horizontal="center" vertical="center"/>
    </xf>
    <xf numFmtId="0" fontId="24" fillId="0" borderId="5" xfId="0" applyFont="1" applyFill="1" applyBorder="1" applyAlignment="1">
      <alignment horizontal="center" vertical="center" wrapText="1"/>
    </xf>
    <xf numFmtId="0" fontId="25" fillId="0" borderId="2" xfId="0" applyFont="1" applyFill="1" applyBorder="1" applyAlignment="1">
      <alignment horizontal="center" vertical="center"/>
    </xf>
    <xf numFmtId="0" fontId="24" fillId="0" borderId="12" xfId="0" applyFont="1" applyFill="1" applyBorder="1" applyAlignment="1">
      <alignment horizontal="left" vertical="center"/>
    </xf>
    <xf numFmtId="0" fontId="24" fillId="0" borderId="2" xfId="0" applyFont="1" applyFill="1" applyBorder="1" applyAlignment="1">
      <alignment horizontal="center" vertical="center" wrapText="1"/>
    </xf>
    <xf numFmtId="0" fontId="24" fillId="0" borderId="2" xfId="0" applyFont="1" applyBorder="1" applyAlignment="1">
      <alignment horizontal="center" vertical="center"/>
    </xf>
    <xf numFmtId="0" fontId="0" fillId="0" borderId="4" xfId="0" applyFont="1" applyFill="1" applyBorder="1" applyAlignment="1">
      <alignment horizontal="center" vertical="center"/>
    </xf>
    <xf numFmtId="2" fontId="1" fillId="2" borderId="0" xfId="0" applyNumberFormat="1" applyFont="1" applyFill="1" applyBorder="1" applyAlignment="1">
      <alignment horizontal="center" vertical="center"/>
    </xf>
    <xf numFmtId="0" fontId="5" fillId="3" borderId="0" xfId="0" applyFont="1" applyFill="1" applyBorder="1" applyAlignment="1">
      <alignment horizontal="center" vertical="center" wrapText="1"/>
    </xf>
    <xf numFmtId="0" fontId="24" fillId="0" borderId="13" xfId="0" applyFont="1" applyFill="1" applyBorder="1" applyAlignment="1">
      <alignment horizontal="left" vertical="center"/>
    </xf>
    <xf numFmtId="0" fontId="7" fillId="0" borderId="0" xfId="0" applyFont="1" applyBorder="1" applyAlignment="1">
      <alignment horizontal="center" vertical="center" wrapText="1"/>
    </xf>
    <xf numFmtId="165" fontId="0" fillId="0" borderId="0" xfId="0" applyNumberFormat="1" applyFill="1" applyBorder="1" applyAlignment="1">
      <alignment horizontal="center" vertical="center"/>
    </xf>
    <xf numFmtId="0" fontId="24" fillId="0" borderId="3" xfId="0" applyFont="1" applyBorder="1" applyAlignment="1">
      <alignment horizontal="center" vertical="center"/>
    </xf>
    <xf numFmtId="0" fontId="25" fillId="0" borderId="0" xfId="0" applyFont="1" applyFill="1" applyBorder="1" applyAlignment="1">
      <alignment horizontal="center" vertical="center"/>
    </xf>
    <xf numFmtId="0" fontId="24" fillId="0" borderId="20"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2" fontId="0" fillId="3" borderId="2" xfId="0" applyNumberFormat="1" applyFill="1" applyBorder="1" applyAlignment="1">
      <alignment horizontal="center" vertical="center"/>
    </xf>
    <xf numFmtId="0" fontId="0" fillId="3" borderId="2" xfId="0" applyFill="1" applyBorder="1" applyAlignment="1">
      <alignment horizontal="center" vertical="center"/>
    </xf>
    <xf numFmtId="2" fontId="0" fillId="3" borderId="2" xfId="0" applyNumberFormat="1" applyFont="1" applyFill="1" applyBorder="1" applyAlignment="1">
      <alignment horizontal="center" vertical="center"/>
    </xf>
    <xf numFmtId="0" fontId="0" fillId="3" borderId="2" xfId="0" applyFill="1" applyBorder="1"/>
    <xf numFmtId="0" fontId="5" fillId="3" borderId="2" xfId="0" applyFont="1" applyFill="1" applyBorder="1" applyAlignment="1">
      <alignment horizontal="center" vertical="center" wrapText="1"/>
    </xf>
    <xf numFmtId="0" fontId="0" fillId="3" borderId="3" xfId="0" applyFill="1" applyBorder="1"/>
    <xf numFmtId="0" fontId="0" fillId="2" borderId="5" xfId="0" applyFill="1" applyBorder="1"/>
    <xf numFmtId="2" fontId="1" fillId="2" borderId="15" xfId="0" applyNumberFormat="1" applyFont="1" applyFill="1" applyBorder="1" applyAlignment="1">
      <alignment horizontal="center" vertical="center"/>
    </xf>
    <xf numFmtId="2" fontId="1" fillId="2" borderId="16" xfId="0" applyNumberFormat="1" applyFont="1" applyFill="1" applyBorder="1" applyAlignment="1">
      <alignment horizontal="center" vertical="center"/>
    </xf>
    <xf numFmtId="0" fontId="8" fillId="0" borderId="4" xfId="0" applyFont="1" applyFill="1" applyBorder="1" applyAlignment="1">
      <alignment horizontal="center" vertical="center"/>
    </xf>
    <xf numFmtId="2" fontId="8" fillId="0" borderId="0" xfId="0" applyNumberFormat="1" applyFont="1" applyFill="1" applyBorder="1" applyAlignment="1">
      <alignment horizontal="center"/>
    </xf>
    <xf numFmtId="0" fontId="0" fillId="3" borderId="5" xfId="0" applyFill="1" applyBorder="1"/>
    <xf numFmtId="0" fontId="1" fillId="2" borderId="2" xfId="0" applyFont="1" applyFill="1" applyBorder="1" applyAlignment="1">
      <alignment horizontal="center" vertical="center"/>
    </xf>
    <xf numFmtId="2" fontId="1" fillId="2" borderId="2" xfId="0" applyNumberFormat="1" applyFont="1" applyFill="1" applyBorder="1" applyAlignment="1">
      <alignment horizontal="center" vertical="center"/>
    </xf>
    <xf numFmtId="0" fontId="1" fillId="2" borderId="2" xfId="0" applyFont="1" applyFill="1" applyBorder="1" applyAlignment="1">
      <alignment horizontal="center" vertical="center" wrapText="1"/>
    </xf>
    <xf numFmtId="0" fontId="0" fillId="2" borderId="2" xfId="0" applyFill="1" applyBorder="1" applyAlignment="1">
      <alignment horizontal="center"/>
    </xf>
    <xf numFmtId="0" fontId="0" fillId="2" borderId="2" xfId="0" applyFill="1" applyBorder="1" applyAlignment="1">
      <alignment horizontal="center" vertical="center"/>
    </xf>
    <xf numFmtId="0" fontId="0" fillId="2" borderId="3" xfId="0" applyFill="1" applyBorder="1" applyAlignment="1">
      <alignment horizontal="center"/>
    </xf>
    <xf numFmtId="0" fontId="0" fillId="2" borderId="5" xfId="0" applyFill="1" applyBorder="1" applyAlignment="1">
      <alignment horizontal="center"/>
    </xf>
    <xf numFmtId="0" fontId="24" fillId="0" borderId="2" xfId="0" applyFont="1" applyFill="1" applyBorder="1" applyAlignment="1">
      <alignment horizontal="center" vertical="center"/>
    </xf>
    <xf numFmtId="0" fontId="16" fillId="0" borderId="7" xfId="2" applyFont="1" applyFill="1" applyBorder="1" applyAlignment="1">
      <alignment horizontal="center" vertical="center"/>
    </xf>
    <xf numFmtId="2" fontId="0" fillId="0" borderId="15" xfId="0" applyNumberFormat="1" applyFill="1" applyBorder="1" applyAlignment="1">
      <alignment horizontal="center"/>
    </xf>
    <xf numFmtId="0" fontId="24" fillId="0" borderId="4"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0" fillId="3" borderId="2" xfId="0" applyFill="1" applyBorder="1" applyAlignment="1">
      <alignment horizontal="center"/>
    </xf>
    <xf numFmtId="0" fontId="0" fillId="3" borderId="3" xfId="0" applyFill="1" applyBorder="1" applyAlignment="1">
      <alignment horizontal="center"/>
    </xf>
    <xf numFmtId="1" fontId="0" fillId="0" borderId="5" xfId="0" applyNumberFormat="1" applyFill="1" applyBorder="1" applyAlignment="1">
      <alignment horizontal="center" vertical="center"/>
    </xf>
    <xf numFmtId="0" fontId="24" fillId="0" borderId="21" xfId="0" applyFont="1" applyFill="1" applyBorder="1" applyAlignment="1">
      <alignment horizontal="center" vertical="center" wrapText="1"/>
    </xf>
    <xf numFmtId="0" fontId="24" fillId="0" borderId="7" xfId="0" applyFont="1" applyFill="1" applyBorder="1" applyAlignment="1">
      <alignment horizontal="center" vertical="center"/>
    </xf>
    <xf numFmtId="0" fontId="24" fillId="0" borderId="6" xfId="0" applyFont="1" applyFill="1" applyBorder="1" applyAlignment="1">
      <alignment horizontal="center" vertical="center"/>
    </xf>
    <xf numFmtId="2" fontId="1" fillId="2" borderId="15" xfId="0" applyNumberFormat="1" applyFont="1" applyFill="1" applyBorder="1" applyAlignment="1">
      <alignment horizontal="center" vertical="center" wrapText="1"/>
    </xf>
    <xf numFmtId="2" fontId="1" fillId="2" borderId="0" xfId="0" applyNumberFormat="1" applyFont="1" applyFill="1" applyBorder="1" applyAlignment="1">
      <alignment horizontal="center" vertical="center" wrapText="1"/>
    </xf>
    <xf numFmtId="2" fontId="1" fillId="2" borderId="16" xfId="0" applyNumberFormat="1" applyFont="1" applyFill="1" applyBorder="1" applyAlignment="1">
      <alignment horizontal="center" vertical="center" wrapText="1"/>
    </xf>
    <xf numFmtId="2" fontId="0" fillId="0" borderId="15" xfId="0" applyNumberFormat="1" applyFill="1" applyBorder="1" applyAlignment="1">
      <alignment horizontal="center" vertical="center" wrapText="1"/>
    </xf>
    <xf numFmtId="2" fontId="0" fillId="0" borderId="0" xfId="0" applyNumberFormat="1" applyFill="1" applyBorder="1" applyAlignment="1">
      <alignment horizontal="center" vertical="center" wrapText="1"/>
    </xf>
    <xf numFmtId="2" fontId="0" fillId="0" borderId="16" xfId="0" applyNumberFormat="1" applyFill="1" applyBorder="1" applyAlignment="1">
      <alignment horizontal="center" vertical="center" wrapText="1"/>
    </xf>
    <xf numFmtId="165" fontId="1" fillId="2" borderId="0" xfId="0" applyNumberFormat="1" applyFont="1" applyFill="1" applyBorder="1" applyAlignment="1">
      <alignment horizontal="center" vertical="center"/>
    </xf>
    <xf numFmtId="0" fontId="25" fillId="0" borderId="13" xfId="0" applyFont="1" applyFill="1" applyBorder="1" applyAlignment="1">
      <alignment horizontal="center" vertical="center"/>
    </xf>
    <xf numFmtId="0" fontId="1" fillId="2" borderId="15" xfId="0" applyFont="1" applyFill="1" applyBorder="1" applyAlignment="1">
      <alignment horizontal="center" vertical="center"/>
    </xf>
    <xf numFmtId="0" fontId="2" fillId="0" borderId="15" xfId="0" applyFont="1" applyFill="1" applyBorder="1" applyAlignment="1">
      <alignment horizontal="center" vertical="center"/>
    </xf>
    <xf numFmtId="0" fontId="0" fillId="0" borderId="15" xfId="0" applyFill="1" applyBorder="1" applyAlignment="1">
      <alignment horizontal="center" vertical="center"/>
    </xf>
    <xf numFmtId="0" fontId="0" fillId="3" borderId="15"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4" borderId="0" xfId="0" applyFill="1" applyBorder="1" applyAlignment="1">
      <alignment horizontal="center" vertical="center"/>
    </xf>
    <xf numFmtId="0" fontId="1" fillId="0" borderId="0" xfId="0" applyFont="1" applyFill="1" applyBorder="1" applyAlignment="1">
      <alignment horizontal="center"/>
    </xf>
    <xf numFmtId="0" fontId="25" fillId="3" borderId="2" xfId="0" applyFont="1" applyFill="1" applyBorder="1" applyAlignment="1">
      <alignment horizontal="center" vertical="center"/>
    </xf>
    <xf numFmtId="0" fontId="27" fillId="0" borderId="0" xfId="0" applyFont="1" applyFill="1" applyBorder="1"/>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2" fontId="5" fillId="2" borderId="2" xfId="0" applyNumberFormat="1" applyFont="1" applyFill="1" applyBorder="1" applyAlignment="1">
      <alignment horizontal="center" vertical="center" wrapText="1"/>
    </xf>
    <xf numFmtId="2" fontId="5" fillId="2" borderId="3"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Border="1" applyAlignment="1">
      <alignment horizontal="center" vertical="center" wrapText="1"/>
    </xf>
    <xf numFmtId="2" fontId="5" fillId="2" borderId="0" xfId="0" applyNumberFormat="1" applyFont="1" applyFill="1" applyBorder="1" applyAlignment="1">
      <alignment horizontal="center" vertical="center" wrapText="1"/>
    </xf>
    <xf numFmtId="2" fontId="5" fillId="2" borderId="5" xfId="0" applyNumberFormat="1" applyFont="1" applyFill="1" applyBorder="1" applyAlignment="1">
      <alignment horizontal="center" vertical="center" wrapText="1"/>
    </xf>
    <xf numFmtId="0" fontId="5" fillId="2" borderId="4" xfId="0" applyFont="1" applyFill="1" applyBorder="1" applyAlignment="1">
      <alignment horizontal="center" vertical="center"/>
    </xf>
    <xf numFmtId="0" fontId="13" fillId="2" borderId="0" xfId="0" applyFont="1" applyFill="1" applyBorder="1" applyAlignment="1">
      <alignment horizontal="center" vertical="center"/>
    </xf>
    <xf numFmtId="0" fontId="5" fillId="2" borderId="5" xfId="0" applyFont="1" applyFill="1" applyBorder="1" applyAlignment="1">
      <alignment horizontal="center" vertical="center"/>
    </xf>
    <xf numFmtId="0" fontId="8" fillId="2" borderId="0" xfId="0" applyFont="1" applyFill="1" applyBorder="1" applyAlignment="1">
      <alignment horizontal="center" vertical="center"/>
    </xf>
    <xf numFmtId="0" fontId="5" fillId="2" borderId="0" xfId="0" applyFont="1" applyFill="1" applyBorder="1" applyAlignment="1">
      <alignment horizontal="center"/>
    </xf>
    <xf numFmtId="1" fontId="8" fillId="2" borderId="5" xfId="0" applyNumberFormat="1"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7" xfId="0" applyFont="1" applyFill="1" applyBorder="1" applyAlignment="1">
      <alignment horizontal="center"/>
    </xf>
    <xf numFmtId="0" fontId="8" fillId="2" borderId="7"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wrapText="1"/>
    </xf>
    <xf numFmtId="1" fontId="5" fillId="2" borderId="0" xfId="0" applyNumberFormat="1" applyFont="1" applyFill="1" applyBorder="1" applyAlignment="1">
      <alignment horizontal="center" vertical="center" wrapText="1"/>
    </xf>
    <xf numFmtId="1" fontId="0" fillId="2" borderId="0" xfId="0" applyNumberFormat="1" applyFill="1" applyBorder="1" applyAlignment="1">
      <alignment horizontal="center" vertical="center"/>
    </xf>
    <xf numFmtId="0" fontId="5" fillId="2" borderId="5" xfId="0" applyFont="1" applyFill="1" applyBorder="1" applyAlignment="1">
      <alignment horizontal="center" vertical="center" wrapText="1"/>
    </xf>
    <xf numFmtId="0" fontId="0" fillId="2" borderId="0" xfId="0" applyFill="1"/>
    <xf numFmtId="0" fontId="5" fillId="4" borderId="0" xfId="0" applyFont="1" applyFill="1" applyBorder="1" applyAlignment="1">
      <alignment horizontal="center" vertical="center" wrapText="1"/>
    </xf>
    <xf numFmtId="0" fontId="0" fillId="4" borderId="0" xfId="0" applyFill="1" applyBorder="1"/>
    <xf numFmtId="3" fontId="5" fillId="2" borderId="0" xfId="0" applyNumberFormat="1" applyFont="1" applyFill="1" applyBorder="1" applyAlignment="1">
      <alignment horizontal="center" vertical="center" wrapText="1"/>
    </xf>
    <xf numFmtId="0" fontId="7" fillId="0" borderId="0" xfId="0" applyFont="1" applyFill="1" applyBorder="1" applyAlignment="1">
      <alignment vertical="center"/>
    </xf>
    <xf numFmtId="0" fontId="7" fillId="0" borderId="0" xfId="0" applyFont="1" applyFill="1" applyBorder="1" applyAlignment="1">
      <alignment vertical="center" wrapText="1"/>
    </xf>
    <xf numFmtId="2" fontId="5" fillId="2" borderId="0" xfId="0" applyNumberFormat="1" applyFont="1" applyFill="1" applyBorder="1" applyAlignment="1">
      <alignment horizontal="center" vertical="center"/>
    </xf>
    <xf numFmtId="2" fontId="7" fillId="2" borderId="0" xfId="0" applyNumberFormat="1" applyFont="1" applyFill="1" applyBorder="1" applyAlignment="1">
      <alignment horizontal="center" vertical="center"/>
    </xf>
    <xf numFmtId="0" fontId="5" fillId="2" borderId="7" xfId="0" applyFont="1" applyFill="1" applyBorder="1" applyAlignment="1">
      <alignment horizontal="center" vertical="center" wrapText="1"/>
    </xf>
    <xf numFmtId="2" fontId="5" fillId="2" borderId="8" xfId="0" applyNumberFormat="1" applyFont="1" applyFill="1" applyBorder="1" applyAlignment="1">
      <alignment horizontal="center" vertical="center" wrapText="1"/>
    </xf>
    <xf numFmtId="2" fontId="5" fillId="2" borderId="7" xfId="0" applyNumberFormat="1" applyFont="1" applyFill="1" applyBorder="1" applyAlignment="1">
      <alignment horizontal="center" vertical="center" wrapText="1"/>
    </xf>
    <xf numFmtId="2" fontId="5" fillId="2" borderId="7" xfId="0" applyNumberFormat="1" applyFont="1" applyFill="1" applyBorder="1" applyAlignment="1">
      <alignment horizontal="center" vertical="center"/>
    </xf>
    <xf numFmtId="0" fontId="0" fillId="2" borderId="0" xfId="0" applyFont="1" applyFill="1"/>
    <xf numFmtId="0" fontId="0" fillId="0" borderId="0" xfId="0" applyFont="1" applyFill="1"/>
    <xf numFmtId="0" fontId="11" fillId="0" borderId="0" xfId="0" applyFont="1" applyFill="1" applyBorder="1" applyAlignment="1">
      <alignment horizontal="center" vertical="center" wrapText="1"/>
    </xf>
    <xf numFmtId="0" fontId="25" fillId="0" borderId="7" xfId="0" applyFont="1" applyFill="1" applyBorder="1" applyAlignment="1">
      <alignment horizontal="center" vertical="center"/>
    </xf>
    <xf numFmtId="2" fontId="0" fillId="3" borderId="7" xfId="0" applyNumberFormat="1" applyFont="1" applyFill="1" applyBorder="1" applyAlignment="1">
      <alignment horizontal="center" vertical="center"/>
    </xf>
    <xf numFmtId="0" fontId="0" fillId="3" borderId="7" xfId="0" applyFill="1" applyBorder="1"/>
    <xf numFmtId="0" fontId="1" fillId="2" borderId="22" xfId="0" applyFont="1" applyFill="1" applyBorder="1" applyAlignment="1">
      <alignment horizontal="center" vertical="center"/>
    </xf>
    <xf numFmtId="0" fontId="0" fillId="2" borderId="2" xfId="0" applyFill="1" applyBorder="1"/>
    <xf numFmtId="0" fontId="0" fillId="2" borderId="3" xfId="0" applyFill="1" applyBorder="1"/>
    <xf numFmtId="0" fontId="5" fillId="2" borderId="2" xfId="0" applyFont="1" applyFill="1" applyBorder="1" applyAlignment="1">
      <alignment horizontal="center" vertical="center"/>
    </xf>
    <xf numFmtId="2" fontId="8" fillId="2" borderId="2" xfId="0" applyNumberFormat="1" applyFont="1" applyFill="1" applyBorder="1" applyAlignment="1">
      <alignment horizontal="center" vertical="center" wrapText="1"/>
    </xf>
    <xf numFmtId="0" fontId="1" fillId="3" borderId="11" xfId="0" applyFont="1" applyFill="1" applyBorder="1" applyAlignment="1">
      <alignment horizontal="center" vertical="center"/>
    </xf>
    <xf numFmtId="2" fontId="0" fillId="3" borderId="11" xfId="0" applyNumberFormat="1" applyFill="1" applyBorder="1" applyAlignment="1">
      <alignment horizontal="center" vertical="center"/>
    </xf>
    <xf numFmtId="0" fontId="0" fillId="3" borderId="11" xfId="0" applyFill="1" applyBorder="1" applyAlignment="1">
      <alignment horizontal="center" vertical="center"/>
    </xf>
    <xf numFmtId="2" fontId="0" fillId="3" borderId="11" xfId="0" applyNumberFormat="1" applyFont="1" applyFill="1" applyBorder="1" applyAlignment="1">
      <alignment horizontal="center" vertical="center"/>
    </xf>
    <xf numFmtId="0" fontId="0" fillId="3" borderId="11" xfId="0" applyFill="1" applyBorder="1"/>
    <xf numFmtId="0" fontId="5" fillId="3" borderId="11" xfId="0" applyFont="1" applyFill="1" applyBorder="1" applyAlignment="1">
      <alignment horizontal="center" vertical="center" wrapText="1"/>
    </xf>
    <xf numFmtId="0" fontId="0" fillId="3" borderId="9" xfId="0" applyFill="1" applyBorder="1"/>
    <xf numFmtId="0" fontId="0" fillId="2" borderId="1" xfId="0" applyFill="1" applyBorder="1" applyAlignment="1">
      <alignment horizontal="center" vertical="center"/>
    </xf>
    <xf numFmtId="0" fontId="25" fillId="2" borderId="0" xfId="0" applyFont="1" applyFill="1" applyBorder="1" applyAlignment="1">
      <alignment horizontal="center" vertical="center"/>
    </xf>
    <xf numFmtId="2" fontId="0" fillId="4" borderId="15" xfId="0" applyNumberFormat="1" applyFont="1" applyFill="1" applyBorder="1" applyAlignment="1">
      <alignment horizontal="center" vertical="center"/>
    </xf>
    <xf numFmtId="0" fontId="25" fillId="4" borderId="0" xfId="0" applyFont="1" applyFill="1" applyBorder="1" applyAlignment="1">
      <alignment horizontal="center" vertical="center"/>
    </xf>
    <xf numFmtId="0" fontId="25" fillId="3" borderId="0" xfId="0" applyFont="1" applyFill="1" applyBorder="1" applyAlignment="1">
      <alignment horizontal="center" vertical="center"/>
    </xf>
    <xf numFmtId="0" fontId="25" fillId="2" borderId="2" xfId="0" applyFont="1" applyFill="1" applyBorder="1" applyAlignment="1">
      <alignment horizontal="center" vertical="center"/>
    </xf>
    <xf numFmtId="0" fontId="0" fillId="2" borderId="2" xfId="0" applyFont="1" applyFill="1" applyBorder="1" applyAlignment="1">
      <alignment horizontal="center"/>
    </xf>
    <xf numFmtId="0" fontId="1" fillId="3" borderId="10" xfId="0" applyFont="1" applyFill="1" applyBorder="1" applyAlignment="1">
      <alignment horizontal="center" vertical="center"/>
    </xf>
    <xf numFmtId="0" fontId="25" fillId="3" borderId="11" xfId="0" applyFont="1" applyFill="1" applyBorder="1" applyAlignment="1">
      <alignment horizontal="center" vertical="center"/>
    </xf>
    <xf numFmtId="2" fontId="1" fillId="3" borderId="11" xfId="0" applyNumberFormat="1" applyFont="1" applyFill="1" applyBorder="1" applyAlignment="1">
      <alignment horizontal="center" vertical="center"/>
    </xf>
    <xf numFmtId="0" fontId="0" fillId="0" borderId="11" xfId="0" applyFill="1" applyBorder="1"/>
    <xf numFmtId="0" fontId="25"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2" fontId="25" fillId="0" borderId="0" xfId="0" applyNumberFormat="1" applyFont="1" applyFill="1" applyBorder="1"/>
    <xf numFmtId="0" fontId="28" fillId="0" borderId="0" xfId="0" applyFont="1" applyBorder="1" applyAlignment="1">
      <alignment vertical="center"/>
    </xf>
    <xf numFmtId="0" fontId="23" fillId="0" borderId="0" xfId="0" applyFont="1" applyAlignment="1">
      <alignment horizontal="center" vertical="center"/>
    </xf>
    <xf numFmtId="0" fontId="29" fillId="0" borderId="0" xfId="3" applyFont="1" applyFill="1" applyAlignment="1">
      <alignment horizontal="center" vertical="center"/>
    </xf>
    <xf numFmtId="0" fontId="29" fillId="0" borderId="0" xfId="3" applyFont="1" applyFill="1" applyAlignment="1">
      <alignment horizontal="center"/>
    </xf>
    <xf numFmtId="0" fontId="29" fillId="0" borderId="0" xfId="3" applyFont="1" applyFill="1" applyBorder="1" applyAlignment="1">
      <alignment horizontal="center"/>
    </xf>
    <xf numFmtId="0" fontId="7" fillId="3" borderId="9" xfId="0" applyFont="1" applyFill="1" applyBorder="1" applyAlignment="1">
      <alignment horizontal="center" vertical="center" wrapText="1"/>
    </xf>
    <xf numFmtId="2" fontId="5" fillId="0" borderId="5" xfId="0" applyNumberFormat="1" applyFont="1" applyBorder="1" applyAlignment="1">
      <alignment horizontal="center" vertical="center" wrapText="1"/>
    </xf>
    <xf numFmtId="2" fontId="0" fillId="2" borderId="5" xfId="0" applyNumberFormat="1" applyFont="1" applyFill="1" applyBorder="1" applyAlignment="1">
      <alignment horizontal="center" vertical="center"/>
    </xf>
    <xf numFmtId="2" fontId="0" fillId="2" borderId="3" xfId="0" applyNumberFormat="1" applyFont="1" applyFill="1" applyBorder="1" applyAlignment="1">
      <alignment horizontal="center" vertical="center"/>
    </xf>
    <xf numFmtId="2" fontId="0" fillId="0" borderId="8" xfId="0" applyNumberFormat="1" applyFont="1" applyFill="1" applyBorder="1" applyAlignment="1">
      <alignment horizontal="center" vertical="center"/>
    </xf>
    <xf numFmtId="0" fontId="15" fillId="0" borderId="0" xfId="3"/>
    <xf numFmtId="0" fontId="15" fillId="0" borderId="0" xfId="3" applyFill="1" applyBorder="1" applyAlignment="1">
      <alignment horizontal="center"/>
    </xf>
    <xf numFmtId="0" fontId="1" fillId="2" borderId="2" xfId="0" applyFont="1" applyFill="1" applyBorder="1"/>
    <xf numFmtId="0" fontId="24" fillId="0" borderId="1" xfId="0" applyFont="1" applyFill="1" applyBorder="1" applyAlignment="1">
      <alignment horizontal="center" vertical="center"/>
    </xf>
    <xf numFmtId="0" fontId="5" fillId="0" borderId="0" xfId="0" quotePrefix="1" applyFont="1" applyFill="1" applyBorder="1" applyAlignment="1">
      <alignment horizontal="center" vertical="center"/>
    </xf>
    <xf numFmtId="0" fontId="20" fillId="0" borderId="0" xfId="0" applyFont="1" applyFill="1" applyBorder="1" applyAlignment="1">
      <alignment horizontal="center"/>
    </xf>
    <xf numFmtId="1" fontId="20" fillId="0" borderId="0" xfId="0" applyNumberFormat="1" applyFont="1" applyFill="1" applyBorder="1" applyAlignment="1">
      <alignment horizontal="center"/>
    </xf>
    <xf numFmtId="2" fontId="20" fillId="0" borderId="0" xfId="2" applyNumberFormat="1" applyFont="1" applyBorder="1"/>
    <xf numFmtId="2" fontId="20" fillId="0" borderId="0" xfId="2" applyNumberFormat="1" applyFont="1" applyBorder="1" applyAlignment="1">
      <alignment horizontal="center"/>
    </xf>
    <xf numFmtId="2" fontId="13" fillId="0" borderId="0" xfId="2" applyNumberFormat="1" applyFont="1" applyFill="1" applyBorder="1"/>
    <xf numFmtId="0" fontId="7" fillId="0" borderId="0" xfId="0" applyFont="1" applyFill="1" applyBorder="1"/>
    <xf numFmtId="0" fontId="20" fillId="0" borderId="0" xfId="2" applyFont="1" applyBorder="1"/>
    <xf numFmtId="0" fontId="13" fillId="0" borderId="0" xfId="2" applyFont="1" applyBorder="1"/>
    <xf numFmtId="169" fontId="13" fillId="0" borderId="0" xfId="2" applyNumberFormat="1" applyFont="1" applyBorder="1"/>
    <xf numFmtId="0" fontId="20" fillId="0" borderId="0" xfId="2" applyFont="1" applyFill="1" applyBorder="1"/>
    <xf numFmtId="0" fontId="20" fillId="0" borderId="0" xfId="2" applyFont="1" applyBorder="1" applyAlignment="1">
      <alignment horizontal="center"/>
    </xf>
    <xf numFmtId="2" fontId="31" fillId="0" borderId="0" xfId="0" applyNumberFormat="1" applyFont="1" applyBorder="1"/>
    <xf numFmtId="0" fontId="22" fillId="0" borderId="0" xfId="0" applyFont="1" applyFill="1" applyBorder="1" applyAlignment="1">
      <alignment horizontal="center" vertical="center"/>
    </xf>
    <xf numFmtId="1" fontId="2" fillId="0" borderId="0" xfId="0" applyNumberFormat="1" applyFont="1" applyFill="1" applyBorder="1" applyAlignment="1">
      <alignment horizontal="center" vertical="center"/>
    </xf>
    <xf numFmtId="1" fontId="30" fillId="0" borderId="0" xfId="2" applyNumberFormat="1" applyFont="1" applyFill="1" applyBorder="1" applyAlignment="1">
      <alignment horizontal="center" vertical="center"/>
    </xf>
    <xf numFmtId="165" fontId="0" fillId="0" borderId="15" xfId="0" applyNumberFormat="1" applyFill="1" applyBorder="1" applyAlignment="1">
      <alignment horizontal="center" vertical="center"/>
    </xf>
    <xf numFmtId="1" fontId="1" fillId="2" borderId="15" xfId="0" applyNumberFormat="1" applyFont="1" applyFill="1" applyBorder="1" applyAlignment="1">
      <alignment horizontal="center" vertical="center"/>
    </xf>
    <xf numFmtId="1" fontId="1" fillId="2" borderId="0" xfId="0" applyNumberFormat="1" applyFont="1" applyFill="1" applyBorder="1" applyAlignment="1">
      <alignment horizontal="center" vertical="center"/>
    </xf>
    <xf numFmtId="1" fontId="0" fillId="0" borderId="15" xfId="0" applyNumberFormat="1" applyFill="1" applyBorder="1" applyAlignment="1">
      <alignment horizontal="center" vertical="center"/>
    </xf>
    <xf numFmtId="0" fontId="15" fillId="0" borderId="0" xfId="3" applyAlignment="1">
      <alignment horizontal="center"/>
    </xf>
    <xf numFmtId="0" fontId="15" fillId="0" borderId="0" xfId="3" applyAlignment="1">
      <alignment horizontal="center" vertical="center"/>
    </xf>
    <xf numFmtId="0" fontId="15" fillId="0" borderId="0" xfId="3" applyFill="1" applyBorder="1" applyAlignment="1">
      <alignment horizontal="center" vertical="center" wrapText="1"/>
    </xf>
    <xf numFmtId="0" fontId="15" fillId="0" borderId="0" xfId="3" applyFill="1" applyAlignment="1">
      <alignment horizontal="center"/>
    </xf>
    <xf numFmtId="0" fontId="15" fillId="0" borderId="0" xfId="3" applyFill="1" applyBorder="1" applyAlignment="1">
      <alignment horizontal="center" wrapText="1"/>
    </xf>
    <xf numFmtId="0" fontId="24" fillId="0" borderId="14" xfId="0" applyFont="1" applyFill="1" applyBorder="1" applyAlignment="1">
      <alignment horizontal="left" vertical="center"/>
    </xf>
    <xf numFmtId="0" fontId="24" fillId="0" borderId="16" xfId="0" applyFont="1" applyFill="1" applyBorder="1" applyAlignment="1">
      <alignment horizontal="center" vertical="center" wrapText="1"/>
    </xf>
    <xf numFmtId="2" fontId="0" fillId="0" borderId="16" xfId="0" applyNumberFormat="1" applyFill="1" applyBorder="1" applyAlignment="1">
      <alignment horizontal="center"/>
    </xf>
    <xf numFmtId="0" fontId="0" fillId="0" borderId="14" xfId="0" applyFill="1" applyBorder="1"/>
    <xf numFmtId="165" fontId="1" fillId="2" borderId="23" xfId="0" applyNumberFormat="1" applyFont="1" applyFill="1" applyBorder="1" applyAlignment="1">
      <alignment horizontal="center" vertical="center"/>
    </xf>
    <xf numFmtId="165" fontId="1" fillId="2" borderId="16" xfId="0" applyNumberFormat="1" applyFont="1" applyFill="1" applyBorder="1" applyAlignment="1">
      <alignment horizontal="center" vertical="center"/>
    </xf>
    <xf numFmtId="2" fontId="0" fillId="0" borderId="19" xfId="0" applyNumberFormat="1" applyFont="1" applyFill="1" applyBorder="1" applyAlignment="1">
      <alignment horizontal="center" vertical="center"/>
    </xf>
    <xf numFmtId="2" fontId="0" fillId="4" borderId="16" xfId="0" applyNumberFormat="1" applyFont="1" applyFill="1" applyBorder="1" applyAlignment="1">
      <alignment horizontal="center" vertical="center"/>
    </xf>
    <xf numFmtId="0" fontId="0" fillId="0" borderId="16" xfId="0" applyFill="1" applyBorder="1"/>
    <xf numFmtId="0" fontId="21" fillId="3" borderId="10" xfId="0" applyFont="1" applyFill="1" applyBorder="1" applyAlignment="1">
      <alignment horizontal="center" vertical="center"/>
    </xf>
    <xf numFmtId="0" fontId="26" fillId="3" borderId="11" xfId="0" applyFont="1" applyFill="1" applyBorder="1" applyAlignment="1">
      <alignment horizontal="center" vertical="center" wrapText="1"/>
    </xf>
    <xf numFmtId="0" fontId="26" fillId="3" borderId="11" xfId="0" applyFont="1" applyFill="1" applyBorder="1" applyAlignment="1">
      <alignment horizontal="center" vertical="center"/>
    </xf>
    <xf numFmtId="2" fontId="8" fillId="3" borderId="11" xfId="0" applyNumberFormat="1" applyFont="1" applyFill="1" applyBorder="1" applyAlignment="1">
      <alignment horizontal="center" vertical="center" wrapText="1"/>
    </xf>
    <xf numFmtId="0" fontId="0" fillId="3" borderId="11" xfId="0" applyFont="1" applyFill="1" applyBorder="1"/>
    <xf numFmtId="0" fontId="0" fillId="2" borderId="0" xfId="0" applyFont="1" applyFill="1" applyBorder="1"/>
    <xf numFmtId="0" fontId="25" fillId="0" borderId="1" xfId="0" applyFont="1" applyFill="1" applyBorder="1" applyAlignment="1">
      <alignment horizontal="center" vertical="center"/>
    </xf>
    <xf numFmtId="0" fontId="24" fillId="0" borderId="10"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7" fillId="0" borderId="7" xfId="0" applyFont="1" applyFill="1" applyBorder="1" applyAlignment="1">
      <alignment horizontal="center" vertical="center"/>
    </xf>
    <xf numFmtId="1" fontId="0" fillId="0" borderId="16" xfId="0" applyNumberFormat="1" applyFont="1" applyFill="1" applyBorder="1" applyAlignment="1">
      <alignment horizontal="center" vertical="center"/>
    </xf>
    <xf numFmtId="0" fontId="1" fillId="0" borderId="0" xfId="0" applyFont="1" applyFill="1" applyBorder="1" applyAlignment="1">
      <alignment horizontal="center"/>
    </xf>
    <xf numFmtId="0" fontId="0" fillId="5" borderId="0" xfId="0" applyFill="1" applyBorder="1"/>
    <xf numFmtId="0" fontId="16" fillId="2" borderId="4" xfId="2" applyFont="1" applyFill="1" applyBorder="1" applyAlignment="1">
      <alignment horizontal="center" vertical="center"/>
    </xf>
    <xf numFmtId="165" fontId="0" fillId="0" borderId="0" xfId="0" applyNumberFormat="1" applyFont="1" applyFill="1" applyBorder="1" applyAlignment="1">
      <alignment horizontal="center" vertical="center"/>
    </xf>
    <xf numFmtId="0" fontId="16" fillId="2" borderId="0" xfId="2" applyFont="1" applyFill="1" applyBorder="1" applyAlignment="1">
      <alignment horizontal="center" vertical="center"/>
    </xf>
    <xf numFmtId="165" fontId="1" fillId="2" borderId="2" xfId="0" applyNumberFormat="1" applyFont="1" applyFill="1" applyBorder="1" applyAlignment="1">
      <alignment horizontal="center" vertical="center"/>
    </xf>
    <xf numFmtId="0" fontId="0" fillId="2" borderId="4" xfId="0" applyFill="1" applyBorder="1"/>
    <xf numFmtId="165" fontId="1" fillId="2" borderId="2" xfId="0" applyNumberFormat="1" applyFont="1" applyFill="1" applyBorder="1" applyAlignment="1">
      <alignment horizontal="center" vertical="center" wrapText="1"/>
    </xf>
    <xf numFmtId="165" fontId="0" fillId="2" borderId="2" xfId="0" applyNumberFormat="1" applyFill="1" applyBorder="1" applyAlignment="1">
      <alignment horizontal="center" vertical="center"/>
    </xf>
    <xf numFmtId="2" fontId="16" fillId="2" borderId="0" xfId="2" applyNumberFormat="1" applyFont="1" applyFill="1" applyBorder="1" applyAlignment="1">
      <alignment horizontal="center" vertical="center"/>
    </xf>
    <xf numFmtId="165" fontId="0" fillId="2" borderId="0" xfId="0" applyNumberFormat="1" applyFill="1" applyBorder="1" applyAlignment="1">
      <alignment horizontal="center" vertical="center"/>
    </xf>
    <xf numFmtId="165" fontId="0" fillId="2" borderId="0" xfId="0" applyNumberFormat="1" applyFont="1" applyFill="1" applyBorder="1" applyAlignment="1">
      <alignment horizontal="center" vertical="center"/>
    </xf>
    <xf numFmtId="165" fontId="0" fillId="0" borderId="7" xfId="0" applyNumberFormat="1" applyFill="1" applyBorder="1" applyAlignment="1">
      <alignment horizontal="center" vertical="center"/>
    </xf>
    <xf numFmtId="0" fontId="25" fillId="0" borderId="11" xfId="0" applyFont="1" applyFill="1" applyBorder="1" applyAlignment="1">
      <alignment horizontal="center" vertical="center"/>
    </xf>
    <xf numFmtId="0" fontId="24" fillId="0" borderId="11" xfId="0" applyFont="1" applyFill="1" applyBorder="1" applyAlignment="1">
      <alignment horizontal="center" vertical="center" wrapText="1"/>
    </xf>
    <xf numFmtId="0" fontId="24" fillId="0" borderId="9" xfId="0" applyFont="1" applyBorder="1" applyAlignment="1">
      <alignment horizontal="center" vertical="center"/>
    </xf>
    <xf numFmtId="165" fontId="0" fillId="0" borderId="16" xfId="0" applyNumberFormat="1" applyFill="1" applyBorder="1" applyAlignment="1">
      <alignment horizontal="center" vertical="center"/>
    </xf>
    <xf numFmtId="165" fontId="0" fillId="0" borderId="16" xfId="0" applyNumberFormat="1" applyFont="1" applyFill="1" applyBorder="1" applyAlignment="1">
      <alignment horizontal="center" vertical="center"/>
    </xf>
    <xf numFmtId="1" fontId="1" fillId="2" borderId="16" xfId="0" applyNumberFormat="1" applyFont="1" applyFill="1" applyBorder="1" applyAlignment="1">
      <alignment horizontal="center" vertical="center"/>
    </xf>
    <xf numFmtId="2" fontId="0" fillId="0" borderId="4" xfId="0" applyNumberFormat="1" applyFill="1" applyBorder="1" applyAlignment="1">
      <alignment horizontal="center" vertical="center"/>
    </xf>
    <xf numFmtId="2" fontId="16" fillId="0" borderId="4" xfId="2" applyNumberFormat="1" applyFont="1" applyFill="1" applyBorder="1" applyAlignment="1">
      <alignment horizontal="center" vertical="center"/>
    </xf>
    <xf numFmtId="1" fontId="16" fillId="0" borderId="4" xfId="2" applyNumberFormat="1" applyFont="1" applyFill="1" applyBorder="1" applyAlignment="1">
      <alignment horizontal="center" vertical="center"/>
    </xf>
    <xf numFmtId="0" fontId="5" fillId="0" borderId="0" xfId="0" applyFont="1" applyFill="1" applyAlignment="1">
      <alignment vertical="center"/>
    </xf>
    <xf numFmtId="2" fontId="5" fillId="0" borderId="0" xfId="0" applyNumberFormat="1" applyFont="1" applyBorder="1" applyAlignment="1">
      <alignment horizontal="center" vertical="center"/>
    </xf>
    <xf numFmtId="2" fontId="5" fillId="0" borderId="7" xfId="0" applyNumberFormat="1" applyFont="1" applyBorder="1" applyAlignment="1">
      <alignment horizontal="center" vertical="center"/>
    </xf>
    <xf numFmtId="0" fontId="0" fillId="4" borderId="5" xfId="0" applyFill="1" applyBorder="1"/>
    <xf numFmtId="0" fontId="24" fillId="0" borderId="6" xfId="0" applyFont="1" applyFill="1" applyBorder="1" applyAlignment="1">
      <alignment horizontal="center" vertical="center" wrapText="1"/>
    </xf>
    <xf numFmtId="2" fontId="2" fillId="0" borderId="15" xfId="0" applyNumberFormat="1" applyFont="1" applyFill="1" applyBorder="1" applyAlignment="1">
      <alignment horizontal="center" vertical="center"/>
    </xf>
    <xf numFmtId="2" fontId="2" fillId="0" borderId="5" xfId="0" applyNumberFormat="1" applyFont="1" applyFill="1" applyBorder="1" applyAlignment="1">
      <alignment horizontal="center" vertical="center"/>
    </xf>
    <xf numFmtId="2" fontId="0" fillId="0" borderId="21" xfId="0" applyNumberFormat="1" applyFont="1" applyFill="1" applyBorder="1" applyAlignment="1">
      <alignment horizontal="center" vertical="center"/>
    </xf>
    <xf numFmtId="2" fontId="2" fillId="0" borderId="16" xfId="0" applyNumberFormat="1" applyFont="1" applyFill="1" applyBorder="1" applyAlignment="1">
      <alignment horizontal="center" vertical="center"/>
    </xf>
    <xf numFmtId="0" fontId="0" fillId="2" borderId="15" xfId="0" applyFill="1" applyBorder="1" applyAlignment="1">
      <alignment horizontal="center" vertical="center"/>
    </xf>
    <xf numFmtId="0" fontId="0" fillId="0" borderId="0" xfId="0" applyFill="1" applyBorder="1" applyAlignment="1">
      <alignment wrapText="1"/>
    </xf>
    <xf numFmtId="0" fontId="25" fillId="0" borderId="14" xfId="0" applyFont="1" applyFill="1" applyBorder="1"/>
    <xf numFmtId="2" fontId="0" fillId="0" borderId="18" xfId="0" applyNumberFormat="1" applyFill="1" applyBorder="1" applyAlignment="1">
      <alignment horizont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2"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5" fillId="3" borderId="7"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25" fillId="0" borderId="2" xfId="0" applyFont="1" applyFill="1" applyBorder="1"/>
    <xf numFmtId="0" fontId="25" fillId="0" borderId="3" xfId="0" applyFont="1" applyFill="1" applyBorder="1"/>
    <xf numFmtId="0" fontId="24" fillId="0" borderId="8" xfId="0" applyFont="1" applyFill="1" applyBorder="1" applyAlignment="1">
      <alignment horizontal="center" vertical="center" wrapText="1"/>
    </xf>
    <xf numFmtId="0" fontId="24" fillId="0" borderId="10" xfId="0" applyFont="1" applyFill="1" applyBorder="1" applyAlignment="1">
      <alignment horizontal="center" vertical="center"/>
    </xf>
    <xf numFmtId="0" fontId="25" fillId="0" borderId="9" xfId="0" applyFont="1" applyFill="1" applyBorder="1"/>
    <xf numFmtId="0" fontId="24" fillId="0" borderId="8"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7" xfId="0" applyFont="1" applyBorder="1" applyAlignment="1">
      <alignment horizontal="center" vertical="center"/>
    </xf>
    <xf numFmtId="165" fontId="5" fillId="0" borderId="7" xfId="0" applyNumberFormat="1" applyFont="1" applyBorder="1" applyAlignment="1">
      <alignment horizontal="center" vertical="center" wrapText="1"/>
    </xf>
    <xf numFmtId="2" fontId="13" fillId="0" borderId="0" xfId="2" applyNumberFormat="1" applyFont="1" applyFill="1" applyAlignment="1">
      <alignment horizontal="center"/>
    </xf>
    <xf numFmtId="2" fontId="13" fillId="0" borderId="0" xfId="2" applyNumberFormat="1" applyFont="1" applyFill="1" applyAlignment="1">
      <alignment horizontal="center" vertical="center"/>
    </xf>
    <xf numFmtId="0" fontId="5" fillId="0" borderId="0" xfId="1" applyFont="1"/>
    <xf numFmtId="0" fontId="7" fillId="0" borderId="0" xfId="0" applyFont="1" applyAlignment="1">
      <alignment horizontal="center"/>
    </xf>
    <xf numFmtId="11" fontId="5" fillId="0" borderId="0" xfId="0" applyNumberFormat="1" applyFont="1" applyBorder="1" applyAlignment="1">
      <alignment vertical="center"/>
    </xf>
    <xf numFmtId="2" fontId="5" fillId="0" borderId="0" xfId="0" applyNumberFormat="1" applyFont="1" applyBorder="1" applyAlignment="1">
      <alignment vertical="center"/>
    </xf>
    <xf numFmtId="170" fontId="5" fillId="0" borderId="0" xfId="0" applyNumberFormat="1" applyFont="1" applyBorder="1" applyAlignment="1">
      <alignment vertical="center"/>
    </xf>
    <xf numFmtId="1" fontId="5" fillId="0" borderId="0" xfId="0" applyNumberFormat="1" applyFont="1" applyAlignment="1">
      <alignment horizontal="center"/>
    </xf>
    <xf numFmtId="164" fontId="5" fillId="0" borderId="0" xfId="0" applyNumberFormat="1" applyFont="1" applyAlignment="1">
      <alignment horizontal="center"/>
    </xf>
    <xf numFmtId="0" fontId="5" fillId="0" borderId="1" xfId="0" applyFont="1" applyBorder="1" applyAlignment="1">
      <alignment vertical="center"/>
    </xf>
    <xf numFmtId="164" fontId="5" fillId="0" borderId="0" xfId="0" applyNumberFormat="1" applyFont="1" applyBorder="1" applyAlignment="1">
      <alignment vertical="center"/>
    </xf>
    <xf numFmtId="0" fontId="6" fillId="0" borderId="0" xfId="0" applyFont="1" applyBorder="1" applyAlignment="1">
      <alignment horizontal="center" vertical="center" wrapText="1"/>
    </xf>
    <xf numFmtId="0" fontId="6" fillId="0" borderId="7" xfId="0" applyFont="1" applyBorder="1" applyAlignment="1">
      <alignment horizontal="center" vertical="center" wrapText="1"/>
    </xf>
    <xf numFmtId="0" fontId="5" fillId="0" borderId="6" xfId="0" applyFont="1" applyBorder="1" applyAlignment="1">
      <alignment horizontal="center" vertical="top" wrapText="1"/>
    </xf>
    <xf numFmtId="0" fontId="7" fillId="0" borderId="0" xfId="0" applyFont="1" applyBorder="1" applyAlignment="1">
      <alignment horizontal="left" vertical="center"/>
    </xf>
    <xf numFmtId="2" fontId="5" fillId="0" borderId="3" xfId="0" applyNumberFormat="1" applyFont="1" applyFill="1" applyBorder="1" applyAlignment="1">
      <alignment horizontal="center" vertical="center"/>
    </xf>
    <xf numFmtId="0" fontId="5" fillId="0" borderId="0" xfId="0" applyFont="1" applyFill="1"/>
    <xf numFmtId="0" fontId="5" fillId="0" borderId="11" xfId="0" applyFont="1" applyFill="1" applyBorder="1"/>
    <xf numFmtId="0" fontId="5" fillId="0" borderId="9" xfId="0" applyFont="1" applyFill="1" applyBorder="1"/>
    <xf numFmtId="0" fontId="7" fillId="0" borderId="0" xfId="0" applyFont="1" applyFill="1" applyAlignment="1">
      <alignment horizontal="center" vertical="center"/>
    </xf>
    <xf numFmtId="0" fontId="5" fillId="2" borderId="1" xfId="0" applyFont="1" applyFill="1" applyBorder="1" applyAlignment="1">
      <alignment horizontal="center" vertical="center"/>
    </xf>
    <xf numFmtId="2" fontId="5" fillId="2" borderId="2" xfId="0" applyNumberFormat="1" applyFont="1" applyFill="1" applyBorder="1" applyAlignment="1">
      <alignment horizontal="center" vertical="center"/>
    </xf>
    <xf numFmtId="2" fontId="5" fillId="2" borderId="3" xfId="0" applyNumberFormat="1" applyFont="1" applyFill="1" applyBorder="1" applyAlignment="1">
      <alignment horizontal="center" vertical="center"/>
    </xf>
    <xf numFmtId="2" fontId="5" fillId="0" borderId="0" xfId="0" applyNumberFormat="1" applyFont="1" applyFill="1" applyAlignment="1">
      <alignment horizontal="center" vertical="center"/>
    </xf>
    <xf numFmtId="0" fontId="5" fillId="2" borderId="0" xfId="0" applyFont="1" applyFill="1"/>
    <xf numFmtId="2" fontId="5" fillId="2" borderId="5" xfId="0" applyNumberFormat="1" applyFont="1" applyFill="1" applyBorder="1" applyAlignment="1">
      <alignment horizontal="center" vertical="center"/>
    </xf>
    <xf numFmtId="2" fontId="11" fillId="2" borderId="0" xfId="0" applyNumberFormat="1" applyFont="1" applyFill="1" applyBorder="1" applyAlignment="1">
      <alignment horizontal="center" vertical="center"/>
    </xf>
    <xf numFmtId="0" fontId="5" fillId="2" borderId="6" xfId="0" applyFont="1" applyFill="1" applyBorder="1" applyAlignment="1">
      <alignment horizontal="center" vertical="center"/>
    </xf>
    <xf numFmtId="2" fontId="5" fillId="2" borderId="8" xfId="0" applyNumberFormat="1" applyFont="1" applyFill="1" applyBorder="1" applyAlignment="1">
      <alignment horizontal="center" vertical="center"/>
    </xf>
    <xf numFmtId="2" fontId="13" fillId="0" borderId="0" xfId="0" applyNumberFormat="1" applyFont="1" applyFill="1" applyBorder="1" applyAlignment="1">
      <alignment horizontal="center" vertical="center"/>
    </xf>
    <xf numFmtId="0" fontId="5" fillId="0" borderId="0" xfId="0" applyFont="1" applyFill="1" applyBorder="1" applyAlignment="1">
      <alignment horizontal="left" vertical="center" wrapText="1"/>
    </xf>
    <xf numFmtId="2" fontId="5" fillId="0" borderId="0" xfId="0" applyNumberFormat="1" applyFont="1" applyFill="1" applyBorder="1"/>
    <xf numFmtId="168" fontId="5" fillId="0" borderId="0" xfId="0" applyNumberFormat="1" applyFont="1" applyFill="1" applyBorder="1"/>
    <xf numFmtId="2" fontId="5" fillId="0" borderId="0" xfId="0" applyNumberFormat="1" applyFont="1" applyFill="1"/>
    <xf numFmtId="165" fontId="5" fillId="0" borderId="0" xfId="0" applyNumberFormat="1" applyFont="1" applyFill="1"/>
    <xf numFmtId="164" fontId="5" fillId="0" borderId="0" xfId="0" applyNumberFormat="1" applyFont="1" applyFill="1"/>
    <xf numFmtId="0" fontId="7" fillId="0" borderId="2" xfId="0" applyFont="1" applyFill="1" applyBorder="1" applyAlignment="1">
      <alignment horizontal="center"/>
    </xf>
    <xf numFmtId="0" fontId="7" fillId="0" borderId="0" xfId="0" applyFont="1" applyFill="1"/>
    <xf numFmtId="0" fontId="5" fillId="0" borderId="0" xfId="0" applyFont="1" applyFill="1" applyAlignment="1"/>
    <xf numFmtId="2" fontId="5" fillId="0" borderId="0" xfId="0" applyNumberFormat="1" applyFont="1" applyFill="1" applyAlignment="1">
      <alignment horizontal="left" vertical="center"/>
    </xf>
    <xf numFmtId="0" fontId="5" fillId="0" borderId="0" xfId="0" applyFont="1" applyFill="1" applyAlignment="1">
      <alignment horizontal="left"/>
    </xf>
    <xf numFmtId="0" fontId="7" fillId="0" borderId="0" xfId="0" applyFont="1" applyFill="1" applyBorder="1" applyAlignment="1">
      <alignment horizontal="left" vertical="center" wrapText="1"/>
    </xf>
    <xf numFmtId="2" fontId="13" fillId="0" borderId="0" xfId="0" applyNumberFormat="1" applyFont="1" applyFill="1" applyBorder="1" applyAlignment="1">
      <alignment horizontal="left" vertical="center"/>
    </xf>
    <xf numFmtId="2" fontId="5" fillId="0" borderId="0" xfId="0" applyNumberFormat="1" applyFont="1" applyFill="1" applyBorder="1" applyAlignment="1">
      <alignment horizontal="left" vertical="center"/>
    </xf>
    <xf numFmtId="2" fontId="20" fillId="0" borderId="0" xfId="0" applyNumberFormat="1" applyFont="1" applyFill="1" applyBorder="1" applyAlignment="1">
      <alignment horizontal="left" vertical="center"/>
    </xf>
    <xf numFmtId="0" fontId="21" fillId="3" borderId="6" xfId="0" applyFont="1" applyFill="1" applyBorder="1" applyAlignment="1">
      <alignment horizontal="left" vertical="center"/>
    </xf>
    <xf numFmtId="0" fontId="1" fillId="3" borderId="16" xfId="0" applyFont="1" applyFill="1" applyBorder="1" applyAlignment="1">
      <alignment horizontal="center" vertical="center"/>
    </xf>
    <xf numFmtId="2" fontId="1" fillId="3" borderId="16" xfId="0" applyNumberFormat="1" applyFont="1" applyFill="1" applyBorder="1" applyAlignment="1">
      <alignment horizontal="center" vertical="center"/>
    </xf>
    <xf numFmtId="165" fontId="1" fillId="3" borderId="16" xfId="0" applyNumberFormat="1" applyFont="1" applyFill="1" applyBorder="1" applyAlignment="1">
      <alignment horizontal="center" vertical="center"/>
    </xf>
    <xf numFmtId="0" fontId="0" fillId="0" borderId="20" xfId="0" applyFill="1" applyBorder="1" applyAlignment="1">
      <alignment horizontal="center" vertical="center"/>
    </xf>
    <xf numFmtId="165" fontId="0" fillId="0" borderId="21" xfId="0" applyNumberFormat="1" applyFont="1" applyFill="1" applyBorder="1" applyAlignment="1">
      <alignment horizontal="center" vertical="center"/>
    </xf>
    <xf numFmtId="0" fontId="3" fillId="0" borderId="0" xfId="0" applyFont="1" applyAlignment="1">
      <alignment vertical="center"/>
    </xf>
    <xf numFmtId="0" fontId="3" fillId="0" borderId="0" xfId="0" applyFont="1" applyAlignment="1">
      <alignment horizontal="justify" vertical="center"/>
    </xf>
    <xf numFmtId="0" fontId="32" fillId="0" borderId="0" xfId="0" applyFont="1" applyAlignment="1">
      <alignment horizontal="justify" vertical="center"/>
    </xf>
    <xf numFmtId="0" fontId="3" fillId="0" borderId="0" xfId="0" applyFont="1" applyAlignment="1">
      <alignment vertical="center" wrapText="1"/>
    </xf>
    <xf numFmtId="0" fontId="3" fillId="0" borderId="0" xfId="0" applyFont="1" applyAlignment="1">
      <alignment horizontal="justify" vertical="center" wrapText="1"/>
    </xf>
    <xf numFmtId="0" fontId="0" fillId="0" borderId="0" xfId="0" applyAlignment="1">
      <alignment horizontal="center"/>
    </xf>
    <xf numFmtId="0" fontId="5" fillId="0" borderId="0" xfId="0" applyFont="1" applyFill="1" applyAlignment="1">
      <alignment horizontal="center"/>
    </xf>
    <xf numFmtId="0" fontId="13" fillId="0" borderId="0" xfId="0" applyFont="1" applyBorder="1" applyAlignment="1">
      <alignment horizontal="left" vertical="center" wrapText="1"/>
    </xf>
    <xf numFmtId="0" fontId="13" fillId="0" borderId="0" xfId="0" applyFont="1" applyAlignment="1">
      <alignment vertical="center"/>
    </xf>
    <xf numFmtId="0" fontId="0" fillId="0" borderId="0" xfId="0" applyAlignment="1">
      <alignment horizontal="left"/>
    </xf>
    <xf numFmtId="0" fontId="0" fillId="0" borderId="0" xfId="0" applyFill="1" applyAlignment="1">
      <alignment horizontal="left"/>
    </xf>
    <xf numFmtId="0" fontId="7" fillId="0" borderId="4" xfId="0" applyFont="1" applyFill="1" applyBorder="1" applyAlignment="1">
      <alignment horizontal="left" vertical="center"/>
    </xf>
    <xf numFmtId="0" fontId="34" fillId="0" borderId="0" xfId="0" applyFont="1"/>
    <xf numFmtId="0" fontId="5" fillId="0" borderId="1" xfId="0" applyFont="1" applyBorder="1"/>
    <xf numFmtId="0" fontId="5" fillId="0" borderId="2" xfId="0" applyFont="1" applyFill="1" applyBorder="1"/>
    <xf numFmtId="0" fontId="5" fillId="0" borderId="3" xfId="0" applyFont="1" applyFill="1" applyBorder="1"/>
    <xf numFmtId="0" fontId="5" fillId="0" borderId="6" xfId="0" applyFont="1" applyFill="1" applyBorder="1"/>
    <xf numFmtId="0" fontId="5" fillId="0" borderId="7" xfId="0" applyFont="1" applyFill="1" applyBorder="1"/>
    <xf numFmtId="0" fontId="5" fillId="0" borderId="10" xfId="0" applyFont="1" applyBorder="1"/>
    <xf numFmtId="0" fontId="7" fillId="0" borderId="4" xfId="0" applyFont="1" applyFill="1" applyBorder="1" applyAlignment="1">
      <alignment vertical="center" wrapText="1"/>
    </xf>
    <xf numFmtId="0" fontId="7" fillId="0" borderId="6" xfId="0" applyFont="1" applyFill="1" applyBorder="1" applyAlignment="1">
      <alignment vertical="center" wrapText="1"/>
    </xf>
    <xf numFmtId="0" fontId="7" fillId="0" borderId="7" xfId="0" applyFont="1" applyFill="1" applyBorder="1" applyAlignment="1">
      <alignment vertical="center"/>
    </xf>
    <xf numFmtId="0" fontId="7" fillId="0" borderId="0" xfId="0" applyFont="1" applyFill="1" applyBorder="1" applyAlignment="1">
      <alignment horizontal="center"/>
    </xf>
    <xf numFmtId="0" fontId="5" fillId="0" borderId="2" xfId="0" applyFont="1" applyFill="1" applyBorder="1" applyAlignment="1">
      <alignment horizontal="left"/>
    </xf>
    <xf numFmtId="0" fontId="5" fillId="0" borderId="0" xfId="0" applyFont="1" applyBorder="1" applyAlignment="1">
      <alignment horizontal="left"/>
    </xf>
    <xf numFmtId="0" fontId="5" fillId="0" borderId="1" xfId="0" applyFont="1" applyBorder="1" applyAlignment="1">
      <alignment vertical="center" wrapText="1"/>
    </xf>
    <xf numFmtId="0" fontId="5" fillId="0" borderId="3" xfId="0" applyFont="1" applyBorder="1" applyAlignment="1">
      <alignment vertical="center" wrapText="1"/>
    </xf>
    <xf numFmtId="0" fontId="5" fillId="0" borderId="6" xfId="0" applyFont="1" applyBorder="1" applyAlignment="1">
      <alignment vertical="center" wrapText="1"/>
    </xf>
    <xf numFmtId="0" fontId="19" fillId="0" borderId="0" xfId="0" applyFont="1" applyAlignment="1">
      <alignment vertical="center"/>
    </xf>
    <xf numFmtId="0" fontId="9" fillId="0" borderId="0" xfId="0" applyNumberFormat="1" applyFont="1" applyFill="1" applyBorder="1" applyAlignment="1">
      <alignment horizontal="left" vertical="center" wrapText="1"/>
    </xf>
    <xf numFmtId="0" fontId="7" fillId="0" borderId="1" xfId="0" applyFont="1" applyFill="1" applyBorder="1" applyAlignment="1">
      <alignment horizontal="left" vertical="center"/>
    </xf>
    <xf numFmtId="0" fontId="13" fillId="0" borderId="0" xfId="0" applyFont="1"/>
    <xf numFmtId="0" fontId="11" fillId="0" borderId="0" xfId="0" applyFont="1" applyAlignment="1">
      <alignment horizontal="left" vertical="center" indent="6"/>
    </xf>
    <xf numFmtId="2" fontId="5" fillId="2" borderId="0" xfId="0" applyNumberFormat="1" applyFont="1" applyFill="1" applyBorder="1" applyAlignment="1">
      <alignment horizontal="center"/>
    </xf>
    <xf numFmtId="165" fontId="5" fillId="2" borderId="5" xfId="0" applyNumberFormat="1" applyFont="1" applyFill="1" applyBorder="1" applyAlignment="1">
      <alignment horizontal="center" vertical="center"/>
    </xf>
    <xf numFmtId="165" fontId="5" fillId="0" borderId="8" xfId="0" applyNumberFormat="1" applyFont="1" applyFill="1" applyBorder="1" applyAlignment="1">
      <alignment horizontal="center" vertical="center"/>
    </xf>
    <xf numFmtId="0" fontId="5" fillId="0" borderId="1" xfId="0" applyFont="1" applyFill="1" applyBorder="1"/>
    <xf numFmtId="0" fontId="7" fillId="0" borderId="4" xfId="0" applyFont="1" applyFill="1" applyBorder="1" applyAlignment="1">
      <alignment horizontal="center"/>
    </xf>
    <xf numFmtId="0" fontId="7" fillId="0" borderId="6" xfId="0" applyFont="1" applyFill="1" applyBorder="1" applyAlignment="1">
      <alignment horizontal="center"/>
    </xf>
    <xf numFmtId="2" fontId="5" fillId="0" borderId="7" xfId="0" applyNumberFormat="1" applyFont="1" applyFill="1" applyBorder="1" applyAlignment="1">
      <alignment horizontal="center"/>
    </xf>
    <xf numFmtId="1" fontId="5" fillId="2" borderId="0" xfId="0" applyNumberFormat="1" applyFont="1" applyFill="1" applyBorder="1" applyAlignment="1">
      <alignment horizontal="center" vertical="center"/>
    </xf>
    <xf numFmtId="1" fontId="5" fillId="0" borderId="0" xfId="0" applyNumberFormat="1" applyFont="1" applyBorder="1" applyAlignment="1">
      <alignment horizontal="center" vertical="center"/>
    </xf>
    <xf numFmtId="1" fontId="5" fillId="0" borderId="0" xfId="0" applyNumberFormat="1" applyFont="1" applyFill="1" applyBorder="1"/>
    <xf numFmtId="0" fontId="5" fillId="0" borderId="0" xfId="0" applyFont="1" applyAlignment="1">
      <alignment horizontal="center"/>
    </xf>
    <xf numFmtId="0" fontId="7" fillId="0" borderId="0" xfId="0" applyFont="1" applyFill="1" applyAlignment="1">
      <alignment horizontal="center"/>
    </xf>
    <xf numFmtId="165" fontId="5" fillId="0" borderId="5" xfId="0" applyNumberFormat="1" applyFont="1" applyFill="1" applyBorder="1" applyAlignment="1">
      <alignment horizontal="center" vertical="center" wrapText="1"/>
    </xf>
    <xf numFmtId="164" fontId="5" fillId="0" borderId="0"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xf>
    <xf numFmtId="165" fontId="5" fillId="0" borderId="8" xfId="0" applyNumberFormat="1" applyFont="1" applyFill="1" applyBorder="1" applyAlignment="1">
      <alignment horizontal="center" vertical="center" wrapText="1"/>
    </xf>
    <xf numFmtId="0" fontId="35" fillId="0" borderId="0" xfId="3" applyFont="1" applyFill="1"/>
    <xf numFmtId="0" fontId="6" fillId="0" borderId="0" xfId="0" applyFont="1" applyFill="1" applyAlignment="1">
      <alignment vertical="center"/>
    </xf>
    <xf numFmtId="0" fontId="8" fillId="0" borderId="0" xfId="0" applyFont="1" applyFill="1" applyAlignment="1">
      <alignment vertical="center"/>
    </xf>
    <xf numFmtId="1" fontId="5" fillId="0" borderId="0" xfId="0" applyNumberFormat="1" applyFont="1" applyBorder="1"/>
    <xf numFmtId="2" fontId="5" fillId="0" borderId="0" xfId="0" applyNumberFormat="1" applyFont="1" applyBorder="1"/>
    <xf numFmtId="1" fontId="5" fillId="0" borderId="5" xfId="0" applyNumberFormat="1" applyFont="1" applyFill="1" applyBorder="1"/>
    <xf numFmtId="0" fontId="8" fillId="0" borderId="0" xfId="0" applyFont="1" applyFill="1" applyAlignment="1">
      <alignment horizontal="right" vertical="center"/>
    </xf>
    <xf numFmtId="2" fontId="5" fillId="0" borderId="7" xfId="0" applyNumberFormat="1" applyFont="1" applyBorder="1"/>
    <xf numFmtId="2" fontId="5" fillId="0" borderId="7" xfId="0" applyNumberFormat="1" applyFont="1" applyFill="1" applyBorder="1"/>
    <xf numFmtId="1" fontId="5" fillId="0" borderId="7" xfId="0" applyNumberFormat="1" applyFont="1" applyFill="1" applyBorder="1"/>
    <xf numFmtId="1" fontId="5" fillId="0" borderId="8" xfId="0" applyNumberFormat="1" applyFont="1" applyFill="1" applyBorder="1"/>
    <xf numFmtId="0" fontId="5" fillId="0" borderId="0" xfId="0" applyFont="1" applyBorder="1" applyAlignment="1">
      <alignment horizontal="center"/>
    </xf>
    <xf numFmtId="0" fontId="5" fillId="0" borderId="0" xfId="0" applyFont="1" applyAlignment="1"/>
    <xf numFmtId="0" fontId="5" fillId="0" borderId="7" xfId="0" applyFont="1" applyBorder="1" applyAlignment="1">
      <alignment horizontal="center"/>
    </xf>
    <xf numFmtId="1" fontId="5" fillId="0" borderId="2" xfId="0" applyNumberFormat="1" applyFont="1" applyFill="1" applyBorder="1" applyAlignment="1">
      <alignment horizontal="center" vertical="center"/>
    </xf>
    <xf numFmtId="2" fontId="20" fillId="0" borderId="2" xfId="2" applyNumberFormat="1" applyFont="1" applyFill="1" applyBorder="1" applyAlignment="1">
      <alignment horizontal="center" vertical="center"/>
    </xf>
    <xf numFmtId="0" fontId="13" fillId="0" borderId="4" xfId="2" applyFont="1" applyFill="1" applyBorder="1" applyAlignment="1">
      <alignment horizontal="center" vertical="center"/>
    </xf>
    <xf numFmtId="0" fontId="13" fillId="0" borderId="0" xfId="2" applyFont="1" applyFill="1" applyBorder="1" applyAlignment="1">
      <alignment horizontal="center" vertical="center"/>
    </xf>
    <xf numFmtId="2" fontId="13" fillId="0" borderId="0" xfId="2" applyNumberFormat="1" applyFont="1" applyBorder="1" applyAlignment="1">
      <alignment horizontal="center" vertical="center"/>
    </xf>
    <xf numFmtId="0" fontId="20" fillId="0" borderId="0" xfId="2" applyFont="1" applyFill="1" applyAlignment="1">
      <alignment horizontal="center"/>
    </xf>
    <xf numFmtId="0" fontId="13" fillId="0" borderId="0" xfId="2" applyFont="1" applyFill="1" applyAlignment="1">
      <alignment horizontal="center" vertical="center"/>
    </xf>
    <xf numFmtId="0" fontId="20" fillId="0" borderId="0" xfId="2" applyFont="1" applyFill="1" applyBorder="1" applyAlignment="1">
      <alignment horizontal="center" vertical="center"/>
    </xf>
    <xf numFmtId="2" fontId="13" fillId="0" borderId="0" xfId="2" applyNumberFormat="1" applyFont="1" applyFill="1" applyBorder="1" applyAlignment="1">
      <alignment horizontal="center"/>
    </xf>
    <xf numFmtId="1" fontId="20" fillId="0" borderId="2" xfId="2" applyNumberFormat="1" applyFont="1" applyFill="1" applyBorder="1" applyAlignment="1">
      <alignment horizontal="center" vertical="center"/>
    </xf>
    <xf numFmtId="1" fontId="20" fillId="0" borderId="0" xfId="2" applyNumberFormat="1" applyFont="1" applyFill="1" applyBorder="1" applyAlignment="1">
      <alignment horizontal="center" vertical="center"/>
    </xf>
    <xf numFmtId="2" fontId="36" fillId="0" borderId="0" xfId="2" applyNumberFormat="1" applyFont="1" applyFill="1" applyBorder="1" applyAlignment="1">
      <alignment horizontal="center" vertical="center"/>
    </xf>
    <xf numFmtId="2" fontId="36" fillId="0" borderId="0" xfId="2" applyNumberFormat="1" applyFont="1" applyFill="1" applyBorder="1" applyAlignment="1">
      <alignment horizontal="center"/>
    </xf>
    <xf numFmtId="2" fontId="36" fillId="0" borderId="7" xfId="2" applyNumberFormat="1" applyFont="1" applyFill="1" applyBorder="1" applyAlignment="1">
      <alignment horizontal="center" vertical="center"/>
    </xf>
    <xf numFmtId="2" fontId="36" fillId="0" borderId="7" xfId="2" applyNumberFormat="1" applyFont="1" applyFill="1" applyBorder="1" applyAlignment="1">
      <alignment horizontal="center"/>
    </xf>
    <xf numFmtId="0" fontId="13" fillId="0" borderId="0" xfId="2" applyFont="1" applyFill="1" applyAlignment="1">
      <alignment horizontal="center"/>
    </xf>
    <xf numFmtId="0" fontId="13" fillId="0" borderId="0" xfId="2" applyFont="1" applyFill="1"/>
    <xf numFmtId="0" fontId="13" fillId="0" borderId="0" xfId="2" applyFont="1" applyFill="1" applyBorder="1"/>
    <xf numFmtId="165" fontId="13" fillId="0" borderId="7" xfId="2" applyNumberFormat="1" applyFont="1" applyFill="1" applyBorder="1" applyAlignment="1">
      <alignment horizontal="center" vertical="center"/>
    </xf>
    <xf numFmtId="165" fontId="13" fillId="0" borderId="8" xfId="2" applyNumberFormat="1" applyFont="1" applyFill="1" applyBorder="1" applyAlignment="1">
      <alignment horizontal="center" vertical="center"/>
    </xf>
    <xf numFmtId="165" fontId="13" fillId="0" borderId="0" xfId="2" applyNumberFormat="1" applyFont="1"/>
    <xf numFmtId="0" fontId="13" fillId="0" borderId="0" xfId="2" applyFont="1"/>
    <xf numFmtId="165" fontId="13" fillId="0" borderId="0" xfId="2" applyNumberFormat="1" applyFont="1" applyFill="1" applyBorder="1"/>
    <xf numFmtId="1" fontId="20" fillId="0" borderId="5" xfId="2" applyNumberFormat="1" applyFont="1" applyFill="1" applyBorder="1" applyAlignment="1">
      <alignment horizontal="center" vertical="center"/>
    </xf>
    <xf numFmtId="3" fontId="13" fillId="0" borderId="0" xfId="2" applyNumberFormat="1" applyFont="1" applyFill="1" applyBorder="1" applyAlignment="1">
      <alignment horizontal="center" vertical="center"/>
    </xf>
    <xf numFmtId="165" fontId="13" fillId="0" borderId="5" xfId="2" applyNumberFormat="1" applyFont="1" applyFill="1" applyBorder="1" applyAlignment="1">
      <alignment horizontal="center" vertical="center"/>
    </xf>
    <xf numFmtId="4" fontId="13" fillId="0" borderId="0" xfId="2" applyNumberFormat="1" applyFont="1" applyFill="1" applyBorder="1" applyAlignment="1">
      <alignment horizontal="center" vertical="center"/>
    </xf>
    <xf numFmtId="4" fontId="13" fillId="0" borderId="5" xfId="2" applyNumberFormat="1" applyFont="1" applyFill="1" applyBorder="1" applyAlignment="1">
      <alignment horizontal="center" vertical="center"/>
    </xf>
    <xf numFmtId="0" fontId="20" fillId="0" borderId="4" xfId="2" applyFont="1" applyFill="1" applyBorder="1" applyAlignment="1">
      <alignment horizontal="center" vertical="center"/>
    </xf>
    <xf numFmtId="0" fontId="36" fillId="0" borderId="4" xfId="2" applyFont="1" applyFill="1" applyBorder="1" applyAlignment="1">
      <alignment horizontal="center" vertical="center"/>
    </xf>
    <xf numFmtId="1" fontId="36" fillId="0" borderId="0" xfId="2" applyNumberFormat="1" applyFont="1" applyFill="1" applyBorder="1" applyAlignment="1">
      <alignment horizontal="center" vertical="center"/>
    </xf>
    <xf numFmtId="1" fontId="36" fillId="0" borderId="5" xfId="2" applyNumberFormat="1" applyFont="1" applyFill="1" applyBorder="1" applyAlignment="1">
      <alignment horizontal="center" vertical="center"/>
    </xf>
    <xf numFmtId="2" fontId="36" fillId="0" borderId="5" xfId="2" applyNumberFormat="1" applyFont="1" applyFill="1" applyBorder="1" applyAlignment="1">
      <alignment horizontal="center" vertical="center"/>
    </xf>
    <xf numFmtId="1" fontId="36" fillId="0" borderId="0" xfId="2" applyNumberFormat="1" applyFont="1" applyFill="1" applyAlignment="1">
      <alignment horizontal="center" vertical="center"/>
    </xf>
    <xf numFmtId="1" fontId="13" fillId="0" borderId="0" xfId="2" applyNumberFormat="1" applyFont="1" applyBorder="1"/>
    <xf numFmtId="1" fontId="13" fillId="0" borderId="0" xfId="2" applyNumberFormat="1" applyFont="1"/>
    <xf numFmtId="1" fontId="13" fillId="0" borderId="0" xfId="2" applyNumberFormat="1" applyFont="1" applyFill="1"/>
    <xf numFmtId="0" fontId="36" fillId="0" borderId="0" xfId="2" applyFont="1" applyFill="1" applyBorder="1"/>
    <xf numFmtId="2" fontId="13" fillId="0" borderId="5" xfId="2" applyNumberFormat="1" applyFont="1" applyFill="1" applyBorder="1" applyAlignment="1">
      <alignment horizontal="center" vertical="center"/>
    </xf>
    <xf numFmtId="1" fontId="36" fillId="0" borderId="0" xfId="2" applyNumberFormat="1" applyFont="1" applyFill="1" applyBorder="1"/>
    <xf numFmtId="0" fontId="13" fillId="0" borderId="6" xfId="2" applyFont="1" applyFill="1" applyBorder="1" applyAlignment="1">
      <alignment horizontal="center" vertical="center"/>
    </xf>
    <xf numFmtId="1" fontId="13" fillId="0" borderId="7" xfId="2" applyNumberFormat="1" applyFont="1" applyFill="1" applyBorder="1" applyAlignment="1">
      <alignment horizontal="center" vertical="center"/>
    </xf>
    <xf numFmtId="1" fontId="13" fillId="0" borderId="8" xfId="2" applyNumberFormat="1" applyFont="1" applyFill="1" applyBorder="1" applyAlignment="1">
      <alignment horizontal="center" vertical="center"/>
    </xf>
    <xf numFmtId="1" fontId="13" fillId="0" borderId="0" xfId="2" applyNumberFormat="1" applyFont="1" applyFill="1" applyAlignment="1">
      <alignment horizontal="center" vertical="center"/>
    </xf>
    <xf numFmtId="2" fontId="20" fillId="0" borderId="0" xfId="2" applyNumberFormat="1" applyFont="1" applyFill="1" applyBorder="1"/>
    <xf numFmtId="169" fontId="13" fillId="0" borderId="0" xfId="2" applyNumberFormat="1" applyFont="1" applyFill="1" applyBorder="1"/>
    <xf numFmtId="3" fontId="13" fillId="0" borderId="0" xfId="2" applyNumberFormat="1" applyFont="1" applyFill="1" applyBorder="1"/>
    <xf numFmtId="1" fontId="20" fillId="0" borderId="0" xfId="2" applyNumberFormat="1" applyFont="1" applyBorder="1"/>
    <xf numFmtId="0" fontId="20" fillId="0" borderId="0" xfId="2" applyFont="1" applyFill="1" applyAlignment="1">
      <alignment horizontal="center" vertical="center"/>
    </xf>
    <xf numFmtId="2" fontId="13" fillId="0" borderId="0" xfId="2" applyNumberFormat="1" applyFont="1" applyBorder="1"/>
    <xf numFmtId="2" fontId="13" fillId="0" borderId="0" xfId="2" applyNumberFormat="1" applyFont="1"/>
    <xf numFmtId="167" fontId="13" fillId="0" borderId="0" xfId="2" applyNumberFormat="1" applyFont="1" applyFill="1" applyBorder="1"/>
    <xf numFmtId="0" fontId="13" fillId="0" borderId="0" xfId="0" applyFont="1" applyFill="1" applyBorder="1"/>
    <xf numFmtId="4" fontId="13" fillId="0" borderId="0" xfId="2" applyNumberFormat="1" applyFont="1" applyFill="1" applyBorder="1"/>
    <xf numFmtId="1" fontId="13" fillId="0" borderId="6" xfId="2" applyNumberFormat="1" applyFont="1" applyFill="1" applyBorder="1" applyAlignment="1">
      <alignment horizontal="center" vertical="center"/>
    </xf>
    <xf numFmtId="0" fontId="35" fillId="0" borderId="0" xfId="3" applyFont="1" applyFill="1" applyBorder="1" applyAlignment="1">
      <alignment horizontal="center" vertical="center" wrapText="1"/>
    </xf>
    <xf numFmtId="2" fontId="5" fillId="0" borderId="8" xfId="0" applyNumberFormat="1" applyFont="1" applyFill="1" applyBorder="1" applyAlignment="1">
      <alignment horizontal="center" vertical="center" wrapText="1"/>
    </xf>
    <xf numFmtId="0" fontId="7" fillId="0" borderId="0" xfId="0" applyFont="1" applyBorder="1"/>
    <xf numFmtId="1" fontId="5" fillId="0" borderId="0" xfId="0" applyNumberFormat="1" applyFont="1" applyFill="1"/>
    <xf numFmtId="0" fontId="37" fillId="0" borderId="0" xfId="0" applyFont="1" applyFill="1" applyBorder="1"/>
    <xf numFmtId="0" fontId="13" fillId="0" borderId="0" xfId="0" applyFont="1" applyFill="1" applyBorder="1" applyAlignment="1">
      <alignment horizontal="center"/>
    </xf>
    <xf numFmtId="1" fontId="13" fillId="0" borderId="0" xfId="0" applyNumberFormat="1" applyFont="1" applyFill="1" applyBorder="1" applyAlignment="1">
      <alignment horizontal="center"/>
    </xf>
    <xf numFmtId="2" fontId="7" fillId="0" borderId="5" xfId="0" applyNumberFormat="1" applyFont="1" applyBorder="1" applyAlignment="1">
      <alignment horizontal="center" vertical="center"/>
    </xf>
    <xf numFmtId="1" fontId="8" fillId="0" borderId="0" xfId="0" applyNumberFormat="1" applyFont="1" applyFill="1" applyBorder="1" applyAlignment="1">
      <alignment horizontal="right" vertical="center"/>
    </xf>
    <xf numFmtId="0" fontId="6" fillId="0" borderId="0" xfId="0" applyFont="1" applyFill="1" applyBorder="1"/>
    <xf numFmtId="0" fontId="5" fillId="0" borderId="0" xfId="0" applyFont="1" applyFill="1" applyBorder="1" applyAlignment="1">
      <alignment horizontal="left"/>
    </xf>
    <xf numFmtId="0" fontId="20" fillId="0" borderId="5" xfId="2" applyFont="1" applyFill="1" applyBorder="1" applyAlignment="1">
      <alignment horizontal="center" vertical="center"/>
    </xf>
    <xf numFmtId="0" fontId="28" fillId="0" borderId="0" xfId="0" applyFont="1" applyBorder="1" applyAlignment="1">
      <alignment horizontal="center" vertical="center"/>
    </xf>
    <xf numFmtId="0" fontId="11" fillId="0" borderId="4" xfId="0" applyFont="1" applyBorder="1" applyAlignment="1">
      <alignment horizontal="center" vertical="center"/>
    </xf>
    <xf numFmtId="0" fontId="13" fillId="0" borderId="1" xfId="2" applyFont="1" applyFill="1" applyBorder="1" applyAlignment="1">
      <alignment horizontal="center" vertical="center"/>
    </xf>
    <xf numFmtId="0" fontId="13" fillId="0" borderId="0" xfId="2" applyFont="1" applyAlignment="1">
      <alignment horizontal="center" vertical="center"/>
    </xf>
    <xf numFmtId="0" fontId="20" fillId="0" borderId="1" xfId="2" applyFont="1" applyFill="1" applyBorder="1" applyAlignment="1">
      <alignment horizontal="center" vertical="center"/>
    </xf>
    <xf numFmtId="3" fontId="8" fillId="0" borderId="5" xfId="0" applyNumberFormat="1" applyFont="1" applyFill="1" applyBorder="1" applyAlignment="1">
      <alignment horizontal="center" vertical="center"/>
    </xf>
    <xf numFmtId="171" fontId="13" fillId="0" borderId="5" xfId="2" applyNumberFormat="1" applyFont="1" applyFill="1" applyBorder="1" applyAlignment="1">
      <alignment horizontal="center" vertical="center"/>
    </xf>
    <xf numFmtId="0" fontId="5" fillId="0" borderId="0" xfId="0" applyFont="1" applyAlignment="1">
      <alignment horizontal="center" vertical="center"/>
    </xf>
    <xf numFmtId="0" fontId="13" fillId="0" borderId="5" xfId="2" applyFont="1" applyBorder="1" applyAlignment="1">
      <alignment horizontal="center" vertical="center"/>
    </xf>
    <xf numFmtId="0" fontId="7" fillId="0" borderId="5" xfId="0" applyFont="1" applyBorder="1" applyAlignment="1">
      <alignment horizontal="center" vertical="center"/>
    </xf>
    <xf numFmtId="164" fontId="13" fillId="0" borderId="5" xfId="2" applyNumberFormat="1" applyFont="1" applyFill="1" applyBorder="1" applyAlignment="1">
      <alignment horizontal="center" vertical="center"/>
    </xf>
    <xf numFmtId="0" fontId="20" fillId="0" borderId="6" xfId="2" applyFont="1" applyFill="1" applyBorder="1" applyAlignment="1">
      <alignment horizontal="center" vertical="center"/>
    </xf>
    <xf numFmtId="0" fontId="20" fillId="0" borderId="2" xfId="2" applyFont="1" applyFill="1" applyBorder="1" applyAlignment="1">
      <alignment horizontal="center" vertical="center"/>
    </xf>
    <xf numFmtId="167" fontId="13" fillId="0" borderId="8" xfId="2" applyNumberFormat="1" applyFont="1" applyFill="1" applyBorder="1" applyAlignment="1">
      <alignment horizontal="center" vertical="center"/>
    </xf>
    <xf numFmtId="0" fontId="13" fillId="0" borderId="0" xfId="3" applyFont="1" applyFill="1" applyAlignment="1">
      <alignment horizontal="left" vertical="center" indent="5"/>
    </xf>
    <xf numFmtId="0" fontId="13" fillId="0" borderId="0" xfId="0" applyFont="1" applyFill="1"/>
    <xf numFmtId="0" fontId="13" fillId="0" borderId="0" xfId="3" applyFont="1" applyFill="1" applyAlignment="1">
      <alignment vertical="center"/>
    </xf>
    <xf numFmtId="0" fontId="13" fillId="0" borderId="0" xfId="0" applyFont="1" applyFill="1" applyAlignment="1">
      <alignment vertical="center"/>
    </xf>
    <xf numFmtId="0" fontId="20" fillId="0" borderId="0" xfId="0" applyFont="1" applyFill="1"/>
    <xf numFmtId="0" fontId="13" fillId="0" borderId="0" xfId="0" applyFont="1" applyFill="1" applyAlignment="1">
      <alignment horizontal="left" vertical="center" indent="5"/>
    </xf>
    <xf numFmtId="0" fontId="13" fillId="0" borderId="0" xfId="0" applyFont="1" applyFill="1" applyBorder="1" applyAlignment="1">
      <alignment horizontal="left" vertical="center"/>
    </xf>
    <xf numFmtId="0" fontId="38" fillId="0" borderId="0" xfId="0" applyFont="1" applyFill="1"/>
    <xf numFmtId="0" fontId="20" fillId="0" borderId="0" xfId="0" applyFont="1" applyFill="1" applyAlignment="1">
      <alignment vertical="center"/>
    </xf>
    <xf numFmtId="0" fontId="39" fillId="0" borderId="0" xfId="0" applyFont="1" applyFill="1"/>
    <xf numFmtId="0" fontId="40" fillId="0" borderId="0" xfId="0" applyFont="1" applyAlignment="1">
      <alignment vertical="center"/>
    </xf>
    <xf numFmtId="0" fontId="5" fillId="0" borderId="4" xfId="0" applyFont="1" applyFill="1" applyBorder="1" applyAlignment="1">
      <alignment horizontal="left" vertical="center"/>
    </xf>
    <xf numFmtId="0" fontId="2" fillId="0" borderId="0" xfId="3" applyFont="1" applyAlignment="1">
      <alignment vertical="center"/>
    </xf>
    <xf numFmtId="0" fontId="13" fillId="0" borderId="0" xfId="2" applyFont="1" applyBorder="1" applyAlignment="1">
      <alignment horizontal="left" vertical="center"/>
    </xf>
    <xf numFmtId="0" fontId="13" fillId="0" borderId="0" xfId="2" applyFont="1" applyFill="1" applyBorder="1" applyAlignment="1">
      <alignment horizontal="left" vertical="center"/>
    </xf>
    <xf numFmtId="0" fontId="20" fillId="0" borderId="4" xfId="2" applyFont="1" applyFill="1" applyBorder="1" applyAlignment="1">
      <alignment horizontal="left" vertical="center"/>
    </xf>
    <xf numFmtId="0" fontId="23" fillId="0" borderId="0" xfId="0" applyFont="1" applyFill="1" applyBorder="1" applyAlignment="1">
      <alignment horizontal="left"/>
    </xf>
    <xf numFmtId="0" fontId="15" fillId="0" borderId="0" xfId="3" applyAlignment="1">
      <alignment horizontal="left" vertical="center"/>
    </xf>
    <xf numFmtId="0" fontId="23" fillId="0" borderId="0" xfId="0" applyFont="1" applyAlignment="1">
      <alignment horizontal="left" vertical="top" wrapText="1"/>
    </xf>
    <xf numFmtId="0" fontId="33" fillId="0" borderId="0" xfId="0" applyFont="1" applyAlignment="1">
      <alignment vertical="center" wrapText="1"/>
    </xf>
    <xf numFmtId="49" fontId="5" fillId="0" borderId="6" xfId="0" applyNumberFormat="1" applyFont="1" applyBorder="1" applyAlignment="1">
      <alignment horizontal="center" vertical="center"/>
    </xf>
    <xf numFmtId="0" fontId="5" fillId="0" borderId="4" xfId="0" applyFont="1" applyBorder="1" applyAlignment="1">
      <alignment horizontal="center" vertical="top" wrapText="1"/>
    </xf>
    <xf numFmtId="165" fontId="5" fillId="0" borderId="7" xfId="0" applyNumberFormat="1" applyFont="1" applyFill="1" applyBorder="1" applyAlignment="1">
      <alignment horizontal="center" vertical="center"/>
    </xf>
    <xf numFmtId="165" fontId="5" fillId="0" borderId="5" xfId="0" applyNumberFormat="1" applyFont="1" applyBorder="1" applyAlignment="1">
      <alignment horizontal="center" vertical="center" wrapText="1"/>
    </xf>
    <xf numFmtId="0" fontId="7" fillId="0" borderId="4" xfId="0" applyFont="1" applyBorder="1" applyAlignment="1">
      <alignment horizontal="center" vertical="top" wrapText="1"/>
    </xf>
    <xf numFmtId="0" fontId="24" fillId="0" borderId="0" xfId="0" applyFont="1" applyFill="1" applyBorder="1" applyAlignment="1">
      <alignment wrapText="1"/>
    </xf>
    <xf numFmtId="2" fontId="1" fillId="3" borderId="22" xfId="0" applyNumberFormat="1" applyFont="1" applyFill="1" applyBorder="1" applyAlignment="1">
      <alignment horizontal="center" vertical="center"/>
    </xf>
    <xf numFmtId="2" fontId="1" fillId="3" borderId="2" xfId="0" applyNumberFormat="1" applyFont="1" applyFill="1" applyBorder="1" applyAlignment="1">
      <alignment horizontal="center" vertical="center"/>
    </xf>
    <xf numFmtId="2" fontId="1" fillId="3" borderId="23"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2" fontId="1" fillId="3" borderId="0" xfId="0" applyNumberFormat="1" applyFont="1" applyFill="1" applyBorder="1" applyAlignment="1">
      <alignment horizontal="center" vertical="center"/>
    </xf>
    <xf numFmtId="2" fontId="1" fillId="2" borderId="22" xfId="0" applyNumberFormat="1" applyFont="1" applyFill="1" applyBorder="1" applyAlignment="1">
      <alignment horizontal="center" vertical="center"/>
    </xf>
    <xf numFmtId="2" fontId="1" fillId="2" borderId="23" xfId="0" applyNumberFormat="1" applyFont="1" applyFill="1" applyBorder="1" applyAlignment="1">
      <alignment horizontal="center" vertical="center"/>
    </xf>
    <xf numFmtId="2" fontId="0" fillId="0" borderId="20" xfId="0" applyNumberFormat="1" applyFill="1" applyBorder="1" applyAlignment="1">
      <alignment horizontal="center" vertical="center"/>
    </xf>
    <xf numFmtId="165" fontId="1" fillId="2" borderId="22" xfId="0" applyNumberFormat="1" applyFont="1" applyFill="1" applyBorder="1" applyAlignment="1">
      <alignment horizontal="center" vertical="center"/>
    </xf>
    <xf numFmtId="165" fontId="1" fillId="2" borderId="15" xfId="0" applyNumberFormat="1" applyFont="1" applyFill="1" applyBorder="1" applyAlignment="1">
      <alignment horizontal="center" vertical="center"/>
    </xf>
    <xf numFmtId="0" fontId="21" fillId="3" borderId="2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0" xfId="0" applyFont="1" applyFill="1" applyBorder="1" applyAlignment="1">
      <alignment horizontal="center" vertical="center" wrapText="1"/>
    </xf>
    <xf numFmtId="0" fontId="21" fillId="3" borderId="16" xfId="0" applyFont="1" applyFill="1" applyBorder="1" applyAlignment="1">
      <alignment horizontal="center" vertical="center" wrapText="1"/>
    </xf>
    <xf numFmtId="2" fontId="0" fillId="0" borderId="20" xfId="0" applyNumberFormat="1" applyFont="1" applyFill="1" applyBorder="1" applyAlignment="1">
      <alignment horizontal="center" vertical="center"/>
    </xf>
    <xf numFmtId="0" fontId="0" fillId="0" borderId="21" xfId="0" applyFill="1" applyBorder="1"/>
    <xf numFmtId="2" fontId="1" fillId="2" borderId="2" xfId="0" applyNumberFormat="1" applyFont="1" applyFill="1" applyBorder="1" applyAlignment="1">
      <alignment horizontal="center" vertical="center" wrapText="1"/>
    </xf>
    <xf numFmtId="2" fontId="0" fillId="0" borderId="7" xfId="0" applyNumberFormat="1" applyFill="1" applyBorder="1" applyAlignment="1">
      <alignment horizontal="center" vertical="center" wrapText="1"/>
    </xf>
    <xf numFmtId="2" fontId="1" fillId="2" borderId="22" xfId="0" applyNumberFormat="1" applyFont="1" applyFill="1" applyBorder="1" applyAlignment="1">
      <alignment horizontal="center" vertical="center" wrapText="1"/>
    </xf>
    <xf numFmtId="2" fontId="1" fillId="2" borderId="23" xfId="0" applyNumberFormat="1" applyFont="1" applyFill="1" applyBorder="1" applyAlignment="1">
      <alignment horizontal="center" vertical="center" wrapText="1"/>
    </xf>
    <xf numFmtId="2" fontId="0" fillId="0" borderId="20" xfId="0" applyNumberFormat="1" applyFill="1" applyBorder="1" applyAlignment="1">
      <alignment horizontal="center" vertical="center" wrapText="1"/>
    </xf>
    <xf numFmtId="2" fontId="0" fillId="0" borderId="21" xfId="0" applyNumberFormat="1" applyFill="1" applyBorder="1" applyAlignment="1">
      <alignment horizontal="center" vertical="center" wrapText="1"/>
    </xf>
    <xf numFmtId="2" fontId="0" fillId="0" borderId="20" xfId="0" applyNumberFormat="1" applyFill="1" applyBorder="1" applyAlignment="1">
      <alignment horizontal="center"/>
    </xf>
    <xf numFmtId="2" fontId="0" fillId="0" borderId="21" xfId="0" applyNumberFormat="1" applyFill="1" applyBorder="1" applyAlignment="1">
      <alignment horizontal="center"/>
    </xf>
    <xf numFmtId="2" fontId="0" fillId="0" borderId="21" xfId="0" applyNumberFormat="1" applyFill="1" applyBorder="1" applyAlignment="1">
      <alignment horizontal="center" vertical="center"/>
    </xf>
    <xf numFmtId="166" fontId="5" fillId="0" borderId="0" xfId="0" applyNumberFormat="1" applyFont="1" applyFill="1" applyBorder="1" applyAlignment="1">
      <alignment horizontal="center" vertical="center" wrapText="1"/>
    </xf>
    <xf numFmtId="0" fontId="5" fillId="6" borderId="19" xfId="0" applyFont="1" applyFill="1" applyBorder="1" applyAlignment="1">
      <alignment vertical="center" wrapText="1"/>
    </xf>
    <xf numFmtId="0" fontId="5" fillId="0" borderId="19" xfId="0" applyFont="1" applyBorder="1" applyAlignment="1">
      <alignment vertical="center" wrapText="1"/>
    </xf>
    <xf numFmtId="0" fontId="5" fillId="0" borderId="16" xfId="0" applyFont="1" applyBorder="1" applyAlignment="1">
      <alignment vertical="center" wrapText="1"/>
    </xf>
    <xf numFmtId="0" fontId="34" fillId="0" borderId="0" xfId="0" applyFont="1" applyAlignment="1">
      <alignment horizontal="center"/>
    </xf>
    <xf numFmtId="0" fontId="5" fillId="0" borderId="26" xfId="0" applyFont="1" applyBorder="1" applyAlignment="1">
      <alignment vertical="center" wrapText="1"/>
    </xf>
    <xf numFmtId="2" fontId="5" fillId="0" borderId="3" xfId="0" applyNumberFormat="1" applyFont="1" applyFill="1" applyBorder="1" applyAlignment="1">
      <alignment horizontal="center" vertical="center" wrapText="1"/>
    </xf>
    <xf numFmtId="0" fontId="7" fillId="0" borderId="24" xfId="0" applyFont="1" applyBorder="1" applyAlignment="1">
      <alignment vertical="center" wrapText="1"/>
    </xf>
    <xf numFmtId="0" fontId="7" fillId="0" borderId="25" xfId="0" applyFont="1" applyBorder="1" applyAlignment="1">
      <alignment vertical="center" wrapText="1"/>
    </xf>
    <xf numFmtId="0" fontId="7" fillId="6" borderId="26" xfId="0" applyFont="1" applyFill="1" applyBorder="1" applyAlignment="1">
      <alignment vertical="center" wrapText="1"/>
    </xf>
    <xf numFmtId="0" fontId="43" fillId="0" borderId="0" xfId="0" applyFont="1" applyAlignment="1">
      <alignment horizontal="left" vertical="center" wrapText="1" indent="1"/>
    </xf>
    <xf numFmtId="0" fontId="5" fillId="0" borderId="0" xfId="0" applyFont="1" applyAlignment="1">
      <alignment horizontal="left" vertical="center" indent="5"/>
    </xf>
    <xf numFmtId="0" fontId="30" fillId="2" borderId="4" xfId="2" applyFont="1" applyFill="1" applyBorder="1" applyAlignment="1">
      <alignment horizontal="center" vertical="center"/>
    </xf>
    <xf numFmtId="0" fontId="4" fillId="2" borderId="0" xfId="0" applyFont="1" applyFill="1" applyBorder="1" applyAlignment="1">
      <alignment horizontal="center" vertical="center"/>
    </xf>
    <xf numFmtId="2" fontId="4" fillId="2" borderId="0" xfId="0" applyNumberFormat="1" applyFont="1" applyFill="1" applyBorder="1" applyAlignment="1">
      <alignment horizontal="center"/>
    </xf>
    <xf numFmtId="0" fontId="30" fillId="0" borderId="4" xfId="2" applyFont="1" applyFill="1" applyBorder="1" applyAlignment="1">
      <alignment horizontal="center" vertical="center"/>
    </xf>
    <xf numFmtId="0" fontId="4" fillId="0" borderId="0" xfId="0" applyFont="1" applyFill="1" applyBorder="1" applyAlignment="1">
      <alignment horizontal="center" vertical="center"/>
    </xf>
    <xf numFmtId="2" fontId="4" fillId="0" borderId="0" xfId="0" applyNumberFormat="1" applyFont="1" applyFill="1" applyBorder="1" applyAlignment="1">
      <alignment horizontal="center" vertical="center"/>
    </xf>
    <xf numFmtId="0" fontId="4" fillId="2" borderId="4" xfId="0" applyFont="1" applyFill="1" applyBorder="1" applyAlignment="1">
      <alignment horizontal="center" vertical="center"/>
    </xf>
    <xf numFmtId="2" fontId="4" fillId="2" borderId="0" xfId="0" applyNumberFormat="1"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xf numFmtId="0" fontId="30" fillId="0" borderId="0" xfId="2" applyFont="1" applyFill="1" applyBorder="1" applyAlignment="1">
      <alignment horizontal="center" vertical="center"/>
    </xf>
    <xf numFmtId="0" fontId="4" fillId="2" borderId="0" xfId="0" applyFont="1" applyFill="1" applyBorder="1"/>
    <xf numFmtId="0" fontId="4" fillId="0" borderId="4" xfId="0" applyFont="1" applyFill="1" applyBorder="1"/>
    <xf numFmtId="0" fontId="4" fillId="2" borderId="4" xfId="0" applyFont="1" applyFill="1" applyBorder="1"/>
    <xf numFmtId="2" fontId="4" fillId="2" borderId="4" xfId="0" applyNumberFormat="1" applyFont="1" applyFill="1" applyBorder="1"/>
    <xf numFmtId="0" fontId="4" fillId="0" borderId="6" xfId="0" applyFont="1" applyFill="1" applyBorder="1"/>
    <xf numFmtId="0" fontId="4" fillId="0" borderId="7" xfId="0" applyFont="1" applyFill="1" applyBorder="1" applyAlignment="1">
      <alignment horizontal="center" vertical="center"/>
    </xf>
    <xf numFmtId="0" fontId="4" fillId="0" borderId="7" xfId="0" applyFont="1" applyFill="1" applyBorder="1"/>
    <xf numFmtId="1" fontId="20" fillId="0" borderId="0" xfId="2" applyNumberFormat="1" applyFont="1" applyFill="1" applyBorder="1" applyAlignment="1">
      <alignment horizontal="center"/>
    </xf>
    <xf numFmtId="1" fontId="13" fillId="0" borderId="0" xfId="2" applyNumberFormat="1" applyFont="1" applyFill="1" applyBorder="1" applyAlignment="1">
      <alignment horizontal="center"/>
    </xf>
    <xf numFmtId="1" fontId="5" fillId="2" borderId="0" xfId="0" applyNumberFormat="1" applyFont="1" applyFill="1" applyBorder="1" applyAlignment="1">
      <alignment horizontal="center"/>
    </xf>
    <xf numFmtId="1" fontId="2" fillId="2" borderId="0" xfId="0" applyNumberFormat="1" applyFont="1" applyFill="1" applyBorder="1" applyAlignment="1">
      <alignment horizontal="center"/>
    </xf>
    <xf numFmtId="165" fontId="5" fillId="0" borderId="7" xfId="0" applyNumberFormat="1" applyFont="1" applyFill="1" applyBorder="1" applyAlignment="1">
      <alignment horizontal="center"/>
    </xf>
    <xf numFmtId="165" fontId="5" fillId="0" borderId="8" xfId="0" applyNumberFormat="1" applyFont="1" applyFill="1" applyBorder="1" applyAlignment="1">
      <alignment horizontal="center"/>
    </xf>
    <xf numFmtId="2" fontId="13" fillId="0" borderId="0" xfId="2" applyNumberFormat="1" applyFont="1" applyFill="1" applyBorder="1" applyAlignment="1">
      <alignment horizontal="left" vertical="center"/>
    </xf>
    <xf numFmtId="0" fontId="8" fillId="0" borderId="0" xfId="0" applyFont="1" applyAlignment="1">
      <alignment vertical="center"/>
    </xf>
    <xf numFmtId="1" fontId="2" fillId="0" borderId="0" xfId="0" applyNumberFormat="1" applyFont="1" applyFill="1" applyBorder="1" applyAlignment="1">
      <alignment horizontal="center"/>
    </xf>
    <xf numFmtId="0" fontId="7" fillId="0" borderId="10" xfId="0" applyFont="1" applyFill="1" applyBorder="1" applyAlignment="1">
      <alignment horizontal="center" vertical="center"/>
    </xf>
    <xf numFmtId="0" fontId="5" fillId="0" borderId="8" xfId="0" applyFont="1" applyBorder="1" applyAlignment="1">
      <alignment horizontal="center"/>
    </xf>
    <xf numFmtId="165" fontId="5" fillId="0" borderId="0" xfId="0" applyNumberFormat="1" applyFont="1" applyBorder="1" applyAlignment="1">
      <alignment horizontal="center" vertical="center"/>
    </xf>
    <xf numFmtId="0" fontId="7" fillId="0" borderId="2" xfId="0" applyFont="1" applyBorder="1" applyAlignment="1">
      <alignment horizontal="center" wrapText="1"/>
    </xf>
    <xf numFmtId="0" fontId="5" fillId="0" borderId="0" xfId="0" applyFont="1" applyBorder="1" applyAlignment="1">
      <alignment horizontal="center" wrapText="1"/>
    </xf>
    <xf numFmtId="164" fontId="5" fillId="0" borderId="5" xfId="0" applyNumberFormat="1" applyFont="1" applyBorder="1" applyAlignment="1">
      <alignment horizontal="center" wrapText="1"/>
    </xf>
    <xf numFmtId="2" fontId="5" fillId="0" borderId="0" xfId="0" applyNumberFormat="1" applyFont="1" applyBorder="1" applyAlignment="1">
      <alignment horizontal="center" wrapText="1"/>
    </xf>
    <xf numFmtId="2" fontId="5" fillId="0" borderId="5" xfId="0" applyNumberFormat="1" applyFont="1" applyBorder="1" applyAlignment="1">
      <alignment horizontal="center" wrapText="1"/>
    </xf>
    <xf numFmtId="0" fontId="5" fillId="0" borderId="5" xfId="0" applyFont="1" applyBorder="1" applyAlignment="1">
      <alignment horizontal="center" wrapText="1"/>
    </xf>
    <xf numFmtId="0" fontId="5" fillId="0" borderId="6" xfId="0" applyFont="1" applyFill="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center" wrapText="1"/>
    </xf>
    <xf numFmtId="0" fontId="5" fillId="0" borderId="4" xfId="0" applyFont="1" applyBorder="1" applyAlignment="1">
      <alignment horizontal="center"/>
    </xf>
    <xf numFmtId="0" fontId="1" fillId="2" borderId="2" xfId="0" applyFont="1" applyFill="1" applyBorder="1" applyAlignment="1">
      <alignment horizontal="center"/>
    </xf>
    <xf numFmtId="0" fontId="0" fillId="3" borderId="28" xfId="0" applyFill="1" applyBorder="1" applyAlignment="1">
      <alignment horizontal="center" vertical="center"/>
    </xf>
    <xf numFmtId="2" fontId="0" fillId="3" borderId="29" xfId="0" applyNumberFormat="1" applyFill="1" applyBorder="1" applyAlignment="1">
      <alignment horizontal="center" vertical="center"/>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5" fillId="0" borderId="3" xfId="0" applyFont="1" applyBorder="1" applyAlignment="1">
      <alignment horizontal="center" vertical="center"/>
    </xf>
    <xf numFmtId="0" fontId="8" fillId="0" borderId="0" xfId="0" applyFont="1" applyBorder="1" applyAlignment="1">
      <alignment horizontal="left" vertical="center"/>
    </xf>
    <xf numFmtId="165" fontId="5" fillId="2" borderId="3" xfId="0" applyNumberFormat="1" applyFont="1" applyFill="1" applyBorder="1" applyAlignment="1">
      <alignment horizontal="center" vertical="center" wrapText="1"/>
    </xf>
    <xf numFmtId="165" fontId="5" fillId="2" borderId="5" xfId="0" applyNumberFormat="1" applyFont="1" applyFill="1" applyBorder="1" applyAlignment="1">
      <alignment horizontal="center" vertical="center" wrapText="1"/>
    </xf>
    <xf numFmtId="2" fontId="2" fillId="0" borderId="7" xfId="0" applyNumberFormat="1" applyFont="1" applyFill="1" applyBorder="1" applyAlignment="1">
      <alignment horizontal="center" vertical="center"/>
    </xf>
    <xf numFmtId="2" fontId="2" fillId="0" borderId="8" xfId="0" applyNumberFormat="1" applyFont="1" applyFill="1" applyBorder="1" applyAlignment="1">
      <alignment horizontal="center" vertical="center"/>
    </xf>
    <xf numFmtId="1" fontId="1" fillId="2" borderId="0" xfId="0" applyNumberFormat="1" applyFont="1" applyFill="1" applyBorder="1" applyAlignment="1">
      <alignment horizontal="center" vertical="center" wrapText="1"/>
    </xf>
    <xf numFmtId="1" fontId="13" fillId="0" borderId="3" xfId="2" applyNumberFormat="1" applyFont="1" applyFill="1" applyBorder="1" applyAlignment="1">
      <alignment horizontal="center"/>
    </xf>
    <xf numFmtId="1" fontId="13" fillId="0" borderId="8" xfId="2" applyNumberFormat="1" applyFont="1" applyFill="1" applyBorder="1" applyAlignment="1">
      <alignment horizontal="center"/>
    </xf>
    <xf numFmtId="2" fontId="5" fillId="0" borderId="9" xfId="0" applyNumberFormat="1" applyFont="1" applyFill="1" applyBorder="1" applyAlignment="1">
      <alignment horizontal="center" vertical="center"/>
    </xf>
    <xf numFmtId="0" fontId="5" fillId="0" borderId="9" xfId="0" applyFont="1" applyBorder="1" applyAlignment="1">
      <alignment horizontal="center" vertical="center"/>
    </xf>
    <xf numFmtId="0" fontId="5" fillId="0" borderId="8" xfId="0" applyFont="1" applyFill="1" applyBorder="1" applyAlignment="1">
      <alignment horizontal="center"/>
    </xf>
    <xf numFmtId="165" fontId="13" fillId="0" borderId="0" xfId="0" applyNumberFormat="1" applyFont="1" applyFill="1" applyBorder="1" applyAlignment="1">
      <alignment horizontal="center" vertical="center"/>
    </xf>
    <xf numFmtId="165" fontId="5" fillId="0" borderId="0" xfId="0" applyNumberFormat="1" applyFont="1" applyFill="1" applyAlignment="1">
      <alignment horizontal="center" vertical="center"/>
    </xf>
    <xf numFmtId="165" fontId="13" fillId="0" borderId="7" xfId="0" applyNumberFormat="1" applyFont="1" applyFill="1" applyBorder="1" applyAlignment="1">
      <alignment horizontal="center" vertical="center"/>
    </xf>
    <xf numFmtId="165" fontId="8" fillId="0" borderId="0" xfId="0" applyNumberFormat="1" applyFont="1" applyFill="1" applyBorder="1" applyAlignment="1">
      <alignment horizontal="center" vertical="center" wrapText="1"/>
    </xf>
    <xf numFmtId="0" fontId="44" fillId="0" borderId="0" xfId="0" applyFont="1"/>
    <xf numFmtId="0" fontId="45" fillId="0" borderId="0" xfId="0" applyFont="1" applyFill="1" applyBorder="1" applyAlignment="1">
      <alignment vertical="center"/>
    </xf>
    <xf numFmtId="11" fontId="45" fillId="0" borderId="0" xfId="0" applyNumberFormat="1" applyFont="1" applyFill="1" applyBorder="1" applyAlignment="1">
      <alignment vertical="center"/>
    </xf>
    <xf numFmtId="2" fontId="45" fillId="0" borderId="0" xfId="0" applyNumberFormat="1" applyFont="1" applyFill="1" applyBorder="1" applyAlignment="1">
      <alignment horizontal="center" vertical="center" wrapText="1"/>
    </xf>
    <xf numFmtId="2" fontId="45" fillId="0" borderId="0" xfId="0" applyNumberFormat="1" applyFont="1" applyFill="1" applyBorder="1" applyAlignment="1">
      <alignment horizontal="center"/>
    </xf>
    <xf numFmtId="11" fontId="46" fillId="0" borderId="0" xfId="0" applyNumberFormat="1" applyFont="1" applyFill="1" applyBorder="1"/>
    <xf numFmtId="167" fontId="0" fillId="0" borderId="4" xfId="0" applyNumberFormat="1" applyFill="1" applyBorder="1"/>
    <xf numFmtId="1" fontId="0" fillId="0" borderId="0" xfId="0" applyNumberFormat="1" applyFill="1" applyBorder="1" applyAlignment="1" applyProtection="1">
      <alignment horizontal="center"/>
    </xf>
    <xf numFmtId="0" fontId="3" fillId="0" borderId="0" xfId="0" applyFont="1" applyAlignment="1">
      <alignment horizontal="left" vertical="center" indent="5"/>
    </xf>
    <xf numFmtId="0" fontId="25" fillId="0" borderId="9" xfId="0" applyFont="1" applyFill="1" applyBorder="1" applyAlignment="1">
      <alignment wrapText="1"/>
    </xf>
    <xf numFmtId="0" fontId="25" fillId="0" borderId="2" xfId="0" applyFont="1" applyFill="1" applyBorder="1" applyAlignment="1">
      <alignment wrapText="1"/>
    </xf>
    <xf numFmtId="2" fontId="5" fillId="0" borderId="0" xfId="0" applyNumberFormat="1" applyFont="1" applyFill="1" applyAlignment="1">
      <alignment horizontal="center"/>
    </xf>
    <xf numFmtId="2" fontId="8" fillId="0" borderId="8" xfId="0" applyNumberFormat="1" applyFont="1" applyFill="1" applyBorder="1" applyAlignment="1">
      <alignment horizontal="center" vertical="center" wrapText="1"/>
    </xf>
    <xf numFmtId="0" fontId="11" fillId="0" borderId="6" xfId="0" applyFont="1" applyFill="1" applyBorder="1" applyAlignment="1">
      <alignment horizontal="center" vertical="center"/>
    </xf>
    <xf numFmtId="0" fontId="1" fillId="0" borderId="0" xfId="0" applyFont="1" applyFill="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xf>
    <xf numFmtId="0" fontId="8" fillId="0" borderId="0" xfId="0" applyFont="1" applyFill="1" applyAlignment="1">
      <alignment vertical="center"/>
    </xf>
    <xf numFmtId="0" fontId="5" fillId="0" borderId="27" xfId="0" applyFont="1" applyBorder="1" applyAlignment="1">
      <alignment vertical="center" wrapText="1"/>
    </xf>
    <xf numFmtId="0" fontId="5" fillId="0" borderId="26" xfId="0" applyFont="1" applyBorder="1" applyAlignment="1">
      <alignment vertical="center" wrapText="1"/>
    </xf>
  </cellXfs>
  <cellStyles count="4">
    <cellStyle name="Hyperlink" xfId="3" builtinId="8"/>
    <cellStyle name="Normal" xfId="0" builtinId="0"/>
    <cellStyle name="Normal 2" xfId="1"/>
    <cellStyle name="Normal 3" xfId="2"/>
  </cellStyles>
  <dxfs count="0"/>
  <tableStyles count="0" defaultTableStyle="TableStyleMedium2" defaultPivotStyle="PivotStyleLight16"/>
  <colors>
    <mruColors>
      <color rgb="FF92D05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vm-lager\home\eamg0002\Documents\Projekt%201\Artiklar%20och%20rapporter\LUC%20+%20CS\Henders%20et%20al%20-%20SI%20calculation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linro/AppData/Local/Microsoft/Windows/INetCache/Content.Outlook/AB3XRMBK/Gammalt/Gammalt/Supplementary%20materials%20-%20EM%202018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linro/AppData/Local/Microsoft/Windows/INetCache/Content.Outlook/AB3XRMBK/Gammalt/Supplementary%20materials%20-%20EM%20201804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ase results"/>
      <sheetName val="Top export flows"/>
      <sheetName val="Figures"/>
      <sheetName val="Argentina"/>
      <sheetName val="Bolivia"/>
      <sheetName val="Brazil"/>
      <sheetName val="Paraguay"/>
      <sheetName val="Indonesia"/>
      <sheetName val="Malaysia"/>
      <sheetName val="PNG"/>
      <sheetName val="Trade data"/>
      <sheetName val="Uträknat LUC Emma 2018"/>
    </sheetNames>
    <sheetDataSet>
      <sheetData sheetId="0">
        <row r="2">
          <cell r="B2">
            <v>10</v>
          </cell>
        </row>
      </sheetData>
      <sheetData sheetId="1"/>
      <sheetData sheetId="2"/>
      <sheetData sheetId="3">
        <row r="10">
          <cell r="X10">
            <v>2497249.9891203446</v>
          </cell>
        </row>
      </sheetData>
      <sheetData sheetId="4">
        <row r="26">
          <cell r="X26">
            <v>1861039.990199435</v>
          </cell>
        </row>
      </sheetData>
      <sheetData sheetId="5">
        <row r="3">
          <cell r="D3">
            <v>1.103</v>
          </cell>
        </row>
      </sheetData>
      <sheetData sheetId="6">
        <row r="3">
          <cell r="D3">
            <v>0.11946570000000022</v>
          </cell>
        </row>
      </sheetData>
      <sheetData sheetId="7">
        <row r="3">
          <cell r="D3">
            <v>1.8410440000000001</v>
          </cell>
        </row>
      </sheetData>
      <sheetData sheetId="8">
        <row r="3">
          <cell r="D3">
            <v>0.1769999999999996</v>
          </cell>
        </row>
      </sheetData>
      <sheetData sheetId="9">
        <row r="3">
          <cell r="D3">
            <v>4.6900000000000122E-2</v>
          </cell>
        </row>
      </sheetData>
      <sheetData sheetId="10">
        <row r="93">
          <cell r="X93">
            <v>9838.2301715812118</v>
          </cell>
        </row>
      </sheetData>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ktionella enheter"/>
      <sheetName val="Dairy products wo allocation"/>
      <sheetName val="Table of contents"/>
      <sheetName val="Meat and eggs"/>
      <sheetName val="Dairy products"/>
      <sheetName val="Fish and seafood"/>
      <sheetName val="Grains, oil crops, sugar"/>
      <sheetName val="Vegetables, roots, legumes"/>
      <sheetName val="Fruits, berries, cocoa, coffee"/>
      <sheetName val="Processed products"/>
      <sheetName val="SNI"/>
      <sheetName val="Common input data"/>
      <sheetName val="Input data meat and eggs"/>
      <sheetName val="Input data milk and dairy"/>
      <sheetName val="Input data fish and seafood"/>
      <sheetName val="Input data plant-based products"/>
      <sheetName val="Input data processed products"/>
      <sheetName val="Reference list"/>
    </sheetNames>
    <sheetDataSet>
      <sheetData sheetId="0"/>
      <sheetData sheetId="1">
        <row r="1">
          <cell r="A1" t="str">
            <v>Results milk and dairy products</v>
          </cell>
        </row>
        <row r="9">
          <cell r="A9" t="str">
            <v>RAW MILK</v>
          </cell>
        </row>
        <row r="18">
          <cell r="A18" t="str">
            <v>PASTEURIZED MILK (3% FAT)</v>
          </cell>
        </row>
        <row r="23">
          <cell r="A23" t="str">
            <v>BUTTER (82% FAT)</v>
          </cell>
        </row>
        <row r="44">
          <cell r="A44" t="str">
            <v>YOGURT (3% FAT)</v>
          </cell>
        </row>
        <row r="57">
          <cell r="A57" t="str">
            <v>CREAM (40% FAT)</v>
          </cell>
        </row>
        <row r="70">
          <cell r="A70" t="str">
            <v>HARD CHEESE (38% FAT)</v>
          </cell>
        </row>
        <row r="91">
          <cell r="A91" t="str">
            <v>DESSERT CHEESE (25% FAT)</v>
          </cell>
        </row>
        <row r="112">
          <cell r="A112" t="str">
            <v>CRÈME FRAICHE (34% FAT)</v>
          </cell>
        </row>
        <row r="125">
          <cell r="A125" t="str">
            <v>MILK POWDER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ktionella enheter"/>
      <sheetName val="Dairy products wo allocation"/>
      <sheetName val="Table of contents"/>
      <sheetName val="Meat and eggs"/>
      <sheetName val="Dairy products"/>
      <sheetName val="Fish and seafood"/>
      <sheetName val="Grains, oil crops, sugar"/>
      <sheetName val="Vegetables, roots, legumes"/>
      <sheetName val="Fruits, berries, cocoa, coffee"/>
      <sheetName val="Processed products"/>
      <sheetName val="SNI"/>
      <sheetName val="Common input data"/>
      <sheetName val="Input data meat and eggs"/>
      <sheetName val="Input data milk and dairy"/>
      <sheetName val="Input data fish and seafood"/>
      <sheetName val="Input data plant-based products"/>
      <sheetName val="Input data processed products"/>
      <sheetName val="Reference list"/>
    </sheetNames>
    <sheetDataSet>
      <sheetData sheetId="0"/>
      <sheetData sheetId="1">
        <row r="1">
          <cell r="A1" t="str">
            <v>Results milk and dairy products</v>
          </cell>
        </row>
        <row r="9">
          <cell r="A9" t="str">
            <v>RAW MILK</v>
          </cell>
        </row>
        <row r="18">
          <cell r="A18" t="str">
            <v>PASTEURIZED MILK (3% FAT)</v>
          </cell>
        </row>
        <row r="23">
          <cell r="A23" t="str">
            <v>BUTTER (82% FAT)</v>
          </cell>
        </row>
        <row r="44">
          <cell r="A44" t="str">
            <v>YOGURT (3% FAT)</v>
          </cell>
        </row>
        <row r="57">
          <cell r="A57" t="str">
            <v>CREAM (40% FAT)</v>
          </cell>
        </row>
        <row r="70">
          <cell r="A70" t="str">
            <v>HARD CHEESE (38% FAT)</v>
          </cell>
        </row>
        <row r="91">
          <cell r="A91" t="str">
            <v>DESSERT CHEESE (25% FAT)</v>
          </cell>
        </row>
        <row r="112">
          <cell r="A112" t="str">
            <v>CRÈME FRAICHE (34% FAT)</v>
          </cell>
        </row>
        <row r="125">
          <cell r="A125" t="str">
            <v>MILK POWDER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gouldings.ie/ni/grass-growth/research-on-grazing/grass-intake-of-dairy-cows/" TargetMode="External"/><Relationship Id="rId1" Type="http://schemas.openxmlformats.org/officeDocument/2006/relationships/hyperlink" Target="http://ww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tabSelected="1" zoomScale="70" zoomScaleNormal="70" workbookViewId="0"/>
  </sheetViews>
  <sheetFormatPr defaultRowHeight="14.4" x14ac:dyDescent="0.3"/>
  <cols>
    <col min="1" max="1" width="255.6640625" customWidth="1"/>
  </cols>
  <sheetData>
    <row r="1" spans="1:1" ht="100.95" customHeight="1" x14ac:dyDescent="0.3">
      <c r="A1" s="756" t="s">
        <v>1565</v>
      </c>
    </row>
    <row r="2" spans="1:1" ht="409.2" customHeight="1" x14ac:dyDescent="0.3">
      <c r="A2" s="757" t="s">
        <v>1407</v>
      </c>
    </row>
    <row r="3" spans="1:1" ht="18" x14ac:dyDescent="0.3">
      <c r="A3" s="801"/>
    </row>
    <row r="4" spans="1:1" ht="15.6" x14ac:dyDescent="0.3">
      <c r="A4" s="595"/>
    </row>
    <row r="5" spans="1:1" ht="15.6" x14ac:dyDescent="0.3">
      <c r="A5" s="595"/>
    </row>
    <row r="6" spans="1:1" ht="15.6" x14ac:dyDescent="0.3">
      <c r="A6" s="595"/>
    </row>
    <row r="7" spans="1:1" ht="15.6" x14ac:dyDescent="0.3">
      <c r="A7" s="595"/>
    </row>
    <row r="8" spans="1:1" ht="15.6" x14ac:dyDescent="0.3">
      <c r="A8" s="594"/>
    </row>
    <row r="9" spans="1:1" ht="15.6" x14ac:dyDescent="0.3">
      <c r="A9" s="596"/>
    </row>
    <row r="10" spans="1:1" ht="15.6" x14ac:dyDescent="0.3">
      <c r="A10" s="596"/>
    </row>
    <row r="11" spans="1:1" ht="15.6" x14ac:dyDescent="0.3">
      <c r="A11" s="596"/>
    </row>
    <row r="12" spans="1:1" ht="15.6" x14ac:dyDescent="0.3">
      <c r="A12" s="595"/>
    </row>
    <row r="13" spans="1:1" ht="15.6" x14ac:dyDescent="0.3">
      <c r="A13" s="594"/>
    </row>
    <row r="14" spans="1:1" ht="15.6" x14ac:dyDescent="0.3">
      <c r="A14" s="597"/>
    </row>
    <row r="15" spans="1:1" ht="15.6" x14ac:dyDescent="0.3">
      <c r="A15" s="598"/>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146"/>
  <sheetViews>
    <sheetView zoomScale="70" zoomScaleNormal="70" workbookViewId="0"/>
  </sheetViews>
  <sheetFormatPr defaultColWidth="8.88671875" defaultRowHeight="13.8" x14ac:dyDescent="0.3"/>
  <cols>
    <col min="1" max="1" width="51.6640625" style="4" customWidth="1"/>
    <col min="2" max="2" width="33.5546875" style="4" customWidth="1"/>
    <col min="3" max="3" width="26.33203125" style="4" customWidth="1"/>
    <col min="4" max="4" width="30.33203125" style="4" customWidth="1"/>
    <col min="5" max="5" width="42.6640625" style="4" customWidth="1"/>
    <col min="6" max="6" width="19.6640625" style="4" customWidth="1"/>
    <col min="7" max="7" width="52.88671875" style="4" bestFit="1" customWidth="1"/>
    <col min="8" max="8" width="60.44140625" style="4" bestFit="1" customWidth="1"/>
    <col min="9" max="9" width="21.44140625" style="4" bestFit="1" customWidth="1"/>
    <col min="10" max="10" width="10.44140625" style="4" bestFit="1" customWidth="1"/>
    <col min="11" max="11" width="14.77734375" style="4" customWidth="1"/>
    <col min="12" max="16384" width="8.88671875" style="4"/>
  </cols>
  <sheetData>
    <row r="1" spans="1:14" ht="23.4" x14ac:dyDescent="0.3">
      <c r="A1" s="433" t="s">
        <v>637</v>
      </c>
    </row>
    <row r="2" spans="1:14" ht="23.4" x14ac:dyDescent="0.3">
      <c r="A2" s="433"/>
    </row>
    <row r="3" spans="1:14" x14ac:dyDescent="0.3">
      <c r="A3" s="6" t="s">
        <v>1242</v>
      </c>
    </row>
    <row r="4" spans="1:14" x14ac:dyDescent="0.3">
      <c r="A4" s="267"/>
      <c r="B4" s="20" t="s">
        <v>15</v>
      </c>
      <c r="C4" s="20" t="s">
        <v>14</v>
      </c>
      <c r="D4" s="20" t="s">
        <v>16</v>
      </c>
      <c r="E4" s="19" t="s">
        <v>13</v>
      </c>
      <c r="F4" s="114" t="s">
        <v>188</v>
      </c>
    </row>
    <row r="5" spans="1:14" x14ac:dyDescent="0.3">
      <c r="A5" s="268" t="s">
        <v>1244</v>
      </c>
      <c r="B5" s="5">
        <v>1</v>
      </c>
      <c r="C5" s="45">
        <v>28</v>
      </c>
      <c r="D5" s="45">
        <v>265</v>
      </c>
      <c r="E5" s="8">
        <v>1760</v>
      </c>
      <c r="F5" s="15" t="s">
        <v>187</v>
      </c>
    </row>
    <row r="6" spans="1:14" ht="14.4" x14ac:dyDescent="0.3">
      <c r="A6" s="268" t="s">
        <v>1243</v>
      </c>
      <c r="B6" s="45">
        <v>1</v>
      </c>
      <c r="C6" s="157">
        <v>34</v>
      </c>
      <c r="D6" s="45">
        <v>298</v>
      </c>
      <c r="E6" s="283">
        <v>2106</v>
      </c>
      <c r="F6" s="15" t="s">
        <v>187</v>
      </c>
    </row>
    <row r="7" spans="1:14" x14ac:dyDescent="0.3">
      <c r="A7" s="268" t="s">
        <v>1246</v>
      </c>
      <c r="B7" s="15">
        <v>1</v>
      </c>
      <c r="C7" s="15">
        <v>4</v>
      </c>
      <c r="D7" s="15">
        <v>234</v>
      </c>
      <c r="E7" s="48">
        <v>262</v>
      </c>
      <c r="F7" s="15" t="s">
        <v>187</v>
      </c>
    </row>
    <row r="8" spans="1:14" x14ac:dyDescent="0.3">
      <c r="A8" s="268" t="s">
        <v>1245</v>
      </c>
      <c r="B8" s="15">
        <v>1</v>
      </c>
      <c r="C8" s="15">
        <v>11</v>
      </c>
      <c r="D8" s="15">
        <v>297</v>
      </c>
      <c r="E8" s="21">
        <v>708</v>
      </c>
      <c r="F8" s="15" t="s">
        <v>187</v>
      </c>
    </row>
    <row r="9" spans="1:14" x14ac:dyDescent="0.3">
      <c r="A9" s="758" t="s">
        <v>1241</v>
      </c>
      <c r="B9" s="22">
        <v>1</v>
      </c>
      <c r="C9" s="22">
        <v>18</v>
      </c>
      <c r="D9" s="239">
        <v>271</v>
      </c>
      <c r="E9" s="240">
        <v>1264</v>
      </c>
      <c r="F9" s="15" t="s">
        <v>189</v>
      </c>
    </row>
    <row r="10" spans="1:14" x14ac:dyDescent="0.3">
      <c r="C10" s="15"/>
      <c r="D10" s="15"/>
      <c r="E10" s="15"/>
    </row>
    <row r="11" spans="1:14" ht="14.4" x14ac:dyDescent="0.3">
      <c r="A11" s="557" t="s">
        <v>182</v>
      </c>
      <c r="C11" s="97"/>
      <c r="D11" s="60"/>
      <c r="E11" s="60"/>
      <c r="F11" s="62"/>
      <c r="G11" s="60"/>
      <c r="H11" s="60"/>
      <c r="I11"/>
      <c r="J11"/>
      <c r="K11"/>
      <c r="L11"/>
      <c r="M11"/>
      <c r="N11"/>
    </row>
    <row r="12" spans="1:14" ht="27.6" x14ac:dyDescent="0.3">
      <c r="A12" s="92"/>
      <c r="B12" s="17" t="s">
        <v>21</v>
      </c>
      <c r="C12" s="17" t="s">
        <v>180</v>
      </c>
      <c r="D12" s="17" t="s">
        <v>181</v>
      </c>
      <c r="E12" s="17" t="s">
        <v>183</v>
      </c>
      <c r="F12" s="19" t="s">
        <v>506</v>
      </c>
      <c r="G12" s="68" t="s">
        <v>188</v>
      </c>
      <c r="H12" s="60"/>
      <c r="I12"/>
      <c r="J12"/>
      <c r="K12"/>
      <c r="L12"/>
      <c r="M12"/>
      <c r="N12"/>
    </row>
    <row r="13" spans="1:14" ht="14.4" x14ac:dyDescent="0.3">
      <c r="A13" s="762" t="s">
        <v>1250</v>
      </c>
      <c r="B13" s="236">
        <f>B15</f>
        <v>0.108271767984466</v>
      </c>
      <c r="C13" s="236">
        <f>C15</f>
        <v>0.23829120623700201</v>
      </c>
      <c r="D13" s="236">
        <f>D15</f>
        <v>0.159771495181245</v>
      </c>
      <c r="E13" s="236">
        <f>E15</f>
        <v>3.9989486962957101E-2</v>
      </c>
      <c r="F13" s="439">
        <f>F15</f>
        <v>-9.1139048141381296E-2</v>
      </c>
      <c r="G13" s="68"/>
      <c r="H13" s="60"/>
      <c r="I13"/>
      <c r="J13"/>
      <c r="K13"/>
      <c r="L13"/>
      <c r="M13"/>
      <c r="N13"/>
    </row>
    <row r="14" spans="1:14" ht="14.4" x14ac:dyDescent="0.3">
      <c r="A14" s="759" t="s">
        <v>1248</v>
      </c>
      <c r="B14" s="236">
        <v>0.190388049545201</v>
      </c>
      <c r="C14" s="236">
        <v>0.318473890336743</v>
      </c>
      <c r="D14" s="236">
        <v>0.32792188392023303</v>
      </c>
      <c r="E14" s="236">
        <v>3.7321600560371197E-2</v>
      </c>
      <c r="F14" s="439">
        <v>-1.7862746528101901E-2</v>
      </c>
      <c r="G14" s="158" t="s">
        <v>1247</v>
      </c>
      <c r="H14" s="60"/>
      <c r="I14"/>
      <c r="J14"/>
      <c r="K14"/>
      <c r="L14"/>
      <c r="M14"/>
      <c r="N14"/>
    </row>
    <row r="15" spans="1:14" ht="14.4" x14ac:dyDescent="0.3">
      <c r="A15" s="556" t="s">
        <v>1249</v>
      </c>
      <c r="B15" s="290">
        <v>0.108271767984466</v>
      </c>
      <c r="C15" s="290">
        <v>0.23829120623700201</v>
      </c>
      <c r="D15" s="87">
        <v>0.159771495181245</v>
      </c>
      <c r="E15" s="87">
        <v>3.9989486962957101E-2</v>
      </c>
      <c r="F15" s="877">
        <v>-9.1139048141381296E-2</v>
      </c>
      <c r="G15" s="60" t="s">
        <v>218</v>
      </c>
      <c r="H15" s="60"/>
      <c r="I15"/>
      <c r="J15"/>
      <c r="K15"/>
      <c r="L15"/>
      <c r="M15"/>
      <c r="N15"/>
    </row>
    <row r="16" spans="1:14" ht="14.4" x14ac:dyDescent="0.3">
      <c r="A16" s="91" t="s">
        <v>203</v>
      </c>
      <c r="B16" s="3"/>
      <c r="C16" s="3"/>
      <c r="D16" s="3"/>
      <c r="E16" s="3"/>
      <c r="F16" s="3"/>
      <c r="G16" s="117"/>
      <c r="H16" s="60"/>
      <c r="I16"/>
      <c r="J16"/>
      <c r="K16"/>
      <c r="L16"/>
      <c r="M16"/>
      <c r="N16"/>
    </row>
    <row r="17" spans="1:20" ht="14.4" x14ac:dyDescent="0.3">
      <c r="A17" s="4" t="s">
        <v>1237</v>
      </c>
      <c r="B17" s="62"/>
      <c r="C17" s="62"/>
      <c r="D17" s="60"/>
      <c r="E17" s="60"/>
      <c r="F17" s="62"/>
      <c r="G17" s="60"/>
      <c r="H17" s="60"/>
      <c r="I17"/>
      <c r="J17"/>
      <c r="K17"/>
      <c r="L17"/>
      <c r="M17"/>
      <c r="N17"/>
    </row>
    <row r="18" spans="1:20" ht="14.4" x14ac:dyDescent="0.3">
      <c r="B18"/>
      <c r="C18"/>
      <c r="D18"/>
      <c r="E18"/>
      <c r="F18"/>
      <c r="G18" s="60"/>
      <c r="H18" s="60"/>
      <c r="I18"/>
      <c r="J18"/>
      <c r="K18"/>
      <c r="L18"/>
      <c r="M18"/>
      <c r="N18"/>
    </row>
    <row r="19" spans="1:20" ht="14.4" x14ac:dyDescent="0.3">
      <c r="A19" s="96" t="s">
        <v>185</v>
      </c>
      <c r="B19" s="45"/>
      <c r="C19" s="62"/>
      <c r="D19" s="60"/>
      <c r="E19" s="60"/>
      <c r="F19" s="62"/>
      <c r="G19" s="60"/>
      <c r="H19" s="60"/>
      <c r="I19"/>
      <c r="J19"/>
      <c r="K19"/>
      <c r="L19"/>
      <c r="M19"/>
      <c r="N19"/>
    </row>
    <row r="20" spans="1:20" ht="14.4" x14ac:dyDescent="0.3">
      <c r="A20" s="16"/>
      <c r="B20" s="17" t="s">
        <v>734</v>
      </c>
      <c r="C20" s="19" t="s">
        <v>1240</v>
      </c>
      <c r="D20" s="119" t="s">
        <v>188</v>
      </c>
      <c r="E20" s="60"/>
      <c r="F20" s="62"/>
      <c r="G20" s="60"/>
      <c r="H20" s="60"/>
      <c r="I20"/>
      <c r="J20"/>
      <c r="K20"/>
      <c r="L20"/>
      <c r="M20"/>
      <c r="N20"/>
    </row>
    <row r="21" spans="1:20" ht="14.4" x14ac:dyDescent="0.3">
      <c r="A21" s="24" t="s">
        <v>172</v>
      </c>
      <c r="B21" s="542">
        <v>1.07807054424287</v>
      </c>
      <c r="C21" s="248">
        <v>1.66838363676944</v>
      </c>
      <c r="D21" s="62" t="s">
        <v>204</v>
      </c>
      <c r="E21" s="60"/>
      <c r="F21" s="62"/>
      <c r="G21" s="60"/>
      <c r="H21" s="60"/>
      <c r="I21"/>
      <c r="J21"/>
      <c r="K21"/>
      <c r="L21"/>
      <c r="M21"/>
      <c r="N21"/>
    </row>
    <row r="22" spans="1:20" ht="14.4" x14ac:dyDescent="0.3">
      <c r="A22" s="4" t="s">
        <v>1380</v>
      </c>
      <c r="C22" s="60"/>
      <c r="D22" s="60"/>
      <c r="E22" s="60"/>
      <c r="F22" s="60"/>
      <c r="G22" s="60"/>
      <c r="H22" s="60"/>
      <c r="I22"/>
      <c r="J22"/>
      <c r="K22"/>
      <c r="L22"/>
      <c r="M22"/>
      <c r="N22"/>
    </row>
    <row r="23" spans="1:20" x14ac:dyDescent="0.3">
      <c r="C23" s="15"/>
      <c r="D23" s="15"/>
      <c r="E23" s="15"/>
    </row>
    <row r="24" spans="1:20" x14ac:dyDescent="0.3">
      <c r="A24" s="114" t="s">
        <v>1269</v>
      </c>
      <c r="H24" s="545"/>
      <c r="I24" s="545"/>
    </row>
    <row r="25" spans="1:20" ht="41.4" x14ac:dyDescent="0.3">
      <c r="A25" s="840" t="s">
        <v>17</v>
      </c>
      <c r="B25" s="833" t="s">
        <v>55</v>
      </c>
      <c r="C25" s="833" t="s">
        <v>1425</v>
      </c>
      <c r="D25" s="833" t="s">
        <v>1444</v>
      </c>
      <c r="E25" s="833" t="s">
        <v>56</v>
      </c>
      <c r="F25" s="833" t="s">
        <v>1425</v>
      </c>
      <c r="G25" s="833" t="s">
        <v>1444</v>
      </c>
      <c r="H25" s="98" t="s">
        <v>57</v>
      </c>
      <c r="I25" s="833" t="s">
        <v>1425</v>
      </c>
      <c r="J25" s="841" t="s">
        <v>1444</v>
      </c>
      <c r="K25" s="114" t="s">
        <v>188</v>
      </c>
      <c r="L25" s="545"/>
    </row>
    <row r="26" spans="1:20" x14ac:dyDescent="0.3">
      <c r="A26" s="842" t="s">
        <v>254</v>
      </c>
      <c r="B26" s="834" t="s">
        <v>18</v>
      </c>
      <c r="C26" s="654">
        <f>0.4</f>
        <v>0.4</v>
      </c>
      <c r="D26" s="834">
        <v>0.72</v>
      </c>
      <c r="E26" s="834" t="s">
        <v>19</v>
      </c>
      <c r="F26" s="654">
        <v>0.6</v>
      </c>
      <c r="G26" s="834">
        <v>0.28000000000000003</v>
      </c>
      <c r="H26" s="654"/>
      <c r="I26" s="654"/>
      <c r="J26" s="835"/>
      <c r="K26" s="9" t="s">
        <v>190</v>
      </c>
    </row>
    <row r="27" spans="1:20" ht="47.4" customHeight="1" x14ac:dyDescent="0.3">
      <c r="A27" s="842" t="s">
        <v>1253</v>
      </c>
      <c r="B27" s="834" t="s">
        <v>1253</v>
      </c>
      <c r="C27" s="654">
        <v>0.62</v>
      </c>
      <c r="D27" s="88">
        <v>0.90749999999999997</v>
      </c>
      <c r="E27" s="834" t="s">
        <v>1446</v>
      </c>
      <c r="F27" s="654">
        <v>0.38</v>
      </c>
      <c r="G27" s="836">
        <v>9.2500000000000027E-2</v>
      </c>
      <c r="H27" s="654"/>
      <c r="I27" s="654"/>
      <c r="J27" s="835"/>
      <c r="K27" s="9" t="s">
        <v>1445</v>
      </c>
    </row>
    <row r="28" spans="1:20" ht="12" customHeight="1" x14ac:dyDescent="0.3">
      <c r="A28" s="842" t="s">
        <v>1429</v>
      </c>
      <c r="B28" s="834" t="s">
        <v>1252</v>
      </c>
      <c r="C28" s="654">
        <v>0.77</v>
      </c>
      <c r="D28" s="834">
        <v>0.91</v>
      </c>
      <c r="E28" s="834" t="s">
        <v>36</v>
      </c>
      <c r="F28" s="654">
        <v>0.23</v>
      </c>
      <c r="G28" s="834">
        <v>0.09</v>
      </c>
      <c r="H28" s="654"/>
      <c r="I28" s="654"/>
      <c r="J28" s="835"/>
      <c r="K28" s="9" t="s">
        <v>1426</v>
      </c>
    </row>
    <row r="29" spans="1:20" x14ac:dyDescent="0.3">
      <c r="A29" s="842" t="s">
        <v>22</v>
      </c>
      <c r="B29" s="834" t="s">
        <v>1254</v>
      </c>
      <c r="C29" s="654">
        <v>0.7</v>
      </c>
      <c r="D29" s="834">
        <v>0.8</v>
      </c>
      <c r="E29" s="834" t="s">
        <v>23</v>
      </c>
      <c r="F29" s="654">
        <v>0.3</v>
      </c>
      <c r="G29" s="834">
        <v>0.2</v>
      </c>
      <c r="H29" s="654"/>
      <c r="I29" s="654"/>
      <c r="J29" s="835"/>
      <c r="K29" s="9" t="s">
        <v>191</v>
      </c>
    </row>
    <row r="30" spans="1:20" x14ac:dyDescent="0.3">
      <c r="A30" s="842" t="s">
        <v>502</v>
      </c>
      <c r="B30" s="834" t="s">
        <v>219</v>
      </c>
      <c r="C30" s="654">
        <v>0.18</v>
      </c>
      <c r="D30" s="834">
        <v>0.35</v>
      </c>
      <c r="E30" s="834" t="s">
        <v>220</v>
      </c>
      <c r="F30" s="654">
        <v>0.82</v>
      </c>
      <c r="G30" s="834">
        <v>0.65</v>
      </c>
      <c r="H30" s="654"/>
      <c r="I30" s="654"/>
      <c r="J30" s="835"/>
      <c r="K30" s="9" t="s">
        <v>191</v>
      </c>
    </row>
    <row r="31" spans="1:20" x14ac:dyDescent="0.3">
      <c r="A31" s="842" t="s">
        <v>481</v>
      </c>
      <c r="B31" s="834" t="s">
        <v>481</v>
      </c>
      <c r="C31" s="654">
        <v>0.79</v>
      </c>
      <c r="D31" s="834">
        <v>0.85</v>
      </c>
      <c r="E31" s="834" t="s">
        <v>645</v>
      </c>
      <c r="F31" s="654">
        <v>0.1</v>
      </c>
      <c r="G31" s="834">
        <v>0.12</v>
      </c>
      <c r="H31" s="654" t="s">
        <v>646</v>
      </c>
      <c r="I31" s="654">
        <v>0.11</v>
      </c>
      <c r="J31" s="837">
        <v>0.03</v>
      </c>
      <c r="K31" s="9" t="s">
        <v>191</v>
      </c>
    </row>
    <row r="32" spans="1:20" x14ac:dyDescent="0.3">
      <c r="A32" s="842" t="s">
        <v>503</v>
      </c>
      <c r="B32" s="834" t="s">
        <v>33</v>
      </c>
      <c r="C32" s="836">
        <v>0.308</v>
      </c>
      <c r="D32" s="834">
        <v>0.24</v>
      </c>
      <c r="E32" s="834" t="s">
        <v>34</v>
      </c>
      <c r="F32" s="836">
        <v>0.22500000000000001</v>
      </c>
      <c r="G32" s="836">
        <v>0.375</v>
      </c>
      <c r="H32" s="654" t="s">
        <v>504</v>
      </c>
      <c r="I32" s="10">
        <v>0.46700000000000003</v>
      </c>
      <c r="J32" s="837">
        <v>0.38600000000000001</v>
      </c>
      <c r="K32" s="9" t="s">
        <v>192</v>
      </c>
      <c r="N32" s="546"/>
      <c r="O32" s="547"/>
      <c r="P32" s="547"/>
      <c r="Q32" s="547"/>
      <c r="R32" s="547"/>
      <c r="S32" s="547"/>
      <c r="T32" s="547"/>
    </row>
    <row r="33" spans="1:20" x14ac:dyDescent="0.3">
      <c r="A33" s="842" t="s">
        <v>1430</v>
      </c>
      <c r="B33" s="834" t="s">
        <v>37</v>
      </c>
      <c r="C33" s="654"/>
      <c r="D33" s="834">
        <v>0.9</v>
      </c>
      <c r="E33" s="834" t="s">
        <v>24</v>
      </c>
      <c r="F33" s="654"/>
      <c r="G33" s="834">
        <v>0.1</v>
      </c>
      <c r="H33" s="654"/>
      <c r="I33" s="654"/>
      <c r="J33" s="835"/>
      <c r="K33" s="9" t="s">
        <v>1396</v>
      </c>
    </row>
    <row r="34" spans="1:20" x14ac:dyDescent="0.3">
      <c r="A34" s="842" t="s">
        <v>1431</v>
      </c>
      <c r="B34" s="834" t="s">
        <v>38</v>
      </c>
      <c r="C34" s="654"/>
      <c r="D34" s="834">
        <v>0.91</v>
      </c>
      <c r="E34" s="834" t="s">
        <v>24</v>
      </c>
      <c r="F34" s="654"/>
      <c r="G34" s="834">
        <v>0.09</v>
      </c>
      <c r="H34" s="10"/>
      <c r="I34" s="654"/>
      <c r="J34" s="835"/>
      <c r="K34" s="9" t="s">
        <v>1396</v>
      </c>
    </row>
    <row r="35" spans="1:20" x14ac:dyDescent="0.3">
      <c r="A35" s="842" t="s">
        <v>1432</v>
      </c>
      <c r="B35" s="834" t="s">
        <v>39</v>
      </c>
      <c r="C35" s="654"/>
      <c r="D35" s="834">
        <v>0.91</v>
      </c>
      <c r="E35" s="834" t="s">
        <v>24</v>
      </c>
      <c r="F35" s="654"/>
      <c r="G35" s="834">
        <v>0.09</v>
      </c>
      <c r="H35" s="654"/>
      <c r="I35" s="654"/>
      <c r="J35" s="835"/>
      <c r="K35" s="9" t="s">
        <v>1396</v>
      </c>
    </row>
    <row r="36" spans="1:20" x14ac:dyDescent="0.3">
      <c r="A36" s="842" t="s">
        <v>1433</v>
      </c>
      <c r="B36" s="834" t="s">
        <v>95</v>
      </c>
      <c r="C36" s="654"/>
      <c r="D36" s="836">
        <v>0.90666666666666673</v>
      </c>
      <c r="E36" s="834" t="s">
        <v>24</v>
      </c>
      <c r="F36" s="654"/>
      <c r="G36" s="836">
        <v>9.3333333333333268E-2</v>
      </c>
      <c r="H36" s="654"/>
      <c r="I36" s="654"/>
      <c r="J36" s="835"/>
      <c r="K36" s="9" t="s">
        <v>1397</v>
      </c>
    </row>
    <row r="37" spans="1:20" x14ac:dyDescent="0.3">
      <c r="A37" s="842" t="s">
        <v>25</v>
      </c>
      <c r="B37" s="834" t="s">
        <v>25</v>
      </c>
      <c r="C37" s="654"/>
      <c r="D37" s="665">
        <v>0.92790888787418324</v>
      </c>
      <c r="E37" s="834" t="s">
        <v>26</v>
      </c>
      <c r="F37" s="654"/>
      <c r="G37" s="665">
        <v>7.20911121258168E-2</v>
      </c>
      <c r="H37" s="654"/>
      <c r="I37" s="654"/>
      <c r="J37" s="835"/>
      <c r="K37" s="9" t="s">
        <v>1395</v>
      </c>
    </row>
    <row r="38" spans="1:20" x14ac:dyDescent="0.3">
      <c r="A38" s="842" t="s">
        <v>1434</v>
      </c>
      <c r="B38" s="834" t="s">
        <v>27</v>
      </c>
      <c r="C38" s="654"/>
      <c r="D38" s="834">
        <v>0.48</v>
      </c>
      <c r="E38" s="834" t="s">
        <v>29</v>
      </c>
      <c r="F38" s="654"/>
      <c r="G38" s="834">
        <v>0.51</v>
      </c>
      <c r="H38" s="654" t="s">
        <v>35</v>
      </c>
      <c r="I38" s="654"/>
      <c r="J38" s="838">
        <v>0.01</v>
      </c>
      <c r="K38" s="9" t="s">
        <v>193</v>
      </c>
      <c r="M38" s="9"/>
      <c r="N38" s="546"/>
      <c r="O38" s="546"/>
      <c r="P38" s="546"/>
      <c r="Q38" s="546"/>
      <c r="R38" s="546"/>
      <c r="S38" s="546"/>
      <c r="T38" s="546"/>
    </row>
    <row r="39" spans="1:20" x14ac:dyDescent="0.3">
      <c r="A39" s="842" t="s">
        <v>1435</v>
      </c>
      <c r="B39" s="834" t="s">
        <v>28</v>
      </c>
      <c r="C39" s="654"/>
      <c r="D39" s="834">
        <v>0.5</v>
      </c>
      <c r="E39" s="834" t="s">
        <v>29</v>
      </c>
      <c r="F39" s="654"/>
      <c r="G39" s="834">
        <v>0.5</v>
      </c>
      <c r="H39" s="654"/>
      <c r="I39" s="654"/>
      <c r="J39" s="838"/>
      <c r="K39" s="9" t="s">
        <v>193</v>
      </c>
      <c r="N39" s="546"/>
      <c r="O39" s="547"/>
      <c r="P39" s="547"/>
      <c r="Q39" s="547"/>
      <c r="R39" s="547"/>
      <c r="S39" s="547"/>
      <c r="T39" s="547"/>
    </row>
    <row r="40" spans="1:20" x14ac:dyDescent="0.3">
      <c r="A40" s="842" t="s">
        <v>1436</v>
      </c>
      <c r="B40" s="834" t="s">
        <v>30</v>
      </c>
      <c r="C40" s="654"/>
      <c r="D40" s="834">
        <v>0.94</v>
      </c>
      <c r="E40" s="834" t="s">
        <v>31</v>
      </c>
      <c r="F40" s="654"/>
      <c r="G40" s="834">
        <v>0.06</v>
      </c>
      <c r="H40" s="654"/>
      <c r="I40" s="654"/>
      <c r="J40" s="838"/>
      <c r="K40" s="9" t="s">
        <v>193</v>
      </c>
      <c r="N40" s="546"/>
      <c r="O40" s="547"/>
      <c r="P40" s="547"/>
      <c r="Q40" s="547"/>
      <c r="R40" s="547"/>
      <c r="S40" s="547"/>
      <c r="T40" s="547"/>
    </row>
    <row r="41" spans="1:20" x14ac:dyDescent="0.3">
      <c r="A41" s="842" t="s">
        <v>1437</v>
      </c>
      <c r="B41" s="654" t="s">
        <v>163</v>
      </c>
      <c r="C41" s="654"/>
      <c r="D41" s="834">
        <v>0.51</v>
      </c>
      <c r="E41" s="834" t="s">
        <v>29</v>
      </c>
      <c r="F41" s="654"/>
      <c r="G41" s="834">
        <v>0.49</v>
      </c>
      <c r="H41" s="654"/>
      <c r="I41" s="654"/>
      <c r="J41" s="838"/>
      <c r="K41" s="9" t="s">
        <v>193</v>
      </c>
      <c r="N41" s="546"/>
      <c r="O41" s="547"/>
      <c r="P41" s="547"/>
      <c r="Q41" s="547"/>
      <c r="R41" s="547"/>
      <c r="S41" s="547"/>
      <c r="T41" s="547"/>
    </row>
    <row r="42" spans="1:20" x14ac:dyDescent="0.3">
      <c r="A42" s="839" t="s">
        <v>1458</v>
      </c>
      <c r="B42" s="656" t="s">
        <v>1422</v>
      </c>
      <c r="C42" s="656">
        <v>0.9</v>
      </c>
      <c r="D42" s="656">
        <v>0.95</v>
      </c>
      <c r="E42" s="656" t="s">
        <v>1461</v>
      </c>
      <c r="F42" s="656">
        <v>0.1</v>
      </c>
      <c r="G42" s="656">
        <v>0.05</v>
      </c>
      <c r="H42" s="656"/>
      <c r="I42" s="656"/>
      <c r="J42" s="831"/>
      <c r="K42" s="158" t="s">
        <v>1428</v>
      </c>
    </row>
    <row r="43" spans="1:20" x14ac:dyDescent="0.3">
      <c r="A43" s="38" t="s">
        <v>1438</v>
      </c>
      <c r="B43" s="15"/>
      <c r="D43" s="15"/>
      <c r="E43" s="15"/>
      <c r="G43" s="15"/>
      <c r="K43" s="158"/>
    </row>
    <row r="44" spans="1:20" x14ac:dyDescent="0.3">
      <c r="A44" s="4" t="s">
        <v>1442</v>
      </c>
      <c r="C44" s="3"/>
      <c r="D44" s="3"/>
      <c r="F44" s="60"/>
      <c r="H44" s="9"/>
      <c r="M44" s="548"/>
      <c r="N44" s="548"/>
      <c r="O44" s="548"/>
      <c r="P44" s="548"/>
      <c r="Q44" s="548"/>
      <c r="R44" s="548"/>
      <c r="S44" s="548"/>
      <c r="T44" s="548"/>
    </row>
    <row r="45" spans="1:20" x14ac:dyDescent="0.3">
      <c r="A45" s="625" t="s">
        <v>1443</v>
      </c>
      <c r="D45" s="3"/>
      <c r="E45" s="3"/>
      <c r="G45" s="549"/>
      <c r="M45" s="548"/>
      <c r="N45" s="548"/>
      <c r="O45" s="548"/>
      <c r="P45" s="548"/>
      <c r="Q45" s="548"/>
      <c r="R45" s="548"/>
      <c r="S45" s="548"/>
      <c r="T45" s="548"/>
    </row>
    <row r="46" spans="1:20" x14ac:dyDescent="0.3">
      <c r="A46" s="117"/>
      <c r="D46" s="3"/>
      <c r="E46" s="3"/>
      <c r="G46" s="549"/>
      <c r="M46" s="548"/>
      <c r="N46" s="548"/>
      <c r="O46" s="548"/>
      <c r="P46" s="548"/>
      <c r="Q46" s="548"/>
      <c r="R46" s="548"/>
      <c r="S46" s="548"/>
      <c r="T46" s="548"/>
    </row>
    <row r="47" spans="1:20" x14ac:dyDescent="0.3">
      <c r="A47" s="114" t="s">
        <v>914</v>
      </c>
      <c r="B47" s="3"/>
      <c r="C47" s="3"/>
      <c r="D47" s="3"/>
    </row>
    <row r="48" spans="1:20" x14ac:dyDescent="0.3">
      <c r="A48" s="29"/>
      <c r="B48" s="20" t="s">
        <v>40</v>
      </c>
      <c r="C48" s="20" t="s">
        <v>41</v>
      </c>
      <c r="D48" s="20" t="s">
        <v>918</v>
      </c>
      <c r="E48" s="20" t="s">
        <v>42</v>
      </c>
      <c r="F48" s="20" t="s">
        <v>43</v>
      </c>
      <c r="G48" s="20" t="s">
        <v>919</v>
      </c>
      <c r="H48" s="20" t="s">
        <v>44</v>
      </c>
      <c r="I48" s="36" t="s">
        <v>920</v>
      </c>
      <c r="J48" s="114" t="s">
        <v>188</v>
      </c>
      <c r="K48" s="546"/>
      <c r="L48" s="546"/>
      <c r="M48" s="546"/>
      <c r="N48" s="546"/>
      <c r="O48" s="546"/>
      <c r="P48" s="546"/>
      <c r="Q48" s="546"/>
      <c r="R48" s="546"/>
      <c r="S48" s="546"/>
      <c r="T48" s="546"/>
    </row>
    <row r="49" spans="1:20" x14ac:dyDescent="0.3">
      <c r="A49" s="31" t="s">
        <v>169</v>
      </c>
      <c r="B49" s="33">
        <v>8.0560000000000007E-2</v>
      </c>
      <c r="C49" s="33">
        <v>6.2E-2</v>
      </c>
      <c r="D49" s="33">
        <v>7.0999999999999994E-2</v>
      </c>
      <c r="E49" s="33">
        <v>1.6999999999999999E-3</v>
      </c>
      <c r="F49" s="33">
        <v>3.65E-3</v>
      </c>
      <c r="G49" s="33">
        <v>2.6749999999999999E-3</v>
      </c>
      <c r="H49" s="33">
        <v>7.5920000000000001E-2</v>
      </c>
      <c r="I49" s="148">
        <v>2.4611111111111111E-2</v>
      </c>
      <c r="J49" s="115" t="s">
        <v>194</v>
      </c>
      <c r="K49" s="546"/>
      <c r="L49" s="546"/>
      <c r="M49" s="546"/>
      <c r="N49" s="546"/>
      <c r="O49" s="546"/>
      <c r="P49" s="546"/>
      <c r="Q49" s="546"/>
      <c r="R49" s="546"/>
      <c r="S49" s="546"/>
      <c r="T49" s="546"/>
    </row>
    <row r="50" spans="1:20" x14ac:dyDescent="0.3">
      <c r="A50" s="31" t="s">
        <v>170</v>
      </c>
      <c r="B50" s="33">
        <v>3.0600000000000005E-5</v>
      </c>
      <c r="C50" s="33">
        <v>2.8000000000000003E-4</v>
      </c>
      <c r="D50" s="33">
        <v>1.55E-4</v>
      </c>
      <c r="E50" s="33">
        <v>2.8666666666666696E-6</v>
      </c>
      <c r="F50" s="33">
        <v>1.7500000000000002E-5</v>
      </c>
      <c r="G50" s="33">
        <v>1.0183333333333299E-5</v>
      </c>
      <c r="H50" s="33">
        <v>3.3630000000000002E-5</v>
      </c>
      <c r="I50" s="21">
        <v>0</v>
      </c>
      <c r="K50" s="546"/>
      <c r="L50" s="546"/>
      <c r="M50" s="546"/>
      <c r="N50" s="546"/>
      <c r="O50" s="546"/>
      <c r="P50" s="546"/>
      <c r="Q50" s="546"/>
      <c r="R50" s="546"/>
      <c r="S50" s="546"/>
      <c r="T50" s="546"/>
    </row>
    <row r="51" spans="1:20" x14ac:dyDescent="0.3">
      <c r="A51" s="32" t="s">
        <v>171</v>
      </c>
      <c r="B51" s="516">
        <v>2.8526E-6</v>
      </c>
      <c r="C51" s="516">
        <v>1.9999999999999999E-6</v>
      </c>
      <c r="D51" s="516">
        <v>1.325E-6</v>
      </c>
      <c r="E51" s="516">
        <v>6.7666666666666703E-7</v>
      </c>
      <c r="F51" s="516">
        <v>7.7999999999999999E-6</v>
      </c>
      <c r="G51" s="516">
        <v>4.2383333333333297E-6</v>
      </c>
      <c r="H51" s="516">
        <v>2.04E-6</v>
      </c>
      <c r="I51" s="23">
        <v>0</v>
      </c>
      <c r="K51" s="546"/>
      <c r="L51" s="550"/>
      <c r="M51" s="550"/>
      <c r="N51" s="550"/>
      <c r="O51" s="550"/>
      <c r="P51" s="550"/>
      <c r="Q51" s="550"/>
      <c r="R51" s="550"/>
      <c r="S51" s="550"/>
      <c r="T51" s="550"/>
    </row>
    <row r="52" spans="1:20" x14ac:dyDescent="0.3">
      <c r="A52" s="601" t="s">
        <v>913</v>
      </c>
      <c r="B52" s="515"/>
      <c r="C52" s="515"/>
      <c r="D52" s="515"/>
      <c r="E52" s="515"/>
      <c r="F52" s="515"/>
      <c r="G52" s="515"/>
      <c r="H52" s="515"/>
      <c r="I52" s="15"/>
      <c r="K52" s="546"/>
      <c r="L52" s="550"/>
      <c r="M52" s="550"/>
      <c r="N52" s="550"/>
      <c r="O52" s="550"/>
      <c r="P52" s="550"/>
      <c r="Q52" s="550"/>
      <c r="R52" s="550"/>
      <c r="S52" s="550"/>
      <c r="T52" s="550"/>
    </row>
    <row r="53" spans="1:20" x14ac:dyDescent="0.3">
      <c r="A53" s="602" t="s">
        <v>915</v>
      </c>
      <c r="B53" s="82"/>
      <c r="C53" s="82"/>
      <c r="D53" s="82"/>
      <c r="E53" s="82"/>
      <c r="F53" s="82"/>
      <c r="G53" s="82"/>
      <c r="H53" s="82"/>
      <c r="I53" s="546"/>
      <c r="K53" s="546"/>
      <c r="L53" s="551"/>
      <c r="M53" s="551"/>
      <c r="N53" s="551"/>
      <c r="O53" s="551"/>
      <c r="P53" s="551"/>
      <c r="Q53" s="551"/>
      <c r="R53" s="551"/>
      <c r="S53" s="550"/>
      <c r="T53" s="550"/>
    </row>
    <row r="54" spans="1:20" x14ac:dyDescent="0.3">
      <c r="A54" s="602" t="s">
        <v>916</v>
      </c>
      <c r="B54" s="3"/>
      <c r="C54" s="3"/>
      <c r="D54" s="3"/>
    </row>
    <row r="55" spans="1:20" x14ac:dyDescent="0.3">
      <c r="A55" s="602" t="s">
        <v>917</v>
      </c>
      <c r="B55" s="3"/>
      <c r="C55" s="3"/>
      <c r="D55" s="3"/>
    </row>
    <row r="56" spans="1:20" x14ac:dyDescent="0.3">
      <c r="A56" s="9"/>
      <c r="D56" s="549"/>
    </row>
    <row r="57" spans="1:20" x14ac:dyDescent="0.3">
      <c r="A57" s="114" t="s">
        <v>252</v>
      </c>
    </row>
    <row r="58" spans="1:20" x14ac:dyDescent="0.3">
      <c r="A58" s="552"/>
      <c r="B58" s="18" t="s">
        <v>40</v>
      </c>
      <c r="C58" s="36" t="s">
        <v>44</v>
      </c>
      <c r="D58" s="114" t="s">
        <v>188</v>
      </c>
    </row>
    <row r="59" spans="1:20" x14ac:dyDescent="0.3">
      <c r="A59" s="28" t="s">
        <v>227</v>
      </c>
      <c r="B59" s="125">
        <v>41</v>
      </c>
      <c r="C59" s="126">
        <v>35.200000000000003</v>
      </c>
      <c r="D59" s="115" t="s">
        <v>194</v>
      </c>
    </row>
    <row r="61" spans="1:20" x14ac:dyDescent="0.3">
      <c r="A61" s="6" t="s">
        <v>45</v>
      </c>
      <c r="L61" s="114" t="s">
        <v>188</v>
      </c>
    </row>
    <row r="62" spans="1:20" ht="35.4" customHeight="1" x14ac:dyDescent="0.3">
      <c r="A62" s="29"/>
      <c r="B62" s="20" t="s">
        <v>8</v>
      </c>
      <c r="C62" s="20" t="s">
        <v>46</v>
      </c>
      <c r="D62" s="20" t="s">
        <v>47</v>
      </c>
      <c r="E62" s="20" t="s">
        <v>9</v>
      </c>
      <c r="F62" s="20" t="s">
        <v>196</v>
      </c>
      <c r="G62" s="20" t="s">
        <v>10</v>
      </c>
      <c r="H62" s="20" t="s">
        <v>48</v>
      </c>
      <c r="I62" s="20" t="s">
        <v>11</v>
      </c>
      <c r="J62" s="20" t="s">
        <v>7</v>
      </c>
      <c r="K62" s="30" t="s">
        <v>67</v>
      </c>
      <c r="L62" s="9" t="s">
        <v>198</v>
      </c>
    </row>
    <row r="63" spans="1:20" x14ac:dyDescent="0.3">
      <c r="A63" s="32" t="s">
        <v>49</v>
      </c>
      <c r="B63" s="34">
        <f>97*10^-3</f>
        <v>9.7000000000000003E-2</v>
      </c>
      <c r="C63" s="34">
        <f>295*10^-3</f>
        <v>0.29499999999999998</v>
      </c>
      <c r="D63" s="34">
        <v>0.25007000000000001</v>
      </c>
      <c r="E63" s="34">
        <v>1.0234000000000001</v>
      </c>
      <c r="F63" s="34">
        <f>135*10^-3</f>
        <v>0.13500000000000001</v>
      </c>
      <c r="G63" s="34">
        <v>0.67132000000000003</v>
      </c>
      <c r="H63" s="34">
        <v>0.65593000000000001</v>
      </c>
      <c r="I63" s="34">
        <v>0.66898999999999997</v>
      </c>
      <c r="J63" s="34">
        <f>467*10^-3</f>
        <v>0.46700000000000003</v>
      </c>
      <c r="K63" s="35">
        <v>0.73609999999999998</v>
      </c>
      <c r="L63" s="9" t="s">
        <v>1490</v>
      </c>
    </row>
    <row r="64" spans="1:20" x14ac:dyDescent="0.3">
      <c r="A64" s="9" t="s">
        <v>195</v>
      </c>
    </row>
    <row r="65" spans="1:12" ht="15" x14ac:dyDescent="0.3">
      <c r="A65" s="9" t="s">
        <v>197</v>
      </c>
      <c r="D65" s="865"/>
      <c r="E65" s="865"/>
      <c r="G65" s="865"/>
      <c r="K65" s="865"/>
      <c r="L65" s="72"/>
    </row>
    <row r="66" spans="1:12" ht="15" x14ac:dyDescent="0.3">
      <c r="A66" s="9"/>
      <c r="H66" s="865"/>
      <c r="I66" s="865"/>
      <c r="L66" s="72"/>
    </row>
    <row r="67" spans="1:12" ht="15" x14ac:dyDescent="0.3">
      <c r="A67" s="6" t="s">
        <v>250</v>
      </c>
      <c r="G67" s="866"/>
      <c r="H67" s="866"/>
      <c r="L67" s="72"/>
    </row>
    <row r="68" spans="1:12" x14ac:dyDescent="0.3">
      <c r="A68" s="16"/>
      <c r="B68" s="17" t="s">
        <v>50</v>
      </c>
      <c r="C68" s="19" t="s">
        <v>921</v>
      </c>
      <c r="D68" s="114" t="s">
        <v>188</v>
      </c>
      <c r="G68" s="866"/>
      <c r="H68" s="867"/>
      <c r="L68" s="9"/>
    </row>
    <row r="69" spans="1:12" x14ac:dyDescent="0.3">
      <c r="A69" s="27" t="s">
        <v>52</v>
      </c>
      <c r="B69" s="10">
        <v>2.2999999999999998</v>
      </c>
      <c r="C69" s="11">
        <v>2.8236400117190001</v>
      </c>
      <c r="D69" s="116" t="s">
        <v>199</v>
      </c>
      <c r="G69" s="868"/>
      <c r="H69" s="866"/>
    </row>
    <row r="70" spans="1:12" x14ac:dyDescent="0.3">
      <c r="A70" s="27" t="s">
        <v>53</v>
      </c>
      <c r="B70" s="10">
        <v>0</v>
      </c>
      <c r="C70" s="12">
        <v>1.6796E-8</v>
      </c>
      <c r="D70" s="4" t="s">
        <v>1524</v>
      </c>
      <c r="G70" s="869"/>
      <c r="H70" s="870"/>
    </row>
    <row r="71" spans="1:12" x14ac:dyDescent="0.3">
      <c r="A71" s="28" t="s">
        <v>54</v>
      </c>
      <c r="B71" s="13">
        <v>4.3624161073825508E-3</v>
      </c>
      <c r="C71" s="14">
        <v>1.8938018812773769E-2</v>
      </c>
      <c r="G71" s="869"/>
      <c r="H71" s="866"/>
    </row>
    <row r="72" spans="1:12" x14ac:dyDescent="0.3">
      <c r="A72" s="115" t="s">
        <v>922</v>
      </c>
      <c r="B72" s="10"/>
      <c r="C72" s="183"/>
      <c r="G72" s="866"/>
      <c r="H72" s="866"/>
    </row>
    <row r="73" spans="1:12" x14ac:dyDescent="0.3">
      <c r="G73" s="866"/>
      <c r="H73" s="866"/>
    </row>
    <row r="74" spans="1:12" x14ac:dyDescent="0.3">
      <c r="A74" s="68" t="s">
        <v>251</v>
      </c>
      <c r="B74" s="68"/>
      <c r="C74" s="68"/>
      <c r="D74" s="68"/>
      <c r="E74" s="15"/>
    </row>
    <row r="75" spans="1:12" x14ac:dyDescent="0.3">
      <c r="A75" s="67"/>
      <c r="B75" s="69" t="s">
        <v>167</v>
      </c>
      <c r="C75" s="69" t="s">
        <v>141</v>
      </c>
      <c r="D75" s="74" t="s">
        <v>168</v>
      </c>
      <c r="E75" s="114" t="s">
        <v>188</v>
      </c>
    </row>
    <row r="76" spans="1:12" x14ac:dyDescent="0.3">
      <c r="A76" s="80" t="s">
        <v>50</v>
      </c>
      <c r="B76" s="38">
        <v>0.6</v>
      </c>
      <c r="C76" s="38">
        <v>0.3</v>
      </c>
      <c r="D76" s="133">
        <v>0.1</v>
      </c>
      <c r="E76" s="118" t="s">
        <v>200</v>
      </c>
    </row>
    <row r="77" spans="1:12" x14ac:dyDescent="0.3">
      <c r="A77" s="75" t="s">
        <v>51</v>
      </c>
      <c r="B77" s="71">
        <v>0.4</v>
      </c>
      <c r="C77" s="71">
        <v>0.7</v>
      </c>
      <c r="D77" s="134">
        <v>0.9</v>
      </c>
    </row>
    <row r="79" spans="1:12" x14ac:dyDescent="0.3">
      <c r="A79" s="6" t="s">
        <v>58</v>
      </c>
    </row>
    <row r="80" spans="1:12" ht="41.4" x14ac:dyDescent="0.3">
      <c r="A80" s="267"/>
      <c r="B80" s="19" t="s">
        <v>173</v>
      </c>
      <c r="C80" s="114" t="s">
        <v>188</v>
      </c>
      <c r="E80" s="626"/>
    </row>
    <row r="81" spans="1:5" x14ac:dyDescent="0.3">
      <c r="A81" s="28" t="s">
        <v>172</v>
      </c>
      <c r="B81" s="23">
        <v>0.03</v>
      </c>
      <c r="C81" s="116" t="s">
        <v>926</v>
      </c>
    </row>
    <row r="82" spans="1:5" x14ac:dyDescent="0.3">
      <c r="A82" s="9" t="s">
        <v>1005</v>
      </c>
      <c r="B82" s="15"/>
      <c r="C82" s="116"/>
      <c r="E82" s="9"/>
    </row>
    <row r="83" spans="1:5" x14ac:dyDescent="0.3">
      <c r="A83" s="15"/>
      <c r="B83" s="15"/>
      <c r="C83" s="116"/>
      <c r="E83" s="9"/>
    </row>
    <row r="84" spans="1:5" x14ac:dyDescent="0.3">
      <c r="A84" s="6" t="s">
        <v>124</v>
      </c>
    </row>
    <row r="85" spans="1:5" x14ac:dyDescent="0.3">
      <c r="A85" s="46"/>
      <c r="B85" s="47" t="s">
        <v>59</v>
      </c>
      <c r="C85" s="114" t="s">
        <v>188</v>
      </c>
    </row>
    <row r="86" spans="1:5" x14ac:dyDescent="0.3">
      <c r="A86" s="539" t="s">
        <v>125</v>
      </c>
      <c r="B86" s="48">
        <v>0.15</v>
      </c>
      <c r="C86" s="117" t="s">
        <v>653</v>
      </c>
    </row>
    <row r="87" spans="1:5" x14ac:dyDescent="0.3">
      <c r="A87" s="539" t="s">
        <v>126</v>
      </c>
      <c r="B87" s="48">
        <v>0.3</v>
      </c>
    </row>
    <row r="88" spans="1:5" x14ac:dyDescent="0.3">
      <c r="A88" s="539" t="s">
        <v>127</v>
      </c>
      <c r="B88" s="48">
        <v>0.05</v>
      </c>
    </row>
    <row r="89" spans="1:5" x14ac:dyDescent="0.3">
      <c r="A89" s="539" t="s">
        <v>732</v>
      </c>
      <c r="B89" s="48">
        <v>0.15</v>
      </c>
    </row>
    <row r="90" spans="1:5" x14ac:dyDescent="0.3">
      <c r="A90" s="539" t="s">
        <v>733</v>
      </c>
      <c r="B90" s="48">
        <v>0.05</v>
      </c>
    </row>
    <row r="91" spans="1:5" x14ac:dyDescent="0.3">
      <c r="A91" s="539" t="s">
        <v>1013</v>
      </c>
      <c r="B91" s="48">
        <v>0.05</v>
      </c>
    </row>
    <row r="92" spans="1:5" x14ac:dyDescent="0.3">
      <c r="A92" s="539" t="s">
        <v>221</v>
      </c>
      <c r="B92" s="48">
        <v>0.1</v>
      </c>
    </row>
    <row r="93" spans="1:5" x14ac:dyDescent="0.3">
      <c r="A93" s="539" t="s">
        <v>128</v>
      </c>
      <c r="B93" s="48">
        <v>0.3</v>
      </c>
    </row>
    <row r="94" spans="1:5" x14ac:dyDescent="0.3">
      <c r="A94" s="540" t="s">
        <v>129</v>
      </c>
      <c r="B94" s="49">
        <v>0.1</v>
      </c>
    </row>
    <row r="95" spans="1:5" x14ac:dyDescent="0.3">
      <c r="A95" s="45"/>
      <c r="B95" s="38"/>
    </row>
    <row r="96" spans="1:5" x14ac:dyDescent="0.3">
      <c r="A96" s="6" t="s">
        <v>137</v>
      </c>
      <c r="B96" s="38"/>
    </row>
    <row r="97" spans="1:5" ht="27.6" x14ac:dyDescent="0.3">
      <c r="A97" s="51"/>
      <c r="B97" s="73" t="s">
        <v>174</v>
      </c>
      <c r="C97" s="95" t="s">
        <v>747</v>
      </c>
      <c r="D97" s="114" t="s">
        <v>188</v>
      </c>
      <c r="E97" s="118"/>
    </row>
    <row r="98" spans="1:5" ht="15" x14ac:dyDescent="0.3">
      <c r="A98" s="80" t="s">
        <v>739</v>
      </c>
      <c r="B98" s="37">
        <v>0.05</v>
      </c>
      <c r="C98" s="55">
        <v>0.03</v>
      </c>
      <c r="D98" s="115" t="s">
        <v>201</v>
      </c>
    </row>
    <row r="99" spans="1:5" ht="15" x14ac:dyDescent="0.3">
      <c r="A99" s="80" t="s">
        <v>740</v>
      </c>
      <c r="B99" s="37">
        <v>0.1</v>
      </c>
      <c r="C99" s="55">
        <v>0.03</v>
      </c>
      <c r="D99" s="115" t="s">
        <v>202</v>
      </c>
    </row>
    <row r="100" spans="1:5" ht="15" x14ac:dyDescent="0.3">
      <c r="A100" s="80" t="s">
        <v>741</v>
      </c>
      <c r="B100" s="37">
        <v>0.2</v>
      </c>
      <c r="C100" s="55">
        <v>0.03</v>
      </c>
    </row>
    <row r="101" spans="1:5" ht="15" x14ac:dyDescent="0.3">
      <c r="A101" s="80" t="s">
        <v>742</v>
      </c>
      <c r="B101" s="37">
        <v>0.3</v>
      </c>
      <c r="C101" s="55">
        <v>0.03</v>
      </c>
    </row>
    <row r="102" spans="1:5" x14ac:dyDescent="0.3">
      <c r="A102" s="80" t="s">
        <v>70</v>
      </c>
      <c r="B102" s="37">
        <v>0.20000000000000004</v>
      </c>
      <c r="C102" s="55">
        <v>0.03</v>
      </c>
    </row>
    <row r="103" spans="1:5" ht="15" x14ac:dyDescent="0.3">
      <c r="A103" s="80" t="s">
        <v>743</v>
      </c>
      <c r="B103" s="37">
        <v>0.3</v>
      </c>
      <c r="C103" s="55">
        <v>0.03</v>
      </c>
    </row>
    <row r="104" spans="1:5" ht="15" x14ac:dyDescent="0.3">
      <c r="A104" s="80" t="s">
        <v>744</v>
      </c>
      <c r="B104" s="37">
        <v>0.3</v>
      </c>
      <c r="C104" s="55">
        <v>0.03</v>
      </c>
    </row>
    <row r="105" spans="1:5" ht="15" x14ac:dyDescent="0.3">
      <c r="A105" s="80" t="s">
        <v>745</v>
      </c>
      <c r="B105" s="37">
        <v>0.4</v>
      </c>
      <c r="C105" s="55">
        <v>0.03</v>
      </c>
    </row>
    <row r="106" spans="1:5" x14ac:dyDescent="0.3">
      <c r="A106" s="235" t="s">
        <v>9</v>
      </c>
      <c r="B106" s="37">
        <v>0.5</v>
      </c>
      <c r="C106" s="55">
        <v>0.03</v>
      </c>
    </row>
    <row r="107" spans="1:5" ht="15" x14ac:dyDescent="0.3">
      <c r="A107" s="235" t="s">
        <v>746</v>
      </c>
      <c r="B107" s="37">
        <v>0.5</v>
      </c>
      <c r="C107" s="55">
        <v>0.03</v>
      </c>
    </row>
    <row r="108" spans="1:5" x14ac:dyDescent="0.3">
      <c r="A108" s="541" t="s">
        <v>184</v>
      </c>
      <c r="B108" s="22">
        <v>0.4</v>
      </c>
      <c r="C108" s="23">
        <v>0.03</v>
      </c>
    </row>
    <row r="109" spans="1:5" ht="15" x14ac:dyDescent="0.3">
      <c r="A109" s="56" t="s">
        <v>135</v>
      </c>
      <c r="B109" s="50"/>
      <c r="C109" s="50"/>
    </row>
    <row r="110" spans="1:5" ht="15" x14ac:dyDescent="0.3">
      <c r="A110" s="56" t="s">
        <v>706</v>
      </c>
      <c r="B110" s="50"/>
      <c r="C110" s="50"/>
    </row>
    <row r="111" spans="1:5" ht="15" x14ac:dyDescent="0.3">
      <c r="A111" s="56" t="s">
        <v>130</v>
      </c>
      <c r="B111" s="50"/>
      <c r="C111" s="50"/>
    </row>
    <row r="112" spans="1:5" ht="15" x14ac:dyDescent="0.3">
      <c r="A112" s="56" t="s">
        <v>131</v>
      </c>
      <c r="B112" s="50"/>
      <c r="C112" s="50"/>
    </row>
    <row r="113" spans="1:14" ht="15" x14ac:dyDescent="0.3">
      <c r="A113" s="56" t="s">
        <v>132</v>
      </c>
      <c r="B113" s="50"/>
      <c r="C113" s="50"/>
    </row>
    <row r="114" spans="1:14" ht="15" x14ac:dyDescent="0.3">
      <c r="A114" s="56" t="s">
        <v>136</v>
      </c>
      <c r="B114" s="50"/>
      <c r="C114" s="50"/>
    </row>
    <row r="115" spans="1:14" ht="15" x14ac:dyDescent="0.3">
      <c r="A115" s="56" t="s">
        <v>133</v>
      </c>
      <c r="B115" s="50"/>
      <c r="C115" s="50"/>
    </row>
    <row r="116" spans="1:14" ht="15" x14ac:dyDescent="0.3">
      <c r="A116" s="56" t="s">
        <v>134</v>
      </c>
      <c r="B116" s="50"/>
      <c r="C116" s="50"/>
    </row>
    <row r="117" spans="1:14" x14ac:dyDescent="0.3">
      <c r="A117" s="393" t="s">
        <v>1010</v>
      </c>
      <c r="B117" s="50"/>
      <c r="C117" s="50"/>
    </row>
    <row r="118" spans="1:14" ht="15" x14ac:dyDescent="0.3">
      <c r="A118" s="623"/>
      <c r="B118" s="50"/>
      <c r="C118" s="50"/>
    </row>
    <row r="119" spans="1:14" x14ac:dyDescent="0.3">
      <c r="A119" s="6" t="s">
        <v>186</v>
      </c>
      <c r="B119" s="42"/>
      <c r="C119" s="42"/>
      <c r="D119" s="42"/>
    </row>
    <row r="120" spans="1:14" x14ac:dyDescent="0.3">
      <c r="A120" s="63"/>
      <c r="B120" s="18" t="s">
        <v>141</v>
      </c>
      <c r="C120" s="18" t="s">
        <v>462</v>
      </c>
      <c r="D120" s="98" t="s">
        <v>757</v>
      </c>
      <c r="E120" s="98" t="s">
        <v>758</v>
      </c>
      <c r="F120" s="18" t="s">
        <v>142</v>
      </c>
      <c r="G120" s="18" t="s">
        <v>505</v>
      </c>
      <c r="H120" s="36" t="s">
        <v>731</v>
      </c>
      <c r="I120" s="114" t="s">
        <v>188</v>
      </c>
      <c r="J120" s="114"/>
      <c r="K120" s="61"/>
      <c r="M120" s="61"/>
      <c r="N120" s="61"/>
    </row>
    <row r="121" spans="1:14" x14ac:dyDescent="0.3">
      <c r="A121" s="554" t="s">
        <v>139</v>
      </c>
      <c r="B121" s="515">
        <v>0.16210000000000002</v>
      </c>
      <c r="C121" s="515">
        <v>0.15327999999999997</v>
      </c>
      <c r="D121" s="515">
        <v>0.38575000000000004</v>
      </c>
      <c r="E121" s="86">
        <v>0.18855999999999995</v>
      </c>
      <c r="F121" s="86">
        <v>0.35199999999999987</v>
      </c>
      <c r="G121" s="515">
        <v>0.38575000000000004</v>
      </c>
      <c r="H121" s="148">
        <f>AVERAGE(B121:G121)</f>
        <v>0.27123999999999998</v>
      </c>
      <c r="I121" s="15" t="s">
        <v>217</v>
      </c>
      <c r="J121" s="94"/>
      <c r="K121" s="62"/>
      <c r="L121" s="553"/>
      <c r="M121" s="62"/>
      <c r="N121" s="62"/>
    </row>
    <row r="122" spans="1:14" x14ac:dyDescent="0.3">
      <c r="A122" s="554" t="s">
        <v>461</v>
      </c>
      <c r="B122" s="86">
        <v>0.15751360000000003</v>
      </c>
      <c r="C122" s="515">
        <v>0.13996180000000003</v>
      </c>
      <c r="D122" s="515">
        <v>0.12049900000000013</v>
      </c>
      <c r="E122" s="515">
        <v>0.21016900000000005</v>
      </c>
      <c r="F122" s="515">
        <v>0.14255488000000005</v>
      </c>
      <c r="G122" s="515">
        <v>0.12995599999999996</v>
      </c>
      <c r="H122" s="148">
        <f t="shared" ref="H122:H127" si="0">AVERAGE(B122:G122)</f>
        <v>0.15010904666666672</v>
      </c>
      <c r="I122" s="548"/>
      <c r="J122" s="94"/>
      <c r="K122" s="62"/>
      <c r="L122" s="553"/>
      <c r="M122" s="62"/>
      <c r="N122" s="62"/>
    </row>
    <row r="123" spans="1:14" x14ac:dyDescent="0.3">
      <c r="A123" s="554" t="s">
        <v>138</v>
      </c>
      <c r="B123" s="515">
        <v>0.28064500000000003</v>
      </c>
      <c r="C123" s="515">
        <v>0.28855000000000008</v>
      </c>
      <c r="D123" s="515">
        <v>0.32202999999999993</v>
      </c>
      <c r="E123" s="86">
        <v>0.26483500000000004</v>
      </c>
      <c r="F123" s="86">
        <v>0.29617599999999999</v>
      </c>
      <c r="G123" s="515">
        <v>0.35178999999999994</v>
      </c>
      <c r="H123" s="148">
        <f t="shared" si="0"/>
        <v>0.30067099999999997</v>
      </c>
      <c r="I123" s="548"/>
      <c r="J123" s="94"/>
      <c r="K123" s="62"/>
      <c r="L123" s="553"/>
      <c r="M123" s="62"/>
      <c r="N123" s="62"/>
    </row>
    <row r="124" spans="1:14" x14ac:dyDescent="0.3">
      <c r="A124" s="554" t="s">
        <v>1469</v>
      </c>
      <c r="B124" s="515">
        <v>6.8905000000000105E-2</v>
      </c>
      <c r="C124" s="515">
        <v>5.9499999999999997E-2</v>
      </c>
      <c r="D124" s="515">
        <v>0.19849600000000001</v>
      </c>
      <c r="E124" s="86">
        <v>8.7714999999999987E-2</v>
      </c>
      <c r="F124" s="86">
        <v>0.11652400000000007</v>
      </c>
      <c r="G124" s="515">
        <v>0.16206399999999999</v>
      </c>
      <c r="H124" s="148">
        <f t="shared" si="0"/>
        <v>0.11553400000000003</v>
      </c>
      <c r="I124" s="548"/>
      <c r="J124" s="94"/>
      <c r="K124" s="62"/>
      <c r="L124" s="553"/>
      <c r="M124" s="62"/>
      <c r="N124" s="62"/>
    </row>
    <row r="125" spans="1:14" x14ac:dyDescent="0.3">
      <c r="A125" s="554" t="s">
        <v>140</v>
      </c>
      <c r="B125" s="515">
        <v>0.14887699999999993</v>
      </c>
      <c r="C125" s="515">
        <v>0.14887700000000004</v>
      </c>
      <c r="D125" s="515">
        <v>0.22158600000000006</v>
      </c>
      <c r="E125" s="86">
        <v>0.16170800000000007</v>
      </c>
      <c r="F125" s="86">
        <v>0.21330500000000008</v>
      </c>
      <c r="G125" s="515">
        <v>0.22158600000000006</v>
      </c>
      <c r="H125" s="148">
        <f t="shared" si="0"/>
        <v>0.18598983333333338</v>
      </c>
      <c r="I125" s="548"/>
      <c r="J125" s="94"/>
      <c r="K125" s="62"/>
      <c r="L125" s="553"/>
    </row>
    <row r="126" spans="1:14" x14ac:dyDescent="0.3">
      <c r="A126" s="554" t="s">
        <v>1386</v>
      </c>
      <c r="B126" s="86">
        <v>8.8000000000000078E-2</v>
      </c>
      <c r="C126" s="86">
        <v>8.8000000000000078E-2</v>
      </c>
      <c r="D126" s="86">
        <v>8.8000000000000078E-2</v>
      </c>
      <c r="E126" s="86">
        <v>8.8000000000000078E-2</v>
      </c>
      <c r="F126" s="86">
        <v>8.8000000000000078E-2</v>
      </c>
      <c r="G126" s="86">
        <v>8.8000000000000078E-2</v>
      </c>
      <c r="H126" s="148">
        <f t="shared" si="0"/>
        <v>8.8000000000000078E-2</v>
      </c>
      <c r="I126" s="548"/>
      <c r="J126" s="94"/>
      <c r="K126" s="62"/>
      <c r="L126" s="553"/>
      <c r="M126" s="62"/>
      <c r="N126" s="62"/>
    </row>
    <row r="127" spans="1:14" x14ac:dyDescent="0.3">
      <c r="A127" s="555" t="s">
        <v>1387</v>
      </c>
      <c r="B127" s="516">
        <v>2.18552999999998E-2</v>
      </c>
      <c r="C127" s="516">
        <v>2.1855300000000022E-2</v>
      </c>
      <c r="D127" s="516">
        <v>8.3406000000000091E-2</v>
      </c>
      <c r="E127" s="87">
        <v>2.6770599999999978E-2</v>
      </c>
      <c r="F127" s="87">
        <v>8.3406000000000091E-2</v>
      </c>
      <c r="G127" s="516">
        <v>0.11533554999999995</v>
      </c>
      <c r="H127" s="244">
        <f t="shared" si="0"/>
        <v>5.8771458333333325E-2</v>
      </c>
      <c r="I127" s="548"/>
      <c r="J127" s="94"/>
      <c r="K127" s="62"/>
      <c r="L127" s="553"/>
      <c r="M127" s="62"/>
      <c r="N127" s="62"/>
    </row>
    <row r="128" spans="1:14" x14ac:dyDescent="0.3">
      <c r="A128" s="4" t="s">
        <v>1557</v>
      </c>
      <c r="B128" s="60"/>
      <c r="C128" s="60"/>
      <c r="D128" s="60"/>
      <c r="E128" s="60"/>
      <c r="F128" s="60"/>
      <c r="G128" s="60"/>
      <c r="H128" s="60"/>
      <c r="I128" s="60"/>
      <c r="J128" s="60"/>
    </row>
    <row r="129" spans="1:10" x14ac:dyDescent="0.3">
      <c r="A129" s="4" t="s">
        <v>759</v>
      </c>
      <c r="B129" s="238"/>
      <c r="C129" s="60"/>
      <c r="D129" s="60"/>
      <c r="E129" s="60"/>
      <c r="F129" s="60"/>
      <c r="G129" s="60"/>
      <c r="H129" s="60"/>
      <c r="I129" s="60"/>
      <c r="J129" s="60"/>
    </row>
    <row r="130" spans="1:10" x14ac:dyDescent="0.3">
      <c r="A130" s="42" t="s">
        <v>760</v>
      </c>
      <c r="B130" s="60"/>
      <c r="C130" s="60"/>
      <c r="D130" s="60"/>
      <c r="E130" s="60"/>
      <c r="F130" s="60"/>
      <c r="G130" s="60"/>
      <c r="H130" s="60"/>
      <c r="I130" s="60"/>
      <c r="J130" s="60"/>
    </row>
    <row r="131" spans="1:10" x14ac:dyDescent="0.3">
      <c r="A131" s="42" t="s">
        <v>1389</v>
      </c>
      <c r="B131" s="60"/>
      <c r="C131" s="60"/>
      <c r="D131" s="60"/>
      <c r="E131" s="60"/>
      <c r="F131" s="60"/>
      <c r="G131" s="60"/>
      <c r="H131" s="60"/>
      <c r="I131" s="60"/>
      <c r="J131" s="60"/>
    </row>
    <row r="132" spans="1:10" x14ac:dyDescent="0.3">
      <c r="A132" s="4" t="s">
        <v>1388</v>
      </c>
      <c r="B132" s="60"/>
      <c r="C132" s="60"/>
      <c r="D132" s="60"/>
      <c r="E132" s="60"/>
      <c r="F132" s="60"/>
      <c r="G132" s="60"/>
      <c r="H132" s="60"/>
      <c r="I132" s="60"/>
      <c r="J132" s="60"/>
    </row>
    <row r="133" spans="1:10" x14ac:dyDescent="0.3">
      <c r="A133" s="9" t="s">
        <v>1011</v>
      </c>
      <c r="B133" s="60"/>
      <c r="C133" s="60"/>
      <c r="D133" s="60"/>
      <c r="E133" s="60"/>
      <c r="F133" s="60"/>
      <c r="G133" s="60"/>
      <c r="H133" s="60"/>
      <c r="I133" s="60"/>
      <c r="J133" s="60"/>
    </row>
    <row r="134" spans="1:10" x14ac:dyDescent="0.3">
      <c r="A134" s="9"/>
      <c r="B134" s="60"/>
      <c r="C134" s="60"/>
      <c r="D134" s="60"/>
      <c r="E134" s="60"/>
      <c r="F134" s="60"/>
      <c r="G134" s="60"/>
      <c r="H134" s="60"/>
      <c r="I134" s="60"/>
      <c r="J134" s="60"/>
    </row>
    <row r="135" spans="1:10" x14ac:dyDescent="0.3">
      <c r="A135" s="557" t="s">
        <v>1471</v>
      </c>
      <c r="F135" s="62"/>
      <c r="G135" s="60"/>
      <c r="H135" s="60"/>
      <c r="I135" s="60"/>
      <c r="J135" s="60"/>
    </row>
    <row r="136" spans="1:10" x14ac:dyDescent="0.3">
      <c r="A136" s="846" t="s">
        <v>1466</v>
      </c>
      <c r="B136" s="849">
        <v>0.1</v>
      </c>
      <c r="C136" s="114" t="s">
        <v>188</v>
      </c>
      <c r="F136" s="62"/>
      <c r="G136" s="60"/>
      <c r="H136" s="60"/>
      <c r="I136" s="60"/>
      <c r="J136" s="60"/>
    </row>
    <row r="137" spans="1:10" x14ac:dyDescent="0.3">
      <c r="A137" s="847" t="s">
        <v>1467</v>
      </c>
      <c r="B137" s="21">
        <v>0.02</v>
      </c>
      <c r="C137" s="15" t="s">
        <v>217</v>
      </c>
      <c r="F137" s="60"/>
      <c r="G137" s="60"/>
      <c r="H137" s="60"/>
      <c r="I137" s="60"/>
      <c r="J137" s="60"/>
    </row>
    <row r="138" spans="1:10" x14ac:dyDescent="0.3">
      <c r="A138" s="847" t="s">
        <v>1472</v>
      </c>
      <c r="B138" s="21">
        <v>7.0000000000000007E-2</v>
      </c>
      <c r="C138" s="15"/>
      <c r="F138" s="60"/>
      <c r="G138" s="60"/>
      <c r="H138" s="60"/>
      <c r="I138" s="60"/>
      <c r="J138" s="60"/>
    </row>
    <row r="139" spans="1:10" x14ac:dyDescent="0.3">
      <c r="A139" s="847" t="s">
        <v>1468</v>
      </c>
      <c r="B139" s="48">
        <v>0.01</v>
      </c>
      <c r="C139" s="60"/>
      <c r="D139" s="60"/>
      <c r="E139" s="60"/>
      <c r="F139" s="60"/>
      <c r="G139" s="60"/>
      <c r="H139" s="60"/>
      <c r="I139" s="60"/>
      <c r="J139" s="60"/>
    </row>
    <row r="140" spans="1:10" x14ac:dyDescent="0.3">
      <c r="A140" s="848" t="s">
        <v>1013</v>
      </c>
      <c r="B140" s="244">
        <v>5.0000000000000001E-3</v>
      </c>
    </row>
    <row r="141" spans="1:10" x14ac:dyDescent="0.3">
      <c r="A141" s="850" t="s">
        <v>1470</v>
      </c>
    </row>
    <row r="142" spans="1:10" x14ac:dyDescent="0.3">
      <c r="A142" s="9" t="s">
        <v>1011</v>
      </c>
    </row>
    <row r="143" spans="1:10" x14ac:dyDescent="0.3">
      <c r="A143" s="554"/>
    </row>
    <row r="144" spans="1:10" x14ac:dyDescent="0.3">
      <c r="A144" s="554"/>
    </row>
    <row r="145" spans="1:1" x14ac:dyDescent="0.3">
      <c r="A145" s="9"/>
    </row>
    <row r="146" spans="1:1" x14ac:dyDescent="0.3">
      <c r="A146" s="9"/>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Y471"/>
  <sheetViews>
    <sheetView zoomScale="90" zoomScaleNormal="90" workbookViewId="0"/>
  </sheetViews>
  <sheetFormatPr defaultColWidth="8.88671875" defaultRowHeight="13.8" x14ac:dyDescent="0.3"/>
  <cols>
    <col min="1" max="1" width="55" style="66" bestFit="1" customWidth="1"/>
    <col min="2" max="2" width="31.5546875" style="38" customWidth="1"/>
    <col min="3" max="3" width="42.109375" style="38" customWidth="1"/>
    <col min="4" max="4" width="35.5546875" style="38" customWidth="1"/>
    <col min="5" max="5" width="37.88671875" style="38" customWidth="1"/>
    <col min="6" max="6" width="44.88671875" style="38" bestFit="1" customWidth="1"/>
    <col min="7" max="7" width="31.33203125" style="38" bestFit="1" customWidth="1"/>
    <col min="8" max="8" width="27.5546875" style="38" customWidth="1"/>
    <col min="9" max="9" width="34" style="38" customWidth="1"/>
    <col min="10" max="10" width="50.33203125" style="38" bestFit="1" customWidth="1"/>
    <col min="11" max="12" width="18" style="38" customWidth="1"/>
    <col min="13" max="13" width="34.33203125" style="38" customWidth="1"/>
    <col min="14" max="14" width="53.44140625" style="38" customWidth="1"/>
    <col min="15" max="15" width="30" style="38" customWidth="1"/>
    <col min="16" max="16" width="20.6640625" style="38" bestFit="1" customWidth="1"/>
    <col min="17" max="17" width="23" style="38" bestFit="1" customWidth="1"/>
    <col min="18" max="18" width="25.6640625" style="38" bestFit="1" customWidth="1"/>
    <col min="19" max="19" width="23.44140625" style="38" bestFit="1" customWidth="1"/>
    <col min="20" max="20" width="27.44140625" style="38" customWidth="1"/>
    <col min="21" max="21" width="24.5546875" style="38" customWidth="1"/>
    <col min="22" max="22" width="42.6640625" style="38" customWidth="1"/>
    <col min="23" max="23" width="47.33203125" style="38" customWidth="1"/>
    <col min="24" max="24" width="35.33203125" style="38" bestFit="1" customWidth="1"/>
    <col min="25" max="25" width="31.44140625" style="38" bestFit="1" customWidth="1"/>
    <col min="26" max="26" width="7.33203125" style="38" bestFit="1" customWidth="1"/>
    <col min="27" max="27" width="12.6640625" style="38" bestFit="1" customWidth="1"/>
    <col min="28" max="28" width="9.44140625" style="38" bestFit="1" customWidth="1"/>
    <col min="29" max="29" width="16.33203125" style="38" bestFit="1" customWidth="1"/>
    <col min="30" max="30" width="16.6640625" style="38" bestFit="1" customWidth="1"/>
    <col min="31" max="31" width="8.88671875" style="38"/>
    <col min="32" max="32" width="26.109375" style="38" bestFit="1" customWidth="1"/>
    <col min="33" max="34" width="8.88671875" style="38"/>
    <col min="35" max="35" width="43.109375" style="38" bestFit="1" customWidth="1"/>
    <col min="36" max="37" width="8.88671875" style="38"/>
    <col min="38" max="38" width="16.5546875" style="38" bestFit="1" customWidth="1"/>
    <col min="39" max="39" width="21.44140625" style="38" bestFit="1" customWidth="1"/>
    <col min="40" max="40" width="31.88671875" style="38" bestFit="1" customWidth="1"/>
    <col min="41" max="41" width="22.109375" style="38" bestFit="1" customWidth="1"/>
    <col min="42" max="42" width="17.5546875" style="38" bestFit="1" customWidth="1"/>
    <col min="43" max="43" width="22.6640625" style="38" bestFit="1" customWidth="1"/>
    <col min="44" max="44" width="8.88671875" style="38"/>
    <col min="45" max="45" width="31.44140625" style="38" bestFit="1" customWidth="1"/>
    <col min="46" max="46" width="17.88671875" style="38" bestFit="1" customWidth="1"/>
    <col min="47" max="47" width="15.33203125" style="38" bestFit="1" customWidth="1"/>
    <col min="48" max="48" width="8.6640625" style="38" customWidth="1"/>
    <col min="49" max="16384" width="8.88671875" style="38"/>
  </cols>
  <sheetData>
    <row r="1" spans="1:7" ht="23.4" x14ac:dyDescent="0.3">
      <c r="A1" s="724" t="s">
        <v>639</v>
      </c>
    </row>
    <row r="2" spans="1:7" x14ac:dyDescent="0.3">
      <c r="E2" s="305" t="s">
        <v>188</v>
      </c>
    </row>
    <row r="3" spans="1:7" x14ac:dyDescent="0.3">
      <c r="A3" s="363" t="s">
        <v>507</v>
      </c>
      <c r="B3" s="364" t="s">
        <v>2</v>
      </c>
      <c r="C3" s="364" t="s">
        <v>17</v>
      </c>
      <c r="D3" s="365" t="s">
        <v>1223</v>
      </c>
      <c r="E3" s="68" t="s">
        <v>866</v>
      </c>
      <c r="F3" s="68" t="s">
        <v>17</v>
      </c>
    </row>
    <row r="4" spans="1:7" x14ac:dyDescent="0.3">
      <c r="A4" s="371" t="s">
        <v>153</v>
      </c>
      <c r="B4" s="210" t="s">
        <v>1</v>
      </c>
      <c r="C4" s="210" t="s">
        <v>557</v>
      </c>
      <c r="D4" s="374">
        <v>0.22993305949795353</v>
      </c>
      <c r="E4" s="7" t="s">
        <v>1195</v>
      </c>
      <c r="F4" s="38" t="s">
        <v>1031</v>
      </c>
    </row>
    <row r="5" spans="1:7" x14ac:dyDescent="0.3">
      <c r="A5" s="54"/>
      <c r="B5" s="37"/>
      <c r="C5" s="38" t="s">
        <v>705</v>
      </c>
      <c r="D5" s="234">
        <v>0.12282349568401872</v>
      </c>
      <c r="E5" s="7" t="s">
        <v>1195</v>
      </c>
      <c r="F5" s="38" t="s">
        <v>1031</v>
      </c>
    </row>
    <row r="6" spans="1:7" x14ac:dyDescent="0.3">
      <c r="A6" s="54"/>
      <c r="B6" s="37"/>
      <c r="C6" s="38" t="s">
        <v>560</v>
      </c>
      <c r="D6" s="234">
        <v>1.7060000177712573E-2</v>
      </c>
      <c r="E6" s="7" t="s">
        <v>1195</v>
      </c>
      <c r="F6" s="38" t="s">
        <v>1031</v>
      </c>
    </row>
    <row r="7" spans="1:7" x14ac:dyDescent="0.3">
      <c r="A7" s="54"/>
      <c r="B7" s="37"/>
      <c r="C7" s="38" t="s">
        <v>688</v>
      </c>
      <c r="D7" s="234">
        <v>9.8431933909286409E-2</v>
      </c>
      <c r="E7" s="7" t="s">
        <v>1195</v>
      </c>
      <c r="F7" s="38" t="s">
        <v>1031</v>
      </c>
    </row>
    <row r="8" spans="1:7" x14ac:dyDescent="0.3">
      <c r="A8" s="54"/>
      <c r="B8" s="37"/>
      <c r="C8" s="38" t="s">
        <v>558</v>
      </c>
      <c r="D8" s="234">
        <v>1.5529903332731231E-2</v>
      </c>
      <c r="E8" s="7" t="s">
        <v>1195</v>
      </c>
      <c r="F8" s="38" t="s">
        <v>1031</v>
      </c>
    </row>
    <row r="9" spans="1:7" x14ac:dyDescent="0.3">
      <c r="A9" s="54"/>
      <c r="B9" s="37"/>
      <c r="C9" s="38" t="s">
        <v>559</v>
      </c>
      <c r="D9" s="234">
        <v>3.2795506638238874E-2</v>
      </c>
      <c r="E9" s="7" t="s">
        <v>1195</v>
      </c>
      <c r="F9" s="38" t="s">
        <v>1031</v>
      </c>
    </row>
    <row r="10" spans="1:7" x14ac:dyDescent="0.3">
      <c r="A10" s="54"/>
      <c r="B10" s="37"/>
      <c r="C10" s="38" t="s">
        <v>561</v>
      </c>
      <c r="D10" s="234">
        <v>1.3426100760058688E-2</v>
      </c>
      <c r="E10" s="7" t="s">
        <v>1195</v>
      </c>
      <c r="F10" s="38" t="s">
        <v>1031</v>
      </c>
    </row>
    <row r="11" spans="1:7" x14ac:dyDescent="0.3">
      <c r="A11" s="37"/>
      <c r="B11" s="37" t="s">
        <v>556</v>
      </c>
      <c r="C11" s="38" t="s">
        <v>557</v>
      </c>
      <c r="D11" s="163">
        <v>0.13239691371079465</v>
      </c>
      <c r="E11" s="7" t="s">
        <v>1195</v>
      </c>
      <c r="F11" s="38" t="s">
        <v>1044</v>
      </c>
      <c r="G11" s="235"/>
    </row>
    <row r="12" spans="1:7" x14ac:dyDescent="0.3">
      <c r="A12" s="37"/>
      <c r="B12" s="37" t="s">
        <v>712</v>
      </c>
      <c r="C12" s="38" t="s">
        <v>708</v>
      </c>
      <c r="D12" s="163">
        <v>0.13928302849851129</v>
      </c>
      <c r="E12" s="7" t="s">
        <v>1195</v>
      </c>
      <c r="F12" s="38" t="s">
        <v>1045</v>
      </c>
      <c r="G12" s="712"/>
    </row>
    <row r="13" spans="1:7" ht="27.6" x14ac:dyDescent="0.3">
      <c r="A13" s="37"/>
      <c r="B13" s="37" t="s">
        <v>70</v>
      </c>
      <c r="C13" s="38" t="s">
        <v>1218</v>
      </c>
      <c r="D13" s="163">
        <v>0.1523491052185092</v>
      </c>
      <c r="E13" s="7" t="s">
        <v>1200</v>
      </c>
      <c r="F13" s="40" t="s">
        <v>1037</v>
      </c>
    </row>
    <row r="14" spans="1:7" ht="27.6" x14ac:dyDescent="0.3">
      <c r="A14" s="37"/>
      <c r="B14" s="38" t="s">
        <v>67</v>
      </c>
      <c r="C14" s="38" t="s">
        <v>1219</v>
      </c>
      <c r="D14" s="163">
        <v>4.6041615953273184E-2</v>
      </c>
      <c r="E14" s="7" t="s">
        <v>1200</v>
      </c>
      <c r="F14" s="40" t="s">
        <v>1037</v>
      </c>
    </row>
    <row r="15" spans="1:7" x14ac:dyDescent="0.3">
      <c r="A15" s="371" t="s">
        <v>154</v>
      </c>
      <c r="B15" s="372" t="s">
        <v>1</v>
      </c>
      <c r="C15" s="210" t="s">
        <v>259</v>
      </c>
      <c r="D15" s="374">
        <v>0.69379999999999997</v>
      </c>
      <c r="E15" s="7" t="s">
        <v>1195</v>
      </c>
      <c r="F15" s="40" t="s">
        <v>1040</v>
      </c>
    </row>
    <row r="16" spans="1:7" x14ac:dyDescent="0.3">
      <c r="A16" s="54"/>
      <c r="B16" s="37" t="s">
        <v>69</v>
      </c>
      <c r="C16" s="38" t="s">
        <v>259</v>
      </c>
      <c r="D16" s="234">
        <v>0.11457597310445827</v>
      </c>
      <c r="E16" s="7" t="s">
        <v>1195</v>
      </c>
      <c r="F16" s="40" t="s">
        <v>1042</v>
      </c>
    </row>
    <row r="17" spans="1:6" x14ac:dyDescent="0.3">
      <c r="A17" s="54"/>
      <c r="B17" s="37" t="s">
        <v>82</v>
      </c>
      <c r="C17" s="38" t="s">
        <v>259</v>
      </c>
      <c r="D17" s="234">
        <v>0.11892205642985713</v>
      </c>
      <c r="E17" s="7" t="s">
        <v>1195</v>
      </c>
      <c r="F17" s="40" t="s">
        <v>1043</v>
      </c>
    </row>
    <row r="18" spans="1:6" x14ac:dyDescent="0.3">
      <c r="A18" s="54"/>
      <c r="B18" s="37" t="s">
        <v>70</v>
      </c>
      <c r="C18" s="38" t="s">
        <v>259</v>
      </c>
      <c r="D18" s="234">
        <v>7.2701970465684621E-2</v>
      </c>
      <c r="E18" s="7" t="s">
        <v>1195</v>
      </c>
      <c r="F18" s="40" t="s">
        <v>1039</v>
      </c>
    </row>
    <row r="19" spans="1:6" x14ac:dyDescent="0.3">
      <c r="A19" s="371" t="s">
        <v>553</v>
      </c>
      <c r="B19" s="372" t="s">
        <v>1</v>
      </c>
      <c r="C19" s="210" t="s">
        <v>259</v>
      </c>
      <c r="D19" s="568">
        <v>0.66020000000000001</v>
      </c>
      <c r="E19" s="7" t="s">
        <v>1195</v>
      </c>
      <c r="F19" s="40" t="s">
        <v>1040</v>
      </c>
    </row>
    <row r="20" spans="1:6" x14ac:dyDescent="0.3">
      <c r="A20" s="54"/>
      <c r="B20" s="37" t="s">
        <v>69</v>
      </c>
      <c r="C20" s="38" t="s">
        <v>259</v>
      </c>
      <c r="D20" s="163">
        <v>0.22940416476963815</v>
      </c>
      <c r="E20" s="7" t="s">
        <v>1195</v>
      </c>
      <c r="F20" s="40" t="s">
        <v>1042</v>
      </c>
    </row>
    <row r="21" spans="1:6" x14ac:dyDescent="0.3">
      <c r="A21" s="54"/>
      <c r="B21" s="37" t="s">
        <v>70</v>
      </c>
      <c r="C21" s="38" t="s">
        <v>259</v>
      </c>
      <c r="D21" s="234">
        <v>0.11039583523036184</v>
      </c>
      <c r="E21" s="7" t="s">
        <v>1195</v>
      </c>
      <c r="F21" s="40" t="s">
        <v>1039</v>
      </c>
    </row>
    <row r="22" spans="1:6" x14ac:dyDescent="0.3">
      <c r="A22" s="371" t="s">
        <v>155</v>
      </c>
      <c r="B22" s="372" t="s">
        <v>1</v>
      </c>
      <c r="C22" s="210" t="s">
        <v>259</v>
      </c>
      <c r="D22" s="374">
        <v>0.90660000000000007</v>
      </c>
      <c r="E22" s="7" t="s">
        <v>1195</v>
      </c>
      <c r="F22" s="40" t="s">
        <v>1040</v>
      </c>
    </row>
    <row r="23" spans="1:6" x14ac:dyDescent="0.3">
      <c r="A23" s="57"/>
      <c r="B23" s="58" t="s">
        <v>70</v>
      </c>
      <c r="C23" s="71" t="s">
        <v>259</v>
      </c>
      <c r="D23" s="713">
        <v>9.3399999999999928E-2</v>
      </c>
      <c r="E23" s="7" t="s">
        <v>1195</v>
      </c>
      <c r="F23" s="40" t="s">
        <v>1039</v>
      </c>
    </row>
    <row r="24" spans="1:6" x14ac:dyDescent="0.3">
      <c r="A24" s="158" t="s">
        <v>1222</v>
      </c>
      <c r="B24" s="37"/>
      <c r="D24" s="127"/>
      <c r="E24" s="7"/>
      <c r="F24" s="40"/>
    </row>
    <row r="25" spans="1:6" x14ac:dyDescent="0.3">
      <c r="A25" s="158" t="s">
        <v>1220</v>
      </c>
      <c r="B25" s="37"/>
      <c r="D25" s="86"/>
      <c r="E25" s="164"/>
    </row>
    <row r="26" spans="1:6" x14ac:dyDescent="0.3">
      <c r="A26" s="158" t="s">
        <v>1221</v>
      </c>
      <c r="B26" s="37"/>
      <c r="D26" s="86"/>
      <c r="E26" s="164"/>
    </row>
    <row r="27" spans="1:6" x14ac:dyDescent="0.3">
      <c r="A27" s="37"/>
      <c r="B27" s="37"/>
      <c r="D27" s="86"/>
      <c r="E27" s="164"/>
    </row>
    <row r="28" spans="1:6" x14ac:dyDescent="0.3">
      <c r="A28" s="235" t="s">
        <v>1340</v>
      </c>
      <c r="B28" s="37"/>
      <c r="D28" s="86"/>
      <c r="E28" s="164"/>
    </row>
    <row r="29" spans="1:6" x14ac:dyDescent="0.3">
      <c r="A29" s="51" t="s">
        <v>1341</v>
      </c>
      <c r="B29" s="797">
        <v>0.69499999999999995</v>
      </c>
      <c r="C29" s="68" t="s">
        <v>188</v>
      </c>
      <c r="D29" s="86"/>
      <c r="E29" s="164"/>
    </row>
    <row r="30" spans="1:6" x14ac:dyDescent="0.3">
      <c r="A30" s="54" t="s">
        <v>1342</v>
      </c>
      <c r="B30" s="234">
        <v>0.59</v>
      </c>
      <c r="C30" s="38" t="s">
        <v>1344</v>
      </c>
      <c r="D30" s="86"/>
      <c r="E30" s="164"/>
    </row>
    <row r="31" spans="1:6" x14ac:dyDescent="0.3">
      <c r="A31" s="57" t="s">
        <v>1343</v>
      </c>
      <c r="B31" s="713">
        <v>0.77</v>
      </c>
      <c r="D31" s="86"/>
      <c r="E31" s="164"/>
    </row>
    <row r="32" spans="1:6" x14ac:dyDescent="0.3">
      <c r="A32" s="37"/>
      <c r="B32" s="37"/>
      <c r="D32" s="86"/>
      <c r="E32" s="164"/>
    </row>
    <row r="33" spans="1:10" x14ac:dyDescent="0.3">
      <c r="A33" s="68" t="s">
        <v>1078</v>
      </c>
    </row>
    <row r="34" spans="1:10" x14ac:dyDescent="0.3">
      <c r="A34" s="46"/>
      <c r="B34" s="69" t="s">
        <v>256</v>
      </c>
      <c r="C34" s="69" t="s">
        <v>257</v>
      </c>
      <c r="D34" s="74" t="s">
        <v>258</v>
      </c>
      <c r="E34" s="68" t="s">
        <v>188</v>
      </c>
      <c r="F34" s="454"/>
      <c r="G34" s="454"/>
      <c r="H34" s="458"/>
      <c r="I34" s="454"/>
      <c r="J34" s="454"/>
    </row>
    <row r="35" spans="1:10" ht="14.4" x14ac:dyDescent="0.3">
      <c r="A35" s="66" t="s">
        <v>1475</v>
      </c>
      <c r="B35" s="142">
        <v>0.2338050790919704</v>
      </c>
      <c r="C35" s="142">
        <v>2.917195265343879E-5</v>
      </c>
      <c r="D35" s="520">
        <v>1.1055771717820345E-3</v>
      </c>
      <c r="E35" s="158" t="s">
        <v>1029</v>
      </c>
      <c r="F35" s="454"/>
      <c r="G35" s="450"/>
      <c r="H35" s="451"/>
      <c r="I35" s="450"/>
      <c r="J35" s="450"/>
    </row>
    <row r="36" spans="1:10" ht="14.4" x14ac:dyDescent="0.3">
      <c r="A36" s="659" t="s">
        <v>671</v>
      </c>
      <c r="B36" s="142">
        <v>0.14871823200000001</v>
      </c>
      <c r="C36" s="142">
        <v>7.446445786666667E-5</v>
      </c>
      <c r="D36" s="520">
        <v>6.7100148098434009E-4</v>
      </c>
      <c r="E36" s="752" t="s">
        <v>191</v>
      </c>
      <c r="F36" s="455"/>
      <c r="G36" s="452"/>
      <c r="H36" s="452"/>
      <c r="I36" s="452"/>
      <c r="J36" s="452"/>
    </row>
    <row r="37" spans="1:10" ht="14.4" x14ac:dyDescent="0.3">
      <c r="A37" s="66" t="s">
        <v>668</v>
      </c>
      <c r="B37" s="142">
        <v>0.1730634265270819</v>
      </c>
      <c r="C37" s="142">
        <v>1.4880759066793784E-5</v>
      </c>
      <c r="D37" s="520">
        <v>4.3294022950517196E-4</v>
      </c>
      <c r="E37" s="158" t="s">
        <v>1029</v>
      </c>
      <c r="F37" s="455"/>
      <c r="G37" s="452"/>
      <c r="H37" s="452"/>
      <c r="I37" s="452"/>
      <c r="J37" s="452"/>
    </row>
    <row r="38" spans="1:10" ht="14.4" x14ac:dyDescent="0.3">
      <c r="A38" s="66" t="s">
        <v>406</v>
      </c>
      <c r="B38" s="142">
        <v>0.35199999999999998</v>
      </c>
      <c r="C38" s="142">
        <v>3.0282608695652176E-3</v>
      </c>
      <c r="D38" s="520">
        <v>8.0270270270270275E-4</v>
      </c>
      <c r="E38" s="752" t="s">
        <v>191</v>
      </c>
      <c r="F38" s="455"/>
      <c r="G38" s="452"/>
      <c r="H38" s="452"/>
      <c r="I38" s="452"/>
      <c r="J38" s="452"/>
    </row>
    <row r="39" spans="1:10" ht="14.4" x14ac:dyDescent="0.3">
      <c r="A39" s="66" t="s">
        <v>674</v>
      </c>
      <c r="B39" s="142">
        <v>0.44869999999999999</v>
      </c>
      <c r="C39" s="142">
        <v>9.6234782608695668E-3</v>
      </c>
      <c r="D39" s="520">
        <v>6.8003378378378378E-4</v>
      </c>
      <c r="E39" s="752" t="s">
        <v>191</v>
      </c>
    </row>
    <row r="40" spans="1:10" ht="14.4" x14ac:dyDescent="0.3">
      <c r="A40" s="66" t="s">
        <v>672</v>
      </c>
      <c r="B40" s="142">
        <v>0.35638595208112128</v>
      </c>
      <c r="C40" s="142">
        <v>5.0912565200720437E-5</v>
      </c>
      <c r="D40" s="520">
        <v>2.1642242395263898E-3</v>
      </c>
      <c r="E40" s="158" t="s">
        <v>1029</v>
      </c>
      <c r="F40" s="191"/>
      <c r="G40" s="191"/>
      <c r="H40" s="191"/>
    </row>
    <row r="41" spans="1:10" ht="14.4" x14ac:dyDescent="0.3">
      <c r="A41" s="66" t="s">
        <v>675</v>
      </c>
      <c r="B41" s="142">
        <v>0.19920904697118996</v>
      </c>
      <c r="C41" s="142">
        <v>5.1239629093669534E-5</v>
      </c>
      <c r="D41" s="520">
        <v>1.0115952333789821E-3</v>
      </c>
      <c r="E41" s="158" t="s">
        <v>1029</v>
      </c>
    </row>
    <row r="42" spans="1:10" ht="14.4" x14ac:dyDescent="0.3">
      <c r="A42" s="66" t="s">
        <v>1558</v>
      </c>
      <c r="B42" s="142">
        <v>0.75600000000000001</v>
      </c>
      <c r="C42" s="142">
        <v>1.3478260869565217E-3</v>
      </c>
      <c r="D42" s="520">
        <v>5.7094594594594588E-5</v>
      </c>
      <c r="E42" s="752" t="s">
        <v>191</v>
      </c>
    </row>
    <row r="43" spans="1:10" ht="14.4" x14ac:dyDescent="0.3">
      <c r="A43" s="27" t="s">
        <v>676</v>
      </c>
      <c r="B43" s="142">
        <v>0.51145695082426001</v>
      </c>
      <c r="C43" s="142">
        <v>1.888576E-4</v>
      </c>
      <c r="D43" s="520">
        <v>3.6457857382550334E-4</v>
      </c>
      <c r="E43" s="752" t="s">
        <v>191</v>
      </c>
    </row>
    <row r="44" spans="1:10" ht="14.4" x14ac:dyDescent="0.3">
      <c r="A44" s="66" t="s">
        <v>677</v>
      </c>
      <c r="B44" s="142">
        <v>0.18633333333333335</v>
      </c>
      <c r="C44" s="142">
        <v>5.7200000000000001E-5</v>
      </c>
      <c r="D44" s="520">
        <v>3.7807606263982104E-4</v>
      </c>
      <c r="E44" s="752" t="s">
        <v>191</v>
      </c>
    </row>
    <row r="45" spans="1:10" ht="14.4" x14ac:dyDescent="0.3">
      <c r="A45" s="66" t="s">
        <v>673</v>
      </c>
      <c r="B45" s="142">
        <v>0.34925070944763487</v>
      </c>
      <c r="C45" s="142">
        <v>1.1358174136458998E-4</v>
      </c>
      <c r="D45" s="520">
        <v>3.9035944428793761E-4</v>
      </c>
      <c r="E45" s="158" t="s">
        <v>1029</v>
      </c>
    </row>
    <row r="46" spans="1:10" ht="14.4" x14ac:dyDescent="0.3">
      <c r="A46" s="66" t="s">
        <v>1488</v>
      </c>
      <c r="B46" s="142">
        <v>0.36893326879829125</v>
      </c>
      <c r="C46" s="142">
        <v>1.4918041680130087E-3</v>
      </c>
      <c r="D46" s="520">
        <v>7.600431831142968E-4</v>
      </c>
      <c r="E46" s="158" t="s">
        <v>1030</v>
      </c>
    </row>
    <row r="47" spans="1:10" ht="14.4" x14ac:dyDescent="0.3">
      <c r="A47" s="66" t="s">
        <v>670</v>
      </c>
      <c r="B47" s="142">
        <v>8.1686799312500002E-2</v>
      </c>
      <c r="C47" s="142">
        <v>3.8913171000000006E-5</v>
      </c>
      <c r="D47" s="520">
        <v>2.08610474795302E-4</v>
      </c>
      <c r="E47" s="752" t="s">
        <v>191</v>
      </c>
    </row>
    <row r="48" spans="1:10" ht="14.4" x14ac:dyDescent="0.3">
      <c r="A48" s="70" t="s">
        <v>669</v>
      </c>
      <c r="B48" s="853">
        <v>8.5925000000000001E-2</v>
      </c>
      <c r="C48" s="853">
        <v>4.8608695652173906E-5</v>
      </c>
      <c r="D48" s="854">
        <v>3.8059645270270272E-4</v>
      </c>
      <c r="E48" s="752" t="s">
        <v>191</v>
      </c>
    </row>
    <row r="49" spans="1:13" x14ac:dyDescent="0.3">
      <c r="A49" s="749" t="s">
        <v>1079</v>
      </c>
      <c r="B49" s="86"/>
      <c r="C49" s="86"/>
      <c r="D49" s="86"/>
      <c r="E49" s="660"/>
    </row>
    <row r="50" spans="1:13" x14ac:dyDescent="0.3">
      <c r="A50" s="751" t="s">
        <v>1476</v>
      </c>
      <c r="E50" s="452"/>
    </row>
    <row r="51" spans="1:13" x14ac:dyDescent="0.3">
      <c r="B51" s="661"/>
      <c r="C51" s="661"/>
      <c r="D51" s="661"/>
      <c r="E51" s="452"/>
    </row>
    <row r="53" spans="1:13" x14ac:dyDescent="0.3">
      <c r="A53" s="120" t="s">
        <v>1409</v>
      </c>
    </row>
    <row r="54" spans="1:13" x14ac:dyDescent="0.3">
      <c r="A54" s="46"/>
      <c r="B54" s="69" t="s">
        <v>411</v>
      </c>
      <c r="C54" s="74" t="s">
        <v>410</v>
      </c>
      <c r="D54" s="68" t="s">
        <v>188</v>
      </c>
    </row>
    <row r="55" spans="1:13" x14ac:dyDescent="0.3">
      <c r="A55" s="66" t="s">
        <v>409</v>
      </c>
      <c r="B55" s="86">
        <v>0.64051653311889267</v>
      </c>
      <c r="C55" s="163">
        <v>0.35948346688110727</v>
      </c>
      <c r="D55" s="158" t="s">
        <v>1046</v>
      </c>
    </row>
    <row r="56" spans="1:13" x14ac:dyDescent="0.3">
      <c r="A56" s="66" t="s">
        <v>164</v>
      </c>
      <c r="B56" s="86">
        <v>1.0000000000000002</v>
      </c>
      <c r="C56" s="163">
        <v>0</v>
      </c>
    </row>
    <row r="57" spans="1:13" x14ac:dyDescent="0.3">
      <c r="A57" s="66" t="s">
        <v>165</v>
      </c>
      <c r="B57" s="86">
        <v>1</v>
      </c>
      <c r="C57" s="163">
        <v>0</v>
      </c>
      <c r="F57" s="203"/>
    </row>
    <row r="58" spans="1:13" x14ac:dyDescent="0.3">
      <c r="A58" s="70" t="s">
        <v>166</v>
      </c>
      <c r="B58" s="87">
        <v>0.28347909877529476</v>
      </c>
      <c r="C58" s="162">
        <v>0.71652090122470535</v>
      </c>
      <c r="E58" s="447"/>
    </row>
    <row r="59" spans="1:13" x14ac:dyDescent="0.3">
      <c r="A59" s="38"/>
      <c r="E59" s="43"/>
      <c r="F59" s="205"/>
    </row>
    <row r="60" spans="1:13" x14ac:dyDescent="0.3">
      <c r="A60" s="705" t="s">
        <v>408</v>
      </c>
      <c r="E60" s="43"/>
      <c r="F60" s="663"/>
      <c r="G60" s="664" t="s">
        <v>871</v>
      </c>
      <c r="H60" s="665"/>
    </row>
    <row r="61" spans="1:13" x14ac:dyDescent="0.3">
      <c r="A61" s="46"/>
      <c r="B61" s="666" t="s">
        <v>400</v>
      </c>
      <c r="C61" s="69" t="s">
        <v>399</v>
      </c>
      <c r="D61" s="69" t="s">
        <v>398</v>
      </c>
      <c r="E61" s="18" t="s">
        <v>419</v>
      </c>
      <c r="F61" s="74" t="s">
        <v>420</v>
      </c>
      <c r="G61" s="667" t="s">
        <v>400</v>
      </c>
      <c r="H61" s="68" t="s">
        <v>399</v>
      </c>
      <c r="I61" s="68" t="s">
        <v>398</v>
      </c>
      <c r="J61" s="114" t="s">
        <v>419</v>
      </c>
      <c r="K61" s="68" t="s">
        <v>420</v>
      </c>
      <c r="L61" s="68"/>
    </row>
    <row r="62" spans="1:13" x14ac:dyDescent="0.3">
      <c r="A62" s="66" t="s">
        <v>1475</v>
      </c>
      <c r="B62" s="191">
        <v>0.82</v>
      </c>
      <c r="C62" s="86">
        <v>0.7</v>
      </c>
      <c r="D62" s="660">
        <v>0.63</v>
      </c>
      <c r="E62" s="714"/>
      <c r="F62" s="48"/>
      <c r="G62" s="158" t="s">
        <v>1048</v>
      </c>
      <c r="H62" s="158" t="s">
        <v>1055</v>
      </c>
      <c r="I62" s="158" t="s">
        <v>1054</v>
      </c>
      <c r="J62" s="158" t="s">
        <v>1224</v>
      </c>
      <c r="K62" s="158" t="s">
        <v>1224</v>
      </c>
      <c r="L62" s="158"/>
      <c r="M62" s="158"/>
    </row>
    <row r="63" spans="1:13" x14ac:dyDescent="0.3">
      <c r="A63" s="659" t="s">
        <v>671</v>
      </c>
      <c r="B63" s="191">
        <v>0</v>
      </c>
      <c r="C63" s="86">
        <v>0.05</v>
      </c>
      <c r="D63" s="660">
        <v>0</v>
      </c>
      <c r="E63" s="714"/>
      <c r="F63" s="48"/>
      <c r="G63" s="117" t="s">
        <v>1225</v>
      </c>
      <c r="H63" s="118" t="s">
        <v>1225</v>
      </c>
      <c r="I63" s="118" t="s">
        <v>1225</v>
      </c>
      <c r="J63" s="118" t="s">
        <v>1225</v>
      </c>
      <c r="K63" s="118" t="s">
        <v>1225</v>
      </c>
      <c r="L63" s="118"/>
      <c r="M63" s="158"/>
    </row>
    <row r="64" spans="1:13" x14ac:dyDescent="0.3">
      <c r="A64" s="659" t="s">
        <v>407</v>
      </c>
      <c r="B64" s="191">
        <v>0.18</v>
      </c>
      <c r="C64" s="86">
        <v>0.25</v>
      </c>
      <c r="D64" s="660">
        <v>0.37</v>
      </c>
      <c r="E64" s="714"/>
      <c r="F64" s="48"/>
      <c r="G64" s="559"/>
    </row>
    <row r="65" spans="1:8" x14ac:dyDescent="0.3">
      <c r="A65" s="180" t="s">
        <v>668</v>
      </c>
      <c r="B65" s="668">
        <v>0.6405642656280206</v>
      </c>
      <c r="C65" s="204">
        <v>8.8074896464604341E-2</v>
      </c>
      <c r="D65" s="204">
        <v>5.4319647753535871E-2</v>
      </c>
      <c r="E65" s="669">
        <v>0.37969256300634702</v>
      </c>
      <c r="F65" s="228">
        <v>0.3713879752341146</v>
      </c>
      <c r="G65" s="43"/>
    </row>
    <row r="66" spans="1:8" x14ac:dyDescent="0.3">
      <c r="A66" s="180" t="s">
        <v>406</v>
      </c>
      <c r="B66" s="668">
        <v>8.3420605373427451E-3</v>
      </c>
      <c r="C66" s="668">
        <v>8.5442606399345339E-2</v>
      </c>
      <c r="D66" s="204">
        <v>4.5611611182579094E-2</v>
      </c>
      <c r="E66" s="669">
        <v>4.301375064727217E-2</v>
      </c>
      <c r="F66" s="228">
        <v>4.2072959326960695E-2</v>
      </c>
      <c r="G66" s="43"/>
    </row>
    <row r="67" spans="1:8" x14ac:dyDescent="0.3">
      <c r="A67" s="180" t="s">
        <v>674</v>
      </c>
      <c r="B67" s="668">
        <v>0</v>
      </c>
      <c r="C67" s="668">
        <v>0</v>
      </c>
      <c r="D67" s="204">
        <v>0</v>
      </c>
      <c r="E67" s="669">
        <v>5.3775230652985943E-2</v>
      </c>
      <c r="F67" s="228">
        <v>5.2599065601466884E-2</v>
      </c>
      <c r="G67" s="43"/>
    </row>
    <row r="68" spans="1:8" x14ac:dyDescent="0.3">
      <c r="A68" s="180" t="s">
        <v>672</v>
      </c>
      <c r="B68" s="668">
        <v>0</v>
      </c>
      <c r="C68" s="204">
        <v>2.5440857361444948E-2</v>
      </c>
      <c r="D68" s="204">
        <v>0.12753015210598617</v>
      </c>
      <c r="E68" s="669">
        <v>5.2167269609666765E-3</v>
      </c>
      <c r="F68" s="228">
        <v>5.1026273678956508E-3</v>
      </c>
      <c r="G68" s="43"/>
    </row>
    <row r="69" spans="1:8" x14ac:dyDescent="0.3">
      <c r="A69" s="180" t="s">
        <v>675</v>
      </c>
      <c r="B69" s="668">
        <v>9.4035905871915862E-2</v>
      </c>
      <c r="C69" s="204">
        <v>8.0238910156792659E-2</v>
      </c>
      <c r="D69" s="204">
        <v>0.16637767195352429</v>
      </c>
      <c r="E69" s="669">
        <v>0.25950287090888652</v>
      </c>
      <c r="F69" s="228">
        <v>0.25382705689887358</v>
      </c>
      <c r="G69" s="43"/>
    </row>
    <row r="70" spans="1:8" x14ac:dyDescent="0.3">
      <c r="A70" s="180" t="s">
        <v>1558</v>
      </c>
      <c r="B70" s="668">
        <v>5.8352129931957458E-2</v>
      </c>
      <c r="C70" s="668">
        <v>9.3051856004105912E-2</v>
      </c>
      <c r="D70" s="204">
        <v>0.24321995138462515</v>
      </c>
      <c r="E70" s="669">
        <v>4.7888301980761008E-2</v>
      </c>
      <c r="F70" s="228">
        <v>4.6840895089476295E-2</v>
      </c>
      <c r="G70" s="43"/>
    </row>
    <row r="71" spans="1:8" x14ac:dyDescent="0.3">
      <c r="A71" s="725" t="s">
        <v>676</v>
      </c>
      <c r="B71" s="668">
        <v>8.6803803360971765E-2</v>
      </c>
      <c r="C71" s="668">
        <v>0.54568146980494203</v>
      </c>
      <c r="D71" s="204">
        <v>0.27132988396229257</v>
      </c>
      <c r="E71" s="669">
        <v>7.6027228420067233E-2</v>
      </c>
      <c r="F71" s="228">
        <v>9.6236244156333237E-2</v>
      </c>
      <c r="G71" s="43"/>
    </row>
    <row r="72" spans="1:8" x14ac:dyDescent="0.3">
      <c r="A72" s="180" t="s">
        <v>677</v>
      </c>
      <c r="B72" s="668">
        <v>8.2971100007234767E-3</v>
      </c>
      <c r="C72" s="668">
        <v>4.809550764647566E-2</v>
      </c>
      <c r="D72" s="204">
        <v>1.3153024386955616E-2</v>
      </c>
      <c r="E72" s="669">
        <v>1.1646616830306858E-2</v>
      </c>
      <c r="F72" s="228">
        <v>1.1391883498289433E-2</v>
      </c>
      <c r="G72" s="43"/>
    </row>
    <row r="73" spans="1:8" x14ac:dyDescent="0.3">
      <c r="A73" s="180" t="s">
        <v>673</v>
      </c>
      <c r="B73" s="668">
        <v>4.1279536594362324E-3</v>
      </c>
      <c r="C73" s="204">
        <v>0</v>
      </c>
      <c r="D73" s="204">
        <v>0</v>
      </c>
      <c r="E73" s="669">
        <v>0.10492649213375996</v>
      </c>
      <c r="F73" s="228">
        <v>0.1026315531529754</v>
      </c>
    </row>
    <row r="74" spans="1:8" x14ac:dyDescent="0.3">
      <c r="A74" s="878" t="s">
        <v>1488</v>
      </c>
      <c r="B74" s="670">
        <v>9.9476771009631745E-2</v>
      </c>
      <c r="C74" s="670">
        <v>3.3973896162289213E-2</v>
      </c>
      <c r="D74" s="229">
        <v>7.8458057270501078E-2</v>
      </c>
      <c r="E74" s="671">
        <v>1.8310218458646693E-2</v>
      </c>
      <c r="F74" s="230">
        <v>1.7909739673614394E-2</v>
      </c>
      <c r="H74" s="715"/>
    </row>
    <row r="75" spans="1:8" x14ac:dyDescent="0.3">
      <c r="A75" s="38"/>
      <c r="B75" s="203"/>
      <c r="C75" s="203"/>
      <c r="D75" s="203"/>
      <c r="H75" s="715"/>
    </row>
    <row r="76" spans="1:8" x14ac:dyDescent="0.3">
      <c r="A76" s="161" t="s">
        <v>1056</v>
      </c>
    </row>
    <row r="77" spans="1:8" x14ac:dyDescent="0.3">
      <c r="A77" s="67"/>
      <c r="B77" s="69" t="s">
        <v>1047</v>
      </c>
      <c r="C77" s="74" t="s">
        <v>1058</v>
      </c>
      <c r="D77" s="664" t="s">
        <v>188</v>
      </c>
    </row>
    <row r="78" spans="1:8" x14ac:dyDescent="0.3">
      <c r="A78" s="66" t="s">
        <v>405</v>
      </c>
      <c r="B78" s="164">
        <v>0.4</v>
      </c>
      <c r="C78" s="48"/>
      <c r="D78" s="827" t="s">
        <v>1413</v>
      </c>
      <c r="F78" s="672"/>
      <c r="G78" s="672"/>
    </row>
    <row r="79" spans="1:8" x14ac:dyDescent="0.3">
      <c r="A79" s="66" t="s">
        <v>423</v>
      </c>
      <c r="B79" s="164">
        <v>51</v>
      </c>
      <c r="C79" s="189"/>
      <c r="D79" s="660"/>
      <c r="E79" s="453"/>
      <c r="F79" s="673"/>
      <c r="G79" s="672"/>
    </row>
    <row r="80" spans="1:8" x14ac:dyDescent="0.3">
      <c r="A80" s="659" t="s">
        <v>401</v>
      </c>
      <c r="B80" s="190">
        <v>0.99</v>
      </c>
      <c r="C80" s="48"/>
      <c r="D80" s="660"/>
      <c r="F80" s="673"/>
      <c r="G80" s="672"/>
    </row>
    <row r="81" spans="1:51" x14ac:dyDescent="0.3">
      <c r="A81" s="659" t="s">
        <v>404</v>
      </c>
      <c r="B81" s="190">
        <v>0.49</v>
      </c>
      <c r="C81" s="48"/>
      <c r="D81" s="664"/>
      <c r="F81" s="673"/>
      <c r="G81" s="672"/>
    </row>
    <row r="82" spans="1:51" x14ac:dyDescent="0.3">
      <c r="A82" s="659" t="s">
        <v>1060</v>
      </c>
      <c r="B82" s="193">
        <v>937.6</v>
      </c>
      <c r="C82" s="184">
        <v>264.459289854107</v>
      </c>
      <c r="F82" s="672"/>
      <c r="G82" s="672"/>
    </row>
    <row r="83" spans="1:51" x14ac:dyDescent="0.3">
      <c r="A83" s="697" t="s">
        <v>421</v>
      </c>
      <c r="B83" s="675">
        <v>7.75</v>
      </c>
      <c r="C83" s="676"/>
      <c r="F83" s="672"/>
      <c r="G83" s="672"/>
      <c r="U83" s="677"/>
      <c r="V83" s="678"/>
    </row>
    <row r="84" spans="1:51" x14ac:dyDescent="0.3">
      <c r="A84" s="752" t="s">
        <v>1057</v>
      </c>
      <c r="B84" s="190"/>
      <c r="C84" s="190"/>
      <c r="F84" s="672"/>
      <c r="G84" s="672"/>
      <c r="U84" s="677"/>
      <c r="V84" s="678"/>
    </row>
    <row r="85" spans="1:51" x14ac:dyDescent="0.3">
      <c r="A85" s="752" t="s">
        <v>1059</v>
      </c>
      <c r="B85" s="190"/>
      <c r="C85" s="190"/>
      <c r="F85" s="672"/>
      <c r="G85" s="672"/>
      <c r="U85" s="677"/>
      <c r="V85" s="678"/>
    </row>
    <row r="86" spans="1:51" x14ac:dyDescent="0.3">
      <c r="A86" s="158" t="s">
        <v>1061</v>
      </c>
      <c r="F86" s="672"/>
      <c r="G86" s="672"/>
      <c r="R86" s="232"/>
    </row>
    <row r="87" spans="1:51" x14ac:dyDescent="0.3">
      <c r="A87" s="38"/>
      <c r="F87" s="672"/>
      <c r="G87" s="672"/>
      <c r="R87" s="232"/>
    </row>
    <row r="88" spans="1:51" x14ac:dyDescent="0.3">
      <c r="A88" s="68" t="s">
        <v>1226</v>
      </c>
      <c r="F88" s="672"/>
      <c r="G88" s="672"/>
      <c r="R88" s="232"/>
    </row>
    <row r="89" spans="1:51" x14ac:dyDescent="0.3">
      <c r="A89" s="67"/>
      <c r="B89" s="69" t="s">
        <v>403</v>
      </c>
      <c r="C89" s="74" t="s">
        <v>40</v>
      </c>
      <c r="D89" s="68" t="s">
        <v>188</v>
      </c>
      <c r="F89" s="672"/>
      <c r="G89" s="672"/>
    </row>
    <row r="90" spans="1:51" x14ac:dyDescent="0.3">
      <c r="A90" s="66" t="s">
        <v>402</v>
      </c>
      <c r="B90" s="164">
        <v>1.0917808219178082</v>
      </c>
      <c r="C90" s="185">
        <v>0.43424657534246575</v>
      </c>
      <c r="D90" s="38" t="s">
        <v>958</v>
      </c>
      <c r="F90" s="672"/>
      <c r="G90" s="672"/>
    </row>
    <row r="91" spans="1:51" x14ac:dyDescent="0.3">
      <c r="A91" s="66" t="s">
        <v>401</v>
      </c>
      <c r="B91" s="164">
        <v>0.30428571428571427</v>
      </c>
      <c r="C91" s="185">
        <v>0.2385714285714286</v>
      </c>
      <c r="F91" s="672"/>
      <c r="G91" s="672"/>
    </row>
    <row r="92" spans="1:51" x14ac:dyDescent="0.3">
      <c r="A92" s="70" t="s">
        <v>424</v>
      </c>
      <c r="B92" s="675">
        <v>1.1320754716981132</v>
      </c>
      <c r="C92" s="676">
        <v>0.94339622641509424</v>
      </c>
      <c r="D92" s="727"/>
      <c r="E92" s="678"/>
      <c r="F92" s="678"/>
      <c r="G92" s="672"/>
    </row>
    <row r="93" spans="1:51" x14ac:dyDescent="0.3">
      <c r="A93" s="752" t="s">
        <v>1057</v>
      </c>
      <c r="B93" s="164"/>
      <c r="C93" s="164"/>
      <c r="D93" s="731"/>
    </row>
    <row r="94" spans="1:51" x14ac:dyDescent="0.3">
      <c r="A94" s="752"/>
      <c r="B94" s="164"/>
      <c r="C94" s="164"/>
      <c r="D94" s="731"/>
    </row>
    <row r="95" spans="1:51" x14ac:dyDescent="0.3">
      <c r="A95" s="161" t="s">
        <v>400</v>
      </c>
      <c r="E95" s="68" t="s">
        <v>871</v>
      </c>
    </row>
    <row r="96" spans="1:51" x14ac:dyDescent="0.3">
      <c r="A96" s="726" t="s">
        <v>397</v>
      </c>
      <c r="B96" s="657">
        <v>79.8</v>
      </c>
      <c r="C96" s="121"/>
      <c r="D96" s="47"/>
      <c r="E96" s="38" t="s">
        <v>1063</v>
      </c>
      <c r="AN96" s="453"/>
      <c r="AO96" s="716"/>
      <c r="AP96" s="716"/>
      <c r="AQ96" s="716"/>
      <c r="AR96" s="716"/>
      <c r="AS96" s="716"/>
      <c r="AT96" s="716"/>
      <c r="AU96" s="716"/>
      <c r="AV96" s="453"/>
      <c r="AW96" s="453"/>
      <c r="AX96" s="453"/>
      <c r="AY96" s="453"/>
    </row>
    <row r="97" spans="1:51" x14ac:dyDescent="0.3">
      <c r="A97" s="659" t="s">
        <v>395</v>
      </c>
      <c r="B97" s="193">
        <v>97.8</v>
      </c>
      <c r="D97" s="48"/>
      <c r="E97" s="38" t="s">
        <v>1063</v>
      </c>
      <c r="AM97" s="50"/>
      <c r="AN97" s="50"/>
      <c r="AO97" s="169"/>
      <c r="AP97" s="169"/>
      <c r="AQ97" s="169"/>
      <c r="AR97" s="169"/>
      <c r="AS97" s="169"/>
      <c r="AT97" s="169"/>
      <c r="AU97" s="169"/>
      <c r="AV97" s="616"/>
      <c r="AW97" s="169"/>
      <c r="AX97" s="169"/>
      <c r="AY97" s="169"/>
    </row>
    <row r="98" spans="1:51" x14ac:dyDescent="0.3">
      <c r="A98" s="659" t="s">
        <v>393</v>
      </c>
      <c r="B98" s="41">
        <v>177.6</v>
      </c>
      <c r="D98" s="48"/>
      <c r="E98" s="38" t="s">
        <v>1063</v>
      </c>
      <c r="AM98" s="169"/>
      <c r="AN98" s="169"/>
      <c r="AO98" s="169"/>
      <c r="AP98" s="169"/>
      <c r="AQ98" s="169"/>
      <c r="AR98" s="169"/>
      <c r="AS98" s="169"/>
      <c r="AT98" s="169"/>
      <c r="AU98" s="169"/>
      <c r="AV98" s="169"/>
      <c r="AW98" s="169"/>
      <c r="AX98" s="169"/>
      <c r="AY98" s="169"/>
    </row>
    <row r="99" spans="1:51" x14ac:dyDescent="0.3">
      <c r="A99" s="161"/>
      <c r="D99" s="48"/>
      <c r="AM99" s="457"/>
      <c r="AN99" s="457"/>
      <c r="AO99" s="457"/>
      <c r="AP99" s="457"/>
      <c r="AQ99" s="457"/>
      <c r="AR99" s="448"/>
      <c r="AS99" s="448"/>
      <c r="AT99" s="448"/>
      <c r="AU99" s="448"/>
      <c r="AV99" s="717"/>
      <c r="AW99" s="717"/>
      <c r="AX99" s="717"/>
      <c r="AY99" s="717"/>
    </row>
    <row r="100" spans="1:51" x14ac:dyDescent="0.3">
      <c r="B100" s="68" t="s">
        <v>1</v>
      </c>
      <c r="C100" s="68" t="s">
        <v>69</v>
      </c>
      <c r="D100" s="176" t="s">
        <v>82</v>
      </c>
      <c r="E100" s="68" t="s">
        <v>1</v>
      </c>
      <c r="F100" s="68" t="s">
        <v>69</v>
      </c>
      <c r="G100" s="68" t="s">
        <v>82</v>
      </c>
      <c r="AM100" s="457"/>
      <c r="AN100" s="457"/>
      <c r="AO100" s="457"/>
      <c r="AP100" s="457"/>
      <c r="AQ100" s="457"/>
      <c r="AR100" s="448"/>
      <c r="AS100" s="448"/>
      <c r="AT100" s="449"/>
      <c r="AU100" s="449"/>
      <c r="AV100" s="718"/>
      <c r="AW100" s="718"/>
      <c r="AX100" s="718"/>
      <c r="AY100" s="718"/>
    </row>
    <row r="101" spans="1:51" x14ac:dyDescent="0.3">
      <c r="A101" s="66" t="s">
        <v>389</v>
      </c>
      <c r="B101" s="199">
        <v>238570000</v>
      </c>
      <c r="C101" s="170">
        <v>1634618200</v>
      </c>
      <c r="D101" s="200">
        <v>5539025200</v>
      </c>
      <c r="E101" s="38" t="s">
        <v>1064</v>
      </c>
      <c r="F101" s="38" t="s">
        <v>1068</v>
      </c>
      <c r="G101" s="38" t="s">
        <v>1068</v>
      </c>
      <c r="AP101" s="674"/>
      <c r="AQ101" s="679"/>
      <c r="AR101" s="679"/>
    </row>
    <row r="102" spans="1:51" x14ac:dyDescent="0.3">
      <c r="A102" s="66" t="s">
        <v>388</v>
      </c>
      <c r="B102" s="199">
        <v>2620916</v>
      </c>
      <c r="C102" s="170">
        <v>19411940</v>
      </c>
      <c r="D102" s="198">
        <v>59018757.600000001</v>
      </c>
      <c r="E102" s="38" t="s">
        <v>1064</v>
      </c>
      <c r="F102" s="38" t="s">
        <v>1068</v>
      </c>
      <c r="G102" s="38" t="s">
        <v>1068</v>
      </c>
      <c r="AM102" s="674"/>
      <c r="AN102" s="232"/>
      <c r="AO102" s="674"/>
      <c r="AP102" s="452"/>
      <c r="AQ102" s="674"/>
      <c r="AR102" s="674"/>
      <c r="AT102" s="232"/>
      <c r="AU102" s="232"/>
      <c r="AV102" s="232"/>
      <c r="AW102" s="232"/>
      <c r="AX102" s="232"/>
      <c r="AY102" s="232"/>
    </row>
    <row r="103" spans="1:51" x14ac:dyDescent="0.3">
      <c r="A103" s="66" t="s">
        <v>1385</v>
      </c>
      <c r="B103" s="191">
        <v>1.6400000000000001E-2</v>
      </c>
      <c r="C103" s="191">
        <v>3.6000000000000004E-2</v>
      </c>
      <c r="D103" s="163">
        <v>2.6200000000000001E-2</v>
      </c>
      <c r="E103" s="38" t="s">
        <v>1063</v>
      </c>
      <c r="F103" s="38" t="s">
        <v>1074</v>
      </c>
      <c r="G103" s="38" t="s">
        <v>1074</v>
      </c>
      <c r="AM103" s="674"/>
      <c r="AN103" s="452"/>
      <c r="AO103" s="674"/>
      <c r="AP103" s="674"/>
      <c r="AQ103" s="674"/>
      <c r="AR103" s="674"/>
      <c r="AS103" s="232"/>
      <c r="AT103" s="232"/>
      <c r="AU103" s="232"/>
      <c r="AV103" s="232"/>
      <c r="AW103" s="232"/>
      <c r="AX103" s="232"/>
      <c r="AY103" s="232"/>
    </row>
    <row r="104" spans="1:51" ht="27.6" x14ac:dyDescent="0.3">
      <c r="A104" s="37" t="s">
        <v>1390</v>
      </c>
      <c r="B104" s="191">
        <v>6.9999999999999993E-3</v>
      </c>
      <c r="C104" s="191">
        <v>6.9999999999999993E-3</v>
      </c>
      <c r="D104" s="695">
        <v>6.9999999999999993E-3</v>
      </c>
      <c r="E104" s="38" t="s">
        <v>217</v>
      </c>
      <c r="F104" s="38" t="s">
        <v>217</v>
      </c>
      <c r="G104" s="38" t="s">
        <v>217</v>
      </c>
      <c r="AM104" s="674"/>
      <c r="AN104" s="452"/>
      <c r="AO104" s="674"/>
      <c r="AP104" s="674"/>
      <c r="AQ104" s="674"/>
      <c r="AR104" s="674"/>
      <c r="AS104" s="232"/>
      <c r="AT104" s="232"/>
      <c r="AU104" s="232"/>
      <c r="AV104" s="232"/>
      <c r="AW104" s="232"/>
      <c r="AX104" s="232"/>
      <c r="AY104" s="232"/>
    </row>
    <row r="105" spans="1:51" x14ac:dyDescent="0.3">
      <c r="A105" s="38"/>
      <c r="D105" s="48"/>
      <c r="AM105" s="674"/>
      <c r="AN105" s="232"/>
      <c r="AO105" s="674"/>
      <c r="AP105" s="674"/>
      <c r="AQ105" s="674"/>
      <c r="AR105" s="674"/>
      <c r="AS105" s="232"/>
      <c r="AT105" s="232"/>
      <c r="AU105" s="232"/>
      <c r="AV105" s="232"/>
      <c r="AW105" s="232"/>
      <c r="AX105" s="232"/>
      <c r="AY105" s="232"/>
    </row>
    <row r="106" spans="1:51" x14ac:dyDescent="0.3">
      <c r="A106" s="161" t="s">
        <v>383</v>
      </c>
      <c r="B106" s="68"/>
      <c r="C106" s="68"/>
      <c r="D106" s="176"/>
      <c r="AN106" s="232"/>
      <c r="AO106" s="232"/>
      <c r="AP106" s="674"/>
      <c r="AQ106" s="674"/>
      <c r="AR106" s="679"/>
    </row>
    <row r="107" spans="1:51" x14ac:dyDescent="0.3">
      <c r="A107" s="66" t="s">
        <v>327</v>
      </c>
      <c r="B107" s="197">
        <v>144537.4</v>
      </c>
      <c r="C107" s="193">
        <v>1022770</v>
      </c>
      <c r="D107" s="184">
        <v>2424266.0751694394</v>
      </c>
      <c r="E107" s="38" t="s">
        <v>1064</v>
      </c>
      <c r="F107" s="40" t="s">
        <v>1075</v>
      </c>
      <c r="G107" s="40" t="s">
        <v>1076</v>
      </c>
      <c r="AM107" s="674"/>
      <c r="AN107" s="674"/>
      <c r="AO107" s="674"/>
      <c r="AP107" s="674"/>
      <c r="AQ107" s="674"/>
      <c r="AR107" s="674"/>
      <c r="AS107" s="674"/>
      <c r="AT107" s="232"/>
      <c r="AU107" s="232"/>
      <c r="AV107" s="232"/>
      <c r="AW107" s="232"/>
      <c r="AX107" s="232"/>
      <c r="AY107" s="232"/>
    </row>
    <row r="108" spans="1:51" x14ac:dyDescent="0.3">
      <c r="A108" s="66" t="s">
        <v>386</v>
      </c>
      <c r="B108" s="197">
        <v>1755.4</v>
      </c>
      <c r="C108" s="41">
        <v>12421.494076965548</v>
      </c>
      <c r="D108" s="184">
        <v>29442.598720832357</v>
      </c>
      <c r="E108" s="38" t="s">
        <v>1064</v>
      </c>
      <c r="AM108" s="674"/>
      <c r="AN108" s="674"/>
      <c r="AO108" s="674"/>
      <c r="AP108" s="674"/>
      <c r="AQ108" s="674"/>
      <c r="AR108" s="674"/>
      <c r="AS108" s="674"/>
      <c r="AT108" s="232"/>
      <c r="AU108" s="232"/>
      <c r="AV108" s="232"/>
      <c r="AW108" s="232"/>
      <c r="AX108" s="232"/>
      <c r="AY108" s="232"/>
    </row>
    <row r="109" spans="1:51" x14ac:dyDescent="0.3">
      <c r="A109" s="66" t="s">
        <v>325</v>
      </c>
      <c r="B109" s="193">
        <f>B102/((1-B103)*(1-B104))</f>
        <v>2683399.4938952499</v>
      </c>
      <c r="C109" s="193">
        <f>C102/((1-C103)*(1-C104))</f>
        <v>20278818.952585109</v>
      </c>
      <c r="D109" s="192">
        <f>D102/((1-D103)*(1-D104))</f>
        <v>61033889.102956682</v>
      </c>
      <c r="E109" s="38" t="s">
        <v>1064</v>
      </c>
      <c r="F109" s="40" t="s">
        <v>1075</v>
      </c>
      <c r="G109" s="40" t="s">
        <v>1076</v>
      </c>
      <c r="AM109" s="674"/>
      <c r="AN109" s="674"/>
      <c r="AO109" s="674"/>
      <c r="AP109" s="674"/>
      <c r="AQ109" s="232"/>
      <c r="AR109" s="674"/>
      <c r="AS109" s="674"/>
      <c r="AT109" s="232"/>
      <c r="AU109" s="232"/>
      <c r="AV109" s="232"/>
      <c r="AW109" s="232"/>
      <c r="AX109" s="232"/>
      <c r="AY109" s="232"/>
    </row>
    <row r="110" spans="1:51" x14ac:dyDescent="0.3">
      <c r="A110" s="66" t="s">
        <v>324</v>
      </c>
      <c r="B110" s="193">
        <f>B102/((1-B103)*(1-B104))</f>
        <v>2683399.4938952499</v>
      </c>
      <c r="C110" s="193">
        <f>C102/((1-C103)*(1-C104))</f>
        <v>20278818.952585109</v>
      </c>
      <c r="D110" s="192">
        <f>D102/((1-D103)*(1-D104))</f>
        <v>61033889.102956682</v>
      </c>
      <c r="E110" s="38" t="s">
        <v>1064</v>
      </c>
      <c r="F110" s="40" t="s">
        <v>1075</v>
      </c>
      <c r="G110" s="40" t="s">
        <v>1076</v>
      </c>
      <c r="AR110" s="679"/>
    </row>
    <row r="111" spans="1:51" ht="27.6" x14ac:dyDescent="0.3">
      <c r="A111" s="54" t="s">
        <v>425</v>
      </c>
      <c r="D111" s="48"/>
      <c r="AM111" s="674"/>
      <c r="AN111" s="232"/>
      <c r="AO111" s="232"/>
      <c r="AP111" s="232"/>
      <c r="AQ111" s="232"/>
      <c r="AR111" s="674"/>
      <c r="AS111" s="232"/>
      <c r="AT111" s="232"/>
      <c r="AU111" s="232"/>
      <c r="AV111" s="232"/>
      <c r="AW111" s="232"/>
      <c r="AX111" s="232"/>
      <c r="AY111" s="232"/>
    </row>
    <row r="112" spans="1:51" x14ac:dyDescent="0.3">
      <c r="D112" s="48"/>
      <c r="AM112" s="674"/>
      <c r="AN112" s="232"/>
      <c r="AO112" s="232"/>
      <c r="AP112" s="232"/>
      <c r="AQ112" s="232"/>
      <c r="AR112" s="674"/>
      <c r="AS112" s="232"/>
      <c r="AT112" s="232"/>
      <c r="AU112" s="232"/>
      <c r="AV112" s="232"/>
      <c r="AW112" s="232"/>
      <c r="AX112" s="232"/>
      <c r="AY112" s="232"/>
    </row>
    <row r="113" spans="1:51" x14ac:dyDescent="0.3">
      <c r="A113" s="753" t="s">
        <v>382</v>
      </c>
      <c r="B113" s="68"/>
      <c r="C113" s="68"/>
      <c r="D113" s="176"/>
      <c r="AM113" s="674"/>
      <c r="AN113" s="232"/>
      <c r="AO113" s="232"/>
      <c r="AP113" s="232"/>
      <c r="AQ113" s="232"/>
      <c r="AR113" s="674"/>
      <c r="AS113" s="232"/>
      <c r="AT113" s="232"/>
      <c r="AU113" s="232"/>
      <c r="AV113" s="232"/>
      <c r="AW113" s="232"/>
      <c r="AX113" s="232"/>
      <c r="AY113" s="232"/>
    </row>
    <row r="114" spans="1:51" x14ac:dyDescent="0.3">
      <c r="A114" s="659" t="s">
        <v>381</v>
      </c>
      <c r="B114" s="164">
        <v>1.5</v>
      </c>
      <c r="C114" s="190">
        <v>2.85</v>
      </c>
      <c r="D114" s="189">
        <v>1.1299999999999999</v>
      </c>
      <c r="E114" s="40" t="s">
        <v>1066</v>
      </c>
      <c r="F114" s="40" t="s">
        <v>1075</v>
      </c>
      <c r="G114" s="40" t="s">
        <v>1076</v>
      </c>
      <c r="AR114" s="679"/>
    </row>
    <row r="115" spans="1:51" x14ac:dyDescent="0.3">
      <c r="A115" s="659" t="s">
        <v>325</v>
      </c>
      <c r="B115" s="164">
        <v>1.5</v>
      </c>
      <c r="C115" s="190">
        <v>1.57</v>
      </c>
      <c r="D115" s="189">
        <v>1.1299999999999999</v>
      </c>
      <c r="E115" s="40" t="s">
        <v>1066</v>
      </c>
      <c r="F115" s="40" t="s">
        <v>1075</v>
      </c>
      <c r="G115" s="40" t="s">
        <v>1076</v>
      </c>
      <c r="AM115" s="674"/>
      <c r="AN115" s="232"/>
      <c r="AO115" s="232"/>
      <c r="AP115" s="232"/>
      <c r="AQ115" s="232"/>
      <c r="AR115" s="674"/>
      <c r="AS115" s="232"/>
      <c r="AT115" s="232"/>
      <c r="AU115" s="232"/>
      <c r="AV115" s="232"/>
      <c r="AW115" s="232"/>
      <c r="AX115" s="232"/>
      <c r="AY115" s="232"/>
    </row>
    <row r="116" spans="1:51" x14ac:dyDescent="0.3">
      <c r="A116" s="659" t="s">
        <v>324</v>
      </c>
      <c r="B116" s="164">
        <v>1.5</v>
      </c>
      <c r="C116" s="164">
        <v>0.42333333333333334</v>
      </c>
      <c r="D116" s="189">
        <v>1.1299999999999999</v>
      </c>
      <c r="E116" s="40" t="s">
        <v>1066</v>
      </c>
      <c r="F116" s="40" t="s">
        <v>1075</v>
      </c>
      <c r="G116" s="40" t="s">
        <v>1076</v>
      </c>
      <c r="AM116" s="674"/>
      <c r="AN116" s="232"/>
      <c r="AO116" s="232"/>
      <c r="AP116" s="232"/>
      <c r="AQ116" s="232"/>
      <c r="AR116" s="674"/>
      <c r="AS116" s="232"/>
      <c r="AT116" s="232"/>
      <c r="AU116" s="232"/>
      <c r="AV116" s="232"/>
      <c r="AW116" s="232"/>
      <c r="AX116" s="232"/>
      <c r="AY116" s="232"/>
    </row>
    <row r="117" spans="1:51" x14ac:dyDescent="0.3">
      <c r="D117" s="48"/>
      <c r="AM117" s="674"/>
      <c r="AN117" s="232"/>
      <c r="AO117" s="232"/>
      <c r="AP117" s="232"/>
      <c r="AQ117" s="232"/>
      <c r="AR117" s="674"/>
      <c r="AS117" s="232"/>
      <c r="AT117" s="232"/>
      <c r="AU117" s="232"/>
      <c r="AV117" s="232"/>
      <c r="AW117" s="232"/>
      <c r="AX117" s="232"/>
      <c r="AY117" s="232"/>
    </row>
    <row r="118" spans="1:51" x14ac:dyDescent="0.3">
      <c r="A118" s="161" t="s">
        <v>316</v>
      </c>
      <c r="B118" s="68" t="s">
        <v>378</v>
      </c>
      <c r="C118" s="667" t="s">
        <v>377</v>
      </c>
      <c r="D118" s="680" t="s">
        <v>376</v>
      </c>
      <c r="AR118" s="679"/>
    </row>
    <row r="119" spans="1:51" x14ac:dyDescent="0.3">
      <c r="A119" s="659" t="s">
        <v>327</v>
      </c>
      <c r="B119" s="193">
        <v>1412.4635340705574</v>
      </c>
      <c r="C119" s="681">
        <v>1550</v>
      </c>
      <c r="D119" s="192">
        <v>764.31000000000006</v>
      </c>
      <c r="E119" s="38" t="s">
        <v>1065</v>
      </c>
      <c r="F119" s="40" t="s">
        <v>1075</v>
      </c>
      <c r="G119" s="40" t="s">
        <v>1076</v>
      </c>
      <c r="AM119" s="674"/>
      <c r="AN119" s="232"/>
      <c r="AO119" s="232"/>
      <c r="AP119" s="232"/>
      <c r="AQ119" s="232"/>
      <c r="AR119" s="674"/>
      <c r="AS119" s="232"/>
      <c r="AT119" s="232"/>
      <c r="AU119" s="232"/>
      <c r="AV119" s="232"/>
      <c r="AW119" s="232"/>
      <c r="AX119" s="232"/>
      <c r="AY119" s="232"/>
    </row>
    <row r="120" spans="1:51" x14ac:dyDescent="0.3">
      <c r="A120" s="659" t="s">
        <v>326</v>
      </c>
      <c r="B120" s="193">
        <v>837.01542759736742</v>
      </c>
      <c r="C120" s="681">
        <v>1550</v>
      </c>
      <c r="D120" s="192">
        <v>764.31000000000006</v>
      </c>
      <c r="E120" s="38" t="s">
        <v>1065</v>
      </c>
      <c r="F120" s="40" t="s">
        <v>1075</v>
      </c>
      <c r="G120" s="40" t="s">
        <v>1076</v>
      </c>
      <c r="AM120" s="674"/>
      <c r="AN120" s="232"/>
      <c r="AO120" s="232"/>
      <c r="AP120" s="232"/>
      <c r="AQ120" s="232"/>
      <c r="AR120" s="674"/>
      <c r="AS120" s="232"/>
      <c r="AT120" s="232"/>
      <c r="AU120" s="232"/>
      <c r="AV120" s="232"/>
      <c r="AW120" s="232"/>
      <c r="AX120" s="232"/>
      <c r="AY120" s="232"/>
    </row>
    <row r="121" spans="1:51" x14ac:dyDescent="0.3">
      <c r="A121" s="659" t="s">
        <v>325</v>
      </c>
      <c r="B121" s="193">
        <v>251.10462827921017</v>
      </c>
      <c r="C121" s="681">
        <v>820.39296689247499</v>
      </c>
      <c r="D121" s="192">
        <v>764.31000000000006</v>
      </c>
      <c r="E121" s="38" t="s">
        <v>1065</v>
      </c>
      <c r="F121" s="40" t="s">
        <v>1075</v>
      </c>
      <c r="G121" s="40" t="s">
        <v>1076</v>
      </c>
      <c r="AM121" s="674"/>
      <c r="AN121" s="232"/>
      <c r="AO121" s="232"/>
      <c r="AP121" s="232"/>
      <c r="AQ121" s="232"/>
      <c r="AR121" s="674"/>
      <c r="AS121" s="232"/>
      <c r="AT121" s="232"/>
      <c r="AU121" s="232"/>
      <c r="AV121" s="232"/>
      <c r="AW121" s="232"/>
      <c r="AX121" s="232"/>
      <c r="AY121" s="232"/>
    </row>
    <row r="122" spans="1:51" x14ac:dyDescent="0.3">
      <c r="A122" s="659" t="s">
        <v>324</v>
      </c>
      <c r="B122" s="193">
        <v>41.850771379868362</v>
      </c>
      <c r="C122" s="681">
        <v>238.25882401177392</v>
      </c>
      <c r="D122" s="192">
        <v>764.31000000000006</v>
      </c>
      <c r="E122" s="38" t="s">
        <v>1065</v>
      </c>
      <c r="F122" s="40" t="s">
        <v>1075</v>
      </c>
      <c r="G122" s="40" t="s">
        <v>1076</v>
      </c>
      <c r="AR122" s="679"/>
    </row>
    <row r="123" spans="1:51" x14ac:dyDescent="0.3">
      <c r="A123" s="659" t="s">
        <v>373</v>
      </c>
      <c r="B123" s="190">
        <f>(B107*B119+B108*B120+B109*B121+B110*B122)/B101</f>
        <v>4.1570167031480327</v>
      </c>
      <c r="C123" s="190">
        <f>(C107*C119+C108*C120+C109*C121*B97/365+C110*C122*B96/365)/C101</f>
        <v>4.35488798700628</v>
      </c>
      <c r="D123" s="682">
        <f>(D107*D119+D108*D120+D109*D121*B97/365+D110*D122*B96/365)/D101</f>
        <v>4.4364404848982604</v>
      </c>
      <c r="F123" s="40"/>
      <c r="AM123" s="674"/>
      <c r="AN123" s="674"/>
      <c r="AO123" s="232"/>
      <c r="AP123" s="232"/>
      <c r="AQ123" s="232"/>
      <c r="AR123" s="674"/>
      <c r="AV123" s="232"/>
      <c r="AW123" s="232"/>
      <c r="AX123" s="232"/>
      <c r="AY123" s="232"/>
    </row>
    <row r="124" spans="1:51" x14ac:dyDescent="0.3">
      <c r="B124" s="193"/>
      <c r="C124" s="660"/>
      <c r="D124" s="189"/>
      <c r="F124" s="40"/>
      <c r="AM124" s="674"/>
      <c r="AN124" s="232"/>
      <c r="AO124" s="232"/>
      <c r="AP124" s="232"/>
      <c r="AQ124" s="232"/>
      <c r="AR124" s="674"/>
      <c r="AV124" s="232"/>
      <c r="AW124" s="232"/>
      <c r="AX124" s="232"/>
      <c r="AY124" s="232"/>
    </row>
    <row r="125" spans="1:51" x14ac:dyDescent="0.3">
      <c r="A125" s="161" t="s">
        <v>371</v>
      </c>
      <c r="B125" s="68" t="s">
        <v>370</v>
      </c>
      <c r="C125" s="664" t="s">
        <v>369</v>
      </c>
      <c r="D125" s="723" t="s">
        <v>368</v>
      </c>
      <c r="AM125" s="674"/>
      <c r="AN125" s="232"/>
      <c r="AO125" s="232"/>
      <c r="AP125" s="232"/>
      <c r="AQ125" s="232"/>
      <c r="AR125" s="674"/>
      <c r="AV125" s="232"/>
      <c r="AW125" s="232"/>
      <c r="AX125" s="232"/>
      <c r="AY125" s="232"/>
    </row>
    <row r="126" spans="1:51" x14ac:dyDescent="0.3">
      <c r="A126" s="659" t="s">
        <v>327</v>
      </c>
      <c r="B126" s="683">
        <v>0.79300000000000004</v>
      </c>
      <c r="C126" s="191">
        <v>0.47440808829258702</v>
      </c>
      <c r="D126" s="732">
        <v>0.3</v>
      </c>
      <c r="E126" s="40" t="s">
        <v>1066</v>
      </c>
      <c r="F126" s="40" t="s">
        <v>1075</v>
      </c>
      <c r="G126" s="40" t="s">
        <v>1076</v>
      </c>
      <c r="AR126" s="679"/>
    </row>
    <row r="127" spans="1:51" x14ac:dyDescent="0.3">
      <c r="A127" s="659" t="s">
        <v>326</v>
      </c>
      <c r="B127" s="683">
        <v>0.52</v>
      </c>
      <c r="C127" s="191">
        <v>0.47440808829258702</v>
      </c>
      <c r="D127" s="732">
        <v>0.3</v>
      </c>
      <c r="E127" s="40" t="s">
        <v>1066</v>
      </c>
      <c r="F127" s="40" t="s">
        <v>1075</v>
      </c>
      <c r="G127" s="40" t="s">
        <v>1076</v>
      </c>
      <c r="AM127" s="674"/>
      <c r="AN127" s="232"/>
      <c r="AO127" s="232"/>
      <c r="AP127" s="674"/>
      <c r="AQ127" s="674"/>
      <c r="AR127" s="232"/>
      <c r="AV127" s="232"/>
      <c r="AW127" s="232"/>
      <c r="AX127" s="232"/>
      <c r="AY127" s="232"/>
    </row>
    <row r="128" spans="1:51" x14ac:dyDescent="0.3">
      <c r="A128" s="659" t="s">
        <v>325</v>
      </c>
      <c r="B128" s="683">
        <v>0.42000000000000004</v>
      </c>
      <c r="C128" s="191">
        <v>0.33556091496236007</v>
      </c>
      <c r="D128" s="732">
        <v>0.3</v>
      </c>
      <c r="E128" s="40" t="s">
        <v>1066</v>
      </c>
      <c r="F128" s="40" t="s">
        <v>1075</v>
      </c>
      <c r="G128" s="40" t="s">
        <v>1076</v>
      </c>
      <c r="AM128" s="674"/>
      <c r="AN128" s="232"/>
      <c r="AO128" s="232"/>
      <c r="AP128" s="674"/>
      <c r="AQ128" s="674"/>
      <c r="AR128" s="232"/>
      <c r="AS128" s="232"/>
      <c r="AT128" s="232"/>
      <c r="AU128" s="232"/>
      <c r="AV128" s="232"/>
      <c r="AW128" s="232"/>
      <c r="AX128" s="232"/>
      <c r="AY128" s="232"/>
    </row>
    <row r="129" spans="1:51" x14ac:dyDescent="0.3">
      <c r="A129" s="659" t="s">
        <v>324</v>
      </c>
      <c r="B129" s="683">
        <v>0.05</v>
      </c>
      <c r="C129" s="191">
        <v>7.8699666383910169E-2</v>
      </c>
      <c r="D129" s="732">
        <v>0.3</v>
      </c>
      <c r="E129" s="40" t="s">
        <v>1066</v>
      </c>
      <c r="F129" s="40" t="s">
        <v>1075</v>
      </c>
      <c r="G129" s="40" t="s">
        <v>1076</v>
      </c>
      <c r="AM129" s="674"/>
      <c r="AN129" s="232"/>
      <c r="AO129" s="232"/>
      <c r="AP129" s="674"/>
      <c r="AQ129" s="674"/>
      <c r="AR129" s="232"/>
      <c r="AS129" s="232"/>
      <c r="AT129" s="232"/>
      <c r="AU129" s="232"/>
      <c r="AV129" s="232"/>
      <c r="AW129" s="232"/>
      <c r="AX129" s="232"/>
      <c r="AY129" s="232"/>
    </row>
    <row r="130" spans="1:51" x14ac:dyDescent="0.3">
      <c r="D130" s="48"/>
      <c r="AP130" s="674"/>
      <c r="AQ130" s="674"/>
      <c r="AR130" s="232"/>
      <c r="AS130" s="232"/>
      <c r="AT130" s="232"/>
      <c r="AU130" s="232"/>
      <c r="AV130" s="232"/>
      <c r="AW130" s="232"/>
      <c r="AX130" s="232"/>
      <c r="AY130" s="232"/>
    </row>
    <row r="131" spans="1:51" x14ac:dyDescent="0.3">
      <c r="A131" s="161" t="s">
        <v>367</v>
      </c>
      <c r="B131" s="41">
        <f>B126*365*B107+B127*365*B108+B128*$B$97*B109+B129*B110*$B$96</f>
        <v>163098884.25488332</v>
      </c>
      <c r="C131" s="41">
        <f>C126*365*C107+C127*365*C108+C128*$B$97*C109+C129*C110*$B$96</f>
        <v>972115780.42542696</v>
      </c>
      <c r="D131" s="184">
        <f>D126*365*D107+D127*365*D108+D128*$B$97*D109+D129*D110*$B$96</f>
        <v>3520566711.196516</v>
      </c>
      <c r="AM131" s="674"/>
      <c r="AN131" s="232"/>
      <c r="AO131" s="232"/>
      <c r="AP131" s="674"/>
      <c r="AQ131" s="674"/>
      <c r="AR131" s="232"/>
      <c r="AS131" s="232"/>
      <c r="AT131" s="232"/>
      <c r="AU131" s="232"/>
      <c r="AV131" s="232"/>
      <c r="AW131" s="232"/>
      <c r="AX131" s="232"/>
      <c r="AY131" s="232"/>
    </row>
    <row r="132" spans="1:51" x14ac:dyDescent="0.3">
      <c r="A132" s="181" t="s">
        <v>354</v>
      </c>
      <c r="B132" s="179">
        <f>B$126*365*B$107*B142+B$127*365*B$108*B143+B$128*$B$97*B$109*B144+B$129*B$110*$B$96*B145</f>
        <v>20619488.112431567</v>
      </c>
      <c r="C132" s="179">
        <f>C$126*365*C$107*C142+C$127*365*C$108*C143+C$128*$B$97*C$109*C144+C$129*C$110*$B$96*C145</f>
        <v>1067086.47686655</v>
      </c>
      <c r="D132" s="178">
        <f>D$126*365*D$107*D142+D$127*365*D$108*D143+D$128*$B$97*D$109*D144+D$129*D$110*$B$96*D145</f>
        <v>239891286.02996516</v>
      </c>
      <c r="AM132" s="674"/>
      <c r="AN132" s="232"/>
      <c r="AO132" s="232"/>
      <c r="AP132" s="674"/>
      <c r="AQ132" s="674"/>
      <c r="AR132" s="232"/>
      <c r="AS132" s="232"/>
      <c r="AT132" s="232"/>
      <c r="AU132" s="232"/>
      <c r="AV132" s="232"/>
      <c r="AW132" s="232"/>
      <c r="AX132" s="232"/>
      <c r="AY132" s="232"/>
    </row>
    <row r="133" spans="1:51" x14ac:dyDescent="0.3">
      <c r="A133" s="181" t="s">
        <v>352</v>
      </c>
      <c r="B133" s="179">
        <f>B$126*365*B$107*B147+B$127*365*B$108*B148+B$128*$B$97*B$109*B149+B$129*B$110*$B$96*B150</f>
        <v>137486055.73965716</v>
      </c>
      <c r="C133" s="179">
        <f>C$126*365*C$107*C147+C$127*365*C$108*C148+C$128*$B$97*C$109*C149+C$129*C$110*$B$96*C150</f>
        <v>951841137.3649627</v>
      </c>
      <c r="D133" s="178">
        <f>D$126*365*D$107*D147+D$127*365*D$108*D148+D$128*$B$97*D$109*D149+D$129*D$110*$B$96*D150</f>
        <v>3228807038.9979105</v>
      </c>
      <c r="AM133" s="674"/>
      <c r="AN133" s="232"/>
      <c r="AO133" s="232"/>
      <c r="AP133" s="674"/>
      <c r="AQ133" s="674"/>
      <c r="AR133" s="232"/>
      <c r="AS133" s="232"/>
      <c r="AT133" s="232"/>
      <c r="AU133" s="232"/>
      <c r="AV133" s="232"/>
      <c r="AW133" s="232"/>
      <c r="AX133" s="232"/>
      <c r="AY133" s="232"/>
    </row>
    <row r="134" spans="1:51" x14ac:dyDescent="0.3">
      <c r="A134" s="181" t="s">
        <v>349</v>
      </c>
      <c r="B134" s="179">
        <f>B$126*365*B$107*B152+B$127*365*B$108*B153+B$128*$B$97*B$109*B154+B$129*B$110*$B$96*B155</f>
        <v>4993340.4027945995</v>
      </c>
      <c r="C134" s="179"/>
      <c r="D134" s="178"/>
      <c r="AP134" s="674"/>
      <c r="AQ134" s="674"/>
      <c r="AR134" s="232"/>
      <c r="AS134" s="232"/>
      <c r="AT134" s="232"/>
      <c r="AU134" s="232"/>
      <c r="AV134" s="232"/>
      <c r="AW134" s="232"/>
      <c r="AX134" s="232"/>
      <c r="AY134" s="232"/>
    </row>
    <row r="135" spans="1:51" x14ac:dyDescent="0.3">
      <c r="A135" s="180" t="s">
        <v>327</v>
      </c>
      <c r="B135" s="41"/>
      <c r="C135" s="179">
        <f>C$126*365*C$107*C152</f>
        <v>3499266.8147551822</v>
      </c>
      <c r="D135" s="178">
        <f>D$126*365*D$107*D152</f>
        <v>3910970.6848037364</v>
      </c>
      <c r="AM135" s="674"/>
      <c r="AN135" s="232"/>
      <c r="AO135" s="232"/>
      <c r="AP135" s="674"/>
      <c r="AQ135" s="674"/>
      <c r="AR135" s="232"/>
      <c r="AS135" s="232"/>
      <c r="AT135" s="232"/>
      <c r="AU135" s="232"/>
      <c r="AV135" s="232"/>
      <c r="AW135" s="232"/>
      <c r="AX135" s="232"/>
      <c r="AY135" s="232"/>
    </row>
    <row r="136" spans="1:51" x14ac:dyDescent="0.3">
      <c r="A136" s="180" t="s">
        <v>326</v>
      </c>
      <c r="B136" s="41"/>
      <c r="C136" s="179">
        <f>C$127*365*C$108*C153</f>
        <v>42498.432700610698</v>
      </c>
      <c r="D136" s="178">
        <f>D$127*365*D$108*D153</f>
        <v>47498.557052392527</v>
      </c>
      <c r="AM136" s="674"/>
      <c r="AN136" s="232"/>
      <c r="AO136" s="232"/>
      <c r="AP136" s="674"/>
      <c r="AQ136" s="674"/>
      <c r="AR136" s="232"/>
      <c r="AS136" s="232"/>
      <c r="AT136" s="232"/>
      <c r="AU136" s="232"/>
      <c r="AV136" s="232"/>
      <c r="AW136" s="232"/>
      <c r="AX136" s="232"/>
      <c r="AY136" s="232"/>
    </row>
    <row r="137" spans="1:51" x14ac:dyDescent="0.3">
      <c r="A137" s="180" t="s">
        <v>325</v>
      </c>
      <c r="B137" s="41"/>
      <c r="C137" s="179">
        <f>C$128*$B$97*C$109*C154</f>
        <v>13149432.519964136</v>
      </c>
      <c r="D137" s="178">
        <f>D$128*$B$97*D$109*D154</f>
        <v>26382825.875222817</v>
      </c>
      <c r="AM137" s="674"/>
      <c r="AN137" s="232"/>
      <c r="AO137" s="232"/>
      <c r="AP137" s="674"/>
      <c r="AQ137" s="674"/>
      <c r="AR137" s="232"/>
      <c r="AS137" s="232"/>
      <c r="AT137" s="232"/>
      <c r="AU137" s="232"/>
      <c r="AV137" s="232"/>
      <c r="AW137" s="232"/>
      <c r="AX137" s="232"/>
      <c r="AY137" s="232"/>
    </row>
    <row r="138" spans="1:51" x14ac:dyDescent="0.3">
      <c r="A138" s="180" t="s">
        <v>324</v>
      </c>
      <c r="B138" s="41"/>
      <c r="C138" s="179">
        <f>C$129*C$110*$B$96*C155</f>
        <v>2516358.8161779726</v>
      </c>
      <c r="D138" s="178">
        <f>D$129*D$110*$B$96*D155</f>
        <v>21527091.051562175</v>
      </c>
      <c r="AP138" s="674"/>
      <c r="AQ138" s="674"/>
      <c r="AR138" s="232"/>
      <c r="AS138" s="232"/>
      <c r="AT138" s="232"/>
      <c r="AU138" s="232"/>
      <c r="AV138" s="232"/>
      <c r="AW138" s="232"/>
      <c r="AX138" s="232"/>
      <c r="AY138" s="232"/>
    </row>
    <row r="139" spans="1:51" x14ac:dyDescent="0.3">
      <c r="A139" s="180"/>
      <c r="D139" s="48"/>
      <c r="AM139" s="674"/>
      <c r="AN139" s="232"/>
      <c r="AO139" s="232"/>
      <c r="AP139" s="674"/>
      <c r="AQ139" s="674"/>
      <c r="AR139" s="232"/>
      <c r="AS139" s="232"/>
      <c r="AT139" s="232"/>
      <c r="AU139" s="232"/>
      <c r="AV139" s="232"/>
      <c r="AW139" s="232"/>
      <c r="AX139" s="232"/>
      <c r="AY139" s="232"/>
    </row>
    <row r="140" spans="1:51" x14ac:dyDescent="0.3">
      <c r="A140" s="161" t="s">
        <v>364</v>
      </c>
      <c r="B140" s="68"/>
      <c r="C140" s="68"/>
      <c r="D140" s="176"/>
      <c r="AM140" s="674"/>
      <c r="AN140" s="232"/>
      <c r="AO140" s="232"/>
      <c r="AP140" s="674"/>
      <c r="AQ140" s="674"/>
      <c r="AR140" s="232"/>
      <c r="AS140" s="232"/>
      <c r="AT140" s="232"/>
      <c r="AU140" s="232"/>
      <c r="AV140" s="232"/>
      <c r="AW140" s="232"/>
      <c r="AX140" s="232"/>
      <c r="AY140" s="232"/>
    </row>
    <row r="141" spans="1:51" x14ac:dyDescent="0.3">
      <c r="A141" s="161" t="s">
        <v>330</v>
      </c>
      <c r="B141" s="667"/>
      <c r="D141" s="48"/>
      <c r="AM141" s="674"/>
      <c r="AN141" s="232"/>
      <c r="AO141" s="232"/>
      <c r="AR141" s="679"/>
    </row>
    <row r="142" spans="1:51" x14ac:dyDescent="0.3">
      <c r="A142" s="659" t="s">
        <v>327</v>
      </c>
      <c r="B142" s="191">
        <v>0.38</v>
      </c>
      <c r="C142" s="86">
        <v>1.0976948408342481E-3</v>
      </c>
      <c r="D142" s="163">
        <v>6.8139963167587456E-2</v>
      </c>
      <c r="E142" s="40" t="s">
        <v>1066</v>
      </c>
      <c r="F142" s="40" t="s">
        <v>1075</v>
      </c>
      <c r="G142" s="40" t="s">
        <v>1076</v>
      </c>
      <c r="AP142" s="674"/>
      <c r="AQ142" s="674"/>
      <c r="AR142" s="674"/>
      <c r="AS142" s="232"/>
      <c r="AT142" s="232"/>
      <c r="AU142" s="232"/>
      <c r="AV142" s="232"/>
      <c r="AW142" s="232"/>
      <c r="AX142" s="232"/>
      <c r="AY142" s="232"/>
    </row>
    <row r="143" spans="1:51" x14ac:dyDescent="0.3">
      <c r="A143" s="659" t="s">
        <v>326</v>
      </c>
      <c r="B143" s="191">
        <v>0.38</v>
      </c>
      <c r="C143" s="86">
        <v>1.0976948408342481E-3</v>
      </c>
      <c r="D143" s="163">
        <v>6.8139963167587456E-2</v>
      </c>
      <c r="E143" s="40" t="s">
        <v>1066</v>
      </c>
      <c r="F143" s="40" t="s">
        <v>1075</v>
      </c>
      <c r="G143" s="40" t="s">
        <v>1076</v>
      </c>
      <c r="AM143" s="674"/>
      <c r="AN143" s="232"/>
      <c r="AO143" s="232"/>
      <c r="AP143" s="674"/>
      <c r="AQ143" s="674"/>
      <c r="AR143" s="674"/>
      <c r="AS143" s="232"/>
      <c r="AT143" s="232"/>
      <c r="AU143" s="232"/>
      <c r="AV143" s="232"/>
      <c r="AW143" s="232"/>
      <c r="AX143" s="232"/>
      <c r="AY143" s="232"/>
    </row>
    <row r="144" spans="1:51" x14ac:dyDescent="0.3">
      <c r="A144" s="659" t="s">
        <v>325</v>
      </c>
      <c r="B144" s="191">
        <v>3.7999999999999999E-2</v>
      </c>
      <c r="C144" s="86">
        <v>1.0976948408342481E-3</v>
      </c>
      <c r="D144" s="163">
        <v>6.8139963167587456E-2</v>
      </c>
      <c r="E144" s="40" t="s">
        <v>1066</v>
      </c>
      <c r="F144" s="40" t="s">
        <v>1075</v>
      </c>
      <c r="G144" s="40" t="s">
        <v>1076</v>
      </c>
      <c r="AM144" s="674"/>
      <c r="AN144" s="232"/>
      <c r="AO144" s="232"/>
      <c r="AP144" s="674"/>
      <c r="AQ144" s="674"/>
      <c r="AR144" s="674"/>
      <c r="AS144" s="232"/>
      <c r="AT144" s="232"/>
      <c r="AU144" s="232"/>
      <c r="AV144" s="232"/>
      <c r="AW144" s="232"/>
      <c r="AX144" s="232"/>
      <c r="AY144" s="232"/>
    </row>
    <row r="145" spans="1:51" x14ac:dyDescent="0.3">
      <c r="A145" s="659" t="s">
        <v>324</v>
      </c>
      <c r="B145" s="191">
        <v>3.7999999999999999E-2</v>
      </c>
      <c r="C145" s="86">
        <v>1.0976948408342481E-3</v>
      </c>
      <c r="D145" s="163">
        <v>6.8139963167587456E-2</v>
      </c>
      <c r="E145" s="40" t="s">
        <v>1066</v>
      </c>
      <c r="F145" s="40" t="s">
        <v>1075</v>
      </c>
      <c r="G145" s="40" t="s">
        <v>1076</v>
      </c>
      <c r="AM145" s="674"/>
      <c r="AN145" s="232"/>
      <c r="AO145" s="232"/>
      <c r="AR145" s="679"/>
    </row>
    <row r="146" spans="1:51" x14ac:dyDescent="0.3">
      <c r="A146" s="161" t="s">
        <v>329</v>
      </c>
      <c r="B146" s="68"/>
      <c r="C146" s="191"/>
      <c r="D146" s="719"/>
      <c r="AP146" s="674"/>
      <c r="AQ146" s="674"/>
      <c r="AR146" s="232"/>
      <c r="AS146" s="232"/>
      <c r="AT146" s="232"/>
      <c r="AU146" s="232"/>
      <c r="AV146" s="232"/>
      <c r="AW146" s="232"/>
      <c r="AX146" s="232"/>
      <c r="AY146" s="232"/>
    </row>
    <row r="147" spans="1:51" x14ac:dyDescent="0.3">
      <c r="A147" s="659" t="s">
        <v>327</v>
      </c>
      <c r="B147" s="191">
        <v>0.53600000000000003</v>
      </c>
      <c r="C147" s="191">
        <v>0.97914379802414941</v>
      </c>
      <c r="D147" s="148">
        <v>0.91712707182320441</v>
      </c>
      <c r="E147" s="40" t="s">
        <v>1066</v>
      </c>
      <c r="F147" s="40" t="s">
        <v>1075</v>
      </c>
      <c r="G147" s="40" t="s">
        <v>1076</v>
      </c>
      <c r="AM147" s="674"/>
      <c r="AN147" s="232"/>
      <c r="AO147" s="674"/>
      <c r="AP147" s="674"/>
      <c r="AQ147" s="674"/>
      <c r="AR147" s="232"/>
      <c r="AS147" s="232"/>
      <c r="AT147" s="232"/>
      <c r="AU147" s="232"/>
      <c r="AV147" s="232"/>
      <c r="AW147" s="232"/>
      <c r="AX147" s="232"/>
      <c r="AY147" s="232"/>
    </row>
    <row r="148" spans="1:51" x14ac:dyDescent="0.3">
      <c r="A148" s="659" t="s">
        <v>326</v>
      </c>
      <c r="B148" s="191">
        <v>0.53600000000000003</v>
      </c>
      <c r="C148" s="191">
        <v>0.97914379802414941</v>
      </c>
      <c r="D148" s="148">
        <v>0.91712707182320441</v>
      </c>
      <c r="E148" s="40" t="s">
        <v>1066</v>
      </c>
      <c r="F148" s="40" t="s">
        <v>1075</v>
      </c>
      <c r="G148" s="40" t="s">
        <v>1076</v>
      </c>
      <c r="AM148" s="674"/>
      <c r="AN148" s="232"/>
      <c r="AO148" s="674"/>
      <c r="AP148" s="674"/>
      <c r="AQ148" s="674"/>
      <c r="AR148" s="232"/>
      <c r="AS148" s="232"/>
      <c r="AT148" s="232"/>
      <c r="AU148" s="232"/>
      <c r="AV148" s="232"/>
      <c r="AW148" s="232"/>
      <c r="AX148" s="232"/>
      <c r="AY148" s="232"/>
    </row>
    <row r="149" spans="1:51" x14ac:dyDescent="0.3">
      <c r="A149" s="659" t="s">
        <v>325</v>
      </c>
      <c r="B149" s="191">
        <v>0.95</v>
      </c>
      <c r="C149" s="191">
        <v>0.97914379802414941</v>
      </c>
      <c r="D149" s="148">
        <v>0.91712707182320441</v>
      </c>
      <c r="E149" s="40" t="s">
        <v>1066</v>
      </c>
      <c r="F149" s="40" t="s">
        <v>1075</v>
      </c>
      <c r="G149" s="40" t="s">
        <v>1076</v>
      </c>
      <c r="AM149" s="674"/>
      <c r="AN149" s="232"/>
      <c r="AO149" s="674"/>
      <c r="AR149" s="232"/>
    </row>
    <row r="150" spans="1:51" x14ac:dyDescent="0.3">
      <c r="A150" s="659" t="s">
        <v>324</v>
      </c>
      <c r="B150" s="191">
        <v>0.95</v>
      </c>
      <c r="C150" s="191">
        <v>0.97914379802414941</v>
      </c>
      <c r="D150" s="148">
        <v>0.91712707182320441</v>
      </c>
      <c r="E150" s="40" t="s">
        <v>1066</v>
      </c>
      <c r="F150" s="40" t="s">
        <v>1075</v>
      </c>
      <c r="G150" s="40" t="s">
        <v>1076</v>
      </c>
      <c r="AM150" s="674"/>
      <c r="AN150" s="232"/>
      <c r="AO150" s="674"/>
      <c r="AP150" s="674"/>
      <c r="AQ150" s="674"/>
      <c r="AR150" s="232"/>
      <c r="AS150" s="232"/>
      <c r="AT150" s="232"/>
      <c r="AU150" s="232"/>
      <c r="AV150" s="232"/>
      <c r="AW150" s="232"/>
      <c r="AX150" s="232"/>
      <c r="AY150" s="232"/>
    </row>
    <row r="151" spans="1:51" x14ac:dyDescent="0.3">
      <c r="A151" s="161" t="s">
        <v>328</v>
      </c>
      <c r="B151" s="68"/>
      <c r="C151" s="191"/>
      <c r="D151" s="719"/>
      <c r="AM151" s="674"/>
      <c r="AN151" s="674"/>
      <c r="AO151" s="674"/>
      <c r="AP151" s="674"/>
      <c r="AQ151" s="674"/>
      <c r="AR151" s="232"/>
      <c r="AS151" s="232"/>
      <c r="AT151" s="232"/>
      <c r="AU151" s="232"/>
      <c r="AV151" s="232"/>
      <c r="AW151" s="232"/>
      <c r="AX151" s="232"/>
      <c r="AY151" s="232"/>
    </row>
    <row r="152" spans="1:51" x14ac:dyDescent="0.3">
      <c r="A152" s="659" t="s">
        <v>327</v>
      </c>
      <c r="B152" s="191">
        <v>8.3999999999999991E-2</v>
      </c>
      <c r="C152" s="191">
        <v>1.9758507135016468E-2</v>
      </c>
      <c r="D152" s="148">
        <v>1.4732965009208102E-2</v>
      </c>
      <c r="E152" s="40" t="s">
        <v>1066</v>
      </c>
      <c r="F152" s="40" t="s">
        <v>1075</v>
      </c>
      <c r="G152" s="40" t="s">
        <v>1076</v>
      </c>
      <c r="AM152" s="455"/>
      <c r="AN152" s="455"/>
      <c r="AO152" s="455"/>
      <c r="AP152" s="674"/>
      <c r="AQ152" s="674"/>
      <c r="AR152" s="232"/>
      <c r="AS152" s="232"/>
      <c r="AT152" s="232"/>
      <c r="AU152" s="232"/>
      <c r="AV152" s="232"/>
      <c r="AW152" s="232"/>
      <c r="AX152" s="232"/>
      <c r="AY152" s="232"/>
    </row>
    <row r="153" spans="1:51" x14ac:dyDescent="0.3">
      <c r="A153" s="659" t="s">
        <v>326</v>
      </c>
      <c r="B153" s="191">
        <v>8.3999999999999991E-2</v>
      </c>
      <c r="C153" s="191">
        <v>1.9758507135016468E-2</v>
      </c>
      <c r="D153" s="148">
        <v>1.4732965009208102E-2</v>
      </c>
      <c r="E153" s="40" t="s">
        <v>1066</v>
      </c>
      <c r="F153" s="40" t="s">
        <v>1075</v>
      </c>
      <c r="G153" s="40" t="s">
        <v>1076</v>
      </c>
      <c r="AN153" s="455"/>
      <c r="AO153" s="454"/>
      <c r="AR153" s="232"/>
    </row>
    <row r="154" spans="1:51" x14ac:dyDescent="0.3">
      <c r="A154" s="659" t="s">
        <v>325</v>
      </c>
      <c r="B154" s="191">
        <v>1.2E-2</v>
      </c>
      <c r="C154" s="191">
        <v>1.9758507135016468E-2</v>
      </c>
      <c r="D154" s="148">
        <v>1.4732965009208102E-2</v>
      </c>
      <c r="E154" s="40" t="s">
        <v>1066</v>
      </c>
      <c r="F154" s="40" t="s">
        <v>1075</v>
      </c>
      <c r="G154" s="40" t="s">
        <v>1076</v>
      </c>
      <c r="AP154" s="674"/>
      <c r="AQ154" s="674"/>
      <c r="AR154" s="232"/>
      <c r="AS154" s="232"/>
      <c r="AT154" s="232"/>
      <c r="AU154" s="232"/>
      <c r="AV154" s="232"/>
      <c r="AW154" s="232"/>
      <c r="AX154" s="232"/>
      <c r="AY154" s="232"/>
    </row>
    <row r="155" spans="1:51" x14ac:dyDescent="0.3">
      <c r="A155" s="659" t="s">
        <v>324</v>
      </c>
      <c r="B155" s="191">
        <v>1.2E-2</v>
      </c>
      <c r="C155" s="191">
        <v>1.9758507135016468E-2</v>
      </c>
      <c r="D155" s="148">
        <v>1.4732965009208102E-2</v>
      </c>
      <c r="E155" s="40" t="s">
        <v>1066</v>
      </c>
      <c r="F155" s="40" t="s">
        <v>1075</v>
      </c>
      <c r="G155" s="40" t="s">
        <v>1076</v>
      </c>
      <c r="AP155" s="674"/>
      <c r="AQ155" s="674"/>
      <c r="AR155" s="232"/>
      <c r="AS155" s="232"/>
      <c r="AT155" s="232"/>
      <c r="AU155" s="232"/>
      <c r="AV155" s="232"/>
      <c r="AW155" s="232"/>
      <c r="AX155" s="232"/>
      <c r="AY155" s="232"/>
    </row>
    <row r="156" spans="1:51" x14ac:dyDescent="0.3">
      <c r="C156" s="683"/>
      <c r="D156" s="684"/>
      <c r="AP156" s="674"/>
      <c r="AQ156" s="674"/>
      <c r="AR156" s="232"/>
      <c r="AS156" s="232"/>
      <c r="AT156" s="232"/>
      <c r="AU156" s="232"/>
      <c r="AV156" s="232"/>
      <c r="AW156" s="232"/>
      <c r="AX156" s="232"/>
      <c r="AY156" s="232"/>
    </row>
    <row r="157" spans="1:51" x14ac:dyDescent="0.3">
      <c r="A157" s="685" t="s">
        <v>360</v>
      </c>
      <c r="B157" s="68"/>
      <c r="C157" s="68"/>
      <c r="D157" s="176"/>
      <c r="AR157" s="679"/>
    </row>
    <row r="158" spans="1:51" x14ac:dyDescent="0.3">
      <c r="A158" s="659" t="s">
        <v>327</v>
      </c>
      <c r="B158" s="190">
        <v>22.5</v>
      </c>
      <c r="C158" s="191">
        <v>7.9340000000000002</v>
      </c>
      <c r="D158" s="48">
        <v>12.959999999999999</v>
      </c>
      <c r="E158" s="40" t="s">
        <v>1066</v>
      </c>
      <c r="F158" s="40" t="s">
        <v>1075</v>
      </c>
      <c r="G158" s="40" t="s">
        <v>1076</v>
      </c>
      <c r="AP158" s="674"/>
      <c r="AQ158" s="674"/>
      <c r="AR158" s="674"/>
      <c r="AS158" s="232"/>
      <c r="AT158" s="232"/>
      <c r="AU158" s="232"/>
      <c r="AV158" s="232"/>
      <c r="AW158" s="232"/>
      <c r="AX158" s="232"/>
      <c r="AY158" s="232"/>
    </row>
    <row r="159" spans="1:51" x14ac:dyDescent="0.3">
      <c r="A159" s="659" t="s">
        <v>326</v>
      </c>
      <c r="B159" s="190">
        <v>13</v>
      </c>
      <c r="C159" s="191">
        <v>7.9340000000000002</v>
      </c>
      <c r="D159" s="48">
        <v>12.959999999999999</v>
      </c>
      <c r="E159" s="40" t="s">
        <v>1066</v>
      </c>
      <c r="F159" s="40" t="s">
        <v>1075</v>
      </c>
      <c r="G159" s="40" t="s">
        <v>1076</v>
      </c>
      <c r="AP159" s="674"/>
      <c r="AQ159" s="674"/>
      <c r="AR159" s="674"/>
      <c r="AS159" s="232"/>
      <c r="AT159" s="232"/>
      <c r="AU159" s="232"/>
      <c r="AV159" s="232"/>
      <c r="AW159" s="232"/>
      <c r="AX159" s="232"/>
      <c r="AY159" s="232"/>
    </row>
    <row r="160" spans="1:51" x14ac:dyDescent="0.3">
      <c r="A160" s="659" t="s">
        <v>325</v>
      </c>
      <c r="B160" s="190">
        <v>10.8</v>
      </c>
      <c r="C160" s="191">
        <v>7.9340000000000002</v>
      </c>
      <c r="D160" s="48">
        <v>12.959999999999999</v>
      </c>
      <c r="E160" s="40" t="s">
        <v>1066</v>
      </c>
      <c r="F160" s="40" t="s">
        <v>1075</v>
      </c>
      <c r="G160" s="40" t="s">
        <v>1076</v>
      </c>
      <c r="AP160" s="674"/>
      <c r="AQ160" s="674"/>
      <c r="AR160" s="674"/>
      <c r="AS160" s="232"/>
      <c r="AT160" s="232"/>
      <c r="AU160" s="232"/>
      <c r="AV160" s="232"/>
      <c r="AW160" s="232"/>
      <c r="AX160" s="232"/>
      <c r="AY160" s="232"/>
    </row>
    <row r="161" spans="1:51" x14ac:dyDescent="0.3">
      <c r="A161" s="659" t="s">
        <v>324</v>
      </c>
      <c r="B161" s="190">
        <v>0.64</v>
      </c>
      <c r="C161" s="191">
        <v>7.9340000000000002</v>
      </c>
      <c r="D161" s="48">
        <v>12.959999999999999</v>
      </c>
      <c r="E161" s="40" t="s">
        <v>1066</v>
      </c>
      <c r="F161" s="40" t="s">
        <v>1075</v>
      </c>
      <c r="G161" s="40" t="s">
        <v>1076</v>
      </c>
      <c r="AR161" s="679"/>
    </row>
    <row r="162" spans="1:51" x14ac:dyDescent="0.3">
      <c r="A162" s="659"/>
      <c r="B162" s="190"/>
      <c r="C162" s="191"/>
      <c r="D162" s="48"/>
      <c r="AP162" s="674"/>
      <c r="AQ162" s="674"/>
      <c r="AR162" s="232"/>
      <c r="AS162" s="232"/>
      <c r="AT162" s="232"/>
      <c r="AU162" s="232"/>
      <c r="AV162" s="232"/>
      <c r="AW162" s="232"/>
      <c r="AX162" s="232"/>
      <c r="AY162" s="232"/>
    </row>
    <row r="163" spans="1:51" x14ac:dyDescent="0.3">
      <c r="A163" s="685" t="s">
        <v>355</v>
      </c>
      <c r="B163" s="193">
        <f>B158*B107+B159*B108+B160*B109*$B$97/365+B161*B110*$B$96/365</f>
        <v>11415625.290093526</v>
      </c>
      <c r="C163" s="193">
        <f>C158*C107+C159*C108+C160*C109*$B$97/365+C161*C110*$B$96/365</f>
        <v>86499362.090988278</v>
      </c>
      <c r="D163" s="192">
        <f>D158*D107+D159*D108+D160*D109*$B$97/365+D161*D110*$B$96/365</f>
        <v>416680772.39366984</v>
      </c>
      <c r="AP163" s="674"/>
      <c r="AQ163" s="674"/>
      <c r="AR163" s="232"/>
      <c r="AS163" s="232"/>
      <c r="AT163" s="232"/>
      <c r="AU163" s="232"/>
      <c r="AV163" s="232"/>
      <c r="AW163" s="232"/>
      <c r="AX163" s="232"/>
      <c r="AY163" s="232"/>
    </row>
    <row r="164" spans="1:51" x14ac:dyDescent="0.3">
      <c r="A164" s="181" t="s">
        <v>354</v>
      </c>
      <c r="B164" s="668"/>
      <c r="C164" s="668"/>
      <c r="D164" s="689"/>
      <c r="AP164" s="674"/>
      <c r="AQ164" s="674"/>
      <c r="AR164" s="232"/>
      <c r="AS164" s="232"/>
      <c r="AT164" s="232"/>
      <c r="AU164" s="232"/>
      <c r="AV164" s="232"/>
      <c r="AW164" s="232"/>
      <c r="AX164" s="232"/>
      <c r="AY164" s="232"/>
    </row>
    <row r="165" spans="1:51" x14ac:dyDescent="0.3">
      <c r="A165" s="686" t="s">
        <v>327</v>
      </c>
      <c r="B165" s="687">
        <f>B$158*B$107*B142</f>
        <v>1235794.77</v>
      </c>
      <c r="C165" s="687">
        <f>C$158*C$107*C142</f>
        <v>8907.417321624589</v>
      </c>
      <c r="D165" s="688">
        <f>D$158*D$107*D142</f>
        <v>2140854.637873387</v>
      </c>
      <c r="AR165" s="232"/>
    </row>
    <row r="166" spans="1:51" x14ac:dyDescent="0.3">
      <c r="A166" s="686" t="s">
        <v>326</v>
      </c>
      <c r="B166" s="687">
        <f>B$159*B$108*B143</f>
        <v>8671.6759999999995</v>
      </c>
      <c r="C166" s="687">
        <f>C$159*C$108*C143</f>
        <v>108.18016905229929</v>
      </c>
      <c r="D166" s="688">
        <f>D$159*D$108*D143</f>
        <v>26000.579997446639</v>
      </c>
      <c r="AP166" s="674"/>
      <c r="AQ166" s="674"/>
      <c r="AR166" s="232"/>
      <c r="AS166" s="232"/>
      <c r="AT166" s="232"/>
      <c r="AU166" s="232"/>
      <c r="AV166" s="452"/>
      <c r="AW166" s="452"/>
      <c r="AX166" s="452"/>
      <c r="AY166" s="452"/>
    </row>
    <row r="167" spans="1:51" x14ac:dyDescent="0.3">
      <c r="A167" s="686" t="s">
        <v>325</v>
      </c>
      <c r="B167" s="687">
        <f>B$160*B$109*$B$97/365*B144</f>
        <v>295079.25340935041</v>
      </c>
      <c r="C167" s="687">
        <f>C$160*C$109*$B$97/365*C144</f>
        <v>47321.932026908384</v>
      </c>
      <c r="D167" s="688">
        <f>D$160*D$109*$B$97/365*D144</f>
        <v>14441886.602382241</v>
      </c>
      <c r="AP167" s="674"/>
      <c r="AQ167" s="674"/>
      <c r="AR167" s="232"/>
      <c r="AS167" s="232"/>
      <c r="AT167" s="232"/>
      <c r="AU167" s="232"/>
      <c r="AV167" s="452"/>
      <c r="AW167" s="452"/>
      <c r="AX167" s="452"/>
      <c r="AY167" s="452"/>
    </row>
    <row r="168" spans="1:51" x14ac:dyDescent="0.3">
      <c r="A168" s="686" t="s">
        <v>324</v>
      </c>
      <c r="B168" s="687">
        <f>B$161*B$110*$B$96/365*B145</f>
        <v>14267.86301420354</v>
      </c>
      <c r="C168" s="687">
        <f>C$161*C$110*$B$96/365*C145</f>
        <v>38612.373985146107</v>
      </c>
      <c r="D168" s="688">
        <f>D$161*D$110*$B$96/365*D145</f>
        <v>11783870.663293483</v>
      </c>
      <c r="AP168" s="674"/>
      <c r="AQ168" s="674"/>
      <c r="AR168" s="232"/>
      <c r="AS168" s="232"/>
      <c r="AT168" s="232"/>
      <c r="AU168" s="232"/>
      <c r="AV168" s="452"/>
      <c r="AW168" s="452"/>
      <c r="AX168" s="452"/>
      <c r="AY168" s="452"/>
    </row>
    <row r="169" spans="1:51" x14ac:dyDescent="0.3">
      <c r="A169" s="181" t="s">
        <v>352</v>
      </c>
      <c r="B169" s="668"/>
      <c r="C169" s="668"/>
      <c r="D169" s="689"/>
      <c r="AP169" s="674"/>
      <c r="AQ169" s="674"/>
      <c r="AR169" s="232"/>
      <c r="AS169" s="232"/>
      <c r="AT169" s="232"/>
      <c r="AU169" s="232"/>
      <c r="AV169" s="452"/>
      <c r="AW169" s="452"/>
      <c r="AX169" s="452"/>
      <c r="AY169" s="452"/>
    </row>
    <row r="170" spans="1:51" x14ac:dyDescent="0.3">
      <c r="A170" s="686" t="s">
        <v>327</v>
      </c>
      <c r="B170" s="687">
        <f>B$158*B$107*B147</f>
        <v>1743121.044</v>
      </c>
      <c r="C170" s="687">
        <f>C$158*C$107*C147</f>
        <v>7945416.2508891337</v>
      </c>
      <c r="D170" s="688">
        <f>D$158*D$107*D147</f>
        <v>28814746.207052626</v>
      </c>
      <c r="M170" s="690"/>
      <c r="AP170" s="674"/>
      <c r="AQ170" s="674"/>
      <c r="AR170" s="674"/>
      <c r="AS170" s="674"/>
      <c r="AT170" s="674"/>
      <c r="AU170" s="674"/>
      <c r="AV170" s="674"/>
      <c r="AW170" s="674"/>
      <c r="AX170" s="674"/>
      <c r="AY170" s="674"/>
    </row>
    <row r="171" spans="1:51" x14ac:dyDescent="0.3">
      <c r="A171" s="686" t="s">
        <v>326</v>
      </c>
      <c r="B171" s="687">
        <f>B$159*B$108*B148</f>
        <v>12231.627200000001</v>
      </c>
      <c r="C171" s="687">
        <f>C$159*C$108*C148</f>
        <v>96496.710794650979</v>
      </c>
      <c r="D171" s="688">
        <f>D$159*D$108*D148</f>
        <v>349953.7523980657</v>
      </c>
      <c r="M171" s="690"/>
      <c r="AP171" s="455"/>
      <c r="AQ171" s="455"/>
      <c r="AR171" s="455"/>
      <c r="AS171" s="455"/>
      <c r="AT171" s="455"/>
      <c r="AU171" s="455"/>
      <c r="AV171" s="678"/>
      <c r="AW171" s="678"/>
      <c r="AX171" s="455"/>
      <c r="AY171" s="455"/>
    </row>
    <row r="172" spans="1:51" x14ac:dyDescent="0.3">
      <c r="A172" s="686" t="s">
        <v>325</v>
      </c>
      <c r="B172" s="687">
        <f>B$160*B$109*$B$97/365*B149</f>
        <v>7376981.335233761</v>
      </c>
      <c r="C172" s="687">
        <f>C$160*C$109*$B$97/365*C149</f>
        <v>42211163.368002281</v>
      </c>
      <c r="D172" s="688">
        <f>D$160*D$109*$B$97/365*D149</f>
        <v>194379987.24287453</v>
      </c>
      <c r="AP172" s="455"/>
      <c r="AQ172" s="457"/>
      <c r="AR172" s="455"/>
      <c r="AS172" s="455"/>
      <c r="AT172" s="691"/>
      <c r="AU172" s="691"/>
      <c r="AV172" s="673"/>
      <c r="AW172" s="673"/>
      <c r="AX172" s="673"/>
      <c r="AY172" s="673"/>
    </row>
    <row r="173" spans="1:51" x14ac:dyDescent="0.3">
      <c r="A173" s="686" t="s">
        <v>324</v>
      </c>
      <c r="B173" s="687">
        <f>B$161*B$110*$B$96/365*B150</f>
        <v>356696.57535508845</v>
      </c>
      <c r="C173" s="687">
        <f>C$161*C$110*$B$96/365*C150</f>
        <v>34442237.59475033</v>
      </c>
      <c r="D173" s="688">
        <f>D$161*D$110*$B$96/365*D150</f>
        <v>158604529.46811235</v>
      </c>
      <c r="AQ173" s="457"/>
      <c r="AR173" s="455"/>
      <c r="AS173" s="455"/>
      <c r="AT173" s="691"/>
      <c r="AU173" s="691"/>
      <c r="AV173" s="673"/>
      <c r="AW173" s="673"/>
      <c r="AX173" s="673"/>
      <c r="AY173" s="673"/>
    </row>
    <row r="174" spans="1:51" x14ac:dyDescent="0.3">
      <c r="A174" s="181" t="s">
        <v>349</v>
      </c>
      <c r="B174" s="668"/>
      <c r="C174" s="668"/>
      <c r="D174" s="689"/>
      <c r="AQ174" s="674"/>
      <c r="AR174" s="232"/>
      <c r="AS174" s="232"/>
      <c r="AT174" s="691"/>
      <c r="AU174" s="691"/>
      <c r="AV174" s="673"/>
      <c r="AW174" s="673"/>
      <c r="AX174" s="673"/>
      <c r="AY174" s="673"/>
    </row>
    <row r="175" spans="1:51" x14ac:dyDescent="0.3">
      <c r="A175" s="686" t="s">
        <v>327</v>
      </c>
      <c r="B175" s="687">
        <f>B$158*B$107*B152</f>
        <v>273175.68599999999</v>
      </c>
      <c r="C175" s="687">
        <f>C$158*C$107*C152</f>
        <v>160333.51178924262</v>
      </c>
      <c r="D175" s="688">
        <f>D$158*D$107*D152</f>
        <v>462887.48926992167</v>
      </c>
      <c r="M175" s="690"/>
      <c r="AQ175" s="674"/>
      <c r="AR175" s="674"/>
      <c r="AS175" s="674"/>
      <c r="AT175" s="674"/>
      <c r="AU175" s="674"/>
      <c r="AV175" s="691"/>
      <c r="AW175" s="678"/>
      <c r="AX175" s="678"/>
      <c r="AY175" s="678"/>
    </row>
    <row r="176" spans="1:51" x14ac:dyDescent="0.3">
      <c r="A176" s="686" t="s">
        <v>326</v>
      </c>
      <c r="B176" s="687">
        <f>B$159*B$108*B153</f>
        <v>1916.8967999999998</v>
      </c>
      <c r="C176" s="687">
        <f>C$159*C$108*C153</f>
        <v>1947.2430429413876</v>
      </c>
      <c r="D176" s="688">
        <f>D$159*D$108*D153</f>
        <v>5621.7470264749509</v>
      </c>
      <c r="M176" s="690"/>
      <c r="AQ176" s="674"/>
      <c r="AR176" s="674"/>
      <c r="AS176" s="674"/>
      <c r="AT176" s="674"/>
      <c r="AU176" s="674"/>
      <c r="AV176" s="691"/>
      <c r="AW176" s="678"/>
      <c r="AX176" s="678"/>
      <c r="AY176" s="678"/>
    </row>
    <row r="177" spans="1:51" x14ac:dyDescent="0.3">
      <c r="A177" s="686" t="s">
        <v>325</v>
      </c>
      <c r="B177" s="687">
        <f>B$160*B$109*$B$97/365*B154</f>
        <v>93182.922129268569</v>
      </c>
      <c r="C177" s="687">
        <f>C$160*C$109*$B$97/365*C154</f>
        <v>851794.77648435102</v>
      </c>
      <c r="D177" s="688">
        <f>D$160*D$109*$B$97/365*D154</f>
        <v>3122570.0761907557</v>
      </c>
      <c r="AQ177" s="674"/>
      <c r="AR177" s="674"/>
      <c r="AS177" s="674"/>
      <c r="AT177" s="674"/>
      <c r="AU177" s="674"/>
      <c r="AV177" s="691"/>
      <c r="AW177" s="692"/>
      <c r="AX177" s="678"/>
      <c r="AY177" s="678"/>
    </row>
    <row r="178" spans="1:51" x14ac:dyDescent="0.3">
      <c r="A178" s="686" t="s">
        <v>324</v>
      </c>
      <c r="B178" s="687">
        <f>B$161*B$110*$B$96/365*B155</f>
        <v>4505.6409518537494</v>
      </c>
      <c r="C178" s="687">
        <f>C$161*C$110*$B$96/365*C155</f>
        <v>695022.73173262994</v>
      </c>
      <c r="D178" s="688">
        <f>D$161*D$110*$B$96/365*D155</f>
        <v>2547863.9271985916</v>
      </c>
      <c r="AQ178" s="674"/>
      <c r="AR178" s="674"/>
      <c r="AS178" s="674"/>
      <c r="AT178" s="674"/>
      <c r="AU178" s="674"/>
      <c r="AV178" s="691"/>
      <c r="AW178" s="692"/>
      <c r="AX178" s="678"/>
      <c r="AY178" s="678"/>
    </row>
    <row r="179" spans="1:51" x14ac:dyDescent="0.3">
      <c r="A179" s="180"/>
      <c r="B179" s="179"/>
      <c r="C179" s="179"/>
      <c r="D179" s="178"/>
      <c r="AQ179" s="674"/>
      <c r="AR179" s="452"/>
      <c r="AS179" s="452"/>
      <c r="AT179" s="674"/>
      <c r="AU179" s="674"/>
      <c r="AV179" s="691"/>
      <c r="AW179" s="692"/>
      <c r="AX179" s="678"/>
      <c r="AY179" s="678"/>
    </row>
    <row r="180" spans="1:51" x14ac:dyDescent="0.3">
      <c r="A180" s="161" t="s">
        <v>348</v>
      </c>
      <c r="B180" s="193"/>
      <c r="C180" s="660"/>
      <c r="D180" s="733"/>
      <c r="AQ180" s="674"/>
      <c r="AR180" s="232"/>
      <c r="AS180" s="232"/>
      <c r="AT180" s="674"/>
      <c r="AU180" s="674"/>
      <c r="AV180" s="674"/>
      <c r="AW180" s="673"/>
      <c r="AX180" s="673"/>
      <c r="AY180" s="693"/>
    </row>
    <row r="181" spans="1:51" x14ac:dyDescent="0.3">
      <c r="B181" s="667"/>
      <c r="C181" s="68"/>
      <c r="D181" s="176"/>
      <c r="AQ181" s="694"/>
      <c r="AR181" s="232"/>
      <c r="AS181" s="232"/>
      <c r="AT181" s="674"/>
      <c r="AU181" s="674"/>
      <c r="AV181" s="674"/>
      <c r="AW181" s="678"/>
      <c r="AX181" s="455"/>
      <c r="AY181" s="455"/>
    </row>
    <row r="182" spans="1:51" x14ac:dyDescent="0.3">
      <c r="A182" s="66" t="s">
        <v>347</v>
      </c>
      <c r="B182" s="191">
        <v>0.02</v>
      </c>
      <c r="C182" s="86">
        <v>0.02</v>
      </c>
      <c r="D182" s="695">
        <v>0.02</v>
      </c>
      <c r="E182" s="40" t="s">
        <v>1066</v>
      </c>
      <c r="F182" s="40" t="s">
        <v>1075</v>
      </c>
      <c r="G182" s="40" t="s">
        <v>1076</v>
      </c>
      <c r="AQ182" s="694"/>
      <c r="AR182" s="232"/>
      <c r="AS182" s="232"/>
      <c r="AT182" s="674"/>
      <c r="AU182" s="674"/>
      <c r="AV182" s="674"/>
      <c r="AW182" s="678"/>
      <c r="AX182" s="455"/>
      <c r="AY182" s="455"/>
    </row>
    <row r="183" spans="1:51" x14ac:dyDescent="0.3">
      <c r="A183" s="659" t="s">
        <v>346</v>
      </c>
      <c r="B183" s="191">
        <v>3.5000000000000003E-2</v>
      </c>
      <c r="C183" s="191">
        <v>0.1449</v>
      </c>
      <c r="D183" s="695">
        <v>0.22120000000000001</v>
      </c>
      <c r="E183" s="40" t="s">
        <v>1066</v>
      </c>
      <c r="F183" s="40" t="s">
        <v>1075</v>
      </c>
      <c r="G183" s="40" t="s">
        <v>1076</v>
      </c>
      <c r="AQ183" s="694"/>
      <c r="AR183" s="232"/>
      <c r="AS183" s="232"/>
      <c r="AT183" s="674"/>
      <c r="AU183" s="674"/>
      <c r="AV183" s="674"/>
      <c r="AW183" s="678"/>
      <c r="AX183" s="455"/>
      <c r="AY183" s="455"/>
    </row>
    <row r="184" spans="1:51" x14ac:dyDescent="0.3">
      <c r="A184" s="27" t="s">
        <v>1559</v>
      </c>
      <c r="B184" s="191">
        <v>0.17</v>
      </c>
      <c r="C184" s="191">
        <v>0.14699999999999999</v>
      </c>
      <c r="D184" s="695">
        <v>0.25</v>
      </c>
      <c r="E184" s="40" t="s">
        <v>1066</v>
      </c>
      <c r="F184" s="40" t="s">
        <v>1075</v>
      </c>
      <c r="G184" s="40" t="s">
        <v>1076</v>
      </c>
      <c r="AQ184" s="694"/>
      <c r="AR184" s="694"/>
      <c r="AS184" s="694"/>
      <c r="AT184" s="694"/>
      <c r="AU184" s="694"/>
      <c r="AV184" s="674"/>
      <c r="AW184" s="678"/>
      <c r="AX184" s="455"/>
      <c r="AY184" s="455"/>
    </row>
    <row r="185" spans="1:51" x14ac:dyDescent="0.3">
      <c r="A185" s="27" t="s">
        <v>345</v>
      </c>
      <c r="B185" s="191">
        <v>0.17</v>
      </c>
      <c r="C185" s="191">
        <v>0.114</v>
      </c>
      <c r="D185" s="695">
        <v>0.25</v>
      </c>
      <c r="E185" s="40" t="s">
        <v>1066</v>
      </c>
      <c r="F185" s="40" t="s">
        <v>1075</v>
      </c>
      <c r="G185" s="40" t="s">
        <v>1076</v>
      </c>
      <c r="AQ185" s="694"/>
      <c r="AR185" s="694"/>
      <c r="AS185" s="694"/>
      <c r="AT185" s="694"/>
      <c r="AU185" s="694"/>
      <c r="AV185" s="674"/>
      <c r="AW185" s="678"/>
      <c r="AX185" s="455"/>
      <c r="AY185" s="455"/>
    </row>
    <row r="186" spans="1:51" x14ac:dyDescent="0.3">
      <c r="A186" s="27" t="s">
        <v>344</v>
      </c>
      <c r="B186" s="191">
        <v>0.17</v>
      </c>
      <c r="C186" s="191">
        <v>7.1999999999999995E-2</v>
      </c>
      <c r="D186" s="695">
        <v>0.25</v>
      </c>
      <c r="E186" s="40" t="s">
        <v>1066</v>
      </c>
      <c r="F186" s="40" t="s">
        <v>1075</v>
      </c>
      <c r="G186" s="40" t="s">
        <v>1076</v>
      </c>
      <c r="AQ186" s="694"/>
      <c r="AR186" s="694"/>
      <c r="AS186" s="694"/>
      <c r="AT186" s="694"/>
      <c r="AU186" s="694"/>
      <c r="AV186" s="674"/>
      <c r="AW186" s="678"/>
      <c r="AX186" s="455"/>
      <c r="AY186" s="455"/>
    </row>
    <row r="187" spans="1:51" x14ac:dyDescent="0.3">
      <c r="A187" s="66" t="s">
        <v>343</v>
      </c>
      <c r="B187" s="191">
        <v>5.0000000000000001E-3</v>
      </c>
      <c r="C187" s="191">
        <v>5.0000000000000001E-3</v>
      </c>
      <c r="D187" s="695">
        <v>5.0000000000000001E-3</v>
      </c>
      <c r="E187" s="40" t="s">
        <v>1066</v>
      </c>
      <c r="F187" s="40" t="s">
        <v>1075</v>
      </c>
      <c r="G187" s="40" t="s">
        <v>1076</v>
      </c>
      <c r="AQ187" s="694"/>
      <c r="AR187" s="694"/>
      <c r="AS187" s="694"/>
      <c r="AT187" s="694"/>
      <c r="AU187" s="694"/>
      <c r="AV187" s="674"/>
      <c r="AW187" s="678"/>
      <c r="AX187" s="455"/>
      <c r="AY187" s="455"/>
    </row>
    <row r="188" spans="1:51" x14ac:dyDescent="0.3">
      <c r="A188" s="659" t="s">
        <v>342</v>
      </c>
      <c r="B188" s="191">
        <v>5.0000000000000001E-3</v>
      </c>
      <c r="C188" s="191">
        <v>5.0000000000000001E-3</v>
      </c>
      <c r="D188" s="695">
        <v>5.0000000000000001E-3</v>
      </c>
      <c r="E188" s="40" t="s">
        <v>1066</v>
      </c>
      <c r="F188" s="40" t="s">
        <v>1075</v>
      </c>
      <c r="G188" s="40" t="s">
        <v>1076</v>
      </c>
      <c r="AQ188" s="694"/>
      <c r="AR188" s="694"/>
      <c r="AS188" s="694"/>
      <c r="AT188" s="694"/>
      <c r="AU188" s="694"/>
      <c r="AV188" s="674"/>
      <c r="AW188" s="678"/>
      <c r="AX188" s="455"/>
      <c r="AY188" s="455"/>
    </row>
    <row r="189" spans="1:51" x14ac:dyDescent="0.3">
      <c r="A189" s="27" t="s">
        <v>341</v>
      </c>
      <c r="B189" s="191">
        <v>0.01</v>
      </c>
      <c r="C189" s="191">
        <v>7.0000000000000007E-2</v>
      </c>
      <c r="D189" s="695">
        <v>0.01</v>
      </c>
      <c r="E189" s="40" t="s">
        <v>1066</v>
      </c>
      <c r="F189" s="40" t="s">
        <v>1075</v>
      </c>
      <c r="G189" s="40" t="s">
        <v>1076</v>
      </c>
      <c r="AQ189" s="694"/>
      <c r="AR189" s="694"/>
      <c r="AS189" s="694"/>
      <c r="AT189" s="694"/>
      <c r="AU189" s="694"/>
      <c r="AV189" s="674"/>
      <c r="AW189" s="678"/>
      <c r="AX189" s="455"/>
      <c r="AY189" s="455"/>
    </row>
    <row r="190" spans="1:51" x14ac:dyDescent="0.3">
      <c r="A190" s="659" t="s">
        <v>340</v>
      </c>
      <c r="B190" s="191">
        <f>0.01</f>
        <v>0.01</v>
      </c>
      <c r="C190" s="191">
        <f>0.01</f>
        <v>0.01</v>
      </c>
      <c r="D190" s="695">
        <f>0.01</f>
        <v>0.01</v>
      </c>
      <c r="E190" s="40" t="s">
        <v>1066</v>
      </c>
      <c r="F190" s="40" t="s">
        <v>1075</v>
      </c>
      <c r="G190" s="40" t="s">
        <v>1076</v>
      </c>
      <c r="AQ190" s="694"/>
      <c r="AR190" s="694"/>
      <c r="AS190" s="694"/>
      <c r="AT190" s="694"/>
      <c r="AU190" s="694"/>
      <c r="AV190" s="674"/>
      <c r="AW190" s="678"/>
      <c r="AX190" s="455"/>
      <c r="AY190" s="455"/>
    </row>
    <row r="191" spans="1:51" x14ac:dyDescent="0.3">
      <c r="A191" s="66" t="s">
        <v>339</v>
      </c>
      <c r="B191" s="86">
        <v>0.87</v>
      </c>
      <c r="C191" s="86">
        <v>1</v>
      </c>
      <c r="D191" s="163">
        <v>1</v>
      </c>
      <c r="E191" s="40" t="s">
        <v>1066</v>
      </c>
      <c r="F191" s="40" t="s">
        <v>1075</v>
      </c>
      <c r="G191" s="40" t="s">
        <v>1076</v>
      </c>
      <c r="AQ191" s="694"/>
      <c r="AR191" s="694"/>
      <c r="AS191" s="694"/>
      <c r="AT191" s="694"/>
      <c r="AU191" s="694"/>
      <c r="AV191" s="674"/>
      <c r="AW191" s="678"/>
      <c r="AX191" s="455"/>
      <c r="AY191" s="455"/>
    </row>
    <row r="192" spans="1:51" x14ac:dyDescent="0.3">
      <c r="A192" s="38" t="s">
        <v>441</v>
      </c>
      <c r="B192" s="86">
        <v>0.67</v>
      </c>
      <c r="C192" s="86">
        <v>0.67</v>
      </c>
      <c r="D192" s="163">
        <v>0.67</v>
      </c>
      <c r="E192" s="40" t="s">
        <v>894</v>
      </c>
      <c r="F192" s="40" t="s">
        <v>894</v>
      </c>
      <c r="G192" s="40" t="s">
        <v>894</v>
      </c>
      <c r="AQ192" s="694"/>
      <c r="AR192" s="694"/>
      <c r="AS192" s="694"/>
      <c r="AT192" s="694"/>
      <c r="AU192" s="694"/>
      <c r="AV192" s="674"/>
      <c r="AW192" s="678"/>
      <c r="AX192" s="455"/>
      <c r="AY192" s="455"/>
    </row>
    <row r="193" spans="1:51" x14ac:dyDescent="0.3">
      <c r="A193" s="66" t="s">
        <v>337</v>
      </c>
      <c r="B193" s="86">
        <v>0.45</v>
      </c>
      <c r="C193" s="86">
        <v>0.45</v>
      </c>
      <c r="D193" s="163">
        <v>0.3</v>
      </c>
      <c r="E193" s="40" t="s">
        <v>1066</v>
      </c>
      <c r="F193" s="40" t="s">
        <v>1075</v>
      </c>
      <c r="G193" s="40" t="s">
        <v>1076</v>
      </c>
      <c r="AQ193" s="694"/>
      <c r="AR193" s="694"/>
      <c r="AS193" s="694"/>
      <c r="AT193" s="694"/>
      <c r="AU193" s="694"/>
      <c r="AV193" s="674"/>
      <c r="AW193" s="678"/>
      <c r="AX193" s="455"/>
      <c r="AY193" s="455"/>
    </row>
    <row r="194" spans="1:51" x14ac:dyDescent="0.3">
      <c r="D194" s="48"/>
      <c r="E194" s="543"/>
      <c r="AQ194" s="694"/>
      <c r="AR194" s="694"/>
      <c r="AS194" s="694"/>
      <c r="AT194" s="694"/>
      <c r="AU194" s="694"/>
      <c r="AV194" s="674"/>
      <c r="AW194" s="678"/>
      <c r="AX194" s="455"/>
      <c r="AY194" s="455"/>
    </row>
    <row r="195" spans="1:51" x14ac:dyDescent="0.3">
      <c r="A195" s="685" t="s">
        <v>335</v>
      </c>
      <c r="D195" s="48"/>
      <c r="E195" s="543"/>
      <c r="AQ195" s="694"/>
      <c r="AR195" s="694"/>
      <c r="AS195" s="694"/>
      <c r="AT195" s="694"/>
      <c r="AU195" s="694"/>
      <c r="AV195" s="674"/>
      <c r="AW195" s="678"/>
      <c r="AX195" s="455"/>
      <c r="AY195" s="455"/>
    </row>
    <row r="196" spans="1:51" x14ac:dyDescent="0.3">
      <c r="A196" s="685"/>
      <c r="D196" s="48"/>
      <c r="AQ196" s="694"/>
      <c r="AR196" s="694"/>
      <c r="AS196" s="694"/>
      <c r="AT196" s="694"/>
      <c r="AU196" s="694"/>
      <c r="AV196" s="674"/>
      <c r="AW196" s="678"/>
      <c r="AX196" s="455"/>
      <c r="AY196" s="455"/>
    </row>
    <row r="197" spans="1:51" x14ac:dyDescent="0.3">
      <c r="A197" s="685" t="s">
        <v>334</v>
      </c>
      <c r="B197" s="68"/>
      <c r="C197" s="68"/>
      <c r="D197" s="176"/>
      <c r="AQ197" s="694"/>
      <c r="AR197" s="694"/>
      <c r="AS197" s="694"/>
      <c r="AT197" s="694"/>
      <c r="AU197" s="694"/>
      <c r="AV197" s="674"/>
      <c r="AW197" s="678"/>
      <c r="AX197" s="455"/>
      <c r="AY197" s="455"/>
    </row>
    <row r="198" spans="1:51" x14ac:dyDescent="0.3">
      <c r="A198" s="685" t="s">
        <v>333</v>
      </c>
      <c r="C198" s="191"/>
      <c r="D198" s="695"/>
      <c r="AQ198" s="694"/>
      <c r="AR198" s="696"/>
      <c r="AS198" s="696"/>
      <c r="AT198" s="694"/>
      <c r="AU198" s="694"/>
      <c r="AV198" s="674"/>
      <c r="AW198" s="678"/>
      <c r="AX198" s="455"/>
      <c r="AY198" s="455"/>
    </row>
    <row r="199" spans="1:51" x14ac:dyDescent="0.3">
      <c r="A199" s="659" t="s">
        <v>327</v>
      </c>
      <c r="B199" s="191">
        <v>0.27999999999999992</v>
      </c>
      <c r="C199" s="191">
        <v>0.31419999999999992</v>
      </c>
      <c r="D199" s="695">
        <v>0.5</v>
      </c>
      <c r="E199" s="40" t="s">
        <v>1067</v>
      </c>
      <c r="F199" s="40" t="s">
        <v>1077</v>
      </c>
      <c r="G199" s="38" t="s">
        <v>894</v>
      </c>
      <c r="AQ199" s="694"/>
      <c r="AR199" s="696"/>
      <c r="AS199" s="696"/>
      <c r="AT199" s="694"/>
      <c r="AU199" s="694"/>
      <c r="AV199" s="674"/>
      <c r="AW199" s="678"/>
      <c r="AX199" s="455"/>
      <c r="AY199" s="455"/>
    </row>
    <row r="200" spans="1:51" x14ac:dyDescent="0.3">
      <c r="A200" s="659" t="s">
        <v>326</v>
      </c>
      <c r="B200" s="191">
        <v>0.27999999999999992</v>
      </c>
      <c r="C200" s="191">
        <v>0</v>
      </c>
      <c r="D200" s="695">
        <v>0</v>
      </c>
      <c r="E200" s="40" t="s">
        <v>1067</v>
      </c>
      <c r="F200" s="40" t="s">
        <v>1077</v>
      </c>
      <c r="G200" s="38" t="s">
        <v>894</v>
      </c>
      <c r="H200" s="544"/>
      <c r="AQ200" s="674"/>
      <c r="AR200" s="455"/>
      <c r="AS200" s="455"/>
      <c r="AT200" s="455"/>
      <c r="AU200" s="455"/>
      <c r="AV200" s="455"/>
      <c r="AW200" s="678"/>
      <c r="AX200" s="455"/>
      <c r="AY200" s="455"/>
    </row>
    <row r="201" spans="1:51" x14ac:dyDescent="0.3">
      <c r="A201" s="659" t="s">
        <v>325</v>
      </c>
      <c r="B201" s="191">
        <v>0.27999999999999992</v>
      </c>
      <c r="C201" s="191">
        <v>0.33579999999999988</v>
      </c>
      <c r="D201" s="695">
        <v>0.5</v>
      </c>
      <c r="E201" s="40" t="s">
        <v>1067</v>
      </c>
      <c r="F201" s="40" t="s">
        <v>1077</v>
      </c>
      <c r="G201" s="38" t="s">
        <v>894</v>
      </c>
      <c r="H201" s="544"/>
      <c r="AQ201" s="674"/>
      <c r="AR201" s="232"/>
      <c r="AS201" s="232"/>
      <c r="AT201" s="674"/>
      <c r="AU201" s="674"/>
      <c r="AV201" s="674"/>
      <c r="AW201" s="678"/>
      <c r="AX201" s="455"/>
      <c r="AY201" s="455"/>
    </row>
    <row r="202" spans="1:51" x14ac:dyDescent="0.3">
      <c r="A202" s="659" t="s">
        <v>324</v>
      </c>
      <c r="B202" s="191">
        <v>0.27999999999999992</v>
      </c>
      <c r="C202" s="191">
        <v>0.39249999999999996</v>
      </c>
      <c r="D202" s="695">
        <v>0.5</v>
      </c>
      <c r="E202" s="40" t="s">
        <v>1067</v>
      </c>
      <c r="F202" s="40" t="s">
        <v>1077</v>
      </c>
      <c r="G202" s="38" t="s">
        <v>894</v>
      </c>
      <c r="H202" s="544"/>
      <c r="AQ202" s="455"/>
      <c r="AR202" s="674"/>
      <c r="AS202" s="674"/>
      <c r="AT202" s="674"/>
      <c r="AU202" s="674"/>
      <c r="AV202" s="674"/>
      <c r="AW202" s="678"/>
      <c r="AX202" s="455"/>
      <c r="AY202" s="455"/>
    </row>
    <row r="203" spans="1:51" x14ac:dyDescent="0.3">
      <c r="A203" s="685" t="s">
        <v>332</v>
      </c>
      <c r="D203" s="695"/>
      <c r="H203" s="544"/>
      <c r="AQ203" s="455"/>
      <c r="AR203" s="455"/>
      <c r="AS203" s="455"/>
      <c r="AT203" s="455"/>
      <c r="AU203" s="455"/>
      <c r="AV203" s="678"/>
      <c r="AW203" s="678"/>
      <c r="AX203" s="455"/>
      <c r="AY203" s="455"/>
    </row>
    <row r="204" spans="1:51" x14ac:dyDescent="0.3">
      <c r="A204" s="659" t="s">
        <v>327</v>
      </c>
      <c r="B204" s="191">
        <v>0.17547500000000005</v>
      </c>
      <c r="C204" s="191">
        <v>0.19967999999999997</v>
      </c>
      <c r="D204" s="695">
        <v>0.48</v>
      </c>
      <c r="E204" s="40" t="s">
        <v>1067</v>
      </c>
      <c r="F204" s="40" t="s">
        <v>1077</v>
      </c>
      <c r="G204" s="38" t="s">
        <v>894</v>
      </c>
      <c r="H204" s="544"/>
      <c r="AQ204" s="455"/>
      <c r="AR204" s="455"/>
      <c r="AS204" s="455"/>
      <c r="AT204" s="455"/>
      <c r="AU204" s="455"/>
      <c r="AV204" s="678"/>
      <c r="AW204" s="678"/>
      <c r="AX204" s="691"/>
      <c r="AY204" s="455"/>
    </row>
    <row r="205" spans="1:51" x14ac:dyDescent="0.3">
      <c r="A205" s="659" t="s">
        <v>326</v>
      </c>
      <c r="B205" s="191">
        <v>0.17547500000000005</v>
      </c>
      <c r="C205" s="191">
        <v>0</v>
      </c>
      <c r="D205" s="695">
        <v>0</v>
      </c>
      <c r="E205" s="40" t="s">
        <v>1067</v>
      </c>
      <c r="F205" s="40" t="s">
        <v>1077</v>
      </c>
      <c r="G205" s="38" t="s">
        <v>894</v>
      </c>
      <c r="H205" s="544"/>
      <c r="AQ205" s="455"/>
      <c r="AR205" s="455"/>
      <c r="AS205" s="455"/>
      <c r="AT205" s="455"/>
      <c r="AU205" s="455"/>
      <c r="AV205" s="678"/>
      <c r="AW205" s="678"/>
      <c r="AX205" s="691"/>
      <c r="AY205" s="455"/>
    </row>
    <row r="206" spans="1:51" x14ac:dyDescent="0.3">
      <c r="A206" s="659" t="s">
        <v>325</v>
      </c>
      <c r="B206" s="191">
        <v>0.17547500000000005</v>
      </c>
      <c r="C206" s="191">
        <v>0.20553599999999994</v>
      </c>
      <c r="D206" s="695">
        <v>0.48</v>
      </c>
      <c r="E206" s="40" t="s">
        <v>1067</v>
      </c>
      <c r="F206" s="40" t="s">
        <v>1077</v>
      </c>
      <c r="G206" s="38" t="s">
        <v>894</v>
      </c>
      <c r="H206" s="544"/>
      <c r="AQ206" s="455"/>
      <c r="AR206" s="455"/>
      <c r="AS206" s="455"/>
      <c r="AT206" s="455"/>
      <c r="AU206" s="455"/>
      <c r="AV206" s="678"/>
      <c r="AW206" s="678"/>
      <c r="AX206" s="691"/>
      <c r="AY206" s="455"/>
    </row>
    <row r="207" spans="1:51" x14ac:dyDescent="0.3">
      <c r="A207" s="659" t="s">
        <v>324</v>
      </c>
      <c r="B207" s="191">
        <v>0.17547500000000005</v>
      </c>
      <c r="C207" s="191">
        <v>0.20293333333333341</v>
      </c>
      <c r="D207" s="695">
        <v>0.48</v>
      </c>
      <c r="E207" s="40" t="s">
        <v>1067</v>
      </c>
      <c r="F207" s="40" t="s">
        <v>1077</v>
      </c>
      <c r="G207" s="38" t="s">
        <v>894</v>
      </c>
      <c r="H207" s="544"/>
      <c r="AQ207" s="455"/>
      <c r="AR207" s="455"/>
      <c r="AS207" s="455"/>
      <c r="AT207" s="455"/>
      <c r="AU207" s="455"/>
      <c r="AV207" s="678"/>
      <c r="AW207" s="678"/>
      <c r="AX207" s="691"/>
      <c r="AY207" s="455"/>
    </row>
    <row r="208" spans="1:51" x14ac:dyDescent="0.3">
      <c r="A208" s="685" t="s">
        <v>328</v>
      </c>
      <c r="C208" s="191"/>
      <c r="D208" s="695"/>
      <c r="H208" s="544"/>
      <c r="AQ208" s="455"/>
      <c r="AR208" s="455"/>
      <c r="AS208" s="455"/>
      <c r="AT208" s="455"/>
      <c r="AU208" s="455"/>
      <c r="AV208" s="678"/>
      <c r="AW208" s="678"/>
      <c r="AX208" s="691"/>
      <c r="AY208" s="455"/>
    </row>
    <row r="209" spans="1:51" x14ac:dyDescent="0.3">
      <c r="A209" s="659" t="s">
        <v>327</v>
      </c>
      <c r="B209" s="191">
        <v>0.47500000000000009</v>
      </c>
      <c r="C209" s="191">
        <v>0.20524999999999993</v>
      </c>
      <c r="D209" s="695">
        <v>0.5</v>
      </c>
      <c r="E209" s="40" t="s">
        <v>1067</v>
      </c>
      <c r="F209" s="40" t="s">
        <v>1077</v>
      </c>
      <c r="G209" s="38" t="s">
        <v>894</v>
      </c>
      <c r="H209" s="544"/>
      <c r="AQ209" s="455"/>
      <c r="AR209" s="455"/>
      <c r="AS209" s="455"/>
      <c r="AT209" s="455"/>
      <c r="AU209" s="455"/>
      <c r="AV209" s="678"/>
      <c r="AW209" s="678"/>
      <c r="AX209" s="691"/>
      <c r="AY209" s="455"/>
    </row>
    <row r="210" spans="1:51" x14ac:dyDescent="0.3">
      <c r="A210" s="659" t="s">
        <v>326</v>
      </c>
      <c r="B210" s="191">
        <v>0.47500000000000009</v>
      </c>
      <c r="C210" s="38">
        <v>0</v>
      </c>
      <c r="D210" s="695">
        <v>0</v>
      </c>
      <c r="E210" s="40" t="s">
        <v>1067</v>
      </c>
      <c r="F210" s="40" t="s">
        <v>1077</v>
      </c>
      <c r="G210" s="38" t="s">
        <v>894</v>
      </c>
      <c r="AQ210" s="455"/>
      <c r="AR210" s="455"/>
      <c r="AS210" s="455"/>
      <c r="AT210" s="455"/>
      <c r="AU210" s="455"/>
      <c r="AV210" s="678"/>
      <c r="AW210" s="678"/>
      <c r="AX210" s="691"/>
      <c r="AY210" s="455"/>
    </row>
    <row r="211" spans="1:51" x14ac:dyDescent="0.3">
      <c r="A211" s="659" t="s">
        <v>325</v>
      </c>
      <c r="B211" s="191">
        <v>0.47500000000000009</v>
      </c>
      <c r="C211" s="191">
        <v>0.23329999999999995</v>
      </c>
      <c r="D211" s="695">
        <v>0.5</v>
      </c>
      <c r="E211" s="40" t="s">
        <v>1067</v>
      </c>
      <c r="F211" s="40" t="s">
        <v>1077</v>
      </c>
      <c r="G211" s="38" t="s">
        <v>894</v>
      </c>
      <c r="AQ211" s="455"/>
      <c r="AR211" s="455"/>
      <c r="AS211" s="455"/>
      <c r="AT211" s="455"/>
      <c r="AU211" s="455"/>
      <c r="AV211" s="678"/>
      <c r="AW211" s="678"/>
      <c r="AX211" s="691"/>
      <c r="AY211" s="455"/>
    </row>
    <row r="212" spans="1:51" x14ac:dyDescent="0.3">
      <c r="A212" s="659" t="s">
        <v>324</v>
      </c>
      <c r="B212" s="191">
        <v>0.47500000000000009</v>
      </c>
      <c r="C212" s="191">
        <v>0.23329999999999995</v>
      </c>
      <c r="D212" s="695">
        <v>0.5</v>
      </c>
      <c r="E212" s="40" t="s">
        <v>1067</v>
      </c>
      <c r="F212" s="40" t="s">
        <v>1077</v>
      </c>
      <c r="G212" s="38" t="s">
        <v>894</v>
      </c>
      <c r="AQ212" s="455"/>
      <c r="AR212" s="455"/>
      <c r="AS212" s="455"/>
      <c r="AT212" s="455"/>
      <c r="AU212" s="455"/>
      <c r="AV212" s="678"/>
      <c r="AW212" s="678"/>
      <c r="AX212" s="691"/>
      <c r="AY212" s="455"/>
    </row>
    <row r="213" spans="1:51" x14ac:dyDescent="0.3">
      <c r="D213" s="48"/>
      <c r="E213" s="673"/>
      <c r="AQ213" s="455"/>
      <c r="AR213" s="455"/>
      <c r="AS213" s="455"/>
      <c r="AT213" s="455"/>
      <c r="AU213" s="455"/>
      <c r="AV213" s="678"/>
      <c r="AW213" s="678"/>
      <c r="AX213" s="691"/>
      <c r="AY213" s="455"/>
    </row>
    <row r="214" spans="1:51" x14ac:dyDescent="0.3">
      <c r="A214" s="685" t="s">
        <v>331</v>
      </c>
      <c r="B214" s="191"/>
      <c r="C214" s="191"/>
      <c r="D214" s="695"/>
      <c r="E214" s="673"/>
      <c r="M214" s="544"/>
      <c r="AQ214" s="455"/>
      <c r="AR214" s="455"/>
      <c r="AS214" s="455"/>
      <c r="AT214" s="455"/>
      <c r="AU214" s="455"/>
      <c r="AV214" s="678"/>
      <c r="AW214" s="678"/>
      <c r="AX214" s="691"/>
      <c r="AY214" s="455"/>
    </row>
    <row r="215" spans="1:51" x14ac:dyDescent="0.3">
      <c r="A215" s="161" t="s">
        <v>330</v>
      </c>
      <c r="B215" s="193"/>
      <c r="C215" s="191"/>
      <c r="D215" s="695"/>
      <c r="E215" s="673"/>
      <c r="M215" s="544"/>
      <c r="AQ215" s="455"/>
      <c r="AR215" s="455"/>
      <c r="AS215" s="455"/>
      <c r="AT215" s="455"/>
      <c r="AU215" s="455"/>
      <c r="AV215" s="678"/>
      <c r="AW215" s="678"/>
      <c r="AX215" s="691"/>
      <c r="AY215" s="455"/>
    </row>
    <row r="216" spans="1:51" x14ac:dyDescent="0.3">
      <c r="A216" s="659" t="s">
        <v>327</v>
      </c>
      <c r="B216" s="193">
        <f>B165*B199</f>
        <v>346022.53559999989</v>
      </c>
      <c r="C216" s="193">
        <f t="shared" ref="B216:D219" si="0">C165*C199</f>
        <v>2798.7105224544453</v>
      </c>
      <c r="D216" s="192">
        <f t="shared" si="0"/>
        <v>1070427.3189366935</v>
      </c>
      <c r="E216" s="673"/>
      <c r="AQ216" s="455"/>
      <c r="AR216" s="455"/>
      <c r="AS216" s="455"/>
      <c r="AT216" s="455"/>
      <c r="AU216" s="455"/>
      <c r="AV216" s="678"/>
      <c r="AW216" s="678"/>
      <c r="AX216" s="691"/>
      <c r="AY216" s="455"/>
    </row>
    <row r="217" spans="1:51" x14ac:dyDescent="0.3">
      <c r="A217" s="659" t="s">
        <v>326</v>
      </c>
      <c r="B217" s="193">
        <f t="shared" si="0"/>
        <v>2428.0692799999993</v>
      </c>
      <c r="C217" s="193">
        <f t="shared" si="0"/>
        <v>0</v>
      </c>
      <c r="D217" s="192">
        <f t="shared" si="0"/>
        <v>0</v>
      </c>
      <c r="E217" s="673"/>
      <c r="AQ217" s="455"/>
      <c r="AR217" s="455"/>
      <c r="AS217" s="455"/>
      <c r="AT217" s="455"/>
      <c r="AU217" s="455"/>
      <c r="AV217" s="678"/>
      <c r="AW217" s="678"/>
      <c r="AX217" s="691"/>
      <c r="AY217" s="455"/>
    </row>
    <row r="218" spans="1:51" x14ac:dyDescent="0.3">
      <c r="A218" s="659" t="s">
        <v>325</v>
      </c>
      <c r="B218" s="193">
        <f t="shared" si="0"/>
        <v>82622.190954618083</v>
      </c>
      <c r="C218" s="193">
        <f t="shared" si="0"/>
        <v>15890.704774635829</v>
      </c>
      <c r="D218" s="192">
        <f t="shared" si="0"/>
        <v>7220943.3011911204</v>
      </c>
      <c r="E218" s="673"/>
      <c r="AQ218" s="455"/>
      <c r="AR218" s="455"/>
      <c r="AS218" s="455"/>
      <c r="AT218" s="455"/>
      <c r="AU218" s="455"/>
      <c r="AV218" s="678"/>
      <c r="AW218" s="678"/>
      <c r="AX218" s="691"/>
      <c r="AY218" s="455"/>
    </row>
    <row r="219" spans="1:51" x14ac:dyDescent="0.3">
      <c r="A219" s="659" t="s">
        <v>324</v>
      </c>
      <c r="B219" s="193">
        <f t="shared" si="0"/>
        <v>3995.0016439769902</v>
      </c>
      <c r="C219" s="193">
        <f t="shared" si="0"/>
        <v>15155.356789169846</v>
      </c>
      <c r="D219" s="192">
        <f t="shared" si="0"/>
        <v>5891935.3316467414</v>
      </c>
      <c r="E219" s="673"/>
      <c r="M219" s="544"/>
      <c r="AQ219" s="455"/>
      <c r="AR219" s="455"/>
      <c r="AS219" s="455"/>
      <c r="AT219" s="455"/>
      <c r="AU219" s="455"/>
      <c r="AV219" s="678"/>
      <c r="AW219" s="678"/>
      <c r="AX219" s="691"/>
      <c r="AY219" s="455"/>
    </row>
    <row r="220" spans="1:51" x14ac:dyDescent="0.3">
      <c r="A220" s="161" t="s">
        <v>329</v>
      </c>
      <c r="B220" s="193"/>
      <c r="C220" s="193"/>
      <c r="D220" s="192"/>
      <c r="E220" s="673"/>
      <c r="M220" s="544"/>
      <c r="AQ220" s="455"/>
      <c r="AR220" s="455"/>
      <c r="AS220" s="455"/>
      <c r="AT220" s="455"/>
      <c r="AU220" s="455"/>
      <c r="AV220" s="678"/>
      <c r="AW220" s="678"/>
      <c r="AX220" s="691"/>
      <c r="AY220" s="455"/>
    </row>
    <row r="221" spans="1:51" x14ac:dyDescent="0.3">
      <c r="A221" s="659" t="s">
        <v>327</v>
      </c>
      <c r="B221" s="193">
        <f t="shared" ref="B221:D224" si="1">B170*B204</f>
        <v>305874.16519590007</v>
      </c>
      <c r="C221" s="193">
        <f t="shared" si="1"/>
        <v>1586540.716977542</v>
      </c>
      <c r="D221" s="192">
        <f t="shared" si="1"/>
        <v>13831078.17938526</v>
      </c>
      <c r="E221" s="673"/>
      <c r="M221" s="68"/>
      <c r="AQ221" s="455"/>
      <c r="AR221" s="455"/>
      <c r="AS221" s="455"/>
      <c r="AT221" s="455"/>
      <c r="AU221" s="455"/>
      <c r="AV221" s="678"/>
      <c r="AW221" s="678"/>
      <c r="AX221" s="691"/>
      <c r="AY221" s="455"/>
    </row>
    <row r="222" spans="1:51" x14ac:dyDescent="0.3">
      <c r="A222" s="659" t="s">
        <v>326</v>
      </c>
      <c r="B222" s="193">
        <f t="shared" si="1"/>
        <v>2146.3447829200009</v>
      </c>
      <c r="C222" s="193">
        <f t="shared" si="1"/>
        <v>0</v>
      </c>
      <c r="D222" s="192">
        <f t="shared" si="1"/>
        <v>0</v>
      </c>
      <c r="E222" s="673"/>
      <c r="M222" s="544"/>
      <c r="AQ222" s="455"/>
      <c r="AR222" s="455"/>
      <c r="AS222" s="455"/>
      <c r="AT222" s="455"/>
      <c r="AU222" s="455"/>
      <c r="AV222" s="678"/>
      <c r="AW222" s="678"/>
      <c r="AX222" s="691"/>
      <c r="AY222" s="455"/>
    </row>
    <row r="223" spans="1:51" x14ac:dyDescent="0.3">
      <c r="A223" s="659" t="s">
        <v>325</v>
      </c>
      <c r="B223" s="193">
        <f t="shared" si="1"/>
        <v>1294475.7998001445</v>
      </c>
      <c r="C223" s="193">
        <f t="shared" si="1"/>
        <v>8675913.6740057152</v>
      </c>
      <c r="D223" s="192">
        <f t="shared" si="1"/>
        <v>93302393.876579776</v>
      </c>
      <c r="E223" s="673"/>
      <c r="M223" s="544"/>
      <c r="AQ223" s="455"/>
      <c r="AR223" s="455"/>
      <c r="AS223" s="455"/>
      <c r="AT223" s="455"/>
      <c r="AU223" s="455"/>
      <c r="AV223" s="678"/>
      <c r="AW223" s="678"/>
      <c r="AX223" s="691"/>
      <c r="AY223" s="455"/>
    </row>
    <row r="224" spans="1:51" x14ac:dyDescent="0.3">
      <c r="A224" s="659" t="s">
        <v>324</v>
      </c>
      <c r="B224" s="193">
        <f t="shared" si="1"/>
        <v>62591.331560434162</v>
      </c>
      <c r="C224" s="193">
        <f t="shared" si="1"/>
        <v>6989478.0825613365</v>
      </c>
      <c r="D224" s="192">
        <f t="shared" si="1"/>
        <v>76130174.144693926</v>
      </c>
      <c r="E224" s="673"/>
      <c r="M224" s="544"/>
      <c r="AQ224" s="455"/>
      <c r="AR224" s="455"/>
      <c r="AS224" s="455"/>
      <c r="AT224" s="455"/>
      <c r="AU224" s="455"/>
      <c r="AV224" s="678"/>
      <c r="AW224" s="678"/>
      <c r="AX224" s="455"/>
      <c r="AY224" s="455"/>
    </row>
    <row r="225" spans="1:51" x14ac:dyDescent="0.3">
      <c r="A225" s="161" t="s">
        <v>328</v>
      </c>
      <c r="B225" s="193"/>
      <c r="C225" s="193"/>
      <c r="D225" s="192"/>
      <c r="E225" s="673"/>
      <c r="M225" s="544"/>
      <c r="AQ225" s="455"/>
      <c r="AR225" s="455"/>
      <c r="AS225" s="455"/>
      <c r="AT225" s="455"/>
      <c r="AU225" s="455"/>
      <c r="AV225" s="678"/>
      <c r="AW225" s="678"/>
      <c r="AX225" s="455"/>
      <c r="AY225" s="455"/>
    </row>
    <row r="226" spans="1:51" x14ac:dyDescent="0.3">
      <c r="A226" s="659" t="s">
        <v>327</v>
      </c>
      <c r="B226" s="193">
        <f t="shared" ref="B226:D229" si="2">B175*B209</f>
        <v>129758.45085000002</v>
      </c>
      <c r="C226" s="193">
        <f t="shared" si="2"/>
        <v>32908.453294742038</v>
      </c>
      <c r="D226" s="192">
        <f t="shared" si="2"/>
        <v>231443.74463496084</v>
      </c>
      <c r="E226" s="673"/>
      <c r="AQ226" s="455"/>
      <c r="AR226" s="455"/>
      <c r="AS226" s="455"/>
      <c r="AT226" s="455"/>
      <c r="AU226" s="455"/>
      <c r="AV226" s="678"/>
      <c r="AW226" s="678"/>
      <c r="AX226" s="455"/>
      <c r="AY226" s="455"/>
    </row>
    <row r="227" spans="1:51" x14ac:dyDescent="0.3">
      <c r="A227" s="659" t="s">
        <v>326</v>
      </c>
      <c r="B227" s="193">
        <f t="shared" si="2"/>
        <v>910.52598</v>
      </c>
      <c r="C227" s="193">
        <f t="shared" si="2"/>
        <v>0</v>
      </c>
      <c r="D227" s="192">
        <f t="shared" si="2"/>
        <v>0</v>
      </c>
      <c r="E227" s="673"/>
      <c r="AQ227" s="455"/>
      <c r="AR227" s="455"/>
      <c r="AS227" s="455"/>
      <c r="AT227" s="455"/>
      <c r="AU227" s="455"/>
      <c r="AV227" s="678"/>
      <c r="AW227" s="678"/>
      <c r="AX227" s="455"/>
      <c r="AY227" s="455"/>
    </row>
    <row r="228" spans="1:51" x14ac:dyDescent="0.3">
      <c r="A228" s="659" t="s">
        <v>325</v>
      </c>
      <c r="B228" s="193">
        <f t="shared" si="2"/>
        <v>44261.888011402581</v>
      </c>
      <c r="C228" s="193">
        <f t="shared" si="2"/>
        <v>198723.72135379905</v>
      </c>
      <c r="D228" s="192">
        <f t="shared" si="2"/>
        <v>1561285.0380953779</v>
      </c>
      <c r="E228" s="673"/>
      <c r="AQ228" s="455"/>
      <c r="AR228" s="455"/>
      <c r="AS228" s="455"/>
      <c r="AT228" s="455"/>
      <c r="AU228" s="455"/>
      <c r="AV228" s="678"/>
      <c r="AW228" s="678"/>
      <c r="AX228" s="455"/>
      <c r="AY228" s="455"/>
    </row>
    <row r="229" spans="1:51" x14ac:dyDescent="0.3">
      <c r="A229" s="697" t="s">
        <v>324</v>
      </c>
      <c r="B229" s="698">
        <f t="shared" si="2"/>
        <v>2140.1794521305314</v>
      </c>
      <c r="C229" s="698">
        <f t="shared" si="2"/>
        <v>162148.80331322254</v>
      </c>
      <c r="D229" s="699">
        <f t="shared" si="2"/>
        <v>1273931.9635992958</v>
      </c>
      <c r="E229" s="673"/>
      <c r="AQ229" s="455"/>
      <c r="AR229" s="455"/>
      <c r="AS229" s="455"/>
      <c r="AT229" s="455"/>
      <c r="AU229" s="455"/>
      <c r="AV229" s="678"/>
      <c r="AW229" s="678"/>
      <c r="AX229" s="455"/>
      <c r="AY229" s="455"/>
    </row>
    <row r="230" spans="1:51" x14ac:dyDescent="0.3">
      <c r="A230" s="38"/>
      <c r="E230" s="673"/>
      <c r="AQ230" s="455"/>
      <c r="AR230" s="455"/>
      <c r="AS230" s="455"/>
      <c r="AT230" s="455"/>
      <c r="AU230" s="455"/>
      <c r="AV230" s="678"/>
      <c r="AW230" s="678"/>
      <c r="AX230" s="455"/>
      <c r="AY230" s="455"/>
    </row>
    <row r="231" spans="1:51" x14ac:dyDescent="0.3">
      <c r="A231" s="727"/>
      <c r="C231" s="663"/>
      <c r="M231" s="700"/>
      <c r="AQ231" s="674"/>
      <c r="AR231" s="674"/>
      <c r="AS231" s="674"/>
      <c r="AT231" s="674"/>
      <c r="AU231" s="674"/>
      <c r="AV231" s="674"/>
      <c r="AW231" s="674"/>
      <c r="AX231" s="674"/>
      <c r="AY231" s="674"/>
    </row>
    <row r="232" spans="1:51" x14ac:dyDescent="0.3">
      <c r="A232" s="68" t="s">
        <v>399</v>
      </c>
      <c r="D232" s="68" t="s">
        <v>188</v>
      </c>
      <c r="M232" s="700"/>
      <c r="AQ232" s="674"/>
      <c r="AR232" s="674"/>
      <c r="AS232" s="674"/>
      <c r="AT232" s="674"/>
      <c r="AU232" s="674"/>
      <c r="AV232" s="674"/>
      <c r="AW232" s="674"/>
      <c r="AX232" s="674"/>
      <c r="AY232" s="674"/>
    </row>
    <row r="233" spans="1:51" x14ac:dyDescent="0.3">
      <c r="A233" s="728" t="s">
        <v>396</v>
      </c>
      <c r="B233" s="658" t="s">
        <v>1</v>
      </c>
      <c r="C233" s="74" t="s">
        <v>69</v>
      </c>
      <c r="D233" s="68" t="s">
        <v>1</v>
      </c>
      <c r="E233" s="68" t="s">
        <v>69</v>
      </c>
      <c r="AQ233" s="674"/>
      <c r="AR233" s="674"/>
      <c r="AS233" s="674"/>
      <c r="AT233" s="674"/>
      <c r="AU233" s="674"/>
      <c r="AV233" s="679"/>
      <c r="AW233" s="679"/>
      <c r="AX233" s="674"/>
      <c r="AY233" s="674"/>
    </row>
    <row r="234" spans="1:51" x14ac:dyDescent="0.3">
      <c r="A234" s="54">
        <v>30</v>
      </c>
      <c r="B234" s="191">
        <v>0</v>
      </c>
      <c r="C234" s="163">
        <v>4.4283413848631237E-3</v>
      </c>
      <c r="D234" s="38" t="s">
        <v>1080</v>
      </c>
      <c r="E234" s="40" t="s">
        <v>1075</v>
      </c>
      <c r="AQ234" s="674"/>
      <c r="AR234" s="674"/>
      <c r="AS234" s="674"/>
      <c r="AT234" s="674"/>
      <c r="AU234" s="674"/>
      <c r="AV234" s="674"/>
      <c r="AW234" s="674"/>
      <c r="AX234" s="674"/>
      <c r="AY234" s="674"/>
    </row>
    <row r="235" spans="1:51" x14ac:dyDescent="0.3">
      <c r="A235" s="54">
        <v>32</v>
      </c>
      <c r="B235" s="86">
        <v>0</v>
      </c>
      <c r="C235" s="163">
        <v>0.17954911433172305</v>
      </c>
      <c r="E235" s="40"/>
      <c r="M235" s="700"/>
      <c r="AQ235" s="674"/>
      <c r="AR235" s="674"/>
      <c r="AS235" s="674"/>
      <c r="AT235" s="674"/>
      <c r="AU235" s="674"/>
      <c r="AV235" s="674"/>
      <c r="AW235" s="674"/>
      <c r="AX235" s="674"/>
      <c r="AY235" s="674"/>
    </row>
    <row r="236" spans="1:51" x14ac:dyDescent="0.3">
      <c r="A236" s="54">
        <v>35</v>
      </c>
      <c r="B236" s="86">
        <v>1</v>
      </c>
      <c r="C236" s="163">
        <v>0.78582930756843805</v>
      </c>
      <c r="E236" s="40"/>
      <c r="M236" s="700"/>
      <c r="AQ236" s="701"/>
      <c r="AR236" s="701"/>
      <c r="AS236" s="701"/>
      <c r="AT236" s="674"/>
      <c r="AU236" s="674"/>
      <c r="AV236" s="674"/>
      <c r="AW236" s="674"/>
      <c r="AX236" s="674"/>
      <c r="AY236" s="674"/>
    </row>
    <row r="237" spans="1:51" x14ac:dyDescent="0.3">
      <c r="A237" s="54">
        <v>40</v>
      </c>
      <c r="B237" s="86">
        <v>0</v>
      </c>
      <c r="C237" s="163">
        <v>3.0193236714975855E-2</v>
      </c>
      <c r="E237" s="40"/>
      <c r="M237" s="544"/>
      <c r="AI237" s="231"/>
      <c r="AJ237" s="452"/>
      <c r="AK237" s="452"/>
      <c r="AL237" s="452"/>
      <c r="AM237" s="452"/>
      <c r="AN237" s="452"/>
      <c r="AO237" s="452"/>
      <c r="AP237" s="452"/>
      <c r="AQ237" s="232"/>
      <c r="AS237" s="452"/>
      <c r="AT237" s="674"/>
      <c r="AU237" s="674"/>
      <c r="AV237" s="674"/>
      <c r="AW237" s="674"/>
      <c r="AX237" s="674"/>
      <c r="AY237" s="674"/>
    </row>
    <row r="238" spans="1:51" x14ac:dyDescent="0.3">
      <c r="C238" s="48"/>
      <c r="F238" s="663"/>
      <c r="G238" s="544"/>
      <c r="H238" s="672"/>
      <c r="M238" s="672"/>
      <c r="AI238" s="231"/>
      <c r="AJ238" s="702"/>
      <c r="AK238" s="232"/>
      <c r="AL238" s="232"/>
      <c r="AM238" s="232"/>
      <c r="AN238" s="674"/>
      <c r="AO238" s="703"/>
      <c r="AP238" s="452"/>
      <c r="AQ238" s="232"/>
      <c r="AS238" s="452"/>
      <c r="AT238" s="674"/>
      <c r="AU238" s="674"/>
      <c r="AV238" s="674"/>
      <c r="AW238" s="674"/>
      <c r="AX238" s="674"/>
      <c r="AY238" s="674"/>
    </row>
    <row r="239" spans="1:51" x14ac:dyDescent="0.3">
      <c r="A239" s="161" t="s">
        <v>389</v>
      </c>
      <c r="B239" s="41">
        <v>120458000</v>
      </c>
      <c r="C239" s="184">
        <v>169917400</v>
      </c>
      <c r="D239" s="38" t="s">
        <v>1064</v>
      </c>
      <c r="E239" s="38" t="s">
        <v>1068</v>
      </c>
      <c r="M239" s="700"/>
      <c r="AI239" s="674"/>
      <c r="AJ239" s="457"/>
      <c r="AK239" s="457"/>
      <c r="AL239" s="457"/>
      <c r="AM239" s="457"/>
      <c r="AN239" s="457"/>
      <c r="AO239" s="457"/>
      <c r="AP239" s="457"/>
      <c r="AQ239" s="232"/>
      <c r="AR239" s="674"/>
      <c r="AS239" s="674"/>
      <c r="AT239" s="674"/>
      <c r="AU239" s="674"/>
      <c r="AV239" s="674"/>
      <c r="AW239" s="674"/>
      <c r="AX239" s="674"/>
      <c r="AY239" s="674"/>
    </row>
    <row r="240" spans="1:51" x14ac:dyDescent="0.3">
      <c r="A240" s="161" t="s">
        <v>388</v>
      </c>
      <c r="B240" s="38">
        <v>83776240</v>
      </c>
      <c r="C240" s="48">
        <v>103185800</v>
      </c>
      <c r="D240" s="38" t="s">
        <v>1064</v>
      </c>
      <c r="E240" s="38" t="s">
        <v>1068</v>
      </c>
      <c r="M240" s="700"/>
      <c r="AI240" s="231"/>
      <c r="AJ240" s="232"/>
      <c r="AK240" s="232"/>
      <c r="AL240" s="232"/>
      <c r="AM240" s="232"/>
      <c r="AN240" s="232"/>
      <c r="AO240" s="232"/>
      <c r="AP240" s="232"/>
      <c r="AQ240" s="232"/>
      <c r="AR240" s="674"/>
      <c r="AS240" s="674"/>
      <c r="AT240" s="674"/>
      <c r="AU240" s="674"/>
      <c r="AV240" s="674"/>
      <c r="AW240" s="674"/>
      <c r="AX240" s="674"/>
      <c r="AY240" s="674"/>
    </row>
    <row r="241" spans="1:51" x14ac:dyDescent="0.3">
      <c r="A241" s="66" t="s">
        <v>1385</v>
      </c>
      <c r="B241" s="86">
        <v>3.1E-2</v>
      </c>
      <c r="C241" s="163">
        <v>3.1E-2</v>
      </c>
      <c r="D241" s="38" t="s">
        <v>217</v>
      </c>
      <c r="E241" s="38" t="s">
        <v>217</v>
      </c>
      <c r="F241" s="663"/>
      <c r="H241" s="543"/>
      <c r="AI241" s="457"/>
      <c r="AJ241" s="720"/>
      <c r="AK241" s="720"/>
      <c r="AL241" s="720"/>
      <c r="AM241" s="720"/>
      <c r="AN241" s="720"/>
      <c r="AO241" s="720"/>
      <c r="AP241" s="232"/>
      <c r="AQ241" s="232"/>
      <c r="AR241" s="674"/>
      <c r="AS241" s="674"/>
      <c r="AT241" s="674"/>
      <c r="AU241" s="674"/>
      <c r="AV241" s="674"/>
      <c r="AW241" s="674"/>
      <c r="AX241" s="674"/>
      <c r="AY241" s="674"/>
    </row>
    <row r="242" spans="1:51" ht="27.6" x14ac:dyDescent="0.3">
      <c r="A242" s="37" t="s">
        <v>1390</v>
      </c>
      <c r="B242" s="86">
        <v>7.0000000000000001E-3</v>
      </c>
      <c r="C242" s="163">
        <v>7.0000000000000001E-3</v>
      </c>
      <c r="D242" s="38" t="s">
        <v>217</v>
      </c>
      <c r="E242" s="38" t="s">
        <v>217</v>
      </c>
      <c r="F242" s="663"/>
      <c r="G242" s="68"/>
      <c r="J242" s="662"/>
      <c r="K242" s="68"/>
      <c r="L242" s="68"/>
      <c r="AI242" s="457"/>
      <c r="AJ242" s="233"/>
      <c r="AK242" s="233"/>
      <c r="AL242" s="233"/>
      <c r="AM242" s="233"/>
      <c r="AN242" s="233"/>
      <c r="AO242" s="233"/>
      <c r="AP242" s="233"/>
      <c r="AQ242" s="674"/>
      <c r="AR242" s="704"/>
      <c r="AS242" s="455"/>
      <c r="AT242" s="454"/>
      <c r="AU242" s="454"/>
      <c r="AV242" s="704"/>
      <c r="AW242" s="674"/>
      <c r="AX242" s="232"/>
      <c r="AY242" s="232"/>
    </row>
    <row r="243" spans="1:51" x14ac:dyDescent="0.3">
      <c r="A243" s="161" t="s">
        <v>385</v>
      </c>
      <c r="B243" s="196">
        <f>B239/B240</f>
        <v>1.4378539786459741</v>
      </c>
      <c r="C243" s="195">
        <f>C239/C240</f>
        <v>1.64671301671354</v>
      </c>
      <c r="F243" s="705"/>
      <c r="J243" s="705"/>
      <c r="AI243" s="457"/>
      <c r="AJ243" s="233"/>
      <c r="AK243" s="233"/>
      <c r="AL243" s="233"/>
      <c r="AM243" s="233"/>
      <c r="AN243" s="233"/>
      <c r="AO243" s="233"/>
      <c r="AP243" s="233"/>
      <c r="AQ243" s="674"/>
      <c r="AR243" s="691"/>
      <c r="AS243" s="691"/>
      <c r="AT243" s="706"/>
      <c r="AU243" s="455"/>
      <c r="AV243" s="707"/>
      <c r="AW243" s="674"/>
      <c r="AX243" s="232"/>
      <c r="AY243" s="232"/>
    </row>
    <row r="244" spans="1:51" x14ac:dyDescent="0.3">
      <c r="C244" s="48"/>
      <c r="F244" s="672"/>
      <c r="G244" s="544"/>
      <c r="J244" s="672"/>
      <c r="K244" s="544"/>
      <c r="L244" s="544"/>
      <c r="AI244" s="231"/>
      <c r="AJ244" s="232"/>
      <c r="AK244" s="232"/>
      <c r="AL244" s="232"/>
      <c r="AM244" s="232"/>
      <c r="AN244" s="232"/>
      <c r="AO244" s="232"/>
      <c r="AQ244" s="674"/>
      <c r="AR244" s="691"/>
      <c r="AS244" s="455"/>
      <c r="AT244" s="706"/>
      <c r="AU244" s="455"/>
      <c r="AV244" s="707"/>
      <c r="AW244" s="674"/>
      <c r="AX244" s="232"/>
      <c r="AY244" s="232"/>
    </row>
    <row r="245" spans="1:51" x14ac:dyDescent="0.3">
      <c r="A245" s="161" t="s">
        <v>383</v>
      </c>
      <c r="B245" s="41"/>
      <c r="C245" s="48"/>
      <c r="F245" s="672"/>
      <c r="G245" s="544"/>
      <c r="J245" s="672"/>
      <c r="K245" s="544"/>
      <c r="L245" s="544"/>
      <c r="AI245" s="457"/>
      <c r="AJ245" s="232"/>
      <c r="AK245" s="232"/>
      <c r="AL245" s="232"/>
      <c r="AM245" s="232"/>
      <c r="AN245" s="232"/>
      <c r="AO245" s="232"/>
      <c r="AQ245" s="674"/>
      <c r="AR245" s="674"/>
      <c r="AS245" s="674"/>
      <c r="AT245" s="674"/>
      <c r="AU245" s="674"/>
      <c r="AV245" s="674"/>
      <c r="AW245" s="674"/>
      <c r="AX245" s="232"/>
      <c r="AY245" s="232"/>
    </row>
    <row r="246" spans="1:51" x14ac:dyDescent="0.3">
      <c r="A246" s="659" t="s">
        <v>338</v>
      </c>
      <c r="B246" s="41">
        <f>B240/((1-B241)*(1-B242))</f>
        <v>87065848.971697658</v>
      </c>
      <c r="C246" s="184">
        <f>C240/((1-C241)*(1-C242))</f>
        <v>107237556.60105777</v>
      </c>
      <c r="G246" s="544"/>
      <c r="K246" s="544"/>
      <c r="L246" s="544"/>
      <c r="AI246" s="231"/>
      <c r="AJ246" s="708"/>
      <c r="AK246" s="708"/>
      <c r="AL246" s="708"/>
      <c r="AM246" s="708"/>
      <c r="AN246" s="708"/>
      <c r="AO246" s="674"/>
      <c r="AP246" s="674"/>
      <c r="AQ246" s="674"/>
      <c r="AR246" s="674"/>
      <c r="AS246" s="674"/>
      <c r="AT246" s="674"/>
      <c r="AU246" s="674"/>
      <c r="AV246" s="674"/>
      <c r="AW246" s="674"/>
      <c r="AX246" s="232"/>
      <c r="AY246" s="232"/>
    </row>
    <row r="247" spans="1:51" x14ac:dyDescent="0.3">
      <c r="A247" s="659" t="s">
        <v>336</v>
      </c>
      <c r="B247" s="41">
        <v>854478.72865275294</v>
      </c>
      <c r="C247" s="184">
        <v>1052447.2236879722</v>
      </c>
      <c r="D247" s="158" t="s">
        <v>1082</v>
      </c>
      <c r="E247" s="38" t="s">
        <v>1082</v>
      </c>
      <c r="G247" s="544"/>
      <c r="K247" s="544"/>
      <c r="L247" s="544"/>
      <c r="AI247" s="231"/>
      <c r="AJ247" s="232"/>
      <c r="AK247" s="232"/>
      <c r="AL247" s="636"/>
      <c r="AM247" s="636"/>
      <c r="AN247" s="232"/>
      <c r="AO247" s="674"/>
      <c r="AP247" s="232"/>
      <c r="AQ247" s="232"/>
      <c r="AR247" s="674"/>
      <c r="AS247" s="674"/>
      <c r="AT247" s="674"/>
      <c r="AU247" s="674"/>
      <c r="AV247" s="674"/>
      <c r="AW247" s="674"/>
      <c r="AX247" s="232"/>
      <c r="AY247" s="232"/>
    </row>
    <row r="248" spans="1:51" x14ac:dyDescent="0.3">
      <c r="C248" s="48"/>
      <c r="F248" s="705"/>
      <c r="J248" s="705"/>
      <c r="AI248" s="231"/>
      <c r="AJ248" s="232"/>
      <c r="AK248" s="232"/>
      <c r="AL248" s="232"/>
      <c r="AM248" s="232"/>
      <c r="AN248" s="232"/>
      <c r="AO248" s="232"/>
      <c r="AP248" s="232"/>
      <c r="AQ248" s="232"/>
      <c r="AR248" s="674"/>
      <c r="AS248" s="674"/>
      <c r="AT248" s="674"/>
      <c r="AU248" s="674"/>
      <c r="AV248" s="674"/>
      <c r="AW248" s="674"/>
      <c r="AX248" s="232"/>
      <c r="AY248" s="232"/>
    </row>
    <row r="249" spans="1:51" x14ac:dyDescent="0.3">
      <c r="A249" s="161" t="s">
        <v>316</v>
      </c>
      <c r="B249" s="68"/>
      <c r="C249" s="176"/>
      <c r="F249" s="672"/>
      <c r="J249" s="672"/>
      <c r="AI249" s="50"/>
      <c r="AJ249" s="50"/>
      <c r="AK249" s="183"/>
      <c r="AL249" s="674"/>
      <c r="AM249" s="674"/>
      <c r="AN249" s="232"/>
      <c r="AO249" s="674"/>
      <c r="AP249" s="232"/>
      <c r="AQ249" s="232"/>
      <c r="AR249" s="674"/>
      <c r="AS249" s="674"/>
      <c r="AT249" s="674"/>
      <c r="AU249" s="674"/>
      <c r="AV249" s="674"/>
      <c r="AW249" s="674"/>
      <c r="AX249" s="232"/>
      <c r="AY249" s="232"/>
    </row>
    <row r="250" spans="1:51" x14ac:dyDescent="0.3">
      <c r="A250" s="659" t="s">
        <v>380</v>
      </c>
      <c r="B250" s="660">
        <v>2.5</v>
      </c>
      <c r="C250" s="189">
        <v>2.5</v>
      </c>
      <c r="D250" s="38" t="s">
        <v>1080</v>
      </c>
      <c r="E250" s="38" t="s">
        <v>1080</v>
      </c>
      <c r="H250" s="543"/>
    </row>
    <row r="251" spans="1:51" x14ac:dyDescent="0.3">
      <c r="A251" s="659" t="s">
        <v>379</v>
      </c>
      <c r="B251" s="38">
        <v>63</v>
      </c>
      <c r="C251" s="48">
        <v>63</v>
      </c>
      <c r="D251" s="38" t="s">
        <v>1080</v>
      </c>
      <c r="E251" s="38" t="s">
        <v>1080</v>
      </c>
      <c r="H251" s="543"/>
    </row>
    <row r="252" spans="1:51" x14ac:dyDescent="0.3">
      <c r="A252" s="659" t="s">
        <v>373</v>
      </c>
      <c r="B252" s="190">
        <f>(B250*B239/B240*B246+B247*B251)/B239</f>
        <v>3.0450622065407518</v>
      </c>
      <c r="C252" s="682">
        <f>(C250*C239/C240*C246+C247*C251)/C239</f>
        <v>2.9883806833857767</v>
      </c>
      <c r="D252" s="38" t="s">
        <v>1080</v>
      </c>
      <c r="E252" s="38" t="s">
        <v>1080</v>
      </c>
      <c r="H252" s="543"/>
    </row>
    <row r="253" spans="1:51" x14ac:dyDescent="0.3">
      <c r="C253" s="48"/>
      <c r="H253" s="543"/>
    </row>
    <row r="254" spans="1:51" x14ac:dyDescent="0.3">
      <c r="A254" s="161" t="s">
        <v>371</v>
      </c>
      <c r="C254" s="723" t="s">
        <v>369</v>
      </c>
      <c r="H254" s="543"/>
    </row>
    <row r="255" spans="1:51" x14ac:dyDescent="0.3">
      <c r="A255" s="659" t="s">
        <v>375</v>
      </c>
      <c r="C255" s="695">
        <v>0.02</v>
      </c>
      <c r="E255" s="40" t="s">
        <v>1075</v>
      </c>
      <c r="H255" s="543"/>
    </row>
    <row r="256" spans="1:51" x14ac:dyDescent="0.3">
      <c r="A256" s="659" t="s">
        <v>374</v>
      </c>
      <c r="C256" s="163">
        <v>4.5063693366244183E-2</v>
      </c>
      <c r="E256" s="40" t="s">
        <v>1075</v>
      </c>
      <c r="H256" s="543"/>
    </row>
    <row r="257" spans="1:8" x14ac:dyDescent="0.3">
      <c r="C257" s="48"/>
      <c r="H257" s="543"/>
    </row>
    <row r="258" spans="1:8" x14ac:dyDescent="0.3">
      <c r="A258" s="161" t="s">
        <v>372</v>
      </c>
      <c r="B258" s="41"/>
      <c r="C258" s="184"/>
      <c r="H258" s="543"/>
    </row>
    <row r="259" spans="1:8" x14ac:dyDescent="0.3">
      <c r="A259" s="181" t="s">
        <v>354</v>
      </c>
      <c r="B259" s="186"/>
      <c r="C259" s="187"/>
      <c r="H259" s="543"/>
    </row>
    <row r="260" spans="1:8" x14ac:dyDescent="0.3">
      <c r="A260" s="181" t="s">
        <v>352</v>
      </c>
      <c r="B260" s="186"/>
      <c r="C260" s="187"/>
      <c r="H260" s="543"/>
    </row>
    <row r="261" spans="1:8" x14ac:dyDescent="0.3">
      <c r="A261" s="161" t="s">
        <v>349</v>
      </c>
      <c r="B261" s="186"/>
      <c r="C261" s="48"/>
      <c r="H261" s="543"/>
    </row>
    <row r="262" spans="1:8" x14ac:dyDescent="0.3">
      <c r="A262" s="180" t="s">
        <v>338</v>
      </c>
      <c r="C262" s="178">
        <f>C$255*$A$236*C$246*C273</f>
        <v>75066289.620740443</v>
      </c>
      <c r="H262" s="543"/>
    </row>
    <row r="263" spans="1:8" x14ac:dyDescent="0.3">
      <c r="A263" s="180" t="s">
        <v>336</v>
      </c>
      <c r="C263" s="48">
        <f>C$256*365*C$247*C274</f>
        <v>17310913.024936866</v>
      </c>
    </row>
    <row r="264" spans="1:8" x14ac:dyDescent="0.3">
      <c r="A264" s="659"/>
      <c r="B264" s="660"/>
      <c r="C264" s="48"/>
    </row>
    <row r="265" spans="1:8" x14ac:dyDescent="0.3">
      <c r="A265" s="161" t="s">
        <v>364</v>
      </c>
      <c r="B265" s="667"/>
      <c r="C265" s="176"/>
    </row>
    <row r="266" spans="1:8" x14ac:dyDescent="0.3">
      <c r="A266" s="161" t="s">
        <v>330</v>
      </c>
      <c r="C266" s="48"/>
    </row>
    <row r="267" spans="1:8" x14ac:dyDescent="0.3">
      <c r="A267" s="66" t="s">
        <v>338</v>
      </c>
      <c r="B267" s="193">
        <v>0</v>
      </c>
      <c r="C267" s="192">
        <v>0</v>
      </c>
      <c r="D267" s="40" t="s">
        <v>1066</v>
      </c>
      <c r="E267" s="40" t="s">
        <v>1075</v>
      </c>
    </row>
    <row r="268" spans="1:8" x14ac:dyDescent="0.3">
      <c r="A268" s="66" t="s">
        <v>336</v>
      </c>
      <c r="B268" s="164">
        <v>0.78</v>
      </c>
      <c r="C268" s="184">
        <v>0</v>
      </c>
      <c r="D268" s="40" t="s">
        <v>1066</v>
      </c>
      <c r="E268" s="40" t="s">
        <v>1075</v>
      </c>
    </row>
    <row r="269" spans="1:8" x14ac:dyDescent="0.3">
      <c r="A269" s="161" t="s">
        <v>329</v>
      </c>
      <c r="B269" s="190"/>
      <c r="C269" s="184"/>
    </row>
    <row r="270" spans="1:8" x14ac:dyDescent="0.3">
      <c r="A270" s="66" t="s">
        <v>338</v>
      </c>
      <c r="B270" s="193">
        <v>0</v>
      </c>
      <c r="C270" s="192">
        <v>0</v>
      </c>
      <c r="D270" s="40" t="s">
        <v>1066</v>
      </c>
      <c r="E270" s="40" t="s">
        <v>1075</v>
      </c>
    </row>
    <row r="271" spans="1:8" x14ac:dyDescent="0.3">
      <c r="A271" s="66" t="s">
        <v>336</v>
      </c>
      <c r="B271" s="164">
        <v>0.09</v>
      </c>
      <c r="C271" s="184">
        <v>0</v>
      </c>
      <c r="D271" s="40" t="s">
        <v>1066</v>
      </c>
      <c r="E271" s="40" t="s">
        <v>1075</v>
      </c>
    </row>
    <row r="272" spans="1:8" x14ac:dyDescent="0.3">
      <c r="A272" s="161" t="s">
        <v>328</v>
      </c>
      <c r="B272" s="190"/>
      <c r="C272" s="185"/>
    </row>
    <row r="273" spans="1:5" x14ac:dyDescent="0.3">
      <c r="A273" s="66" t="s">
        <v>338</v>
      </c>
      <c r="B273" s="190">
        <v>1</v>
      </c>
      <c r="C273" s="682">
        <v>1</v>
      </c>
      <c r="D273" s="40" t="s">
        <v>1066</v>
      </c>
      <c r="E273" s="40" t="s">
        <v>1075</v>
      </c>
    </row>
    <row r="274" spans="1:5" x14ac:dyDescent="0.3">
      <c r="A274" s="66" t="s">
        <v>336</v>
      </c>
      <c r="B274" s="164">
        <v>0.13</v>
      </c>
      <c r="C274" s="185">
        <v>1</v>
      </c>
      <c r="D274" s="40" t="s">
        <v>1066</v>
      </c>
      <c r="E274" s="40" t="s">
        <v>1075</v>
      </c>
    </row>
    <row r="275" spans="1:5" x14ac:dyDescent="0.3">
      <c r="C275" s="48"/>
    </row>
    <row r="276" spans="1:5" x14ac:dyDescent="0.3">
      <c r="A276" s="685" t="s">
        <v>360</v>
      </c>
      <c r="B276" s="667"/>
      <c r="C276" s="176"/>
    </row>
    <row r="277" spans="1:5" x14ac:dyDescent="0.3">
      <c r="A277" s="659" t="s">
        <v>358</v>
      </c>
      <c r="B277" s="191">
        <v>0.28999999999999998</v>
      </c>
      <c r="C277" s="695">
        <v>0.53400000000000003</v>
      </c>
      <c r="D277" s="40" t="s">
        <v>1066</v>
      </c>
      <c r="E277" s="40" t="s">
        <v>1075</v>
      </c>
    </row>
    <row r="278" spans="1:5" x14ac:dyDescent="0.3">
      <c r="A278" s="659" t="s">
        <v>357</v>
      </c>
      <c r="B278" s="191">
        <v>0.63200000000000001</v>
      </c>
      <c r="C278" s="695">
        <v>0.53400000000000003</v>
      </c>
      <c r="D278" s="40" t="s">
        <v>1066</v>
      </c>
      <c r="E278" s="40" t="s">
        <v>1075</v>
      </c>
    </row>
    <row r="279" spans="1:5" x14ac:dyDescent="0.3">
      <c r="A279" s="685" t="s">
        <v>363</v>
      </c>
      <c r="B279" s="190"/>
      <c r="C279" s="184"/>
    </row>
    <row r="280" spans="1:5" x14ac:dyDescent="0.3">
      <c r="A280" s="181" t="s">
        <v>354</v>
      </c>
      <c r="B280" s="683"/>
      <c r="C280" s="48"/>
    </row>
    <row r="281" spans="1:5" x14ac:dyDescent="0.3">
      <c r="A281" s="686" t="s">
        <v>338</v>
      </c>
      <c r="B281" s="687">
        <f>B$277*B$246*B267*A236/365</f>
        <v>0</v>
      </c>
      <c r="C281" s="688">
        <v>0</v>
      </c>
    </row>
    <row r="282" spans="1:5" x14ac:dyDescent="0.3">
      <c r="A282" s="686" t="s">
        <v>336</v>
      </c>
      <c r="B282" s="687">
        <f>B$278*B$247*B268</f>
        <v>421223.83407666109</v>
      </c>
      <c r="C282" s="688">
        <v>0</v>
      </c>
    </row>
    <row r="283" spans="1:5" x14ac:dyDescent="0.3">
      <c r="A283" s="181" t="s">
        <v>352</v>
      </c>
      <c r="B283" s="683"/>
      <c r="C283" s="48"/>
    </row>
    <row r="284" spans="1:5" x14ac:dyDescent="0.3">
      <c r="A284" s="686" t="s">
        <v>338</v>
      </c>
      <c r="B284" s="687">
        <f>B$277*B$246*B270*A236/365</f>
        <v>0</v>
      </c>
      <c r="C284" s="688">
        <v>0</v>
      </c>
    </row>
    <row r="285" spans="1:5" x14ac:dyDescent="0.3">
      <c r="A285" s="686" t="s">
        <v>336</v>
      </c>
      <c r="B285" s="687">
        <f>B$278*B$247*B271</f>
        <v>48602.750085768581</v>
      </c>
      <c r="C285" s="688">
        <v>0</v>
      </c>
    </row>
    <row r="286" spans="1:5" x14ac:dyDescent="0.3">
      <c r="A286" s="181" t="s">
        <v>349</v>
      </c>
      <c r="B286" s="683"/>
      <c r="C286" s="48"/>
    </row>
    <row r="287" spans="1:5" x14ac:dyDescent="0.3">
      <c r="A287" s="686" t="s">
        <v>338</v>
      </c>
      <c r="B287" s="687">
        <f>B$277*B$246*B273*A236/365</f>
        <v>2421146.2111307704</v>
      </c>
      <c r="C287" s="688">
        <f>C$277*C$246*C273*(A234/365*C234+A235/365*C235+A236/365*C236+A237/365*C237)</f>
        <v>5426853.3856566185</v>
      </c>
    </row>
    <row r="288" spans="1:5" x14ac:dyDescent="0.3">
      <c r="A288" s="686" t="s">
        <v>336</v>
      </c>
      <c r="B288" s="687">
        <f>B$278*B$247*B274</f>
        <v>70203.972346110182</v>
      </c>
      <c r="C288" s="688">
        <f>C$278*C$247*C274</f>
        <v>562006.81744937715</v>
      </c>
    </row>
    <row r="289" spans="1:5" x14ac:dyDescent="0.3">
      <c r="A289" s="686"/>
      <c r="B289" s="683"/>
      <c r="C289" s="48"/>
    </row>
    <row r="290" spans="1:5" x14ac:dyDescent="0.3">
      <c r="A290" s="161" t="s">
        <v>361</v>
      </c>
      <c r="C290" s="176"/>
    </row>
    <row r="291" spans="1:5" x14ac:dyDescent="0.3">
      <c r="A291" s="27" t="s">
        <v>1560</v>
      </c>
      <c r="C291" s="734">
        <v>1.4999999999999999E-2</v>
      </c>
      <c r="E291" s="40" t="s">
        <v>1075</v>
      </c>
    </row>
    <row r="292" spans="1:5" x14ac:dyDescent="0.3">
      <c r="C292" s="48"/>
      <c r="E292" s="40"/>
    </row>
    <row r="293" spans="1:5" x14ac:dyDescent="0.3">
      <c r="A293" s="685" t="s">
        <v>359</v>
      </c>
      <c r="B293" s="667"/>
      <c r="C293" s="48"/>
    </row>
    <row r="294" spans="1:5" x14ac:dyDescent="0.3">
      <c r="A294" s="659" t="s">
        <v>358</v>
      </c>
      <c r="B294" s="86">
        <v>4.156E-2</v>
      </c>
      <c r="C294" s="176"/>
      <c r="D294" s="40" t="s">
        <v>1066</v>
      </c>
    </row>
    <row r="295" spans="1:5" x14ac:dyDescent="0.3">
      <c r="A295" s="659" t="s">
        <v>357</v>
      </c>
      <c r="B295" s="86">
        <v>4.5560000000000003E-2</v>
      </c>
      <c r="C295" s="48"/>
      <c r="D295" s="40" t="s">
        <v>1066</v>
      </c>
    </row>
    <row r="296" spans="1:5" x14ac:dyDescent="0.3">
      <c r="A296" s="659" t="s">
        <v>356</v>
      </c>
      <c r="B296" s="41">
        <f>B294*B246*A236/365+B295*B247</f>
        <v>385905.34927257395</v>
      </c>
      <c r="C296" s="48"/>
    </row>
    <row r="297" spans="1:5" x14ac:dyDescent="0.3">
      <c r="C297" s="48"/>
    </row>
    <row r="298" spans="1:5" x14ac:dyDescent="0.3">
      <c r="A298" s="66" t="s">
        <v>343</v>
      </c>
      <c r="B298" s="191">
        <v>5.0000000000000001E-3</v>
      </c>
      <c r="C298" s="163"/>
      <c r="D298" s="40" t="s">
        <v>1066</v>
      </c>
    </row>
    <row r="299" spans="1:5" x14ac:dyDescent="0.3">
      <c r="A299" s="659" t="s">
        <v>342</v>
      </c>
      <c r="B299" s="191">
        <v>5.0000000000000001E-3</v>
      </c>
      <c r="C299" s="163"/>
      <c r="D299" s="40" t="s">
        <v>1066</v>
      </c>
    </row>
    <row r="300" spans="1:5" x14ac:dyDescent="0.3">
      <c r="A300" s="27" t="s">
        <v>353</v>
      </c>
      <c r="B300" s="191">
        <v>0.01</v>
      </c>
      <c r="C300" s="695">
        <v>0.01</v>
      </c>
      <c r="D300" s="40" t="s">
        <v>1066</v>
      </c>
      <c r="E300" s="40" t="s">
        <v>1075</v>
      </c>
    </row>
    <row r="301" spans="1:5" x14ac:dyDescent="0.3">
      <c r="A301" s="659" t="s">
        <v>340</v>
      </c>
      <c r="B301" s="191">
        <f>0.01</f>
        <v>0.01</v>
      </c>
      <c r="C301" s="695">
        <f>0.01</f>
        <v>0.01</v>
      </c>
      <c r="D301" s="40" t="s">
        <v>1066</v>
      </c>
      <c r="E301" s="40" t="s">
        <v>1075</v>
      </c>
    </row>
    <row r="302" spans="1:5" x14ac:dyDescent="0.3">
      <c r="A302" s="66" t="s">
        <v>339</v>
      </c>
      <c r="B302" s="86"/>
      <c r="C302" s="163">
        <v>1</v>
      </c>
      <c r="D302" s="40"/>
      <c r="E302" s="40" t="s">
        <v>1075</v>
      </c>
    </row>
    <row r="303" spans="1:5" x14ac:dyDescent="0.3">
      <c r="A303" s="38" t="s">
        <v>441</v>
      </c>
      <c r="B303" s="86"/>
      <c r="C303" s="163">
        <v>0.67</v>
      </c>
      <c r="D303" s="40"/>
      <c r="E303" s="40" t="s">
        <v>894</v>
      </c>
    </row>
    <row r="304" spans="1:5" x14ac:dyDescent="0.3">
      <c r="A304" s="66" t="s">
        <v>351</v>
      </c>
      <c r="B304" s="86"/>
      <c r="C304" s="695">
        <v>0.36</v>
      </c>
      <c r="D304" s="40"/>
      <c r="E304" s="40" t="s">
        <v>1075</v>
      </c>
    </row>
    <row r="305" spans="1:5" x14ac:dyDescent="0.3">
      <c r="A305" s="66" t="s">
        <v>350</v>
      </c>
      <c r="B305" s="86"/>
      <c r="C305" s="695">
        <v>0.39</v>
      </c>
      <c r="E305" s="40" t="s">
        <v>1075</v>
      </c>
    </row>
    <row r="306" spans="1:5" x14ac:dyDescent="0.3">
      <c r="C306" s="48"/>
    </row>
    <row r="307" spans="1:5" x14ac:dyDescent="0.3">
      <c r="A307" s="685" t="s">
        <v>334</v>
      </c>
      <c r="B307" s="68"/>
      <c r="C307" s="48"/>
    </row>
    <row r="308" spans="1:5" x14ac:dyDescent="0.3">
      <c r="A308" s="685" t="s">
        <v>333</v>
      </c>
      <c r="C308" s="48"/>
    </row>
    <row r="309" spans="1:5" x14ac:dyDescent="0.3">
      <c r="A309" s="659" t="s">
        <v>338</v>
      </c>
      <c r="B309" s="191">
        <v>0</v>
      </c>
      <c r="C309" s="695">
        <v>0</v>
      </c>
      <c r="D309" s="40" t="s">
        <v>1067</v>
      </c>
      <c r="E309" s="40" t="s">
        <v>1075</v>
      </c>
    </row>
    <row r="310" spans="1:5" x14ac:dyDescent="0.3">
      <c r="A310" s="659" t="s">
        <v>336</v>
      </c>
      <c r="B310" s="191">
        <v>0.13712499999999994</v>
      </c>
      <c r="C310" s="695">
        <v>0</v>
      </c>
      <c r="D310" s="40" t="s">
        <v>1067</v>
      </c>
      <c r="E310" s="40" t="s">
        <v>1075</v>
      </c>
    </row>
    <row r="311" spans="1:5" x14ac:dyDescent="0.3">
      <c r="A311" s="685" t="s">
        <v>332</v>
      </c>
      <c r="C311" s="48"/>
      <c r="E311" s="40"/>
    </row>
    <row r="312" spans="1:5" x14ac:dyDescent="0.3">
      <c r="A312" s="659" t="s">
        <v>338</v>
      </c>
      <c r="B312" s="191">
        <v>0.12</v>
      </c>
      <c r="C312" s="695">
        <v>0</v>
      </c>
      <c r="D312" s="40" t="s">
        <v>1067</v>
      </c>
      <c r="E312" s="40" t="s">
        <v>1075</v>
      </c>
    </row>
    <row r="313" spans="1:5" x14ac:dyDescent="0.3">
      <c r="A313" s="659" t="s">
        <v>336</v>
      </c>
      <c r="B313" s="191">
        <v>0.20799999999999996</v>
      </c>
      <c r="C313" s="695">
        <v>0</v>
      </c>
      <c r="D313" s="40" t="s">
        <v>1067</v>
      </c>
      <c r="E313" s="40" t="s">
        <v>1075</v>
      </c>
    </row>
    <row r="314" spans="1:5" x14ac:dyDescent="0.3">
      <c r="A314" s="685" t="s">
        <v>328</v>
      </c>
      <c r="C314" s="695"/>
      <c r="E314" s="40"/>
    </row>
    <row r="315" spans="1:5" x14ac:dyDescent="0.3">
      <c r="A315" s="659" t="s">
        <v>338</v>
      </c>
      <c r="B315" s="191">
        <v>0.24</v>
      </c>
      <c r="C315" s="695">
        <v>0.13324000000000014</v>
      </c>
      <c r="D315" s="40" t="s">
        <v>1067</v>
      </c>
      <c r="E315" s="40" t="s">
        <v>1075</v>
      </c>
    </row>
    <row r="316" spans="1:5" x14ac:dyDescent="0.3">
      <c r="A316" s="659" t="s">
        <v>336</v>
      </c>
      <c r="B316" s="191">
        <v>0.48</v>
      </c>
      <c r="C316" s="695">
        <v>0.13324000000000014</v>
      </c>
      <c r="D316" s="40" t="s">
        <v>1067</v>
      </c>
      <c r="E316" s="40" t="s">
        <v>1075</v>
      </c>
    </row>
    <row r="317" spans="1:5" x14ac:dyDescent="0.3">
      <c r="C317" s="695"/>
      <c r="E317" s="40"/>
    </row>
    <row r="318" spans="1:5" x14ac:dyDescent="0.3">
      <c r="A318" s="685" t="s">
        <v>331</v>
      </c>
      <c r="B318" s="191"/>
      <c r="C318" s="48"/>
    </row>
    <row r="319" spans="1:5" x14ac:dyDescent="0.3">
      <c r="A319" s="161" t="s">
        <v>330</v>
      </c>
      <c r="B319" s="191"/>
      <c r="C319" s="48"/>
    </row>
    <row r="320" spans="1:5" x14ac:dyDescent="0.3">
      <c r="A320" s="659" t="s">
        <v>338</v>
      </c>
      <c r="B320" s="193">
        <f>B281*B309</f>
        <v>0</v>
      </c>
      <c r="C320" s="192">
        <f>C281*C309</f>
        <v>0</v>
      </c>
    </row>
    <row r="321" spans="1:4" x14ac:dyDescent="0.3">
      <c r="A321" s="659" t="s">
        <v>336</v>
      </c>
      <c r="B321" s="193">
        <f>B282*B310</f>
        <v>57760.31824776213</v>
      </c>
      <c r="C321" s="192">
        <f>C282*C310</f>
        <v>0</v>
      </c>
    </row>
    <row r="322" spans="1:4" x14ac:dyDescent="0.3">
      <c r="A322" s="161" t="s">
        <v>329</v>
      </c>
      <c r="B322" s="191"/>
      <c r="C322" s="48"/>
    </row>
    <row r="323" spans="1:4" x14ac:dyDescent="0.3">
      <c r="A323" s="659" t="s">
        <v>338</v>
      </c>
      <c r="B323" s="193">
        <f>B284*B312</f>
        <v>0</v>
      </c>
      <c r="C323" s="192">
        <f>C284*C312</f>
        <v>0</v>
      </c>
    </row>
    <row r="324" spans="1:4" x14ac:dyDescent="0.3">
      <c r="A324" s="659" t="s">
        <v>336</v>
      </c>
      <c r="B324" s="193">
        <f>B285*B313</f>
        <v>10109.372017839863</v>
      </c>
      <c r="C324" s="192">
        <f>C285*C313</f>
        <v>0</v>
      </c>
    </row>
    <row r="325" spans="1:4" x14ac:dyDescent="0.3">
      <c r="A325" s="161" t="s">
        <v>328</v>
      </c>
      <c r="B325" s="191"/>
      <c r="C325" s="189"/>
    </row>
    <row r="326" spans="1:4" x14ac:dyDescent="0.3">
      <c r="A326" s="659" t="s">
        <v>338</v>
      </c>
      <c r="B326" s="193">
        <f>B287*B315</f>
        <v>581075.09067138482</v>
      </c>
      <c r="C326" s="192">
        <f>C287*C315</f>
        <v>723073.94510488864</v>
      </c>
    </row>
    <row r="327" spans="1:4" x14ac:dyDescent="0.3">
      <c r="A327" s="697" t="s">
        <v>336</v>
      </c>
      <c r="B327" s="698">
        <f>B288*B316</f>
        <v>33697.906726132889</v>
      </c>
      <c r="C327" s="699">
        <f>C288*C316</f>
        <v>74881.78835695509</v>
      </c>
    </row>
    <row r="329" spans="1:4" x14ac:dyDescent="0.3">
      <c r="A329" s="68" t="s">
        <v>398</v>
      </c>
    </row>
    <row r="330" spans="1:4" x14ac:dyDescent="0.3">
      <c r="A330" s="46"/>
      <c r="B330" s="74" t="s">
        <v>1</v>
      </c>
      <c r="C330" s="68" t="s">
        <v>188</v>
      </c>
    </row>
    <row r="331" spans="1:4" x14ac:dyDescent="0.3">
      <c r="A331" s="202" t="s">
        <v>394</v>
      </c>
      <c r="B331" s="189">
        <f>16*7</f>
        <v>112</v>
      </c>
      <c r="C331" s="38" t="s">
        <v>1080</v>
      </c>
    </row>
    <row r="332" spans="1:4" x14ac:dyDescent="0.3">
      <c r="A332" s="202" t="s">
        <v>392</v>
      </c>
      <c r="B332" s="201">
        <f>60*7</f>
        <v>420</v>
      </c>
      <c r="C332" s="38" t="s">
        <v>1080</v>
      </c>
    </row>
    <row r="333" spans="1:4" x14ac:dyDescent="0.3">
      <c r="A333" s="659" t="s">
        <v>391</v>
      </c>
      <c r="B333" s="729">
        <f>SUM(B331:B332)</f>
        <v>532</v>
      </c>
      <c r="C333" s="38" t="s">
        <v>1080</v>
      </c>
    </row>
    <row r="334" spans="1:4" x14ac:dyDescent="0.3">
      <c r="B334" s="48"/>
    </row>
    <row r="335" spans="1:4" x14ac:dyDescent="0.3">
      <c r="A335" s="66" t="s">
        <v>390</v>
      </c>
      <c r="B335" s="48">
        <v>180046586.03549728</v>
      </c>
      <c r="C335" s="116" t="s">
        <v>1227</v>
      </c>
      <c r="D335" s="161"/>
    </row>
    <row r="336" spans="1:4" x14ac:dyDescent="0.3">
      <c r="A336" s="66" t="s">
        <v>389</v>
      </c>
      <c r="B336" s="192">
        <v>4224000</v>
      </c>
      <c r="C336" s="38" t="s">
        <v>1081</v>
      </c>
      <c r="D336" s="68"/>
    </row>
    <row r="337" spans="1:4" x14ac:dyDescent="0.3">
      <c r="A337" s="66" t="s">
        <v>388</v>
      </c>
      <c r="B337" s="192">
        <v>3610668</v>
      </c>
      <c r="C337" s="38" t="s">
        <v>1081</v>
      </c>
    </row>
    <row r="338" spans="1:4" x14ac:dyDescent="0.3">
      <c r="B338" s="48"/>
      <c r="D338" s="37"/>
    </row>
    <row r="339" spans="1:4" x14ac:dyDescent="0.3">
      <c r="A339" s="66" t="s">
        <v>387</v>
      </c>
      <c r="B339" s="192">
        <v>6821096.4000000004</v>
      </c>
      <c r="C339" s="38" t="s">
        <v>1081</v>
      </c>
      <c r="D339" s="68"/>
    </row>
    <row r="340" spans="1:4" x14ac:dyDescent="0.3">
      <c r="A340" s="66" t="s">
        <v>1385</v>
      </c>
      <c r="B340" s="695">
        <v>3.1E-2</v>
      </c>
      <c r="C340" s="38" t="s">
        <v>217</v>
      </c>
      <c r="D340" s="68"/>
    </row>
    <row r="341" spans="1:4" x14ac:dyDescent="0.3">
      <c r="A341" s="66" t="s">
        <v>1391</v>
      </c>
      <c r="B341" s="192">
        <f>B339/(1-B340)</f>
        <v>7039315.1702786386</v>
      </c>
      <c r="D341" s="68"/>
    </row>
    <row r="342" spans="1:4" x14ac:dyDescent="0.3">
      <c r="B342" s="48"/>
    </row>
    <row r="343" spans="1:4" x14ac:dyDescent="0.3">
      <c r="A343" s="685" t="s">
        <v>384</v>
      </c>
      <c r="B343" s="730">
        <v>2.4273110493299277</v>
      </c>
      <c r="C343" s="38" t="s">
        <v>1080</v>
      </c>
      <c r="D343" s="68"/>
    </row>
    <row r="344" spans="1:4" x14ac:dyDescent="0.3">
      <c r="B344" s="48"/>
      <c r="D344" s="660"/>
    </row>
    <row r="345" spans="1:4" x14ac:dyDescent="0.3">
      <c r="A345" s="161" t="s">
        <v>364</v>
      </c>
      <c r="B345" s="680"/>
      <c r="D345" s="544"/>
    </row>
    <row r="346" spans="1:4" x14ac:dyDescent="0.3">
      <c r="A346" s="161" t="s">
        <v>330</v>
      </c>
      <c r="B346" s="48"/>
      <c r="D346" s="544"/>
    </row>
    <row r="347" spans="1:4" x14ac:dyDescent="0.3">
      <c r="A347" s="66" t="s">
        <v>362</v>
      </c>
      <c r="B347" s="185">
        <v>0.78</v>
      </c>
      <c r="C347" s="40" t="s">
        <v>1066</v>
      </c>
      <c r="D347" s="544"/>
    </row>
    <row r="348" spans="1:4" x14ac:dyDescent="0.3">
      <c r="A348" s="161" t="s">
        <v>329</v>
      </c>
      <c r="B348" s="48"/>
      <c r="D348" s="544"/>
    </row>
    <row r="349" spans="1:4" x14ac:dyDescent="0.3">
      <c r="A349" s="66" t="s">
        <v>362</v>
      </c>
      <c r="B349" s="185">
        <v>0.09</v>
      </c>
      <c r="C349" s="40" t="s">
        <v>1066</v>
      </c>
      <c r="D349" s="544"/>
    </row>
    <row r="350" spans="1:4" x14ac:dyDescent="0.3">
      <c r="A350" s="161" t="s">
        <v>328</v>
      </c>
      <c r="B350" s="48"/>
    </row>
    <row r="351" spans="1:4" x14ac:dyDescent="0.3">
      <c r="A351" s="66" t="s">
        <v>362</v>
      </c>
      <c r="B351" s="185">
        <v>0.13</v>
      </c>
      <c r="C351" s="40" t="s">
        <v>1066</v>
      </c>
    </row>
    <row r="352" spans="1:4" x14ac:dyDescent="0.3">
      <c r="A352" s="659"/>
      <c r="B352" s="682"/>
    </row>
    <row r="353" spans="1:3" x14ac:dyDescent="0.3">
      <c r="A353" s="685" t="s">
        <v>360</v>
      </c>
      <c r="B353" s="682"/>
    </row>
    <row r="354" spans="1:3" x14ac:dyDescent="0.3">
      <c r="A354" s="66" t="s">
        <v>362</v>
      </c>
      <c r="B354" s="189">
        <v>0.63200000000000001</v>
      </c>
      <c r="C354" s="40" t="s">
        <v>1066</v>
      </c>
    </row>
    <row r="355" spans="1:3" x14ac:dyDescent="0.3">
      <c r="A355" s="181" t="s">
        <v>354</v>
      </c>
      <c r="B355" s="688"/>
    </row>
    <row r="356" spans="1:3" x14ac:dyDescent="0.3">
      <c r="A356" s="66" t="s">
        <v>362</v>
      </c>
      <c r="B356" s="688">
        <f>B$354*B$341*B347*B333/365</f>
        <v>5057790.764310074</v>
      </c>
    </row>
    <row r="357" spans="1:3" x14ac:dyDescent="0.3">
      <c r="A357" s="181" t="s">
        <v>352</v>
      </c>
      <c r="B357" s="684"/>
    </row>
    <row r="358" spans="1:3" x14ac:dyDescent="0.3">
      <c r="A358" s="66" t="s">
        <v>362</v>
      </c>
      <c r="B358" s="688">
        <f>B$354*B$341*B349*B333/365</f>
        <v>583591.24203577766</v>
      </c>
    </row>
    <row r="359" spans="1:3" x14ac:dyDescent="0.3">
      <c r="A359" s="181" t="s">
        <v>349</v>
      </c>
      <c r="B359" s="684"/>
    </row>
    <row r="360" spans="1:3" x14ac:dyDescent="0.3">
      <c r="A360" s="66" t="s">
        <v>362</v>
      </c>
      <c r="B360" s="688">
        <f>B$354*B$341*B351*B333/365</f>
        <v>842965.12738501211</v>
      </c>
    </row>
    <row r="361" spans="1:3" x14ac:dyDescent="0.3">
      <c r="B361" s="48"/>
    </row>
    <row r="362" spans="1:3" x14ac:dyDescent="0.3">
      <c r="A362" s="685" t="s">
        <v>359</v>
      </c>
      <c r="B362" s="680"/>
    </row>
    <row r="363" spans="1:3" x14ac:dyDescent="0.3">
      <c r="A363" s="659" t="s">
        <v>362</v>
      </c>
      <c r="B363" s="163">
        <v>4.5560000000000003E-2</v>
      </c>
      <c r="C363" s="40" t="s">
        <v>1066</v>
      </c>
    </row>
    <row r="364" spans="1:3" x14ac:dyDescent="0.3">
      <c r="A364" s="659" t="s">
        <v>356</v>
      </c>
      <c r="B364" s="184">
        <f>B363*B341*B333/365</f>
        <v>467447.55603287683</v>
      </c>
    </row>
    <row r="365" spans="1:3" x14ac:dyDescent="0.3">
      <c r="B365" s="48"/>
    </row>
    <row r="366" spans="1:3" x14ac:dyDescent="0.3">
      <c r="A366" s="161" t="s">
        <v>366</v>
      </c>
      <c r="B366" s="680"/>
    </row>
    <row r="367" spans="1:3" x14ac:dyDescent="0.3">
      <c r="A367" s="66" t="s">
        <v>333</v>
      </c>
      <c r="B367" s="695">
        <v>5.0000000000000001E-3</v>
      </c>
      <c r="C367" s="40" t="s">
        <v>1066</v>
      </c>
    </row>
    <row r="368" spans="1:3" x14ac:dyDescent="0.3">
      <c r="A368" s="659" t="s">
        <v>332</v>
      </c>
      <c r="B368" s="695">
        <v>5.0000000000000001E-3</v>
      </c>
      <c r="C368" s="40" t="s">
        <v>1066</v>
      </c>
    </row>
    <row r="369" spans="1:3" x14ac:dyDescent="0.3">
      <c r="A369" s="27" t="s">
        <v>328</v>
      </c>
      <c r="B369" s="695">
        <v>0.01</v>
      </c>
      <c r="C369" s="40" t="s">
        <v>1066</v>
      </c>
    </row>
    <row r="370" spans="1:3" x14ac:dyDescent="0.3">
      <c r="A370" s="659" t="s">
        <v>340</v>
      </c>
      <c r="B370" s="695">
        <f>0.01</f>
        <v>0.01</v>
      </c>
    </row>
    <row r="371" spans="1:3" x14ac:dyDescent="0.3">
      <c r="B371" s="48"/>
    </row>
    <row r="372" spans="1:3" x14ac:dyDescent="0.3">
      <c r="A372" s="685" t="s">
        <v>365</v>
      </c>
      <c r="B372" s="176"/>
    </row>
    <row r="373" spans="1:3" x14ac:dyDescent="0.3">
      <c r="A373" s="685" t="s">
        <v>333</v>
      </c>
      <c r="B373" s="48"/>
    </row>
    <row r="374" spans="1:3" x14ac:dyDescent="0.3">
      <c r="A374" s="659" t="s">
        <v>362</v>
      </c>
      <c r="B374" s="695">
        <v>0.13712499999999994</v>
      </c>
      <c r="C374" s="40" t="s">
        <v>1067</v>
      </c>
    </row>
    <row r="375" spans="1:3" x14ac:dyDescent="0.3">
      <c r="A375" s="685" t="s">
        <v>332</v>
      </c>
      <c r="B375" s="48"/>
    </row>
    <row r="376" spans="1:3" x14ac:dyDescent="0.3">
      <c r="A376" s="659" t="s">
        <v>362</v>
      </c>
      <c r="B376" s="695">
        <v>0.20799999999999996</v>
      </c>
      <c r="C376" s="40" t="s">
        <v>1067</v>
      </c>
    </row>
    <row r="377" spans="1:3" x14ac:dyDescent="0.3">
      <c r="A377" s="685" t="s">
        <v>328</v>
      </c>
      <c r="B377" s="48"/>
    </row>
    <row r="378" spans="1:3" x14ac:dyDescent="0.3">
      <c r="A378" s="659" t="s">
        <v>362</v>
      </c>
      <c r="B378" s="695">
        <v>0.48</v>
      </c>
      <c r="C378" s="40" t="s">
        <v>1067</v>
      </c>
    </row>
    <row r="379" spans="1:3" x14ac:dyDescent="0.3">
      <c r="B379" s="48"/>
    </row>
    <row r="380" spans="1:3" x14ac:dyDescent="0.3">
      <c r="A380" s="685" t="s">
        <v>331</v>
      </c>
      <c r="B380" s="695"/>
    </row>
    <row r="381" spans="1:3" x14ac:dyDescent="0.3">
      <c r="A381" s="161" t="s">
        <v>330</v>
      </c>
      <c r="B381" s="48"/>
    </row>
    <row r="382" spans="1:3" x14ac:dyDescent="0.3">
      <c r="A382" s="659" t="s">
        <v>362</v>
      </c>
      <c r="B382" s="192">
        <f>B356*B374</f>
        <v>693549.55855601863</v>
      </c>
    </row>
    <row r="383" spans="1:3" x14ac:dyDescent="0.3">
      <c r="A383" s="161" t="s">
        <v>329</v>
      </c>
      <c r="B383" s="48"/>
    </row>
    <row r="384" spans="1:3" x14ac:dyDescent="0.3">
      <c r="A384" s="659" t="s">
        <v>362</v>
      </c>
      <c r="B384" s="192">
        <f>B358*B376</f>
        <v>121386.97834344173</v>
      </c>
    </row>
    <row r="385" spans="1:32" x14ac:dyDescent="0.3">
      <c r="A385" s="161" t="s">
        <v>328</v>
      </c>
      <c r="B385" s="695"/>
    </row>
    <row r="386" spans="1:32" x14ac:dyDescent="0.3">
      <c r="A386" s="697" t="s">
        <v>362</v>
      </c>
      <c r="B386" s="699">
        <f>B360*B378</f>
        <v>404623.26114480582</v>
      </c>
    </row>
    <row r="387" spans="1:32" x14ac:dyDescent="0.3">
      <c r="A387" s="38"/>
    </row>
    <row r="389" spans="1:32" x14ac:dyDescent="0.3">
      <c r="A389" s="68" t="s">
        <v>679</v>
      </c>
      <c r="I389" s="232"/>
      <c r="J389" s="232"/>
      <c r="O389" s="830" t="s">
        <v>1185</v>
      </c>
      <c r="P389" s="121"/>
      <c r="Q389" s="121"/>
      <c r="R389" s="47"/>
      <c r="S389" s="67" t="s">
        <v>664</v>
      </c>
      <c r="T389" s="121"/>
      <c r="U389" s="121"/>
      <c r="V389" s="47"/>
      <c r="W389" s="68" t="s">
        <v>188</v>
      </c>
      <c r="AB389" s="68"/>
      <c r="AF389" s="68"/>
    </row>
    <row r="390" spans="1:32" ht="46.95" customHeight="1" x14ac:dyDescent="0.3">
      <c r="A390" s="67" t="s">
        <v>1</v>
      </c>
      <c r="B390" s="69" t="s">
        <v>1392</v>
      </c>
      <c r="C390" s="69" t="s">
        <v>1394</v>
      </c>
      <c r="D390" s="69" t="s">
        <v>388</v>
      </c>
      <c r="E390" s="69" t="s">
        <v>1441</v>
      </c>
      <c r="F390" s="69" t="s">
        <v>433</v>
      </c>
      <c r="G390" s="69" t="s">
        <v>1393</v>
      </c>
      <c r="H390" s="69" t="s">
        <v>665</v>
      </c>
      <c r="I390" s="69" t="s">
        <v>666</v>
      </c>
      <c r="J390" s="69" t="s">
        <v>667</v>
      </c>
      <c r="K390" s="73" t="s">
        <v>1182</v>
      </c>
      <c r="L390" s="73" t="s">
        <v>1183</v>
      </c>
      <c r="M390" s="73" t="s">
        <v>1184</v>
      </c>
      <c r="N390" s="73" t="s">
        <v>1186</v>
      </c>
      <c r="O390" s="69" t="s">
        <v>329</v>
      </c>
      <c r="P390" s="69" t="s">
        <v>330</v>
      </c>
      <c r="Q390" s="69" t="s">
        <v>328</v>
      </c>
      <c r="R390" s="69" t="s">
        <v>412</v>
      </c>
      <c r="S390" s="69" t="s">
        <v>434</v>
      </c>
      <c r="T390" s="69" t="s">
        <v>435</v>
      </c>
      <c r="U390" s="69" t="s">
        <v>436</v>
      </c>
      <c r="V390" s="69" t="s">
        <v>437</v>
      </c>
      <c r="W390" s="80" t="s">
        <v>1188</v>
      </c>
      <c r="X390" s="68" t="s">
        <v>1189</v>
      </c>
      <c r="Y390" s="235" t="s">
        <v>1214</v>
      </c>
      <c r="Z390" s="235" t="s">
        <v>664</v>
      </c>
      <c r="AA390" s="235"/>
      <c r="AB390" s="68"/>
      <c r="AC390" s="68"/>
      <c r="AE390" s="68"/>
      <c r="AF390" s="68"/>
    </row>
    <row r="391" spans="1:32" x14ac:dyDescent="0.3">
      <c r="A391" s="161" t="s">
        <v>717</v>
      </c>
      <c r="V391" s="48"/>
      <c r="W391" s="120" t="s">
        <v>1190</v>
      </c>
      <c r="X391" s="120" t="s">
        <v>1215</v>
      </c>
      <c r="Y391" s="120" t="s">
        <v>1216</v>
      </c>
      <c r="Z391" s="120" t="s">
        <v>1212</v>
      </c>
    </row>
    <row r="392" spans="1:32" x14ac:dyDescent="0.3">
      <c r="A392" s="66" t="s">
        <v>432</v>
      </c>
      <c r="B392" s="681">
        <v>189600</v>
      </c>
      <c r="C392" s="681">
        <f>B392/(1-$B$429)</f>
        <v>197044.94932016375</v>
      </c>
      <c r="D392" s="193">
        <v>38171.800000000003</v>
      </c>
      <c r="E392" s="193">
        <v>38171.800000000003</v>
      </c>
      <c r="F392" s="193">
        <v>320.29920038944891</v>
      </c>
      <c r="G392" s="193">
        <v>12</v>
      </c>
      <c r="H392" s="193">
        <f>E392*F392</f>
        <v>12226397.017425967</v>
      </c>
      <c r="I392" s="193"/>
      <c r="J392" s="41"/>
      <c r="K392" s="193">
        <v>63</v>
      </c>
      <c r="L392" s="193">
        <v>80.8</v>
      </c>
      <c r="M392" s="193">
        <v>1153.4000000000001</v>
      </c>
      <c r="N392" s="193"/>
      <c r="O392" s="191">
        <v>0.11</v>
      </c>
      <c r="P392" s="191">
        <v>0.2</v>
      </c>
      <c r="Q392" s="191">
        <v>0.17</v>
      </c>
      <c r="R392" s="191">
        <v>0.52</v>
      </c>
      <c r="S392" s="193">
        <v>1780</v>
      </c>
      <c r="T392" s="193">
        <v>1900</v>
      </c>
      <c r="U392" s="193">
        <v>150</v>
      </c>
      <c r="V392" s="192">
        <v>30</v>
      </c>
      <c r="W392" s="120" t="s">
        <v>1202</v>
      </c>
      <c r="X392" s="120" t="s">
        <v>1206</v>
      </c>
      <c r="Y392" s="120" t="s">
        <v>1209</v>
      </c>
      <c r="Z392" s="120" t="s">
        <v>1217</v>
      </c>
    </row>
    <row r="393" spans="1:32" x14ac:dyDescent="0.3">
      <c r="A393" s="66" t="s">
        <v>431</v>
      </c>
      <c r="B393" s="41">
        <f>E392</f>
        <v>38171.800000000003</v>
      </c>
      <c r="C393" s="681">
        <f>B393/(1-$B$429)</f>
        <v>39670.677196515964</v>
      </c>
      <c r="D393" s="193"/>
      <c r="E393" s="193"/>
      <c r="F393" s="193">
        <v>320.29920038944891</v>
      </c>
      <c r="G393" s="193">
        <v>24</v>
      </c>
      <c r="H393" s="41"/>
      <c r="I393" s="41"/>
      <c r="J393" s="41">
        <f>SUM(H394:I394)</f>
        <v>15958242.464542532</v>
      </c>
      <c r="K393" s="193">
        <v>47</v>
      </c>
      <c r="L393" s="193">
        <v>59.233333333333327</v>
      </c>
      <c r="M393" s="193">
        <v>949</v>
      </c>
      <c r="N393" s="193"/>
      <c r="O393" s="86">
        <v>0.26</v>
      </c>
      <c r="P393" s="86">
        <v>0.12</v>
      </c>
      <c r="Q393" s="86">
        <v>0.12</v>
      </c>
      <c r="R393" s="86">
        <v>0.5</v>
      </c>
      <c r="S393" s="193">
        <v>2570</v>
      </c>
      <c r="T393" s="193">
        <v>1270</v>
      </c>
      <c r="U393" s="193">
        <v>50</v>
      </c>
      <c r="V393" s="192">
        <v>60</v>
      </c>
      <c r="W393" s="120" t="s">
        <v>1201</v>
      </c>
      <c r="X393" s="120" t="s">
        <v>1213</v>
      </c>
      <c r="Y393" s="68" t="s">
        <v>1210</v>
      </c>
      <c r="Z393" s="120" t="s">
        <v>1211</v>
      </c>
    </row>
    <row r="394" spans="1:32" x14ac:dyDescent="0.3">
      <c r="A394" s="66" t="s">
        <v>430</v>
      </c>
      <c r="D394" s="193">
        <v>40385.199999999997</v>
      </c>
      <c r="E394" s="193">
        <f>D394/(1-$B$429)</f>
        <v>41970.989911839009</v>
      </c>
      <c r="F394" s="193">
        <v>292.80619440071808</v>
      </c>
      <c r="G394" s="193">
        <v>25.419436413597065</v>
      </c>
      <c r="H394" s="193">
        <f>E394*F394</f>
        <v>12289365.83131651</v>
      </c>
      <c r="I394" s="193">
        <f>$E$392*$F$392/$E$399*E394</f>
        <v>3668876.6332260226</v>
      </c>
      <c r="J394" s="193">
        <f>SUM(H394:I394)</f>
        <v>15958242.464542532</v>
      </c>
      <c r="K394" s="193">
        <v>47</v>
      </c>
      <c r="L394" s="193">
        <v>59.233333333333327</v>
      </c>
      <c r="M394" s="193">
        <v>949</v>
      </c>
      <c r="N394" s="193"/>
      <c r="O394" s="191">
        <v>0.26</v>
      </c>
      <c r="P394" s="191">
        <v>0.12</v>
      </c>
      <c r="Q394" s="191">
        <v>0.12</v>
      </c>
      <c r="R394" s="191">
        <v>0.5</v>
      </c>
      <c r="S394" s="193">
        <v>2770</v>
      </c>
      <c r="T394" s="193">
        <v>1370</v>
      </c>
      <c r="U394" s="193">
        <v>400</v>
      </c>
      <c r="V394" s="192">
        <v>40</v>
      </c>
      <c r="AA394" s="50"/>
      <c r="AB394" s="50"/>
    </row>
    <row r="395" spans="1:32" x14ac:dyDescent="0.3">
      <c r="A395" s="66" t="s">
        <v>426</v>
      </c>
      <c r="D395" s="193">
        <v>71763.8</v>
      </c>
      <c r="E395" s="193">
        <f>D395/(1-$B$429)</f>
        <v>74581.721171004043</v>
      </c>
      <c r="F395" s="193">
        <v>338.89253174934402</v>
      </c>
      <c r="G395" s="193">
        <v>17.997909348827406</v>
      </c>
      <c r="H395" s="193">
        <f>E395*F395</f>
        <v>25275188.30986521</v>
      </c>
      <c r="I395" s="193">
        <f>$E$392*$F$392/$E$399*E395</f>
        <v>6519530.1479627602</v>
      </c>
      <c r="J395" s="193">
        <f>SUM(H395:I395)</f>
        <v>31794718.45782797</v>
      </c>
      <c r="K395" s="193">
        <v>47</v>
      </c>
      <c r="L395" s="193">
        <v>57.266666666666673</v>
      </c>
      <c r="M395" s="193">
        <v>949</v>
      </c>
      <c r="N395" s="193"/>
      <c r="O395" s="86">
        <v>0.23106933256899129</v>
      </c>
      <c r="P395" s="86">
        <v>0.15106933256899127</v>
      </c>
      <c r="Q395" s="86">
        <v>0.13106933256899128</v>
      </c>
      <c r="R395" s="86">
        <v>0.48679200229302616</v>
      </c>
      <c r="S395" s="193">
        <v>1700</v>
      </c>
      <c r="T395" s="193">
        <v>300</v>
      </c>
      <c r="U395" s="193">
        <v>750</v>
      </c>
      <c r="V395" s="192">
        <v>560</v>
      </c>
      <c r="AA395" s="169"/>
      <c r="AB395" s="169"/>
    </row>
    <row r="396" spans="1:32" x14ac:dyDescent="0.3">
      <c r="A396" s="66" t="s">
        <v>427</v>
      </c>
      <c r="D396" s="193">
        <v>8533.2000000000007</v>
      </c>
      <c r="E396" s="193">
        <f>D396/(1-$B$429)</f>
        <v>8868.269839339775</v>
      </c>
      <c r="F396" s="193">
        <v>351.99639630821054</v>
      </c>
      <c r="G396" s="193">
        <v>29.759844854680193</v>
      </c>
      <c r="H396" s="193">
        <f>E396*F396</f>
        <v>3121599.0249363938</v>
      </c>
      <c r="I396" s="193">
        <f>$E$392*$F$392/$E$399*E396</f>
        <v>775216.12092163216</v>
      </c>
      <c r="J396" s="193">
        <f>SUM(H396:I396)</f>
        <v>3896815.1458580261</v>
      </c>
      <c r="K396" s="193">
        <v>47</v>
      </c>
      <c r="L396" s="193">
        <v>57.266666666666673</v>
      </c>
      <c r="M396" s="193">
        <v>949</v>
      </c>
      <c r="N396" s="193"/>
      <c r="O396" s="86">
        <v>0.23106933256899129</v>
      </c>
      <c r="P396" s="86">
        <v>0.15106933256899127</v>
      </c>
      <c r="Q396" s="86">
        <v>0.13106933256899128</v>
      </c>
      <c r="R396" s="86">
        <v>0.48679200229302616</v>
      </c>
      <c r="S396" s="193">
        <v>1760</v>
      </c>
      <c r="T396" s="193">
        <v>310</v>
      </c>
      <c r="U396" s="193">
        <v>770</v>
      </c>
      <c r="V396" s="192">
        <v>580</v>
      </c>
      <c r="AA396" s="457"/>
      <c r="AB396" s="457"/>
    </row>
    <row r="397" spans="1:32" x14ac:dyDescent="0.3">
      <c r="A397" s="66" t="s">
        <v>428</v>
      </c>
      <c r="D397" s="193">
        <v>8291.4</v>
      </c>
      <c r="E397" s="193">
        <f>D397/(1-$B$429)</f>
        <v>8616.9751729599448</v>
      </c>
      <c r="F397" s="193">
        <v>317.37719815070903</v>
      </c>
      <c r="G397" s="193">
        <v>26.965323069557996</v>
      </c>
      <c r="H397" s="193">
        <f>E397*F397</f>
        <v>2734831.4369282485</v>
      </c>
      <c r="I397" s="193">
        <f>$E$392*$F$392/$E$399*E397</f>
        <v>753249.3021386608</v>
      </c>
      <c r="J397" s="193">
        <f>SUM(H397:I397)</f>
        <v>3488080.7390669091</v>
      </c>
      <c r="K397" s="193">
        <v>47</v>
      </c>
      <c r="L397" s="193">
        <v>57.266666666666673</v>
      </c>
      <c r="M397" s="193">
        <v>949</v>
      </c>
      <c r="N397" s="193"/>
      <c r="O397" s="86">
        <v>0.23106933256899129</v>
      </c>
      <c r="P397" s="86">
        <v>0.15106933256899127</v>
      </c>
      <c r="Q397" s="86">
        <v>0.13106933256899128</v>
      </c>
      <c r="R397" s="86">
        <v>0.48679200229302616</v>
      </c>
      <c r="S397" s="193">
        <v>3030</v>
      </c>
      <c r="T397" s="193">
        <v>2700</v>
      </c>
      <c r="U397" s="193">
        <v>340</v>
      </c>
      <c r="V397" s="192">
        <v>60</v>
      </c>
      <c r="Z397" s="674"/>
      <c r="AA397" s="457"/>
      <c r="AB397" s="457"/>
    </row>
    <row r="398" spans="1:32" x14ac:dyDescent="0.3">
      <c r="A398" s="66" t="s">
        <v>429</v>
      </c>
      <c r="D398" s="193">
        <v>5608.6</v>
      </c>
      <c r="E398" s="193">
        <f>D398/(1-$B$429)</f>
        <v>5828.8307107440423</v>
      </c>
      <c r="F398" s="193">
        <v>151.18893839039873</v>
      </c>
      <c r="G398" s="193">
        <v>9.9954121979705146</v>
      </c>
      <c r="H398" s="193">
        <f>E398*F398</f>
        <v>881254.72721474501</v>
      </c>
      <c r="I398" s="193">
        <f>$E$392*$F$392/$E$399*E398</f>
        <v>509524.81317689334</v>
      </c>
      <c r="J398" s="193">
        <f>SUM(H398:I398)</f>
        <v>1390779.5403916384</v>
      </c>
      <c r="K398" s="193">
        <v>28</v>
      </c>
      <c r="L398" s="193">
        <v>26.5</v>
      </c>
      <c r="M398" s="193">
        <v>330.32499999999999</v>
      </c>
      <c r="N398" s="193"/>
      <c r="O398" s="515">
        <v>0.14349932108317456</v>
      </c>
      <c r="P398" s="515">
        <v>0.13378024700808791</v>
      </c>
      <c r="Q398" s="515">
        <v>0.31844265443473435</v>
      </c>
      <c r="R398" s="515">
        <v>0.40427777747400312</v>
      </c>
      <c r="S398" s="193">
        <v>760</v>
      </c>
      <c r="T398" s="193">
        <v>130</v>
      </c>
      <c r="U398" s="193">
        <v>310</v>
      </c>
      <c r="V398" s="192">
        <v>280</v>
      </c>
      <c r="Z398" s="674"/>
    </row>
    <row r="399" spans="1:32" x14ac:dyDescent="0.3">
      <c r="A399" s="66" t="s">
        <v>690</v>
      </c>
      <c r="D399" s="193">
        <f>SUM(D394:D398)</f>
        <v>134582.19999999998</v>
      </c>
      <c r="E399" s="193">
        <f>SUM(E394:E398)</f>
        <v>139866.7868058868</v>
      </c>
      <c r="G399" s="41"/>
      <c r="H399" s="41"/>
      <c r="I399" s="41"/>
      <c r="J399" s="193">
        <f>SUM(J394:J398)</f>
        <v>56528636.347687073</v>
      </c>
      <c r="K399" s="41"/>
      <c r="L399" s="41"/>
      <c r="M399" s="41"/>
      <c r="N399" s="41"/>
      <c r="O399" s="86"/>
      <c r="P399" s="86"/>
      <c r="Q399" s="86"/>
      <c r="R399" s="86"/>
      <c r="S399" s="41"/>
      <c r="T399" s="41"/>
      <c r="U399" s="41"/>
      <c r="V399" s="184"/>
      <c r="Z399" s="674"/>
      <c r="AA399" s="679"/>
      <c r="AB399" s="674"/>
    </row>
    <row r="400" spans="1:32" x14ac:dyDescent="0.3">
      <c r="A400" s="161" t="s">
        <v>716</v>
      </c>
      <c r="D400" s="41"/>
      <c r="E400" s="41"/>
      <c r="F400" s="193"/>
      <c r="G400" s="41"/>
      <c r="H400" s="41"/>
      <c r="I400" s="41"/>
      <c r="J400" s="41"/>
      <c r="K400" s="41"/>
      <c r="L400" s="41"/>
      <c r="M400" s="41"/>
      <c r="N400" s="41"/>
      <c r="O400" s="86"/>
      <c r="P400" s="86"/>
      <c r="Q400" s="86"/>
      <c r="R400" s="86"/>
      <c r="S400" s="41"/>
      <c r="T400" s="41"/>
      <c r="U400" s="41"/>
      <c r="V400" s="184"/>
      <c r="Z400" s="674"/>
      <c r="AA400" s="679"/>
      <c r="AB400" s="674"/>
    </row>
    <row r="401" spans="1:28" x14ac:dyDescent="0.3">
      <c r="A401" s="66" t="s">
        <v>422</v>
      </c>
      <c r="B401" s="193">
        <v>344240.6</v>
      </c>
      <c r="C401" s="681">
        <f>B401/(1-$B$429)</f>
        <v>357757.76150286262</v>
      </c>
      <c r="D401" s="193">
        <v>100196.4</v>
      </c>
      <c r="E401" s="193">
        <v>100196.4</v>
      </c>
      <c r="F401" s="193">
        <v>289.32499999999999</v>
      </c>
      <c r="G401" s="193">
        <v>12</v>
      </c>
      <c r="H401" s="193">
        <f>E401*F401</f>
        <v>28989323.429999996</v>
      </c>
      <c r="I401" s="193"/>
      <c r="J401" s="193">
        <f>H401</f>
        <v>28989323.429999996</v>
      </c>
      <c r="K401" s="193">
        <v>127</v>
      </c>
      <c r="L401" s="193">
        <v>135.82</v>
      </c>
      <c r="M401" s="193">
        <v>2237.4500000000003</v>
      </c>
      <c r="N401" s="193"/>
      <c r="O401" s="191">
        <v>0.64</v>
      </c>
      <c r="P401" s="191">
        <v>0.11</v>
      </c>
      <c r="Q401" s="191">
        <v>0.01</v>
      </c>
      <c r="R401" s="191">
        <v>0.24</v>
      </c>
      <c r="S401" s="193">
        <v>3800</v>
      </c>
      <c r="T401" s="193">
        <v>1300</v>
      </c>
      <c r="U401" s="193">
        <v>2100</v>
      </c>
      <c r="V401" s="192">
        <v>1900</v>
      </c>
      <c r="W401" s="41"/>
      <c r="Z401" s="674"/>
      <c r="AA401" s="679"/>
      <c r="AB401" s="674"/>
    </row>
    <row r="402" spans="1:28" x14ac:dyDescent="0.3">
      <c r="A402" s="66" t="s">
        <v>431</v>
      </c>
      <c r="B402" s="41">
        <f>E401*$B$433/12</f>
        <v>232539.14499999999</v>
      </c>
      <c r="C402" s="681">
        <f>B402/(1-$B$429)</f>
        <v>241670.1689951435</v>
      </c>
      <c r="F402" s="193">
        <v>279.53000000000003</v>
      </c>
      <c r="G402" s="193">
        <v>12</v>
      </c>
      <c r="H402" s="41"/>
      <c r="I402" s="41"/>
      <c r="J402" s="41"/>
      <c r="K402" s="193">
        <v>47</v>
      </c>
      <c r="L402" s="193">
        <v>59.233333333333327</v>
      </c>
      <c r="M402" s="193">
        <v>949</v>
      </c>
      <c r="N402" s="193"/>
      <c r="O402" s="86">
        <v>0.26</v>
      </c>
      <c r="P402" s="86">
        <v>0.12</v>
      </c>
      <c r="Q402" s="86">
        <v>0.12</v>
      </c>
      <c r="R402" s="86">
        <v>0.5</v>
      </c>
      <c r="S402" s="193">
        <v>2510</v>
      </c>
      <c r="T402" s="193">
        <v>2350</v>
      </c>
      <c r="U402" s="193">
        <v>420</v>
      </c>
      <c r="V402" s="192">
        <v>50</v>
      </c>
      <c r="Z402" s="674"/>
    </row>
    <row r="403" spans="1:28" x14ac:dyDescent="0.3">
      <c r="A403" s="66" t="s">
        <v>430</v>
      </c>
      <c r="C403" s="41"/>
      <c r="D403" s="193">
        <v>14404.8</v>
      </c>
      <c r="E403" s="193">
        <f>D403/(1-$B$429)</f>
        <v>14970.427668602821</v>
      </c>
      <c r="F403" s="193">
        <v>279.53000000000003</v>
      </c>
      <c r="G403" s="193">
        <v>29.02</v>
      </c>
      <c r="H403" s="193">
        <f>E403*F403</f>
        <v>4184683.646204547</v>
      </c>
      <c r="I403" s="193"/>
      <c r="J403" s="193">
        <f>H403</f>
        <v>4184683.646204547</v>
      </c>
      <c r="K403" s="193">
        <v>47</v>
      </c>
      <c r="L403" s="193">
        <v>59.233333333333327</v>
      </c>
      <c r="M403" s="193">
        <v>949</v>
      </c>
      <c r="N403" s="193"/>
      <c r="O403" s="191">
        <v>0.26</v>
      </c>
      <c r="P403" s="191">
        <v>0.12</v>
      </c>
      <c r="Q403" s="191">
        <v>0.12</v>
      </c>
      <c r="R403" s="191">
        <v>0.5</v>
      </c>
      <c r="S403" s="193">
        <v>2510</v>
      </c>
      <c r="T403" s="193">
        <v>2350</v>
      </c>
      <c r="U403" s="193">
        <v>420</v>
      </c>
      <c r="V403" s="192">
        <v>50</v>
      </c>
      <c r="Z403" s="674"/>
      <c r="AA403" s="679"/>
      <c r="AB403" s="674"/>
    </row>
    <row r="404" spans="1:28" x14ac:dyDescent="0.3">
      <c r="A404" s="66" t="s">
        <v>426</v>
      </c>
      <c r="D404" s="193">
        <v>74972</v>
      </c>
      <c r="E404" s="193">
        <f>D404/(1-$B$429)</f>
        <v>77915.896310291748</v>
      </c>
      <c r="F404" s="193">
        <v>309.88</v>
      </c>
      <c r="G404" s="193">
        <v>19.080000000000002</v>
      </c>
      <c r="H404" s="193">
        <f>E404*F404</f>
        <v>24144577.948633205</v>
      </c>
      <c r="I404" s="193"/>
      <c r="J404" s="193">
        <f>H404</f>
        <v>24144577.948633205</v>
      </c>
      <c r="K404" s="193">
        <v>47</v>
      </c>
      <c r="L404" s="193">
        <v>57.266666666666673</v>
      </c>
      <c r="M404" s="193">
        <v>949</v>
      </c>
      <c r="N404" s="193"/>
      <c r="O404" s="86">
        <v>0.40740740740740738</v>
      </c>
      <c r="P404" s="86">
        <v>0.30864197530864196</v>
      </c>
      <c r="Q404" s="86">
        <v>0.2839506172839506</v>
      </c>
      <c r="R404" s="86">
        <v>0</v>
      </c>
      <c r="S404" s="193">
        <v>2300</v>
      </c>
      <c r="T404" s="193">
        <v>0</v>
      </c>
      <c r="U404" s="193">
        <v>1610</v>
      </c>
      <c r="V404" s="192">
        <v>160</v>
      </c>
      <c r="Z404" s="674"/>
      <c r="AA404" s="679"/>
      <c r="AB404" s="674"/>
    </row>
    <row r="405" spans="1:28" x14ac:dyDescent="0.3">
      <c r="A405" s="66" t="s">
        <v>427</v>
      </c>
      <c r="D405" s="193">
        <v>11012.6</v>
      </c>
      <c r="E405" s="193">
        <f>D405/(1-$B$429)</f>
        <v>11445.027473012844</v>
      </c>
      <c r="F405" s="193">
        <v>332.84000000000003</v>
      </c>
      <c r="G405" s="193">
        <v>26.49</v>
      </c>
      <c r="H405" s="193">
        <f>E405*F405</f>
        <v>3809362.9441175954</v>
      </c>
      <c r="I405" s="193"/>
      <c r="J405" s="193">
        <f>H405</f>
        <v>3809362.9441175954</v>
      </c>
      <c r="K405" s="193">
        <v>47</v>
      </c>
      <c r="L405" s="193">
        <v>57.266666666666673</v>
      </c>
      <c r="M405" s="193">
        <v>949</v>
      </c>
      <c r="N405" s="193"/>
      <c r="O405" s="86">
        <v>0.40740740740740738</v>
      </c>
      <c r="P405" s="86">
        <v>0.30864197530864196</v>
      </c>
      <c r="Q405" s="86">
        <v>0.2839506172839506</v>
      </c>
      <c r="R405" s="86">
        <v>0</v>
      </c>
      <c r="S405" s="193">
        <v>2470</v>
      </c>
      <c r="T405" s="193">
        <v>0</v>
      </c>
      <c r="U405" s="193">
        <v>1730</v>
      </c>
      <c r="V405" s="192">
        <v>180</v>
      </c>
      <c r="Z405" s="674"/>
      <c r="AA405" s="679"/>
      <c r="AB405" s="674"/>
    </row>
    <row r="406" spans="1:28" x14ac:dyDescent="0.3">
      <c r="A406" s="66" t="s">
        <v>428</v>
      </c>
      <c r="D406" s="193">
        <v>24907.599999999999</v>
      </c>
      <c r="E406" s="193">
        <f>D406/(1-$B$429)</f>
        <v>25885.637023665138</v>
      </c>
      <c r="F406" s="193">
        <v>310.77</v>
      </c>
      <c r="G406" s="193">
        <v>27.47</v>
      </c>
      <c r="H406" s="193">
        <f>E406*F406</f>
        <v>8044479.4178444147</v>
      </c>
      <c r="I406" s="193"/>
      <c r="J406" s="193">
        <f>H406</f>
        <v>8044479.4178444147</v>
      </c>
      <c r="K406" s="193">
        <v>47</v>
      </c>
      <c r="L406" s="193">
        <v>57.266666666666673</v>
      </c>
      <c r="M406" s="193">
        <v>949</v>
      </c>
      <c r="N406" s="193"/>
      <c r="O406" s="86">
        <v>0.23106933256899129</v>
      </c>
      <c r="P406" s="86">
        <v>0.15106933256899127</v>
      </c>
      <c r="Q406" s="86">
        <v>0.13106933256899128</v>
      </c>
      <c r="R406" s="86">
        <v>0.48679200229302616</v>
      </c>
      <c r="S406" s="193">
        <v>2960</v>
      </c>
      <c r="T406" s="193">
        <v>2640</v>
      </c>
      <c r="U406" s="193">
        <v>330</v>
      </c>
      <c r="V406" s="192">
        <v>60</v>
      </c>
      <c r="Z406" s="674"/>
    </row>
    <row r="407" spans="1:28" x14ac:dyDescent="0.3">
      <c r="A407" s="66" t="s">
        <v>429</v>
      </c>
      <c r="D407" s="193">
        <v>19416</v>
      </c>
      <c r="E407" s="193">
        <f>D407/(1-$B$429)</f>
        <v>20178.400506330694</v>
      </c>
      <c r="F407" s="193">
        <v>163.20999999999998</v>
      </c>
      <c r="G407" s="193">
        <v>10.6</v>
      </c>
      <c r="H407" s="193">
        <f>E407*F407</f>
        <v>3293316.7466382324</v>
      </c>
      <c r="I407" s="193"/>
      <c r="J407" s="193">
        <f>H407</f>
        <v>3293316.7466382324</v>
      </c>
      <c r="K407" s="193">
        <v>28</v>
      </c>
      <c r="L407" s="193">
        <v>26.5</v>
      </c>
      <c r="M407" s="193">
        <v>330.32499999999999</v>
      </c>
      <c r="N407" s="193"/>
      <c r="O407" s="515">
        <v>0.25000000000000006</v>
      </c>
      <c r="P407" s="515">
        <v>0.23529411764705885</v>
      </c>
      <c r="Q407" s="515">
        <v>0.51470588235294124</v>
      </c>
      <c r="R407" s="515">
        <v>0</v>
      </c>
      <c r="S407" s="193">
        <v>400</v>
      </c>
      <c r="T407" s="193">
        <v>0</v>
      </c>
      <c r="U407" s="193">
        <v>410</v>
      </c>
      <c r="V407" s="192">
        <v>450</v>
      </c>
      <c r="Z407" s="674"/>
      <c r="AA407" s="679"/>
      <c r="AB407" s="674"/>
    </row>
    <row r="408" spans="1:28" x14ac:dyDescent="0.3">
      <c r="A408" s="161" t="s">
        <v>556</v>
      </c>
      <c r="G408" s="41"/>
      <c r="H408" s="41"/>
      <c r="I408" s="41"/>
      <c r="J408" s="41"/>
      <c r="K408" s="41"/>
      <c r="L408" s="41"/>
      <c r="M408" s="41"/>
      <c r="N408" s="41"/>
      <c r="O408" s="86"/>
      <c r="P408" s="86"/>
      <c r="Q408" s="86"/>
      <c r="R408" s="86"/>
      <c r="S408" s="41"/>
      <c r="T408" s="41"/>
      <c r="U408" s="41"/>
      <c r="V408" s="184"/>
      <c r="Z408" s="674"/>
      <c r="AA408" s="679"/>
      <c r="AB408" s="674"/>
    </row>
    <row r="409" spans="1:28" x14ac:dyDescent="0.3">
      <c r="A409" s="161" t="s">
        <v>715</v>
      </c>
      <c r="G409" s="41"/>
      <c r="H409" s="41"/>
      <c r="I409" s="41"/>
      <c r="J409" s="193"/>
      <c r="K409" s="41"/>
      <c r="L409" s="41"/>
      <c r="M409" s="41"/>
      <c r="N409" s="41"/>
      <c r="O409" s="86"/>
      <c r="P409" s="86"/>
      <c r="Q409" s="86"/>
      <c r="R409" s="86"/>
      <c r="S409" s="41"/>
      <c r="T409" s="41"/>
      <c r="U409" s="41"/>
      <c r="V409" s="184"/>
      <c r="Z409" s="674"/>
      <c r="AA409" s="679"/>
      <c r="AB409" s="674"/>
    </row>
    <row r="410" spans="1:28" x14ac:dyDescent="0.3">
      <c r="A410" s="66" t="s">
        <v>422</v>
      </c>
      <c r="B410" s="41">
        <v>1149000</v>
      </c>
      <c r="C410" s="193">
        <f>B410/(1-$B$429)</f>
        <v>1194117.3352788405</v>
      </c>
      <c r="D410" s="41">
        <v>177259.84627687934</v>
      </c>
      <c r="E410" s="41">
        <v>177259.84627687899</v>
      </c>
      <c r="F410" s="41">
        <v>311.87748136256931</v>
      </c>
      <c r="G410" s="41">
        <v>12</v>
      </c>
      <c r="H410" s="193">
        <f>E410*F410</f>
        <v>55283354.403549232</v>
      </c>
      <c r="I410" s="41"/>
      <c r="J410" s="41"/>
      <c r="K410" s="41">
        <v>101.17999999999999</v>
      </c>
      <c r="L410" s="41">
        <v>111.73999999999998</v>
      </c>
      <c r="N410" s="41">
        <v>10.231999999999999</v>
      </c>
      <c r="O410" s="86">
        <v>0.28799999999999998</v>
      </c>
      <c r="P410" s="86">
        <v>0</v>
      </c>
      <c r="Q410" s="86">
        <v>0.02</v>
      </c>
      <c r="R410" s="86">
        <v>0.69199999999999995</v>
      </c>
      <c r="S410" s="41">
        <v>1000</v>
      </c>
      <c r="T410" s="41">
        <v>3900</v>
      </c>
      <c r="U410" s="41">
        <v>750</v>
      </c>
      <c r="V410" s="184">
        <v>250</v>
      </c>
      <c r="Z410" s="674"/>
    </row>
    <row r="411" spans="1:28" x14ac:dyDescent="0.3">
      <c r="A411" s="66" t="s">
        <v>1465</v>
      </c>
      <c r="B411" s="41">
        <f>E410*$B$433/12</f>
        <v>411390.55990092334</v>
      </c>
      <c r="C411" s="193">
        <f>B411/(1-$B$429)</f>
        <v>427544.47271345585</v>
      </c>
      <c r="D411" s="41"/>
      <c r="E411" s="41"/>
      <c r="F411" s="41">
        <v>301.66577704004203</v>
      </c>
      <c r="G411" s="41">
        <v>12</v>
      </c>
      <c r="H411" s="41"/>
      <c r="I411" s="41"/>
      <c r="J411" s="41"/>
      <c r="K411" s="41">
        <v>63.4</v>
      </c>
      <c r="L411" s="41">
        <v>50.2</v>
      </c>
      <c r="N411" s="41">
        <v>3.8</v>
      </c>
      <c r="O411" s="86">
        <v>0.35</v>
      </c>
      <c r="P411" s="86">
        <v>0</v>
      </c>
      <c r="Q411" s="86">
        <v>0</v>
      </c>
      <c r="R411" s="86">
        <v>0.65</v>
      </c>
      <c r="S411" s="41">
        <v>1660</v>
      </c>
      <c r="T411" s="41">
        <v>1630</v>
      </c>
      <c r="U411" s="41">
        <v>760</v>
      </c>
      <c r="V411" s="184">
        <v>330</v>
      </c>
      <c r="Z411" s="674"/>
    </row>
    <row r="412" spans="1:28" x14ac:dyDescent="0.3">
      <c r="A412" s="66" t="s">
        <v>432</v>
      </c>
      <c r="B412" s="41">
        <v>1101800</v>
      </c>
      <c r="C412" s="193">
        <f>B412/(1-$B$429)</f>
        <v>1145063.9512708671</v>
      </c>
      <c r="D412" s="41">
        <v>169978.15372312066</v>
      </c>
      <c r="E412" s="41">
        <v>169978.15372312066</v>
      </c>
      <c r="F412" s="41">
        <v>311.87748136256931</v>
      </c>
      <c r="G412" s="41">
        <v>12</v>
      </c>
      <c r="H412" s="193">
        <f>E412*F412</f>
        <v>53012358.469826505</v>
      </c>
      <c r="I412" s="41"/>
      <c r="J412" s="41"/>
      <c r="K412" s="41">
        <v>76.099999999999994</v>
      </c>
      <c r="L412" s="41">
        <v>74.236000000000004</v>
      </c>
      <c r="N412" s="41">
        <v>6.5640000000000018</v>
      </c>
      <c r="O412" s="86">
        <v>0.27</v>
      </c>
      <c r="P412" s="86">
        <v>0</v>
      </c>
      <c r="Q412" s="86">
        <v>0.1</v>
      </c>
      <c r="R412" s="86">
        <v>0.63</v>
      </c>
      <c r="S412" s="41">
        <v>1350</v>
      </c>
      <c r="T412" s="41">
        <v>1940</v>
      </c>
      <c r="U412" s="41">
        <v>0</v>
      </c>
      <c r="V412" s="184">
        <v>0</v>
      </c>
      <c r="Z412" s="674"/>
    </row>
    <row r="413" spans="1:28" x14ac:dyDescent="0.3">
      <c r="A413" s="66" t="s">
        <v>721</v>
      </c>
      <c r="B413" s="41">
        <f>E412</f>
        <v>169978.15372312066</v>
      </c>
      <c r="C413" s="193">
        <f>B413/(1-$B$429)</f>
        <v>176652.61965140988</v>
      </c>
      <c r="D413" s="41"/>
      <c r="E413" s="41"/>
      <c r="F413" s="41">
        <v>301.66577704004203</v>
      </c>
      <c r="G413" s="41">
        <v>24</v>
      </c>
      <c r="H413" s="41"/>
      <c r="I413" s="41"/>
      <c r="J413" s="41"/>
      <c r="K413" s="41">
        <v>74.400000000000006</v>
      </c>
      <c r="L413" s="41">
        <v>53.7</v>
      </c>
      <c r="N413" s="41">
        <v>4.4000000000000004</v>
      </c>
      <c r="O413" s="86">
        <v>0.38</v>
      </c>
      <c r="P413" s="86">
        <v>0</v>
      </c>
      <c r="Q413" s="86">
        <v>0</v>
      </c>
      <c r="R413" s="86">
        <v>0.62</v>
      </c>
      <c r="S413" s="41">
        <v>1660</v>
      </c>
      <c r="T413" s="41">
        <v>1630</v>
      </c>
      <c r="U413" s="41">
        <v>760</v>
      </c>
      <c r="V413" s="184">
        <v>330</v>
      </c>
    </row>
    <row r="414" spans="1:28" x14ac:dyDescent="0.3">
      <c r="A414" s="66" t="s">
        <v>430</v>
      </c>
      <c r="C414" s="41"/>
      <c r="D414" s="41">
        <v>480230</v>
      </c>
      <c r="E414" s="41">
        <f>D414/(1-$B$429)</f>
        <v>499087.00428281771</v>
      </c>
      <c r="F414" s="41">
        <v>301.66577704004203</v>
      </c>
      <c r="G414" s="193">
        <v>20</v>
      </c>
      <c r="H414" s="193">
        <f>E414*F414</f>
        <v>150557468.95756298</v>
      </c>
      <c r="I414" s="193"/>
      <c r="J414" s="41"/>
      <c r="K414" s="193">
        <v>74.400000000000006</v>
      </c>
      <c r="L414" s="193">
        <v>53.7</v>
      </c>
      <c r="N414" s="193">
        <v>4.048</v>
      </c>
      <c r="O414" s="515">
        <v>0.38</v>
      </c>
      <c r="P414" s="515">
        <v>0</v>
      </c>
      <c r="Q414" s="515">
        <v>0</v>
      </c>
      <c r="R414" s="515">
        <v>0.62</v>
      </c>
      <c r="S414" s="193">
        <v>1660</v>
      </c>
      <c r="T414" s="193">
        <v>1630</v>
      </c>
      <c r="U414" s="193">
        <v>760</v>
      </c>
      <c r="V414" s="192">
        <v>330</v>
      </c>
      <c r="Z414" s="674"/>
    </row>
    <row r="415" spans="1:28" x14ac:dyDescent="0.3">
      <c r="A415" s="66" t="s">
        <v>723</v>
      </c>
      <c r="C415" s="41"/>
      <c r="D415" s="193">
        <v>224568</v>
      </c>
      <c r="E415" s="193">
        <f>D415/(1-$B$429)</f>
        <v>233386.02415047749</v>
      </c>
      <c r="F415" s="193">
        <v>375.48756607184862</v>
      </c>
      <c r="G415" s="193">
        <v>24</v>
      </c>
      <c r="H415" s="193">
        <f>E415*F415</f>
        <v>87633550.163448468</v>
      </c>
      <c r="I415" s="193"/>
      <c r="J415" s="41"/>
      <c r="K415" s="193">
        <v>73.8</v>
      </c>
      <c r="L415" s="193">
        <v>57.508000000000003</v>
      </c>
      <c r="N415" s="193">
        <v>5.6120000000000001</v>
      </c>
      <c r="O415" s="515">
        <v>0.38</v>
      </c>
      <c r="P415" s="515">
        <v>0</v>
      </c>
      <c r="Q415" s="515">
        <v>0.13</v>
      </c>
      <c r="R415" s="515">
        <v>0.49</v>
      </c>
      <c r="S415" s="193">
        <v>2360</v>
      </c>
      <c r="T415" s="193">
        <v>2330</v>
      </c>
      <c r="U415" s="193">
        <v>1010</v>
      </c>
      <c r="V415" s="192">
        <v>330</v>
      </c>
      <c r="Z415" s="674"/>
    </row>
    <row r="416" spans="1:28" x14ac:dyDescent="0.3">
      <c r="A416" s="66" t="s">
        <v>722</v>
      </c>
      <c r="C416" s="41"/>
      <c r="D416" s="193">
        <v>567124</v>
      </c>
      <c r="E416" s="193">
        <f>D416/(1-$B$429)</f>
        <v>589393.03712156403</v>
      </c>
      <c r="F416" s="193">
        <v>357.35609600561992</v>
      </c>
      <c r="G416" s="193">
        <v>28</v>
      </c>
      <c r="H416" s="193">
        <f>E416*F416</f>
        <v>210623194.75865754</v>
      </c>
      <c r="I416" s="193"/>
      <c r="J416" s="41"/>
      <c r="K416" s="193">
        <v>37.200000000000003</v>
      </c>
      <c r="L416" s="193">
        <v>37.152000000000001</v>
      </c>
      <c r="N416" s="193">
        <v>1.2200000000000002</v>
      </c>
      <c r="O416" s="515">
        <v>0.03</v>
      </c>
      <c r="P416" s="515">
        <v>0</v>
      </c>
      <c r="Q416" s="515">
        <v>0.02</v>
      </c>
      <c r="R416" s="515">
        <v>0.95</v>
      </c>
      <c r="S416" s="193">
        <v>2860</v>
      </c>
      <c r="T416" s="193">
        <v>4130</v>
      </c>
      <c r="U416" s="193">
        <v>460</v>
      </c>
      <c r="V416" s="192">
        <v>330</v>
      </c>
      <c r="Z416" s="674"/>
    </row>
    <row r="417" spans="1:28" x14ac:dyDescent="0.3">
      <c r="A417" s="66" t="s">
        <v>429</v>
      </c>
      <c r="C417" s="41"/>
      <c r="D417" s="41">
        <v>6612</v>
      </c>
      <c r="E417" s="41">
        <f>D417/(1-$B$429)</f>
        <v>6871.6308275576093</v>
      </c>
      <c r="F417" s="41">
        <v>155.33495647299986</v>
      </c>
      <c r="G417" s="41">
        <v>10</v>
      </c>
      <c r="H417" s="193">
        <f>E417*F417</f>
        <v>1067404.4754971853</v>
      </c>
      <c r="I417" s="41"/>
      <c r="J417" s="41"/>
      <c r="K417" s="41">
        <v>27.6</v>
      </c>
      <c r="L417" s="41">
        <v>30.066000000000003</v>
      </c>
      <c r="N417" s="41">
        <v>4.4000000000000004</v>
      </c>
      <c r="O417" s="86">
        <v>0.41</v>
      </c>
      <c r="P417" s="86">
        <v>0</v>
      </c>
      <c r="Q417" s="86">
        <v>0.2</v>
      </c>
      <c r="R417" s="86">
        <v>0.39</v>
      </c>
      <c r="S417" s="41">
        <v>760</v>
      </c>
      <c r="T417" s="41">
        <v>130</v>
      </c>
      <c r="U417" s="41">
        <v>310</v>
      </c>
      <c r="V417" s="184">
        <v>280</v>
      </c>
      <c r="Z417" s="674"/>
    </row>
    <row r="418" spans="1:28" x14ac:dyDescent="0.3">
      <c r="A418" s="66" t="s">
        <v>725</v>
      </c>
      <c r="C418" s="41"/>
      <c r="D418" s="41"/>
      <c r="E418" s="41"/>
      <c r="F418" s="41"/>
      <c r="G418" s="41"/>
      <c r="H418" s="41">
        <f>SUM(H412:H417)</f>
        <v>502893976.82499272</v>
      </c>
      <c r="I418" s="41"/>
      <c r="J418" s="41"/>
      <c r="K418" s="41"/>
      <c r="L418" s="41"/>
      <c r="M418" s="41"/>
      <c r="N418" s="41"/>
      <c r="O418" s="86"/>
      <c r="P418" s="86"/>
      <c r="Q418" s="86"/>
      <c r="R418" s="86"/>
      <c r="S418" s="41"/>
      <c r="T418" s="41"/>
      <c r="U418" s="41"/>
      <c r="V418" s="184"/>
      <c r="Z418" s="674"/>
    </row>
    <row r="419" spans="1:28" x14ac:dyDescent="0.3">
      <c r="A419" s="161" t="s">
        <v>712</v>
      </c>
      <c r="C419" s="41"/>
      <c r="D419" s="41"/>
      <c r="E419" s="41"/>
      <c r="F419" s="41"/>
      <c r="G419" s="41"/>
      <c r="H419" s="41"/>
      <c r="I419" s="41"/>
      <c r="J419" s="41"/>
      <c r="K419" s="41"/>
      <c r="L419" s="41"/>
      <c r="M419" s="41"/>
      <c r="N419" s="41"/>
      <c r="O419" s="86"/>
      <c r="P419" s="86"/>
      <c r="Q419" s="86"/>
      <c r="R419" s="86"/>
      <c r="S419" s="41"/>
      <c r="T419" s="41"/>
      <c r="U419" s="41"/>
      <c r="V419" s="184"/>
      <c r="Z419" s="674"/>
    </row>
    <row r="420" spans="1:28" x14ac:dyDescent="0.3">
      <c r="A420" s="161" t="s">
        <v>715</v>
      </c>
      <c r="C420" s="41"/>
      <c r="D420" s="41"/>
      <c r="E420" s="41"/>
      <c r="F420" s="41"/>
      <c r="G420" s="41"/>
      <c r="H420" s="41"/>
      <c r="I420" s="41"/>
      <c r="J420" s="41"/>
      <c r="K420" s="41"/>
      <c r="L420" s="41"/>
      <c r="M420" s="41"/>
      <c r="N420" s="41"/>
      <c r="O420" s="86"/>
      <c r="P420" s="86"/>
      <c r="Q420" s="86"/>
      <c r="R420" s="86"/>
      <c r="S420" s="41"/>
      <c r="T420" s="41"/>
      <c r="U420" s="41"/>
      <c r="V420" s="184"/>
      <c r="Z420" s="674"/>
    </row>
    <row r="421" spans="1:28" x14ac:dyDescent="0.3">
      <c r="A421" s="66" t="s">
        <v>718</v>
      </c>
      <c r="B421" s="38">
        <v>4245704</v>
      </c>
      <c r="C421" s="193">
        <f>B421/(1-$B$429)</f>
        <v>4412418.404580256</v>
      </c>
      <c r="D421" s="193">
        <v>1260600</v>
      </c>
      <c r="E421" s="193">
        <v>1260600</v>
      </c>
      <c r="F421" s="193">
        <v>301</v>
      </c>
      <c r="G421" s="193">
        <v>12</v>
      </c>
      <c r="H421" s="193">
        <f>E421*F421</f>
        <v>379440600</v>
      </c>
      <c r="I421" s="193"/>
      <c r="J421" s="193">
        <f>H421</f>
        <v>379440600</v>
      </c>
      <c r="K421" s="193">
        <v>118.4</v>
      </c>
      <c r="L421" s="193">
        <v>135.5</v>
      </c>
      <c r="M421" s="193">
        <v>1474.6</v>
      </c>
      <c r="N421" s="193"/>
      <c r="O421" s="515">
        <v>0.68006993006993</v>
      </c>
      <c r="P421" s="515">
        <v>0.19055944055944057</v>
      </c>
      <c r="Q421" s="515">
        <v>0</v>
      </c>
      <c r="R421" s="515">
        <v>0.12937062937062935</v>
      </c>
      <c r="S421" s="193">
        <v>4400</v>
      </c>
      <c r="T421" s="193">
        <v>700</v>
      </c>
      <c r="U421" s="193">
        <v>2140</v>
      </c>
      <c r="V421" s="192">
        <v>1890</v>
      </c>
      <c r="Z421" s="674"/>
    </row>
    <row r="422" spans="1:28" x14ac:dyDescent="0.3">
      <c r="A422" s="66" t="s">
        <v>431</v>
      </c>
      <c r="B422" s="41">
        <f>E421*$B$433/12</f>
        <v>2925642.5</v>
      </c>
      <c r="C422" s="193">
        <f>B422/(1-$B$429)</f>
        <v>3040522.5640370105</v>
      </c>
      <c r="F422" s="193">
        <v>296</v>
      </c>
      <c r="G422" s="193">
        <v>12</v>
      </c>
      <c r="H422" s="193"/>
      <c r="I422" s="193"/>
      <c r="J422" s="193"/>
      <c r="K422" s="193">
        <v>42.66</v>
      </c>
      <c r="L422" s="193">
        <v>43.3</v>
      </c>
      <c r="M422" s="193">
        <v>500.05</v>
      </c>
      <c r="N422" s="193"/>
      <c r="O422" s="515">
        <v>0.68006993006993</v>
      </c>
      <c r="P422" s="515">
        <v>0.19055944055944057</v>
      </c>
      <c r="Q422" s="515">
        <v>0</v>
      </c>
      <c r="R422" s="515">
        <v>0.12937062937062935</v>
      </c>
      <c r="S422" s="193">
        <v>3800</v>
      </c>
      <c r="T422" s="193">
        <v>1350</v>
      </c>
      <c r="U422" s="193">
        <v>440</v>
      </c>
      <c r="V422" s="192">
        <v>50</v>
      </c>
      <c r="AA422" s="679"/>
      <c r="AB422" s="674"/>
    </row>
    <row r="423" spans="1:28" x14ac:dyDescent="0.3">
      <c r="A423" s="66" t="s">
        <v>430</v>
      </c>
      <c r="D423" s="193">
        <v>488800</v>
      </c>
      <c r="E423" s="193">
        <f>D423/(1-$B$429)</f>
        <v>507993.51913341793</v>
      </c>
      <c r="F423" s="193">
        <v>296</v>
      </c>
      <c r="G423" s="193">
        <v>29</v>
      </c>
      <c r="H423" s="193">
        <f>E423*F423</f>
        <v>150366081.6634917</v>
      </c>
      <c r="I423" s="193"/>
      <c r="J423" s="193">
        <f>H423</f>
        <v>150366081.6634917</v>
      </c>
      <c r="K423" s="193">
        <v>42.66</v>
      </c>
      <c r="L423" s="193">
        <v>43.3</v>
      </c>
      <c r="M423" s="193">
        <v>500.05</v>
      </c>
      <c r="N423" s="193"/>
      <c r="O423" s="515">
        <v>0.68006993006993</v>
      </c>
      <c r="P423" s="515">
        <v>0.19055944055944057</v>
      </c>
      <c r="Q423" s="515">
        <v>0</v>
      </c>
      <c r="R423" s="515">
        <v>0.12937062937062935</v>
      </c>
      <c r="S423" s="193">
        <v>3800</v>
      </c>
      <c r="T423" s="193">
        <v>1350</v>
      </c>
      <c r="U423" s="193">
        <v>440</v>
      </c>
      <c r="V423" s="192">
        <v>50</v>
      </c>
      <c r="AA423" s="679"/>
      <c r="AB423" s="674"/>
    </row>
    <row r="424" spans="1:28" x14ac:dyDescent="0.3">
      <c r="A424" s="66" t="s">
        <v>427</v>
      </c>
      <c r="D424" s="193">
        <v>1422800</v>
      </c>
      <c r="E424" s="193">
        <f>D424/(1-$B$429)</f>
        <v>1478668.5331894988</v>
      </c>
      <c r="F424" s="193">
        <v>382</v>
      </c>
      <c r="G424" s="193">
        <v>20</v>
      </c>
      <c r="H424" s="193">
        <f>E424*F424</f>
        <v>564851379.6783886</v>
      </c>
      <c r="I424" s="193"/>
      <c r="J424" s="193">
        <f>H424</f>
        <v>564851379.6783886</v>
      </c>
      <c r="K424" s="193">
        <v>42.66</v>
      </c>
      <c r="L424" s="193">
        <v>43.3</v>
      </c>
      <c r="M424" s="193">
        <v>500.05</v>
      </c>
      <c r="N424" s="193"/>
      <c r="O424" s="515">
        <v>0.48178025034770505</v>
      </c>
      <c r="P424" s="515">
        <v>0.27621696801112655</v>
      </c>
      <c r="Q424" s="515">
        <v>0.24200278164116826</v>
      </c>
      <c r="R424" s="515">
        <v>0</v>
      </c>
      <c r="S424" s="193">
        <v>2840</v>
      </c>
      <c r="T424" s="193">
        <v>0</v>
      </c>
      <c r="U424" s="193">
        <v>1990</v>
      </c>
      <c r="V424" s="192">
        <v>200</v>
      </c>
      <c r="Z424" s="674"/>
      <c r="AA424" s="679"/>
      <c r="AB424" s="674"/>
    </row>
    <row r="425" spans="1:28" x14ac:dyDescent="0.3">
      <c r="A425" s="70" t="s">
        <v>429</v>
      </c>
      <c r="B425" s="71"/>
      <c r="C425" s="71"/>
      <c r="D425" s="698">
        <v>326000</v>
      </c>
      <c r="E425" s="698">
        <f>D425/(1-$B$429)</f>
        <v>338800.91497032373</v>
      </c>
      <c r="F425" s="698">
        <v>143</v>
      </c>
      <c r="G425" s="698">
        <v>8</v>
      </c>
      <c r="H425" s="698">
        <f>E425*F425</f>
        <v>48448530.840756297</v>
      </c>
      <c r="I425" s="698"/>
      <c r="J425" s="698">
        <f>H425</f>
        <v>48448530.840756297</v>
      </c>
      <c r="K425" s="698">
        <v>42.66</v>
      </c>
      <c r="L425" s="698">
        <v>43.3</v>
      </c>
      <c r="M425" s="698">
        <v>500.05</v>
      </c>
      <c r="N425" s="698"/>
      <c r="O425" s="516">
        <v>0.48178025034770505</v>
      </c>
      <c r="P425" s="516">
        <v>0.27621696801112655</v>
      </c>
      <c r="Q425" s="516">
        <v>0.24200278164116826</v>
      </c>
      <c r="R425" s="516">
        <v>0</v>
      </c>
      <c r="S425" s="698">
        <v>350</v>
      </c>
      <c r="T425" s="698">
        <v>0</v>
      </c>
      <c r="U425" s="698">
        <v>360</v>
      </c>
      <c r="V425" s="699">
        <v>390</v>
      </c>
      <c r="Z425" s="674"/>
    </row>
    <row r="426" spans="1:28" x14ac:dyDescent="0.3">
      <c r="A426" s="158" t="s">
        <v>1477</v>
      </c>
      <c r="C426" s="232"/>
      <c r="D426" s="232"/>
      <c r="E426" s="679"/>
      <c r="F426" s="193"/>
      <c r="G426" s="193"/>
      <c r="H426" s="193"/>
      <c r="I426" s="232"/>
      <c r="J426" s="232"/>
      <c r="K426" s="232"/>
      <c r="L426" s="232"/>
      <c r="M426" s="515"/>
      <c r="N426" s="515"/>
      <c r="O426" s="515"/>
      <c r="P426" s="515"/>
      <c r="Q426" s="232"/>
      <c r="R426" s="232"/>
      <c r="S426" s="232"/>
      <c r="T426" s="232"/>
      <c r="X426" s="674"/>
      <c r="Y426" s="674"/>
      <c r="Z426" s="679"/>
      <c r="AA426" s="674"/>
    </row>
    <row r="427" spans="1:28" x14ac:dyDescent="0.3">
      <c r="A427" s="158"/>
      <c r="D427" s="232"/>
      <c r="E427" s="679"/>
      <c r="F427" s="193"/>
      <c r="G427" s="193"/>
      <c r="H427" s="193"/>
      <c r="I427" s="232"/>
      <c r="J427" s="232"/>
      <c r="K427" s="232"/>
      <c r="L427" s="232"/>
      <c r="M427" s="515"/>
      <c r="N427" s="515"/>
      <c r="O427" s="515"/>
      <c r="P427" s="515"/>
      <c r="Q427" s="232"/>
      <c r="R427" s="232"/>
      <c r="S427" s="232"/>
      <c r="T427" s="232"/>
      <c r="X427" s="674"/>
      <c r="Y427" s="674"/>
      <c r="Z427" s="679"/>
      <c r="AA427" s="674"/>
    </row>
    <row r="428" spans="1:28" x14ac:dyDescent="0.3">
      <c r="A428" s="235"/>
      <c r="C428" s="821" t="s">
        <v>188</v>
      </c>
      <c r="E428" s="679"/>
      <c r="F428" s="193"/>
      <c r="G428" s="193"/>
      <c r="H428" s="193"/>
      <c r="I428" s="232"/>
      <c r="J428" s="232"/>
      <c r="K428" s="232"/>
      <c r="L428" s="232"/>
      <c r="M428" s="515"/>
      <c r="N428" s="515"/>
      <c r="O428" s="515"/>
      <c r="P428" s="515"/>
      <c r="Q428" s="232"/>
      <c r="R428" s="232"/>
      <c r="S428" s="232"/>
      <c r="T428" s="232"/>
      <c r="X428" s="674"/>
      <c r="Y428" s="674"/>
      <c r="Z428" s="679"/>
      <c r="AA428" s="674"/>
    </row>
    <row r="429" spans="1:28" ht="27.6" x14ac:dyDescent="0.3">
      <c r="A429" s="246" t="s">
        <v>1480</v>
      </c>
      <c r="B429" s="858">
        <v>3.7783000000000011E-2</v>
      </c>
      <c r="C429" s="822" t="s">
        <v>217</v>
      </c>
      <c r="D429" s="37"/>
      <c r="E429" s="679"/>
      <c r="F429" s="193"/>
      <c r="G429" s="193"/>
      <c r="H429" s="193"/>
      <c r="I429" s="232"/>
      <c r="J429" s="232"/>
      <c r="K429" s="232"/>
      <c r="L429" s="232"/>
      <c r="M429" s="515"/>
      <c r="N429" s="515"/>
      <c r="O429" s="515"/>
      <c r="P429" s="515"/>
      <c r="Q429" s="232"/>
      <c r="R429" s="232"/>
      <c r="S429" s="232"/>
      <c r="T429" s="232"/>
      <c r="X429" s="674"/>
      <c r="Y429" s="674"/>
      <c r="Z429" s="679"/>
      <c r="AA429" s="674"/>
    </row>
    <row r="430" spans="1:28" x14ac:dyDescent="0.3">
      <c r="A430" s="54"/>
      <c r="E430" s="679"/>
      <c r="F430" s="193"/>
      <c r="G430" s="193"/>
      <c r="H430" s="193"/>
      <c r="I430" s="232"/>
      <c r="J430" s="232"/>
      <c r="K430" s="232"/>
      <c r="L430" s="232"/>
      <c r="M430" s="515"/>
      <c r="N430" s="515"/>
      <c r="O430" s="515"/>
      <c r="P430" s="515"/>
      <c r="Q430" s="232"/>
      <c r="R430" s="232"/>
      <c r="S430" s="232"/>
      <c r="T430" s="232"/>
      <c r="X430" s="674"/>
      <c r="Y430" s="674"/>
      <c r="Z430" s="679"/>
      <c r="AA430" s="674"/>
    </row>
    <row r="431" spans="1:28" x14ac:dyDescent="0.3">
      <c r="A431" s="37"/>
      <c r="C431" s="822"/>
      <c r="E431" s="679"/>
      <c r="F431" s="193"/>
      <c r="G431" s="193"/>
      <c r="H431" s="193"/>
      <c r="I431" s="232"/>
      <c r="J431" s="232"/>
      <c r="K431" s="232"/>
      <c r="L431" s="232"/>
      <c r="M431" s="515"/>
      <c r="N431" s="515"/>
      <c r="O431" s="515"/>
      <c r="P431" s="515"/>
      <c r="Q431" s="232"/>
      <c r="R431" s="232"/>
      <c r="S431" s="232"/>
      <c r="T431" s="232"/>
      <c r="X431" s="674"/>
      <c r="Y431" s="674"/>
      <c r="Z431" s="679"/>
      <c r="AA431" s="674"/>
    </row>
    <row r="432" spans="1:28" x14ac:dyDescent="0.3">
      <c r="A432" s="235" t="s">
        <v>1479</v>
      </c>
      <c r="C432" s="68" t="s">
        <v>188</v>
      </c>
      <c r="E432" s="679"/>
      <c r="F432" s="193"/>
      <c r="G432" s="193"/>
      <c r="H432" s="193"/>
      <c r="I432" s="232"/>
      <c r="J432" s="232"/>
      <c r="K432" s="232"/>
      <c r="L432" s="232"/>
      <c r="M432" s="515"/>
      <c r="N432" s="515"/>
      <c r="O432" s="515"/>
      <c r="P432" s="515"/>
      <c r="Q432" s="232"/>
      <c r="R432" s="232"/>
      <c r="S432" s="232"/>
      <c r="T432" s="232"/>
      <c r="X432" s="674"/>
      <c r="Y432" s="674"/>
      <c r="Z432" s="679"/>
      <c r="AA432" s="674"/>
    </row>
    <row r="433" spans="1:27" x14ac:dyDescent="0.3">
      <c r="A433" s="51" t="s">
        <v>422</v>
      </c>
      <c r="B433" s="856">
        <v>27.85</v>
      </c>
      <c r="C433" s="158" t="s">
        <v>1464</v>
      </c>
      <c r="E433" s="679"/>
      <c r="F433" s="193"/>
      <c r="G433" s="193"/>
      <c r="H433" s="193"/>
      <c r="I433" s="232"/>
      <c r="J433" s="232"/>
      <c r="K433" s="232"/>
      <c r="L433" s="232"/>
      <c r="M433" s="515"/>
      <c r="N433" s="515"/>
      <c r="O433" s="515"/>
      <c r="P433" s="515"/>
      <c r="Q433" s="232"/>
      <c r="R433" s="232"/>
      <c r="S433" s="232"/>
      <c r="T433" s="232"/>
      <c r="X433" s="674"/>
      <c r="Y433" s="674"/>
      <c r="Z433" s="679"/>
      <c r="AA433" s="674"/>
    </row>
    <row r="434" spans="1:27" x14ac:dyDescent="0.3">
      <c r="A434" s="57" t="s">
        <v>1478</v>
      </c>
      <c r="B434" s="857">
        <v>24</v>
      </c>
      <c r="C434" s="158" t="s">
        <v>1080</v>
      </c>
      <c r="E434" s="679"/>
      <c r="F434" s="193"/>
      <c r="G434" s="193"/>
      <c r="H434" s="193"/>
      <c r="I434" s="232"/>
      <c r="J434" s="232"/>
      <c r="K434" s="232"/>
      <c r="L434" s="232"/>
      <c r="M434" s="515"/>
      <c r="N434" s="515"/>
      <c r="O434" s="515"/>
      <c r="P434" s="515"/>
      <c r="Q434" s="232"/>
      <c r="R434" s="232"/>
      <c r="S434" s="232"/>
      <c r="T434" s="232"/>
      <c r="X434" s="674"/>
      <c r="Y434" s="674"/>
      <c r="Z434" s="679"/>
      <c r="AA434" s="674"/>
    </row>
    <row r="435" spans="1:27" x14ac:dyDescent="0.3">
      <c r="A435" s="37"/>
      <c r="B435" s="41"/>
      <c r="E435" s="679"/>
      <c r="F435" s="193"/>
      <c r="G435" s="193"/>
      <c r="H435" s="193"/>
      <c r="I435" s="232"/>
      <c r="J435" s="232"/>
      <c r="K435" s="232"/>
      <c r="L435" s="232"/>
      <c r="M435" s="515"/>
      <c r="N435" s="515"/>
      <c r="O435" s="515"/>
      <c r="P435" s="515"/>
      <c r="Q435" s="232"/>
      <c r="R435" s="232"/>
      <c r="S435" s="232"/>
      <c r="T435" s="232"/>
      <c r="X435" s="674"/>
      <c r="Y435" s="674"/>
      <c r="Z435" s="679"/>
      <c r="AA435" s="674"/>
    </row>
    <row r="436" spans="1:27" x14ac:dyDescent="0.3">
      <c r="A436" s="46"/>
      <c r="B436" s="74" t="s">
        <v>1</v>
      </c>
      <c r="C436" s="821" t="s">
        <v>188</v>
      </c>
      <c r="E436" s="679"/>
      <c r="F436" s="193"/>
      <c r="G436" s="193"/>
      <c r="H436" s="193"/>
      <c r="I436" s="232"/>
      <c r="J436" s="232"/>
      <c r="K436" s="232"/>
      <c r="L436" s="232"/>
      <c r="M436" s="515"/>
      <c r="N436" s="515"/>
      <c r="O436" s="515"/>
      <c r="P436" s="515"/>
      <c r="Q436" s="232"/>
      <c r="R436" s="232"/>
      <c r="S436" s="232"/>
      <c r="T436" s="232"/>
      <c r="X436" s="674"/>
      <c r="Y436" s="674"/>
      <c r="Z436" s="679"/>
      <c r="AA436" s="674"/>
    </row>
    <row r="437" spans="1:27" x14ac:dyDescent="0.3">
      <c r="A437" s="161" t="s">
        <v>678</v>
      </c>
      <c r="B437" s="192">
        <v>2975347274.8800001</v>
      </c>
      <c r="C437" s="38" t="s">
        <v>883</v>
      </c>
      <c r="N437" s="674"/>
      <c r="O437" s="674"/>
      <c r="P437" s="674"/>
      <c r="Q437" s="455"/>
      <c r="X437" s="674"/>
      <c r="Y437" s="674"/>
      <c r="Z437" s="679"/>
      <c r="AA437" s="674"/>
    </row>
    <row r="438" spans="1:27" x14ac:dyDescent="0.3">
      <c r="A438" s="735" t="s">
        <v>1172</v>
      </c>
      <c r="B438" s="699">
        <v>8645</v>
      </c>
      <c r="C438" s="38" t="s">
        <v>883</v>
      </c>
      <c r="J438" s="674"/>
      <c r="K438" s="674"/>
      <c r="L438" s="674"/>
      <c r="M438" s="674"/>
      <c r="N438" s="674"/>
      <c r="O438" s="674"/>
      <c r="P438" s="674"/>
      <c r="Q438" s="455"/>
      <c r="X438" s="674"/>
      <c r="Y438" s="674"/>
    </row>
    <row r="439" spans="1:27" x14ac:dyDescent="0.3">
      <c r="A439" s="158" t="s">
        <v>1179</v>
      </c>
      <c r="C439" s="663"/>
      <c r="J439" s="674"/>
      <c r="K439" s="457"/>
      <c r="L439" s="457"/>
      <c r="M439" s="674"/>
      <c r="N439" s="674"/>
      <c r="O439" s="674"/>
      <c r="P439" s="674"/>
      <c r="Q439" s="455"/>
      <c r="X439" s="674"/>
      <c r="Y439" s="674"/>
      <c r="Z439" s="679"/>
      <c r="AA439" s="674"/>
    </row>
    <row r="440" spans="1:27" x14ac:dyDescent="0.3">
      <c r="A440" s="38"/>
      <c r="C440" s="41"/>
      <c r="J440" s="674"/>
      <c r="K440" s="452"/>
      <c r="L440" s="452"/>
      <c r="M440" s="674"/>
      <c r="N440" s="674"/>
      <c r="O440" s="674"/>
      <c r="P440" s="674"/>
      <c r="Q440" s="455"/>
      <c r="X440" s="674"/>
      <c r="Y440" s="674"/>
      <c r="Z440" s="679"/>
      <c r="AA440" s="674"/>
    </row>
    <row r="441" spans="1:27" x14ac:dyDescent="0.3">
      <c r="A441" s="490" t="s">
        <v>348</v>
      </c>
      <c r="J441" s="674"/>
      <c r="K441" s="452"/>
      <c r="L441" s="452"/>
      <c r="M441" s="674"/>
      <c r="N441" s="674"/>
      <c r="O441" s="674"/>
      <c r="P441" s="674"/>
      <c r="Q441" s="455"/>
      <c r="X441" s="674"/>
      <c r="Y441" s="674"/>
    </row>
    <row r="442" spans="1:27" x14ac:dyDescent="0.3">
      <c r="A442" s="46"/>
      <c r="B442" s="736" t="s">
        <v>332</v>
      </c>
      <c r="C442" s="736" t="s">
        <v>333</v>
      </c>
      <c r="D442" s="736" t="s">
        <v>328</v>
      </c>
      <c r="E442" s="74" t="s">
        <v>412</v>
      </c>
      <c r="F442" s="68" t="s">
        <v>188</v>
      </c>
      <c r="G442" s="68"/>
      <c r="J442" s="674"/>
      <c r="K442" s="452"/>
      <c r="L442" s="452"/>
      <c r="M442" s="674"/>
      <c r="N442" s="674"/>
      <c r="O442" s="674"/>
      <c r="P442" s="674"/>
      <c r="Q442" s="455"/>
      <c r="X442" s="674"/>
      <c r="Y442" s="674"/>
      <c r="Z442" s="679"/>
      <c r="AA442" s="674"/>
    </row>
    <row r="443" spans="1:27" ht="27.6" x14ac:dyDescent="0.3">
      <c r="A443" s="161" t="s">
        <v>711</v>
      </c>
      <c r="B443" s="191">
        <f>3.5*0.01</f>
        <v>3.5000000000000003E-2</v>
      </c>
      <c r="C443" s="191">
        <v>0.02</v>
      </c>
      <c r="D443" s="191">
        <v>0.17</v>
      </c>
      <c r="E443" s="695">
        <v>0.01</v>
      </c>
      <c r="F443" s="40" t="s">
        <v>1180</v>
      </c>
      <c r="J443" s="674"/>
      <c r="K443" s="452"/>
      <c r="L443" s="452"/>
      <c r="M443" s="674"/>
      <c r="N443" s="674"/>
      <c r="O443" s="674"/>
      <c r="P443" s="674"/>
      <c r="Q443" s="455"/>
      <c r="X443" s="674"/>
      <c r="Y443" s="674"/>
      <c r="Z443" s="679"/>
      <c r="AA443" s="674"/>
    </row>
    <row r="444" spans="1:27" ht="27.6" x14ac:dyDescent="0.3">
      <c r="A444" s="161" t="s">
        <v>713</v>
      </c>
      <c r="B444" s="86">
        <v>0.15359999999999999</v>
      </c>
      <c r="C444" s="191">
        <v>0.02</v>
      </c>
      <c r="D444" s="191">
        <v>0.17</v>
      </c>
      <c r="E444" s="695">
        <v>0.01</v>
      </c>
      <c r="F444" s="40" t="s">
        <v>1180</v>
      </c>
      <c r="J444" s="674"/>
      <c r="K444" s="674"/>
      <c r="L444" s="674"/>
      <c r="M444" s="674"/>
      <c r="N444" s="674"/>
      <c r="O444" s="674"/>
      <c r="P444" s="674"/>
      <c r="Q444" s="455"/>
      <c r="X444" s="674"/>
      <c r="Y444" s="674"/>
      <c r="Z444" s="679"/>
      <c r="AA444" s="674"/>
    </row>
    <row r="445" spans="1:27" ht="27.6" x14ac:dyDescent="0.3">
      <c r="A445" s="161" t="s">
        <v>1181</v>
      </c>
      <c r="B445" s="191">
        <v>5.0000000000000001E-3</v>
      </c>
      <c r="C445" s="191">
        <f>0.5*0.01</f>
        <v>5.0000000000000001E-3</v>
      </c>
      <c r="D445" s="191">
        <v>0.01</v>
      </c>
      <c r="E445" s="695">
        <v>0.02</v>
      </c>
      <c r="F445" s="40" t="s">
        <v>1180</v>
      </c>
      <c r="J445" s="709"/>
      <c r="K445" s="709"/>
      <c r="L445" s="709"/>
      <c r="M445" s="674"/>
      <c r="N445" s="674"/>
      <c r="O445" s="674"/>
      <c r="P445" s="674"/>
      <c r="Q445" s="455"/>
      <c r="X445" s="674"/>
      <c r="Y445" s="674"/>
    </row>
    <row r="446" spans="1:27" ht="27.6" x14ac:dyDescent="0.3">
      <c r="A446" s="605" t="s">
        <v>442</v>
      </c>
      <c r="B446" s="191">
        <f>0.01</f>
        <v>0.01</v>
      </c>
      <c r="D446" s="86"/>
      <c r="E446" s="163"/>
      <c r="F446" s="40" t="s">
        <v>1180</v>
      </c>
      <c r="J446" s="674"/>
      <c r="K446" s="674"/>
      <c r="L446" s="674"/>
      <c r="M446" s="674"/>
      <c r="N446" s="674"/>
      <c r="O446" s="674"/>
      <c r="P446" s="674"/>
      <c r="Q446" s="455"/>
      <c r="X446" s="674"/>
      <c r="Y446" s="674"/>
      <c r="Z446" s="679"/>
      <c r="AA446" s="674"/>
    </row>
    <row r="447" spans="1:27" x14ac:dyDescent="0.3">
      <c r="A447" s="38"/>
      <c r="C447" s="191"/>
      <c r="E447" s="163"/>
      <c r="J447" s="721"/>
      <c r="K447" s="674"/>
      <c r="L447" s="674"/>
      <c r="M447" s="674"/>
      <c r="N447" s="674"/>
      <c r="O447" s="674"/>
      <c r="P447" s="674"/>
      <c r="Q447" s="455"/>
      <c r="X447" s="674"/>
      <c r="Y447" s="674"/>
      <c r="Z447" s="679"/>
      <c r="AA447" s="674"/>
    </row>
    <row r="448" spans="1:27" x14ac:dyDescent="0.3">
      <c r="E448" s="695"/>
      <c r="J448" s="674"/>
      <c r="K448" s="674"/>
      <c r="L448" s="674"/>
      <c r="M448" s="674"/>
      <c r="N448" s="674"/>
      <c r="O448" s="674"/>
      <c r="P448" s="674"/>
      <c r="Q448" s="455"/>
      <c r="X448" s="674"/>
      <c r="Y448" s="674"/>
      <c r="Z448" s="679"/>
      <c r="AA448" s="674"/>
    </row>
    <row r="449" spans="1:27" x14ac:dyDescent="0.3">
      <c r="A449" s="38"/>
      <c r="B449" s="68" t="s">
        <v>1</v>
      </c>
      <c r="C449" s="68" t="s">
        <v>714</v>
      </c>
      <c r="E449" s="189"/>
      <c r="J449" s="674"/>
      <c r="K449" s="674"/>
      <c r="L449" s="674"/>
      <c r="M449" s="674"/>
      <c r="N449" s="674"/>
      <c r="O449" s="674"/>
      <c r="P449" s="710"/>
      <c r="Q449" s="455"/>
      <c r="X449" s="674"/>
      <c r="Y449" s="674"/>
    </row>
    <row r="450" spans="1:27" ht="27.6" x14ac:dyDescent="0.3">
      <c r="A450" s="66" t="s">
        <v>439</v>
      </c>
      <c r="B450" s="191">
        <v>0.24</v>
      </c>
      <c r="C450" s="38">
        <v>0.23</v>
      </c>
      <c r="E450" s="189"/>
      <c r="F450" s="40" t="s">
        <v>1180</v>
      </c>
      <c r="J450" s="674"/>
      <c r="K450" s="674"/>
      <c r="L450" s="674"/>
      <c r="M450" s="674"/>
      <c r="N450" s="674"/>
      <c r="O450" s="674"/>
      <c r="P450" s="452"/>
      <c r="Q450" s="455"/>
      <c r="X450" s="674"/>
      <c r="Y450" s="674"/>
      <c r="Z450" s="674"/>
      <c r="AA450" s="674"/>
    </row>
    <row r="451" spans="1:27" ht="27.6" x14ac:dyDescent="0.3">
      <c r="A451" s="66" t="s">
        <v>440</v>
      </c>
      <c r="B451" s="191">
        <v>0.18</v>
      </c>
      <c r="C451" s="38">
        <v>0.23</v>
      </c>
      <c r="E451" s="189"/>
      <c r="F451" s="40" t="s">
        <v>1180</v>
      </c>
      <c r="J451" s="454"/>
      <c r="K451" s="453"/>
      <c r="L451" s="453"/>
      <c r="M451" s="454"/>
      <c r="N451" s="454"/>
      <c r="O451" s="455"/>
      <c r="P451" s="706"/>
      <c r="Q451" s="455"/>
      <c r="X451" s="674"/>
      <c r="Y451" s="674"/>
      <c r="Z451" s="674"/>
      <c r="AA451" s="674"/>
    </row>
    <row r="452" spans="1:27" ht="27.6" x14ac:dyDescent="0.3">
      <c r="A452" s="66" t="s">
        <v>438</v>
      </c>
      <c r="B452" s="191">
        <v>0.87</v>
      </c>
      <c r="C452" s="191">
        <v>1</v>
      </c>
      <c r="E452" s="48"/>
      <c r="F452" s="40" t="s">
        <v>1180</v>
      </c>
      <c r="J452" s="50"/>
      <c r="K452" s="459"/>
      <c r="L452" s="459"/>
      <c r="M452" s="456"/>
      <c r="N452" s="456"/>
      <c r="O452" s="455"/>
      <c r="P452" s="455"/>
      <c r="Q452" s="455"/>
      <c r="X452" s="674"/>
      <c r="Y452" s="674"/>
      <c r="Z452" s="674"/>
      <c r="AA452" s="674"/>
    </row>
    <row r="453" spans="1:27" x14ac:dyDescent="0.3">
      <c r="A453" s="66" t="s">
        <v>441</v>
      </c>
      <c r="B453" s="191">
        <v>0.67</v>
      </c>
      <c r="C453" s="191">
        <v>0.67</v>
      </c>
      <c r="E453" s="48"/>
      <c r="F453" s="38" t="s">
        <v>894</v>
      </c>
      <c r="J453" s="616"/>
      <c r="K453" s="183"/>
      <c r="L453" s="183"/>
      <c r="M453" s="183"/>
      <c r="N453" s="183"/>
      <c r="O453" s="455"/>
      <c r="P453" s="455"/>
      <c r="Q453" s="455"/>
      <c r="X453" s="674"/>
      <c r="Y453" s="674"/>
      <c r="Z453" s="674"/>
      <c r="AA453" s="674"/>
    </row>
    <row r="454" spans="1:27" x14ac:dyDescent="0.3">
      <c r="E454" s="48"/>
      <c r="J454" s="616"/>
      <c r="K454" s="183"/>
      <c r="L454" s="183"/>
      <c r="M454" s="169"/>
      <c r="N454" s="169"/>
      <c r="O454" s="674"/>
      <c r="P454" s="674"/>
      <c r="Q454" s="674"/>
      <c r="X454" s="674"/>
      <c r="Y454" s="674"/>
      <c r="Z454" s="674"/>
      <c r="AA454" s="674"/>
    </row>
    <row r="455" spans="1:27" x14ac:dyDescent="0.3">
      <c r="A455" s="161" t="s">
        <v>335</v>
      </c>
      <c r="E455" s="48"/>
      <c r="J455" s="169"/>
      <c r="K455" s="722"/>
      <c r="L455" s="722"/>
      <c r="M455" s="674"/>
      <c r="N455" s="674"/>
      <c r="O455" s="674"/>
      <c r="P455" s="674"/>
      <c r="Q455" s="674"/>
      <c r="X455" s="455"/>
      <c r="Y455" s="455"/>
      <c r="Z455" s="455"/>
      <c r="AA455" s="455"/>
    </row>
    <row r="456" spans="1:27" x14ac:dyDescent="0.3">
      <c r="A456" s="685" t="s">
        <v>334</v>
      </c>
      <c r="B456" s="664" t="s">
        <v>332</v>
      </c>
      <c r="C456" s="664" t="s">
        <v>333</v>
      </c>
      <c r="D456" s="664" t="s">
        <v>328</v>
      </c>
      <c r="E456" s="48"/>
      <c r="J456" s="50"/>
      <c r="K456" s="50"/>
      <c r="L456" s="50"/>
      <c r="M456" s="674"/>
      <c r="N456" s="674"/>
      <c r="O456" s="232"/>
      <c r="P456" s="674"/>
      <c r="Q456" s="674"/>
    </row>
    <row r="457" spans="1:27" x14ac:dyDescent="0.3">
      <c r="A457" s="66" t="s">
        <v>1</v>
      </c>
      <c r="B457" s="86">
        <v>7.240000000000002E-2</v>
      </c>
      <c r="C457" s="86">
        <v>0.23199999999999998</v>
      </c>
      <c r="D457" s="86">
        <v>0.44000000000000006</v>
      </c>
      <c r="E457" s="189"/>
      <c r="F457" s="40" t="s">
        <v>1187</v>
      </c>
      <c r="J457" s="50"/>
      <c r="K457" s="50"/>
      <c r="L457" s="50"/>
      <c r="M457" s="674"/>
      <c r="N457" s="674"/>
      <c r="O457" s="232"/>
      <c r="P457" s="674"/>
      <c r="Q457" s="674"/>
    </row>
    <row r="458" spans="1:27" x14ac:dyDescent="0.3">
      <c r="A458" s="711" t="s">
        <v>710</v>
      </c>
      <c r="B458" s="87">
        <v>0.4</v>
      </c>
      <c r="C458" s="87">
        <v>0.5</v>
      </c>
      <c r="D458" s="87">
        <v>0.4</v>
      </c>
      <c r="E458" s="737"/>
      <c r="F458" s="40" t="s">
        <v>1187</v>
      </c>
      <c r="J458" s="50"/>
      <c r="K458" s="50"/>
      <c r="L458" s="50"/>
      <c r="M458" s="674"/>
      <c r="N458" s="674"/>
      <c r="O458" s="674"/>
      <c r="P458" s="674"/>
      <c r="Q458" s="674"/>
    </row>
    <row r="459" spans="1:27" x14ac:dyDescent="0.3">
      <c r="A459" s="158" t="s">
        <v>709</v>
      </c>
      <c r="J459" s="169"/>
      <c r="K459" s="722"/>
      <c r="L459" s="722"/>
      <c r="M459" s="674"/>
      <c r="N459" s="674"/>
      <c r="O459" s="674"/>
      <c r="P459" s="674"/>
      <c r="Q459" s="674"/>
    </row>
    <row r="460" spans="1:27" x14ac:dyDescent="0.3">
      <c r="A460" s="38"/>
      <c r="J460" s="232"/>
      <c r="K460" s="231"/>
      <c r="L460" s="231"/>
      <c r="M460" s="457"/>
      <c r="N460" s="457"/>
      <c r="O460" s="457"/>
      <c r="P460" s="457"/>
      <c r="Q460" s="457"/>
    </row>
    <row r="461" spans="1:27" x14ac:dyDescent="0.3">
      <c r="A461" s="38"/>
    </row>
    <row r="462" spans="1:27" x14ac:dyDescent="0.3">
      <c r="A462" s="38"/>
    </row>
    <row r="463" spans="1:27" x14ac:dyDescent="0.3">
      <c r="A463" s="38"/>
    </row>
    <row r="464" spans="1:27" x14ac:dyDescent="0.3">
      <c r="A464" s="38"/>
    </row>
    <row r="465" spans="1:1" x14ac:dyDescent="0.3">
      <c r="A465" s="38"/>
    </row>
    <row r="466" spans="1:1" x14ac:dyDescent="0.3">
      <c r="A466" s="38"/>
    </row>
    <row r="467" spans="1:1" x14ac:dyDescent="0.3">
      <c r="A467" s="38"/>
    </row>
    <row r="468" spans="1:1" x14ac:dyDescent="0.3">
      <c r="A468" s="690"/>
    </row>
    <row r="469" spans="1:1" x14ac:dyDescent="0.3">
      <c r="A469" s="690"/>
    </row>
    <row r="470" spans="1:1" x14ac:dyDescent="0.3">
      <c r="A470" s="38"/>
    </row>
    <row r="471" spans="1:1" x14ac:dyDescent="0.3">
      <c r="A471" s="38"/>
    </row>
  </sheetData>
  <conditionalFormatting sqref="E457">
    <cfRule type="dataBar" priority="4">
      <dataBar>
        <cfvo type="min"/>
        <cfvo type="max"/>
        <color rgb="FF638EC6"/>
      </dataBar>
      <extLst>
        <ext xmlns:x14="http://schemas.microsoft.com/office/spreadsheetml/2009/9/main" uri="{B025F937-C7B1-47D3-B67F-A62EFF666E3E}">
          <x14:id>{D07654A9-BAC5-493E-973A-4D3A5F65602F}</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D07654A9-BAC5-493E-973A-4D3A5F65602F}">
            <x14:dataBar minLength="0" maxLength="100" gradient="0">
              <x14:cfvo type="autoMin"/>
              <x14:cfvo type="autoMax"/>
              <x14:negativeFillColor rgb="FFFF0000"/>
              <x14:axisColor rgb="FF000000"/>
            </x14:dataBar>
          </x14:cfRule>
          <xm:sqref>E457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Q39"/>
  <sheetViews>
    <sheetView zoomScale="70" zoomScaleNormal="70" workbookViewId="0"/>
  </sheetViews>
  <sheetFormatPr defaultColWidth="8.88671875" defaultRowHeight="14.4" x14ac:dyDescent="0.3"/>
  <cols>
    <col min="1" max="1" width="67.33203125" style="1" bestFit="1" customWidth="1"/>
    <col min="2" max="2" width="15.44140625" style="1" bestFit="1" customWidth="1"/>
    <col min="3" max="3" width="19.6640625" style="1" bestFit="1" customWidth="1"/>
    <col min="4" max="4" width="51" style="1" bestFit="1" customWidth="1"/>
    <col min="5" max="5" width="16.6640625" style="1" customWidth="1"/>
    <col min="6" max="6" width="14.109375" style="1" customWidth="1"/>
    <col min="7" max="7" width="18.5546875" style="1" customWidth="1"/>
    <col min="8" max="8" width="14.6640625" style="1" bestFit="1" customWidth="1"/>
    <col min="9" max="9" width="18.88671875" style="1" customWidth="1"/>
    <col min="10" max="10" width="11.33203125" style="1" bestFit="1" customWidth="1"/>
    <col min="11" max="11" width="67.88671875" style="1" customWidth="1"/>
    <col min="12" max="12" width="8.88671875" style="1"/>
    <col min="13" max="13" width="12.33203125" style="1" bestFit="1" customWidth="1"/>
    <col min="14" max="14" width="11.109375" style="1" bestFit="1" customWidth="1"/>
    <col min="15" max="15" width="8.88671875" style="1"/>
    <col min="16" max="16" width="13" style="1" bestFit="1" customWidth="1"/>
    <col min="17" max="16384" width="8.88671875" style="1"/>
  </cols>
  <sheetData>
    <row r="1" spans="1:17" ht="23.4" x14ac:dyDescent="0.3">
      <c r="A1" s="433" t="s">
        <v>1014</v>
      </c>
    </row>
    <row r="2" spans="1:17" x14ac:dyDescent="0.3">
      <c r="E2" s="68" t="s">
        <v>188</v>
      </c>
      <c r="F2" s="583"/>
    </row>
    <row r="3" spans="1:17" ht="75.599999999999994" customHeight="1" x14ac:dyDescent="0.3">
      <c r="A3" s="366" t="s">
        <v>507</v>
      </c>
      <c r="B3" s="366" t="s">
        <v>2</v>
      </c>
      <c r="C3" s="366" t="s">
        <v>179</v>
      </c>
      <c r="D3" s="438" t="s">
        <v>508</v>
      </c>
      <c r="E3" s="235" t="s">
        <v>866</v>
      </c>
      <c r="F3" s="235" t="s">
        <v>865</v>
      </c>
      <c r="G3" s="559"/>
      <c r="H3" s="559"/>
      <c r="I3" s="559"/>
      <c r="J3" s="559"/>
      <c r="K3" s="559"/>
      <c r="L3" s="559"/>
      <c r="M3" s="559"/>
      <c r="N3" s="559"/>
      <c r="O3" s="559"/>
      <c r="P3" s="559"/>
      <c r="Q3" s="559"/>
    </row>
    <row r="4" spans="1:17" x14ac:dyDescent="0.3">
      <c r="A4" s="367" t="s">
        <v>469</v>
      </c>
      <c r="B4" s="368" t="s">
        <v>1</v>
      </c>
      <c r="C4" s="369">
        <v>1</v>
      </c>
      <c r="D4" s="851">
        <v>1</v>
      </c>
      <c r="E4" s="583" t="s">
        <v>1193</v>
      </c>
      <c r="F4" s="583" t="s">
        <v>869</v>
      </c>
      <c r="G4" s="559"/>
      <c r="H4" s="559"/>
      <c r="I4" s="559"/>
      <c r="J4" s="559"/>
      <c r="K4" s="559"/>
      <c r="L4" s="559"/>
      <c r="M4" s="559"/>
      <c r="N4" s="559"/>
      <c r="O4" s="559"/>
      <c r="P4" s="559"/>
      <c r="Q4" s="559"/>
    </row>
    <row r="5" spans="1:17" x14ac:dyDescent="0.3">
      <c r="A5" s="54"/>
      <c r="B5" s="37"/>
      <c r="C5" s="127"/>
      <c r="D5" s="639"/>
      <c r="E5" s="559"/>
      <c r="F5" s="559"/>
      <c r="G5" s="559"/>
      <c r="H5" s="559"/>
      <c r="I5" s="559"/>
      <c r="J5" s="559"/>
      <c r="K5" s="559"/>
      <c r="L5" s="559"/>
      <c r="M5" s="559"/>
      <c r="N5" s="559"/>
      <c r="O5" s="559"/>
      <c r="P5" s="559"/>
      <c r="Q5" s="559"/>
    </row>
    <row r="6" spans="1:17" ht="15" x14ac:dyDescent="0.3">
      <c r="A6" s="371" t="s">
        <v>463</v>
      </c>
      <c r="B6" s="372" t="s">
        <v>1</v>
      </c>
      <c r="C6" s="373">
        <v>0.64</v>
      </c>
      <c r="D6" s="852">
        <v>20.5</v>
      </c>
      <c r="E6" s="583" t="s">
        <v>1193</v>
      </c>
      <c r="F6" s="583" t="s">
        <v>869</v>
      </c>
      <c r="G6" s="559"/>
      <c r="H6" s="37"/>
      <c r="I6" s="72"/>
      <c r="J6" s="559"/>
      <c r="K6" s="559"/>
      <c r="L6" s="559"/>
      <c r="M6" s="559"/>
      <c r="N6" s="559"/>
      <c r="O6" s="559"/>
      <c r="P6" s="559"/>
      <c r="Q6" s="559"/>
    </row>
    <row r="7" spans="1:17" ht="15" x14ac:dyDescent="0.3">
      <c r="A7" s="54"/>
      <c r="B7" s="37" t="s">
        <v>69</v>
      </c>
      <c r="C7" s="127">
        <v>0.18</v>
      </c>
      <c r="D7" s="639">
        <v>20.5</v>
      </c>
      <c r="E7" s="37"/>
      <c r="F7" s="559"/>
      <c r="G7" s="559"/>
      <c r="H7" s="37"/>
      <c r="I7" s="72"/>
      <c r="J7" s="559"/>
      <c r="K7" s="559"/>
      <c r="L7" s="559"/>
      <c r="M7" s="559"/>
      <c r="N7" s="559"/>
      <c r="O7" s="559"/>
      <c r="P7" s="559"/>
      <c r="Q7" s="559"/>
    </row>
    <row r="8" spans="1:17" x14ac:dyDescent="0.3">
      <c r="A8" s="54"/>
      <c r="B8" s="37" t="s">
        <v>70</v>
      </c>
      <c r="C8" s="127">
        <v>0.18</v>
      </c>
      <c r="D8" s="639">
        <v>20.5</v>
      </c>
      <c r="E8" s="37"/>
      <c r="F8" s="559"/>
      <c r="G8" s="559"/>
      <c r="H8" s="37"/>
      <c r="I8" s="559"/>
      <c r="J8" s="559"/>
      <c r="K8" s="559"/>
      <c r="L8" s="559"/>
      <c r="M8" s="559"/>
      <c r="N8" s="559"/>
      <c r="O8" s="559"/>
      <c r="P8" s="559"/>
      <c r="Q8" s="559"/>
    </row>
    <row r="9" spans="1:17" x14ac:dyDescent="0.3">
      <c r="A9" s="371" t="s">
        <v>465</v>
      </c>
      <c r="B9" s="372" t="s">
        <v>1</v>
      </c>
      <c r="C9" s="627">
        <v>0.76800000000000002</v>
      </c>
      <c r="D9" s="852">
        <v>1</v>
      </c>
      <c r="E9" s="583" t="s">
        <v>1193</v>
      </c>
      <c r="F9" s="583" t="s">
        <v>869</v>
      </c>
      <c r="G9" s="559"/>
      <c r="H9" s="559"/>
      <c r="I9" s="559"/>
      <c r="J9" s="559"/>
      <c r="K9" s="559"/>
      <c r="L9" s="559"/>
      <c r="M9" s="559"/>
      <c r="N9" s="559"/>
      <c r="O9" s="559"/>
      <c r="P9" s="559"/>
      <c r="Q9" s="559"/>
    </row>
    <row r="10" spans="1:17" x14ac:dyDescent="0.3">
      <c r="A10" s="54"/>
      <c r="B10" s="37" t="s">
        <v>70</v>
      </c>
      <c r="C10" s="183">
        <f>1-C9</f>
        <v>0.23199999999999998</v>
      </c>
      <c r="D10" s="639">
        <v>1</v>
      </c>
      <c r="E10" s="37"/>
      <c r="F10" s="559"/>
      <c r="G10" s="559"/>
      <c r="H10" s="559"/>
      <c r="I10" s="559"/>
      <c r="J10" s="559"/>
      <c r="K10" s="559"/>
      <c r="L10" s="559"/>
      <c r="M10" s="559"/>
      <c r="N10" s="559"/>
      <c r="O10" s="559"/>
      <c r="P10" s="559"/>
      <c r="Q10" s="559"/>
    </row>
    <row r="11" spans="1:17" x14ac:dyDescent="0.3">
      <c r="A11" s="371" t="s">
        <v>464</v>
      </c>
      <c r="B11" s="372" t="s">
        <v>1</v>
      </c>
      <c r="C11" s="373">
        <v>0.82400000000000007</v>
      </c>
      <c r="D11" s="852">
        <v>10</v>
      </c>
      <c r="E11" s="583" t="s">
        <v>1193</v>
      </c>
      <c r="F11" s="583" t="s">
        <v>869</v>
      </c>
      <c r="G11" s="559"/>
      <c r="H11" s="559"/>
      <c r="I11" s="559"/>
      <c r="J11" s="559"/>
      <c r="K11" s="559"/>
      <c r="L11" s="559"/>
      <c r="M11" s="559"/>
      <c r="N11" s="559"/>
      <c r="O11" s="559"/>
      <c r="P11" s="559"/>
      <c r="Q11" s="559"/>
    </row>
    <row r="12" spans="1:17" x14ac:dyDescent="0.3">
      <c r="A12" s="54"/>
      <c r="B12" s="37" t="s">
        <v>70</v>
      </c>
      <c r="C12" s="127">
        <v>0.17599999999999993</v>
      </c>
      <c r="D12" s="639">
        <v>10</v>
      </c>
      <c r="E12" s="37"/>
      <c r="F12" s="37"/>
      <c r="G12" s="559"/>
      <c r="H12" s="559"/>
      <c r="I12" s="559"/>
      <c r="J12" s="559"/>
      <c r="K12" s="559"/>
      <c r="L12" s="559"/>
      <c r="M12" s="559"/>
      <c r="N12" s="559"/>
      <c r="O12" s="559"/>
      <c r="P12" s="559"/>
      <c r="Q12" s="559"/>
    </row>
    <row r="13" spans="1:17" x14ac:dyDescent="0.3">
      <c r="A13" s="371" t="s">
        <v>467</v>
      </c>
      <c r="B13" s="372" t="s">
        <v>1</v>
      </c>
      <c r="C13" s="373">
        <v>0.51200000000000012</v>
      </c>
      <c r="D13" s="852">
        <v>10</v>
      </c>
      <c r="E13" s="583" t="s">
        <v>1193</v>
      </c>
      <c r="F13" s="583" t="s">
        <v>869</v>
      </c>
      <c r="G13" s="559"/>
      <c r="H13" s="559"/>
      <c r="I13" s="559"/>
      <c r="J13" s="559"/>
      <c r="K13" s="559"/>
      <c r="L13" s="559"/>
      <c r="M13" s="559"/>
      <c r="N13" s="559"/>
      <c r="O13" s="559"/>
      <c r="P13" s="559"/>
      <c r="Q13" s="559"/>
    </row>
    <row r="14" spans="1:17" x14ac:dyDescent="0.3">
      <c r="A14" s="54"/>
      <c r="B14" s="37" t="s">
        <v>69</v>
      </c>
      <c r="C14" s="127">
        <v>0.16</v>
      </c>
      <c r="D14" s="639">
        <v>10</v>
      </c>
      <c r="E14" s="37"/>
      <c r="F14" s="37"/>
      <c r="G14" s="559"/>
      <c r="H14" s="559"/>
      <c r="I14" s="559"/>
      <c r="J14" s="559"/>
      <c r="K14" s="559"/>
      <c r="L14" s="559"/>
      <c r="M14" s="559"/>
      <c r="N14" s="559"/>
      <c r="O14" s="559"/>
      <c r="P14" s="559"/>
      <c r="Q14" s="559"/>
    </row>
    <row r="15" spans="1:17" x14ac:dyDescent="0.3">
      <c r="A15" s="54"/>
      <c r="B15" s="37" t="s">
        <v>79</v>
      </c>
      <c r="C15" s="127">
        <v>0.11</v>
      </c>
      <c r="D15" s="639">
        <v>10</v>
      </c>
      <c r="E15" s="37"/>
      <c r="F15" s="37"/>
      <c r="G15" s="559"/>
      <c r="H15" s="559"/>
      <c r="I15" s="559"/>
      <c r="J15" s="559"/>
      <c r="K15" s="559"/>
      <c r="L15" s="559"/>
      <c r="M15" s="559"/>
      <c r="N15" s="559"/>
      <c r="O15" s="559"/>
      <c r="P15" s="559"/>
      <c r="Q15" s="559"/>
    </row>
    <row r="16" spans="1:17" x14ac:dyDescent="0.3">
      <c r="A16" s="54"/>
      <c r="B16" s="37" t="s">
        <v>70</v>
      </c>
      <c r="C16" s="127">
        <v>0.21799999999999986</v>
      </c>
      <c r="D16" s="639">
        <v>10</v>
      </c>
      <c r="E16" s="37"/>
      <c r="F16" s="37"/>
      <c r="G16" s="559"/>
      <c r="H16" s="559"/>
      <c r="I16" s="559"/>
      <c r="J16" s="559"/>
      <c r="K16" s="559"/>
      <c r="L16" s="559"/>
      <c r="M16" s="559"/>
      <c r="N16" s="559"/>
      <c r="O16" s="559"/>
      <c r="P16" s="559"/>
      <c r="Q16" s="559"/>
    </row>
    <row r="17" spans="1:17" x14ac:dyDescent="0.3">
      <c r="A17" s="371" t="s">
        <v>468</v>
      </c>
      <c r="B17" s="372" t="s">
        <v>1</v>
      </c>
      <c r="C17" s="373">
        <v>0.51200000000000012</v>
      </c>
      <c r="D17" s="852">
        <v>6.5</v>
      </c>
      <c r="E17" s="583" t="s">
        <v>1193</v>
      </c>
      <c r="F17" s="158" t="s">
        <v>870</v>
      </c>
      <c r="G17" s="559"/>
      <c r="H17" s="559"/>
      <c r="I17" s="559"/>
      <c r="J17" s="559"/>
      <c r="K17" s="559"/>
      <c r="L17" s="559"/>
      <c r="M17" s="559"/>
      <c r="N17" s="559"/>
      <c r="O17" s="559"/>
      <c r="P17" s="559"/>
      <c r="Q17" s="559"/>
    </row>
    <row r="18" spans="1:17" x14ac:dyDescent="0.3">
      <c r="A18" s="54"/>
      <c r="B18" s="37" t="s">
        <v>69</v>
      </c>
      <c r="C18" s="127">
        <v>0.16</v>
      </c>
      <c r="D18" s="639">
        <v>6.5</v>
      </c>
      <c r="E18" s="37"/>
      <c r="F18" s="37"/>
      <c r="G18" s="559"/>
      <c r="H18" s="559"/>
      <c r="I18" s="559"/>
      <c r="J18" s="559"/>
      <c r="K18" s="559"/>
      <c r="L18" s="559"/>
      <c r="M18" s="559"/>
      <c r="N18" s="559"/>
      <c r="O18" s="559"/>
      <c r="P18" s="559"/>
      <c r="Q18" s="559"/>
    </row>
    <row r="19" spans="1:17" x14ac:dyDescent="0.3">
      <c r="A19" s="54"/>
      <c r="B19" s="37" t="s">
        <v>79</v>
      </c>
      <c r="C19" s="127">
        <v>0.11</v>
      </c>
      <c r="D19" s="639">
        <v>6.5</v>
      </c>
      <c r="E19" s="37"/>
      <c r="F19" s="37"/>
      <c r="G19" s="559"/>
      <c r="H19" s="559"/>
      <c r="I19" s="559"/>
      <c r="J19" s="559"/>
      <c r="K19" s="559"/>
      <c r="L19" s="559"/>
      <c r="M19" s="559"/>
      <c r="N19" s="559"/>
      <c r="O19" s="559"/>
      <c r="P19" s="559"/>
      <c r="Q19" s="559"/>
    </row>
    <row r="20" spans="1:17" x14ac:dyDescent="0.3">
      <c r="A20" s="54"/>
      <c r="B20" s="37" t="s">
        <v>70</v>
      </c>
      <c r="C20" s="127">
        <v>0.21799999999999986</v>
      </c>
      <c r="D20" s="639">
        <v>6.5</v>
      </c>
      <c r="E20" s="37"/>
      <c r="F20" s="37"/>
      <c r="G20" s="559"/>
      <c r="H20" s="559"/>
      <c r="I20" s="559"/>
      <c r="J20" s="559"/>
      <c r="K20" s="559"/>
      <c r="L20" s="559"/>
      <c r="M20" s="559"/>
      <c r="N20" s="559"/>
      <c r="O20" s="559"/>
      <c r="P20" s="559"/>
      <c r="Q20" s="559"/>
    </row>
    <row r="21" spans="1:17" x14ac:dyDescent="0.3">
      <c r="A21" s="371" t="s">
        <v>466</v>
      </c>
      <c r="B21" s="372" t="s">
        <v>1</v>
      </c>
      <c r="C21" s="627">
        <v>0.76800000000000002</v>
      </c>
      <c r="D21" s="852">
        <v>8.5</v>
      </c>
      <c r="E21" s="583" t="s">
        <v>1193</v>
      </c>
      <c r="F21" s="583" t="s">
        <v>869</v>
      </c>
      <c r="G21" s="559"/>
      <c r="H21" s="559"/>
      <c r="I21" s="559"/>
      <c r="J21" s="559"/>
      <c r="K21" s="559"/>
      <c r="L21" s="559"/>
      <c r="M21" s="559"/>
      <c r="N21" s="559"/>
      <c r="O21" s="559"/>
      <c r="P21" s="559"/>
      <c r="Q21" s="559"/>
    </row>
    <row r="22" spans="1:17" x14ac:dyDescent="0.3">
      <c r="A22" s="54"/>
      <c r="B22" s="37" t="s">
        <v>70</v>
      </c>
      <c r="C22" s="183">
        <f>1-C21</f>
        <v>0.23199999999999998</v>
      </c>
      <c r="D22" s="639">
        <v>8.5</v>
      </c>
      <c r="E22" s="559"/>
      <c r="F22" s="559"/>
      <c r="G22" s="559"/>
      <c r="H22" s="559"/>
      <c r="I22" s="559"/>
      <c r="J22" s="559"/>
      <c r="K22" s="559"/>
      <c r="L22" s="559"/>
      <c r="M22" s="559"/>
      <c r="N22" s="559"/>
      <c r="O22" s="559"/>
      <c r="P22" s="559"/>
      <c r="Q22" s="559"/>
    </row>
    <row r="23" spans="1:17" x14ac:dyDescent="0.3">
      <c r="A23" s="372" t="s">
        <v>470</v>
      </c>
      <c r="B23" s="372" t="s">
        <v>1</v>
      </c>
      <c r="C23" s="395">
        <v>0.84000000000000008</v>
      </c>
      <c r="D23" s="628">
        <v>9</v>
      </c>
      <c r="E23" s="583" t="s">
        <v>1193</v>
      </c>
      <c r="F23" s="559" t="s">
        <v>868</v>
      </c>
      <c r="G23" s="559"/>
      <c r="H23" s="559"/>
      <c r="I23" s="559"/>
      <c r="J23" s="559"/>
      <c r="K23" s="559"/>
      <c r="L23" s="559"/>
      <c r="M23" s="559"/>
      <c r="N23" s="559"/>
      <c r="O23" s="559"/>
      <c r="P23" s="559"/>
      <c r="Q23" s="559"/>
    </row>
    <row r="24" spans="1:17" x14ac:dyDescent="0.3">
      <c r="A24" s="58"/>
      <c r="B24" s="58" t="s">
        <v>70</v>
      </c>
      <c r="C24" s="87">
        <v>0.15999999999999992</v>
      </c>
      <c r="D24" s="629">
        <v>9</v>
      </c>
      <c r="E24" s="559"/>
      <c r="F24" s="559"/>
      <c r="G24" s="559"/>
      <c r="H24" s="559"/>
      <c r="I24" s="559"/>
      <c r="J24" s="559"/>
      <c r="K24" s="559"/>
      <c r="L24" s="559"/>
      <c r="M24" s="559"/>
      <c r="N24" s="559"/>
      <c r="O24" s="559"/>
      <c r="P24" s="559"/>
      <c r="Q24" s="559"/>
    </row>
    <row r="25" spans="1:17" x14ac:dyDescent="0.3">
      <c r="A25" s="50"/>
      <c r="B25" s="559"/>
      <c r="C25" s="559"/>
      <c r="D25" s="559"/>
      <c r="E25" s="559"/>
      <c r="F25" s="559"/>
      <c r="G25" s="576"/>
      <c r="H25" s="559"/>
      <c r="I25" s="559"/>
      <c r="J25" s="559"/>
      <c r="K25" s="559"/>
      <c r="L25" s="559"/>
      <c r="M25" s="559"/>
      <c r="N25" s="559"/>
      <c r="O25" s="559"/>
      <c r="P25" s="559"/>
      <c r="Q25" s="559"/>
    </row>
    <row r="26" spans="1:17" x14ac:dyDescent="0.3">
      <c r="A26" s="37"/>
      <c r="B26" s="559"/>
      <c r="C26" s="50"/>
      <c r="D26" s="50"/>
      <c r="E26" s="50"/>
      <c r="F26" s="50"/>
      <c r="G26" s="50"/>
      <c r="H26" s="50"/>
      <c r="I26" s="50"/>
      <c r="J26" s="50"/>
      <c r="K26" s="559"/>
      <c r="L26" s="559"/>
      <c r="M26" s="559"/>
      <c r="N26" s="559"/>
      <c r="O26" s="559"/>
      <c r="P26" s="559"/>
      <c r="Q26" s="559"/>
    </row>
    <row r="27" spans="1:17" x14ac:dyDescent="0.3">
      <c r="A27" s="6" t="s">
        <v>471</v>
      </c>
      <c r="B27" s="42"/>
      <c r="C27" s="42"/>
      <c r="D27" s="42"/>
      <c r="E27" s="42"/>
      <c r="F27" s="42"/>
      <c r="G27" s="42"/>
      <c r="H27" s="42"/>
      <c r="I27" s="42"/>
      <c r="J27" s="50"/>
      <c r="K27" s="559"/>
      <c r="L27" s="559"/>
      <c r="M27" s="559"/>
      <c r="N27" s="559"/>
      <c r="O27" s="559"/>
      <c r="P27" s="559"/>
      <c r="Q27" s="559"/>
    </row>
    <row r="28" spans="1:17" ht="46.2" customHeight="1" x14ac:dyDescent="0.3">
      <c r="A28" s="630"/>
      <c r="B28" s="17" t="s">
        <v>469</v>
      </c>
      <c r="C28" s="73" t="s">
        <v>463</v>
      </c>
      <c r="D28" s="73" t="s">
        <v>465</v>
      </c>
      <c r="E28" s="73" t="s">
        <v>464</v>
      </c>
      <c r="F28" s="73" t="s">
        <v>467</v>
      </c>
      <c r="G28" s="73" t="s">
        <v>874</v>
      </c>
      <c r="H28" s="73" t="s">
        <v>875</v>
      </c>
      <c r="I28" s="17" t="s">
        <v>470</v>
      </c>
      <c r="J28" s="609"/>
      <c r="K28" s="235" t="s">
        <v>188</v>
      </c>
      <c r="L28" s="559"/>
      <c r="M28" s="559"/>
      <c r="N28" s="559"/>
      <c r="O28" s="559"/>
      <c r="P28" s="559"/>
      <c r="Q28" s="559"/>
    </row>
    <row r="29" spans="1:17" s="64" customFormat="1" ht="41.4" x14ac:dyDescent="0.3">
      <c r="A29" s="631" t="s">
        <v>657</v>
      </c>
      <c r="B29" s="236">
        <v>0.03</v>
      </c>
      <c r="C29" s="236">
        <v>0.1</v>
      </c>
      <c r="D29" s="236">
        <v>0.1</v>
      </c>
      <c r="E29" s="236">
        <v>0.02</v>
      </c>
      <c r="F29" s="236">
        <v>0.3</v>
      </c>
      <c r="G29" s="236">
        <v>0.3</v>
      </c>
      <c r="H29" s="236">
        <v>0.1</v>
      </c>
      <c r="I29" s="236">
        <v>0.2</v>
      </c>
      <c r="J29" s="55" t="s">
        <v>472</v>
      </c>
      <c r="K29" s="115" t="s">
        <v>1525</v>
      </c>
      <c r="L29" s="50"/>
      <c r="M29" s="50"/>
      <c r="N29" s="50"/>
      <c r="O29" s="50"/>
      <c r="P29" s="50"/>
      <c r="Q29" s="50"/>
    </row>
    <row r="30" spans="1:17" ht="41.4" x14ac:dyDescent="0.3">
      <c r="A30" s="632" t="s">
        <v>70</v>
      </c>
      <c r="B30" s="633">
        <v>0.06</v>
      </c>
      <c r="C30" s="633">
        <v>0.25</v>
      </c>
      <c r="D30" s="633">
        <v>0.25</v>
      </c>
      <c r="E30" s="633">
        <v>0.05</v>
      </c>
      <c r="F30" s="633">
        <v>0.7</v>
      </c>
      <c r="G30" s="633">
        <v>0.7</v>
      </c>
      <c r="H30" s="633">
        <v>0.25</v>
      </c>
      <c r="I30" s="633">
        <v>0.6</v>
      </c>
      <c r="J30" s="59" t="s">
        <v>472</v>
      </c>
      <c r="K30" s="559"/>
      <c r="L30" s="559"/>
      <c r="M30" s="559"/>
      <c r="N30" s="559"/>
      <c r="O30" s="559"/>
      <c r="P30" s="559"/>
      <c r="Q30" s="559"/>
    </row>
    <row r="31" spans="1:17" x14ac:dyDescent="0.3">
      <c r="A31" s="559" t="s">
        <v>872</v>
      </c>
      <c r="B31" s="559"/>
      <c r="C31" s="50"/>
      <c r="D31" s="50"/>
      <c r="E31" s="50"/>
      <c r="F31" s="50"/>
      <c r="G31" s="50"/>
      <c r="H31" s="50"/>
      <c r="I31" s="50"/>
      <c r="J31" s="50"/>
      <c r="K31" s="559"/>
      <c r="L31" s="559"/>
      <c r="M31" s="559"/>
      <c r="N31" s="559"/>
      <c r="O31" s="559"/>
      <c r="P31" s="559"/>
      <c r="Q31" s="559"/>
    </row>
    <row r="32" spans="1:17" x14ac:dyDescent="0.3">
      <c r="A32" s="559" t="s">
        <v>873</v>
      </c>
      <c r="B32" s="559"/>
      <c r="C32" s="50"/>
      <c r="D32" s="50"/>
      <c r="E32" s="50"/>
      <c r="F32" s="50"/>
      <c r="G32" s="50"/>
      <c r="H32" s="50"/>
      <c r="I32" s="50"/>
      <c r="J32" s="50"/>
      <c r="K32" s="559"/>
      <c r="L32" s="559"/>
      <c r="M32" s="559"/>
      <c r="N32" s="559"/>
      <c r="O32" s="559"/>
      <c r="P32" s="559"/>
      <c r="Q32" s="559"/>
    </row>
    <row r="33" spans="1:17" x14ac:dyDescent="0.3">
      <c r="A33" s="559"/>
      <c r="B33" s="559"/>
      <c r="C33" s="50"/>
      <c r="D33" s="50"/>
      <c r="E33" s="50"/>
      <c r="F33" s="50"/>
      <c r="G33" s="50"/>
      <c r="H33" s="50"/>
      <c r="I33" s="50"/>
      <c r="J33" s="50"/>
      <c r="K33" s="50"/>
      <c r="L33" s="559"/>
      <c r="M33" s="559"/>
      <c r="N33" s="559"/>
      <c r="O33" s="559"/>
      <c r="P33" s="559"/>
      <c r="Q33" s="559"/>
    </row>
    <row r="34" spans="1:17" x14ac:dyDescent="0.3">
      <c r="A34" s="50"/>
      <c r="B34" s="50"/>
      <c r="C34" s="50"/>
      <c r="D34" s="559"/>
      <c r="E34" s="559"/>
      <c r="F34" s="559"/>
      <c r="G34" s="559"/>
      <c r="H34" s="559"/>
      <c r="I34" s="559"/>
      <c r="J34" s="559"/>
      <c r="K34" s="50"/>
      <c r="L34" s="559"/>
      <c r="M34" s="559"/>
      <c r="N34" s="559"/>
      <c r="O34" s="559"/>
      <c r="P34" s="559"/>
      <c r="Q34" s="559"/>
    </row>
    <row r="35" spans="1:17" x14ac:dyDescent="0.3">
      <c r="A35" s="38"/>
      <c r="B35" s="38"/>
      <c r="C35" s="45"/>
      <c r="D35" s="559"/>
      <c r="E35" s="559"/>
      <c r="F35" s="559"/>
      <c r="G35" s="559"/>
      <c r="H35" s="559"/>
      <c r="I35" s="559"/>
      <c r="J35" s="559"/>
      <c r="K35" s="50"/>
      <c r="L35" s="559"/>
      <c r="M35" s="559"/>
      <c r="N35" s="559"/>
      <c r="O35" s="559"/>
      <c r="P35" s="559"/>
      <c r="Q35" s="559"/>
    </row>
    <row r="36" spans="1:17" x14ac:dyDescent="0.3">
      <c r="A36" s="37"/>
      <c r="B36" s="38"/>
      <c r="C36" s="45"/>
      <c r="D36" s="559"/>
      <c r="E36" s="559"/>
      <c r="F36" s="559"/>
      <c r="G36" s="559"/>
      <c r="H36" s="559"/>
      <c r="I36" s="559"/>
      <c r="J36" s="559"/>
      <c r="K36" s="559"/>
      <c r="L36" s="559"/>
      <c r="M36" s="559"/>
      <c r="N36" s="559"/>
      <c r="O36" s="559"/>
      <c r="P36" s="559"/>
      <c r="Q36" s="559"/>
    </row>
    <row r="37" spans="1:17" x14ac:dyDescent="0.3">
      <c r="A37" s="38"/>
      <c r="B37" s="38"/>
      <c r="C37" s="38"/>
      <c r="D37" s="559"/>
      <c r="E37" s="559"/>
      <c r="F37" s="559"/>
      <c r="G37" s="559"/>
      <c r="H37" s="559"/>
      <c r="I37" s="559"/>
      <c r="J37" s="559"/>
      <c r="K37" s="559"/>
      <c r="L37" s="559"/>
      <c r="M37" s="559"/>
      <c r="N37" s="559"/>
      <c r="O37" s="559"/>
      <c r="P37" s="559"/>
      <c r="Q37" s="559"/>
    </row>
    <row r="38" spans="1:17" x14ac:dyDescent="0.3">
      <c r="A38" s="38"/>
      <c r="B38" s="38"/>
      <c r="C38" s="38"/>
      <c r="D38" s="559"/>
      <c r="E38" s="559"/>
      <c r="F38" s="559"/>
      <c r="G38" s="559"/>
      <c r="H38" s="559"/>
      <c r="I38" s="559"/>
      <c r="J38" s="559"/>
      <c r="K38" s="559"/>
      <c r="L38" s="559"/>
      <c r="M38" s="559"/>
      <c r="N38" s="559"/>
      <c r="O38" s="559"/>
      <c r="P38" s="559"/>
      <c r="Q38" s="559"/>
    </row>
    <row r="39" spans="1:17" x14ac:dyDescent="0.3">
      <c r="A39" s="38"/>
      <c r="B39" s="38"/>
      <c r="C39" s="38"/>
      <c r="D39" s="559"/>
      <c r="E39" s="559"/>
      <c r="F39" s="559"/>
      <c r="G39" s="559"/>
      <c r="H39" s="559"/>
      <c r="I39" s="559"/>
      <c r="J39" s="559"/>
      <c r="K39" s="559"/>
      <c r="L39" s="559"/>
      <c r="M39" s="559"/>
      <c r="N39" s="559"/>
      <c r="O39" s="559"/>
      <c r="P39" s="559"/>
      <c r="Q39" s="559"/>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HZ124"/>
  <sheetViews>
    <sheetView zoomScale="70" zoomScaleNormal="70" workbookViewId="0"/>
  </sheetViews>
  <sheetFormatPr defaultColWidth="8.88671875" defaultRowHeight="13.8" x14ac:dyDescent="0.3"/>
  <cols>
    <col min="1" max="1" width="55" style="66" bestFit="1" customWidth="1"/>
    <col min="2" max="2" width="39.6640625" style="38" bestFit="1" customWidth="1"/>
    <col min="3" max="3" width="22.5546875" style="38" customWidth="1"/>
    <col min="4" max="4" width="26.5546875" style="38" bestFit="1" customWidth="1"/>
    <col min="5" max="5" width="25.88671875" style="38" bestFit="1" customWidth="1"/>
    <col min="6" max="6" width="26.5546875" style="38" bestFit="1" customWidth="1"/>
    <col min="7" max="7" width="31.33203125" style="38" bestFit="1" customWidth="1"/>
    <col min="8" max="8" width="31.6640625" style="38" bestFit="1" customWidth="1"/>
    <col min="9" max="9" width="33.6640625" style="38" bestFit="1" customWidth="1"/>
    <col min="10" max="16384" width="8.88671875" style="38"/>
  </cols>
  <sheetData>
    <row r="1" spans="1:234" ht="23.4" x14ac:dyDescent="0.3">
      <c r="A1" s="433" t="s">
        <v>640</v>
      </c>
    </row>
    <row r="3" spans="1:234" x14ac:dyDescent="0.3">
      <c r="A3" s="161" t="s">
        <v>323</v>
      </c>
      <c r="C3" s="71"/>
    </row>
    <row r="4" spans="1:234" x14ac:dyDescent="0.3">
      <c r="A4" s="46"/>
      <c r="B4" s="69" t="s">
        <v>322</v>
      </c>
      <c r="C4" s="69" t="s">
        <v>17</v>
      </c>
      <c r="D4" s="171" t="s">
        <v>321</v>
      </c>
      <c r="E4" s="579" t="s">
        <v>320</v>
      </c>
      <c r="F4" s="171" t="s">
        <v>319</v>
      </c>
      <c r="G4" s="69" t="s">
        <v>318</v>
      </c>
      <c r="H4" s="69" t="s">
        <v>317</v>
      </c>
      <c r="I4" s="74" t="s">
        <v>1239</v>
      </c>
      <c r="J4" s="68" t="s">
        <v>188</v>
      </c>
    </row>
    <row r="5" spans="1:234" s="210" customFormat="1" x14ac:dyDescent="0.3">
      <c r="A5" s="375" t="s">
        <v>6</v>
      </c>
      <c r="B5" s="210">
        <v>0.35</v>
      </c>
      <c r="C5" s="210" t="s">
        <v>298</v>
      </c>
      <c r="D5" s="210" t="s">
        <v>306</v>
      </c>
      <c r="E5" s="210">
        <v>1</v>
      </c>
      <c r="F5" s="210" t="s">
        <v>315</v>
      </c>
      <c r="G5" s="376">
        <v>0</v>
      </c>
      <c r="H5" s="210">
        <v>0.62</v>
      </c>
      <c r="I5" s="377">
        <v>1.2</v>
      </c>
      <c r="J5" s="158" t="s">
        <v>1026</v>
      </c>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row>
    <row r="6" spans="1:234" x14ac:dyDescent="0.3">
      <c r="G6" s="170"/>
      <c r="I6" s="48"/>
      <c r="J6" s="158" t="s">
        <v>748</v>
      </c>
    </row>
    <row r="7" spans="1:234" s="210" customFormat="1" x14ac:dyDescent="0.3">
      <c r="A7" s="375" t="s">
        <v>143</v>
      </c>
      <c r="B7" s="210">
        <v>0.14000000000000001</v>
      </c>
      <c r="C7" s="210" t="s">
        <v>301</v>
      </c>
      <c r="D7" s="209" t="s">
        <v>303</v>
      </c>
      <c r="E7" s="209">
        <v>0.5</v>
      </c>
      <c r="F7" s="378" t="s">
        <v>314</v>
      </c>
      <c r="G7" s="210">
        <v>0.81</v>
      </c>
      <c r="H7" s="210">
        <v>0.47</v>
      </c>
      <c r="I7" s="377">
        <v>0</v>
      </c>
      <c r="J7" s="158" t="s">
        <v>1027</v>
      </c>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row>
    <row r="8" spans="1:234" x14ac:dyDescent="0.3">
      <c r="C8" s="38" t="s">
        <v>301</v>
      </c>
      <c r="D8" s="45" t="s">
        <v>589</v>
      </c>
      <c r="E8" s="45">
        <v>0.5</v>
      </c>
      <c r="F8" s="156" t="s">
        <v>314</v>
      </c>
      <c r="G8" s="38">
        <v>0.41</v>
      </c>
      <c r="H8" s="38">
        <v>0.47</v>
      </c>
      <c r="I8" s="48">
        <v>0</v>
      </c>
      <c r="J8" s="158" t="s">
        <v>1028</v>
      </c>
    </row>
    <row r="9" spans="1:234" s="210" customFormat="1" x14ac:dyDescent="0.3">
      <c r="A9" s="375" t="s">
        <v>144</v>
      </c>
      <c r="B9" s="210">
        <v>0.13</v>
      </c>
      <c r="C9" s="210" t="s">
        <v>301</v>
      </c>
      <c r="D9" s="209" t="s">
        <v>302</v>
      </c>
      <c r="E9" s="209">
        <v>0.5</v>
      </c>
      <c r="F9" s="378" t="s">
        <v>1</v>
      </c>
      <c r="G9" s="210">
        <v>0.12</v>
      </c>
      <c r="H9" s="210">
        <v>0.61</v>
      </c>
      <c r="I9" s="377">
        <v>0</v>
      </c>
      <c r="J9" s="158" t="s">
        <v>754</v>
      </c>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row>
    <row r="10" spans="1:234" x14ac:dyDescent="0.3">
      <c r="C10" s="38" t="s">
        <v>301</v>
      </c>
      <c r="D10" s="45" t="s">
        <v>310</v>
      </c>
      <c r="E10" s="45">
        <v>0.5</v>
      </c>
      <c r="F10" s="156" t="s">
        <v>1</v>
      </c>
      <c r="G10" s="38">
        <v>0.05</v>
      </c>
      <c r="H10" s="38">
        <v>0.61</v>
      </c>
      <c r="I10" s="48">
        <v>0</v>
      </c>
    </row>
    <row r="11" spans="1:234" s="210" customFormat="1" x14ac:dyDescent="0.3">
      <c r="A11" s="375" t="s">
        <v>145</v>
      </c>
      <c r="B11" s="210">
        <v>0.06</v>
      </c>
      <c r="C11" s="210" t="s">
        <v>301</v>
      </c>
      <c r="D11" s="209" t="s">
        <v>302</v>
      </c>
      <c r="E11" s="209">
        <v>0.03</v>
      </c>
      <c r="F11" s="378" t="s">
        <v>311</v>
      </c>
      <c r="G11" s="210">
        <v>0.14000000000000001</v>
      </c>
      <c r="H11" s="210">
        <v>0.61</v>
      </c>
      <c r="I11" s="377">
        <v>0</v>
      </c>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row>
    <row r="12" spans="1:234" x14ac:dyDescent="0.3">
      <c r="C12" s="38" t="s">
        <v>301</v>
      </c>
      <c r="D12" s="45" t="s">
        <v>310</v>
      </c>
      <c r="E12" s="45">
        <v>0.88</v>
      </c>
      <c r="F12" s="156" t="s">
        <v>311</v>
      </c>
      <c r="G12" s="38">
        <v>0.04</v>
      </c>
      <c r="H12" s="38">
        <v>0.61</v>
      </c>
      <c r="I12" s="48">
        <v>0</v>
      </c>
    </row>
    <row r="13" spans="1:234" x14ac:dyDescent="0.3">
      <c r="C13" s="38" t="s">
        <v>301</v>
      </c>
      <c r="D13" s="45" t="s">
        <v>312</v>
      </c>
      <c r="E13" s="45">
        <v>0.09</v>
      </c>
      <c r="F13" s="156" t="s">
        <v>311</v>
      </c>
      <c r="G13" s="38">
        <v>0.06</v>
      </c>
      <c r="H13" s="38">
        <v>0.61</v>
      </c>
      <c r="I13" s="48">
        <v>0</v>
      </c>
    </row>
    <row r="14" spans="1:234" s="210" customFormat="1" x14ac:dyDescent="0.3">
      <c r="A14" s="375" t="s">
        <v>146</v>
      </c>
      <c r="B14" s="210">
        <v>0.05</v>
      </c>
      <c r="C14" s="210" t="s">
        <v>301</v>
      </c>
      <c r="D14" s="209" t="s">
        <v>303</v>
      </c>
      <c r="E14" s="209">
        <v>0.4</v>
      </c>
      <c r="F14" s="378" t="s">
        <v>309</v>
      </c>
      <c r="G14" s="210">
        <v>0.45</v>
      </c>
      <c r="H14" s="210">
        <v>0.47</v>
      </c>
      <c r="I14" s="377">
        <v>0</v>
      </c>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row>
    <row r="15" spans="1:234" x14ac:dyDescent="0.3">
      <c r="C15" s="38" t="s">
        <v>301</v>
      </c>
      <c r="D15" s="45" t="s">
        <v>302</v>
      </c>
      <c r="E15" s="45">
        <v>0.4</v>
      </c>
      <c r="F15" s="156" t="s">
        <v>309</v>
      </c>
      <c r="G15" s="38">
        <v>0.37</v>
      </c>
      <c r="H15" s="38">
        <v>0.47</v>
      </c>
      <c r="I15" s="48">
        <v>0</v>
      </c>
    </row>
    <row r="16" spans="1:234" x14ac:dyDescent="0.3">
      <c r="C16" s="38" t="s">
        <v>301</v>
      </c>
      <c r="D16" s="45" t="s">
        <v>310</v>
      </c>
      <c r="E16" s="45">
        <v>0.1</v>
      </c>
      <c r="F16" s="156" t="s">
        <v>309</v>
      </c>
      <c r="G16" s="38">
        <v>0.28999999999999998</v>
      </c>
      <c r="H16" s="38">
        <v>0.47</v>
      </c>
      <c r="I16" s="48">
        <v>0</v>
      </c>
    </row>
    <row r="17" spans="1:234" x14ac:dyDescent="0.3">
      <c r="C17" s="38" t="s">
        <v>301</v>
      </c>
      <c r="D17" s="45" t="s">
        <v>589</v>
      </c>
      <c r="E17" s="45">
        <v>0.1</v>
      </c>
      <c r="F17" s="156" t="s">
        <v>309</v>
      </c>
      <c r="G17" s="38">
        <v>0.4</v>
      </c>
      <c r="H17" s="38">
        <v>0.47</v>
      </c>
      <c r="I17" s="48">
        <v>0</v>
      </c>
    </row>
    <row r="18" spans="1:234" s="210" customFormat="1" x14ac:dyDescent="0.3">
      <c r="A18" s="375" t="s">
        <v>147</v>
      </c>
      <c r="B18" s="210">
        <v>0.05</v>
      </c>
      <c r="C18" s="210" t="s">
        <v>301</v>
      </c>
      <c r="D18" s="209" t="s">
        <v>303</v>
      </c>
      <c r="E18" s="209">
        <v>1</v>
      </c>
      <c r="F18" s="378" t="s">
        <v>309</v>
      </c>
      <c r="G18" s="210">
        <v>1.1499999999999999</v>
      </c>
      <c r="H18" s="210">
        <v>0.36</v>
      </c>
      <c r="I18" s="377">
        <v>0</v>
      </c>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row>
    <row r="19" spans="1:234" x14ac:dyDescent="0.3">
      <c r="D19" s="45"/>
      <c r="E19" s="45"/>
      <c r="F19" s="156"/>
      <c r="I19" s="48"/>
    </row>
    <row r="20" spans="1:234" s="210" customFormat="1" x14ac:dyDescent="0.3">
      <c r="A20" s="375" t="s">
        <v>148</v>
      </c>
      <c r="B20" s="210">
        <v>0.04</v>
      </c>
      <c r="C20" s="210" t="s">
        <v>301</v>
      </c>
      <c r="D20" s="209" t="s">
        <v>302</v>
      </c>
      <c r="E20" s="209">
        <v>1</v>
      </c>
      <c r="F20" s="378" t="s">
        <v>308</v>
      </c>
      <c r="G20" s="210">
        <v>0.09</v>
      </c>
      <c r="H20" s="210">
        <v>0.41</v>
      </c>
      <c r="I20" s="377">
        <v>0</v>
      </c>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row>
    <row r="21" spans="1:234" x14ac:dyDescent="0.3">
      <c r="D21" s="45"/>
      <c r="E21" s="45"/>
      <c r="F21" s="156"/>
      <c r="I21" s="48"/>
    </row>
    <row r="22" spans="1:234" s="210" customFormat="1" x14ac:dyDescent="0.3">
      <c r="A22" s="375" t="s">
        <v>149</v>
      </c>
      <c r="B22" s="210">
        <v>0.03</v>
      </c>
      <c r="C22" s="210" t="s">
        <v>298</v>
      </c>
      <c r="D22" s="210" t="s">
        <v>306</v>
      </c>
      <c r="E22" s="379">
        <v>1</v>
      </c>
      <c r="F22" s="210" t="s">
        <v>1</v>
      </c>
      <c r="G22" s="210">
        <v>0</v>
      </c>
      <c r="H22" s="210">
        <v>0.61</v>
      </c>
      <c r="I22" s="377">
        <v>1.2</v>
      </c>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row>
    <row r="23" spans="1:234" x14ac:dyDescent="0.3">
      <c r="E23" s="169"/>
      <c r="I23" s="48"/>
    </row>
    <row r="24" spans="1:234" s="210" customFormat="1" x14ac:dyDescent="0.3">
      <c r="A24" s="375" t="s">
        <v>1462</v>
      </c>
      <c r="B24" s="210">
        <v>0.02</v>
      </c>
      <c r="C24" s="210" t="s">
        <v>301</v>
      </c>
      <c r="D24" s="209" t="s">
        <v>303</v>
      </c>
      <c r="E24" s="209">
        <v>0.5</v>
      </c>
      <c r="F24" s="210" t="s">
        <v>307</v>
      </c>
      <c r="G24" s="210">
        <v>0.81</v>
      </c>
      <c r="H24" s="210">
        <v>0.1</v>
      </c>
      <c r="I24" s="377">
        <v>0</v>
      </c>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row>
    <row r="25" spans="1:234" x14ac:dyDescent="0.3">
      <c r="C25" s="38" t="s">
        <v>301</v>
      </c>
      <c r="D25" s="45" t="s">
        <v>589</v>
      </c>
      <c r="E25" s="45">
        <v>0.5</v>
      </c>
      <c r="F25" s="38" t="s">
        <v>307</v>
      </c>
      <c r="G25" s="38">
        <v>0.41</v>
      </c>
      <c r="H25" s="38">
        <v>0.1</v>
      </c>
      <c r="I25" s="48">
        <v>0</v>
      </c>
    </row>
    <row r="26" spans="1:234" s="210" customFormat="1" x14ac:dyDescent="0.3">
      <c r="A26" s="375" t="s">
        <v>264</v>
      </c>
      <c r="B26" s="210">
        <v>0.02</v>
      </c>
      <c r="C26" s="210" t="s">
        <v>298</v>
      </c>
      <c r="D26" s="210" t="s">
        <v>306</v>
      </c>
      <c r="E26" s="379">
        <v>1</v>
      </c>
      <c r="F26" s="210" t="s">
        <v>7</v>
      </c>
      <c r="G26" s="210">
        <v>0</v>
      </c>
      <c r="H26" s="210">
        <v>0.34</v>
      </c>
      <c r="I26" s="377">
        <v>1.8</v>
      </c>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row>
    <row r="27" spans="1:234" x14ac:dyDescent="0.3">
      <c r="E27" s="169"/>
      <c r="I27" s="48"/>
    </row>
    <row r="28" spans="1:234" s="210" customFormat="1" x14ac:dyDescent="0.3">
      <c r="A28" s="375" t="s">
        <v>150</v>
      </c>
      <c r="B28" s="210">
        <v>0.02</v>
      </c>
      <c r="C28" s="210" t="s">
        <v>301</v>
      </c>
      <c r="D28" s="209" t="s">
        <v>303</v>
      </c>
      <c r="E28" s="379">
        <v>0.5</v>
      </c>
      <c r="F28" s="378" t="s">
        <v>304</v>
      </c>
      <c r="G28" s="210">
        <v>2.71</v>
      </c>
      <c r="H28" s="210">
        <v>0.49</v>
      </c>
      <c r="I28" s="377">
        <v>0</v>
      </c>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row>
    <row r="29" spans="1:234" x14ac:dyDescent="0.3">
      <c r="C29" s="38" t="s">
        <v>301</v>
      </c>
      <c r="D29" s="45" t="s">
        <v>305</v>
      </c>
      <c r="E29" s="45">
        <v>0.5</v>
      </c>
      <c r="F29" s="156" t="s">
        <v>304</v>
      </c>
      <c r="G29" s="38">
        <v>2.71</v>
      </c>
      <c r="H29" s="38">
        <v>0.49</v>
      </c>
      <c r="I29" s="48">
        <v>0</v>
      </c>
    </row>
    <row r="30" spans="1:234" s="210" customFormat="1" x14ac:dyDescent="0.3">
      <c r="A30" s="375" t="s">
        <v>263</v>
      </c>
      <c r="B30" s="210">
        <v>0.01</v>
      </c>
      <c r="C30" s="210" t="s">
        <v>301</v>
      </c>
      <c r="D30" s="209" t="s">
        <v>303</v>
      </c>
      <c r="E30" s="209">
        <v>0.5</v>
      </c>
      <c r="F30" s="378" t="s">
        <v>265</v>
      </c>
      <c r="G30" s="210">
        <v>0.67</v>
      </c>
      <c r="H30" s="210">
        <v>0.53</v>
      </c>
      <c r="I30" s="377">
        <v>0</v>
      </c>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row>
    <row r="31" spans="1:234" x14ac:dyDescent="0.3">
      <c r="C31" s="38" t="s">
        <v>301</v>
      </c>
      <c r="D31" s="45" t="s">
        <v>302</v>
      </c>
      <c r="E31" s="45">
        <v>0.5</v>
      </c>
      <c r="F31" s="156" t="s">
        <v>265</v>
      </c>
      <c r="G31" s="38">
        <v>0.68</v>
      </c>
      <c r="H31" s="38">
        <v>0.53</v>
      </c>
      <c r="I31" s="48">
        <v>0</v>
      </c>
    </row>
    <row r="32" spans="1:234" s="210" customFormat="1" x14ac:dyDescent="0.3">
      <c r="A32" s="210" t="s">
        <v>299</v>
      </c>
      <c r="B32" s="210">
        <v>0.06</v>
      </c>
      <c r="C32" s="210" t="s">
        <v>301</v>
      </c>
      <c r="D32" s="209" t="s">
        <v>300</v>
      </c>
      <c r="E32" s="210">
        <v>1</v>
      </c>
      <c r="F32" s="378" t="s">
        <v>67</v>
      </c>
      <c r="G32" s="209" t="s">
        <v>300</v>
      </c>
      <c r="H32" s="209" t="s">
        <v>300</v>
      </c>
      <c r="I32" s="380">
        <v>0</v>
      </c>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row>
    <row r="33" spans="1:234" x14ac:dyDescent="0.3">
      <c r="A33" s="38"/>
      <c r="D33" s="45"/>
      <c r="F33" s="156"/>
      <c r="G33" s="45"/>
      <c r="H33" s="45"/>
      <c r="I33" s="168"/>
    </row>
    <row r="34" spans="1:234" s="210" customFormat="1" x14ac:dyDescent="0.3">
      <c r="A34" s="381" t="s">
        <v>299</v>
      </c>
      <c r="B34" s="381">
        <v>0.02</v>
      </c>
      <c r="C34" s="382" t="s">
        <v>298</v>
      </c>
      <c r="D34" s="383" t="s">
        <v>297</v>
      </c>
      <c r="E34" s="381">
        <v>1</v>
      </c>
      <c r="F34" s="384" t="s">
        <v>67</v>
      </c>
      <c r="G34" s="383" t="s">
        <v>297</v>
      </c>
      <c r="H34" s="383" t="s">
        <v>297</v>
      </c>
      <c r="I34" s="385" t="s">
        <v>297</v>
      </c>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row>
    <row r="35" spans="1:234" x14ac:dyDescent="0.3">
      <c r="A35" s="514" t="s">
        <v>313</v>
      </c>
      <c r="I35" s="156"/>
    </row>
    <row r="36" spans="1:234" x14ac:dyDescent="0.3">
      <c r="A36" s="514" t="s">
        <v>750</v>
      </c>
      <c r="I36" s="156"/>
    </row>
    <row r="37" spans="1:234" x14ac:dyDescent="0.3">
      <c r="A37" s="158" t="s">
        <v>749</v>
      </c>
      <c r="I37" s="156"/>
    </row>
    <row r="38" spans="1:234" x14ac:dyDescent="0.3">
      <c r="A38" s="158" t="s">
        <v>751</v>
      </c>
      <c r="I38" s="156"/>
    </row>
    <row r="39" spans="1:234" x14ac:dyDescent="0.3">
      <c r="A39" s="117" t="s">
        <v>1463</v>
      </c>
      <c r="I39" s="156"/>
    </row>
    <row r="40" spans="1:234" x14ac:dyDescent="0.3">
      <c r="A40" s="38"/>
      <c r="I40" s="156"/>
    </row>
    <row r="41" spans="1:234" x14ac:dyDescent="0.3">
      <c r="A41" s="68" t="s">
        <v>1007</v>
      </c>
    </row>
    <row r="42" spans="1:234" x14ac:dyDescent="0.3">
      <c r="A42" s="46" t="s">
        <v>296</v>
      </c>
      <c r="B42" s="558">
        <v>3.2255913184966292</v>
      </c>
      <c r="C42" s="68" t="s">
        <v>188</v>
      </c>
    </row>
    <row r="43" spans="1:234" x14ac:dyDescent="0.3">
      <c r="A43" s="66" t="s">
        <v>295</v>
      </c>
      <c r="B43" s="163">
        <v>1.4288281881064493E-3</v>
      </c>
      <c r="C43" s="42" t="s">
        <v>727</v>
      </c>
    </row>
    <row r="44" spans="1:234" x14ac:dyDescent="0.3">
      <c r="A44" s="70" t="s">
        <v>294</v>
      </c>
      <c r="B44" s="162">
        <v>8.667289633473556E-5</v>
      </c>
    </row>
    <row r="45" spans="1:234" x14ac:dyDescent="0.3">
      <c r="A45" s="117" t="s">
        <v>1006</v>
      </c>
      <c r="D45" s="33"/>
    </row>
    <row r="46" spans="1:234" x14ac:dyDescent="0.3">
      <c r="A46" s="117"/>
      <c r="D46" s="33"/>
    </row>
    <row r="47" spans="1:234" x14ac:dyDescent="0.3">
      <c r="A47" s="161" t="s">
        <v>293</v>
      </c>
    </row>
    <row r="48" spans="1:234" x14ac:dyDescent="0.3">
      <c r="A48" s="46"/>
      <c r="B48" s="73" t="s">
        <v>761</v>
      </c>
      <c r="C48" s="95" t="s">
        <v>762</v>
      </c>
      <c r="D48" s="68" t="s">
        <v>188</v>
      </c>
    </row>
    <row r="49" spans="1:6" x14ac:dyDescent="0.3">
      <c r="A49" s="70" t="s">
        <v>292</v>
      </c>
      <c r="B49" s="71">
        <f>0.023*10^-3</f>
        <v>2.3E-5</v>
      </c>
      <c r="C49" s="49">
        <f>0.24*10^-3</f>
        <v>2.4000000000000001E-4</v>
      </c>
      <c r="D49" s="117" t="s">
        <v>268</v>
      </c>
    </row>
    <row r="50" spans="1:6" x14ac:dyDescent="0.3">
      <c r="A50" s="9" t="s">
        <v>763</v>
      </c>
    </row>
    <row r="51" spans="1:6" x14ac:dyDescent="0.3">
      <c r="A51" s="9" t="s">
        <v>764</v>
      </c>
    </row>
    <row r="52" spans="1:6" x14ac:dyDescent="0.3">
      <c r="A52" s="9" t="s">
        <v>752</v>
      </c>
    </row>
    <row r="53" spans="1:6" x14ac:dyDescent="0.3">
      <c r="A53" s="38"/>
    </row>
    <row r="54" spans="1:6" x14ac:dyDescent="0.3">
      <c r="A54" s="165" t="s">
        <v>291</v>
      </c>
    </row>
    <row r="55" spans="1:6" x14ac:dyDescent="0.3">
      <c r="A55" s="46"/>
      <c r="B55" s="73" t="s">
        <v>6</v>
      </c>
      <c r="C55" s="73" t="s">
        <v>281</v>
      </c>
      <c r="D55" s="73" t="s">
        <v>264</v>
      </c>
      <c r="E55" s="47"/>
      <c r="F55" s="68" t="s">
        <v>188</v>
      </c>
    </row>
    <row r="56" spans="1:6" x14ac:dyDescent="0.3">
      <c r="A56" s="161" t="s">
        <v>290</v>
      </c>
      <c r="B56" s="37">
        <v>0.09</v>
      </c>
      <c r="C56" s="37">
        <v>0.09</v>
      </c>
      <c r="D56" s="37">
        <v>0.05</v>
      </c>
      <c r="E56" s="48" t="s">
        <v>289</v>
      </c>
      <c r="F56" s="158" t="s">
        <v>753</v>
      </c>
    </row>
    <row r="57" spans="1:6" x14ac:dyDescent="0.3">
      <c r="A57" s="75" t="s">
        <v>288</v>
      </c>
      <c r="B57" s="58">
        <v>0.11</v>
      </c>
      <c r="C57" s="58">
        <v>0.11</v>
      </c>
      <c r="D57" s="58">
        <v>0.05</v>
      </c>
      <c r="E57" s="59" t="s">
        <v>289</v>
      </c>
    </row>
    <row r="58" spans="1:6" x14ac:dyDescent="0.3">
      <c r="A58" s="158" t="s">
        <v>755</v>
      </c>
      <c r="B58" s="164"/>
      <c r="C58" s="164"/>
    </row>
    <row r="59" spans="1:6" x14ac:dyDescent="0.3">
      <c r="A59" s="158"/>
      <c r="B59" s="164"/>
      <c r="C59" s="164"/>
    </row>
    <row r="60" spans="1:6" x14ac:dyDescent="0.3">
      <c r="A60" s="165" t="s">
        <v>1564</v>
      </c>
      <c r="B60" s="164"/>
      <c r="C60" s="164"/>
    </row>
    <row r="61" spans="1:6" x14ac:dyDescent="0.3">
      <c r="A61" s="46"/>
      <c r="B61" s="73" t="s">
        <v>6</v>
      </c>
      <c r="C61" s="73" t="s">
        <v>281</v>
      </c>
      <c r="D61" s="73" t="s">
        <v>264</v>
      </c>
      <c r="E61" s="47"/>
      <c r="F61" s="68" t="s">
        <v>188</v>
      </c>
    </row>
    <row r="62" spans="1:6" x14ac:dyDescent="0.3">
      <c r="A62" s="161" t="s">
        <v>287</v>
      </c>
      <c r="B62" s="164"/>
      <c r="C62" s="164"/>
      <c r="E62" s="48"/>
      <c r="F62" s="158" t="s">
        <v>1562</v>
      </c>
    </row>
    <row r="63" spans="1:6" x14ac:dyDescent="0.3">
      <c r="B63" s="86">
        <v>0.9888912653304982</v>
      </c>
      <c r="C63" s="86">
        <v>0.9888912653304982</v>
      </c>
      <c r="D63" s="86">
        <v>0.64277932246482383</v>
      </c>
      <c r="E63" s="48" t="s">
        <v>285</v>
      </c>
      <c r="F63" s="158" t="s">
        <v>1563</v>
      </c>
    </row>
    <row r="64" spans="1:6" x14ac:dyDescent="0.3">
      <c r="B64" s="86">
        <v>2.2632269631856647E-4</v>
      </c>
      <c r="C64" s="86">
        <v>2.2632269631856647E-4</v>
      </c>
      <c r="D64" s="86">
        <v>1.471097526070682E-4</v>
      </c>
      <c r="E64" s="48" t="s">
        <v>284</v>
      </c>
    </row>
    <row r="65" spans="1:5" x14ac:dyDescent="0.3">
      <c r="B65" s="86">
        <v>9.5451956118274017E-4</v>
      </c>
      <c r="C65" s="86">
        <v>9.5451956118274017E-4</v>
      </c>
      <c r="D65" s="86">
        <v>6.2043771476878111E-4</v>
      </c>
      <c r="E65" s="48" t="s">
        <v>283</v>
      </c>
    </row>
    <row r="66" spans="1:5" x14ac:dyDescent="0.3">
      <c r="A66" s="161" t="s">
        <v>286</v>
      </c>
      <c r="B66" s="86"/>
      <c r="D66" s="86"/>
      <c r="E66" s="48"/>
    </row>
    <row r="67" spans="1:5" x14ac:dyDescent="0.3">
      <c r="B67" s="86">
        <v>0</v>
      </c>
      <c r="C67" s="86">
        <v>0</v>
      </c>
      <c r="D67" s="86">
        <v>0</v>
      </c>
      <c r="E67" s="48" t="s">
        <v>285</v>
      </c>
    </row>
    <row r="68" spans="1:5" x14ac:dyDescent="0.3">
      <c r="B68" s="86">
        <v>0</v>
      </c>
      <c r="C68" s="86">
        <v>0</v>
      </c>
      <c r="D68" s="86">
        <v>0</v>
      </c>
      <c r="E68" s="48" t="s">
        <v>284</v>
      </c>
    </row>
    <row r="69" spans="1:5" x14ac:dyDescent="0.3">
      <c r="A69" s="70"/>
      <c r="B69" s="87">
        <v>2.412640717322868E-3</v>
      </c>
      <c r="C69" s="87">
        <v>2.412640717322868E-3</v>
      </c>
      <c r="D69" s="87">
        <v>1.5682164662598644E-3</v>
      </c>
      <c r="E69" s="49" t="s">
        <v>283</v>
      </c>
    </row>
    <row r="70" spans="1:5" x14ac:dyDescent="0.3">
      <c r="A70" s="38"/>
    </row>
    <row r="71" spans="1:5" x14ac:dyDescent="0.3">
      <c r="A71" s="68" t="s">
        <v>282</v>
      </c>
    </row>
    <row r="72" spans="1:5" x14ac:dyDescent="0.3">
      <c r="A72" s="46"/>
      <c r="B72" s="73" t="s">
        <v>6</v>
      </c>
      <c r="C72" s="73" t="s">
        <v>281</v>
      </c>
      <c r="D72" s="95" t="s">
        <v>264</v>
      </c>
      <c r="E72" s="68" t="s">
        <v>188</v>
      </c>
    </row>
    <row r="73" spans="1:5" x14ac:dyDescent="0.3">
      <c r="A73" s="66" t="s">
        <v>280</v>
      </c>
      <c r="B73" s="86">
        <v>0.12</v>
      </c>
      <c r="C73" s="86">
        <v>0.12</v>
      </c>
      <c r="D73" s="163">
        <v>2.2000000000000001E-3</v>
      </c>
      <c r="E73" s="158" t="s">
        <v>756</v>
      </c>
    </row>
    <row r="74" spans="1:5" x14ac:dyDescent="0.3">
      <c r="A74" s="66" t="s">
        <v>279</v>
      </c>
      <c r="B74" s="86">
        <v>0.19</v>
      </c>
      <c r="C74" s="86">
        <v>0.19</v>
      </c>
      <c r="D74" s="163">
        <v>7.2999999999999995E-2</v>
      </c>
    </row>
    <row r="75" spans="1:5" x14ac:dyDescent="0.3">
      <c r="A75" s="66" t="s">
        <v>278</v>
      </c>
      <c r="B75" s="86">
        <v>0.247</v>
      </c>
      <c r="C75" s="86">
        <v>0.247</v>
      </c>
      <c r="D75" s="163">
        <v>0.379</v>
      </c>
    </row>
    <row r="76" spans="1:5" x14ac:dyDescent="0.3">
      <c r="A76" s="66" t="s">
        <v>277</v>
      </c>
      <c r="B76" s="86">
        <v>0.127</v>
      </c>
      <c r="C76" s="86">
        <v>0.127</v>
      </c>
      <c r="D76" s="163">
        <v>0</v>
      </c>
    </row>
    <row r="77" spans="1:5" x14ac:dyDescent="0.3">
      <c r="A77" s="66" t="s">
        <v>276</v>
      </c>
      <c r="B77" s="86">
        <v>6.2E-2</v>
      </c>
      <c r="C77" s="86">
        <v>6.2E-2</v>
      </c>
      <c r="D77" s="163">
        <v>0</v>
      </c>
    </row>
    <row r="78" spans="1:5" x14ac:dyDescent="0.3">
      <c r="A78" s="66" t="s">
        <v>275</v>
      </c>
      <c r="B78" s="86">
        <v>2.1000000000000001E-2</v>
      </c>
      <c r="C78" s="86">
        <v>2.1000000000000001E-2</v>
      </c>
      <c r="D78" s="163">
        <v>0</v>
      </c>
    </row>
    <row r="79" spans="1:5" x14ac:dyDescent="0.3">
      <c r="A79" s="66" t="s">
        <v>18</v>
      </c>
      <c r="B79" s="86">
        <v>0.19</v>
      </c>
      <c r="C79" s="86">
        <v>0.19</v>
      </c>
      <c r="D79" s="163">
        <v>0</v>
      </c>
    </row>
    <row r="80" spans="1:5" x14ac:dyDescent="0.3">
      <c r="A80" s="66" t="s">
        <v>274</v>
      </c>
      <c r="B80" s="86">
        <v>2.6999999999999996E-2</v>
      </c>
      <c r="C80" s="86">
        <v>2.6999999999999996E-2</v>
      </c>
      <c r="D80" s="163">
        <v>0</v>
      </c>
    </row>
    <row r="81" spans="1:9" x14ac:dyDescent="0.3">
      <c r="A81" s="66" t="s">
        <v>273</v>
      </c>
      <c r="B81" s="86">
        <v>0</v>
      </c>
      <c r="C81" s="86">
        <v>0</v>
      </c>
      <c r="D81" s="163">
        <v>0.32</v>
      </c>
    </row>
    <row r="82" spans="1:9" x14ac:dyDescent="0.3">
      <c r="A82" s="66" t="s">
        <v>272</v>
      </c>
      <c r="B82" s="86">
        <v>0</v>
      </c>
      <c r="C82" s="86">
        <v>0</v>
      </c>
      <c r="D82" s="163">
        <v>0.13500000000000001</v>
      </c>
    </row>
    <row r="83" spans="1:9" x14ac:dyDescent="0.3">
      <c r="A83" s="66" t="s">
        <v>110</v>
      </c>
      <c r="B83" s="86">
        <v>0</v>
      </c>
      <c r="C83" s="86">
        <v>0</v>
      </c>
      <c r="D83" s="163">
        <v>5.800000000000001E-2</v>
      </c>
    </row>
    <row r="84" spans="1:9" x14ac:dyDescent="0.3">
      <c r="A84" s="70" t="s">
        <v>271</v>
      </c>
      <c r="B84" s="87">
        <v>1.5999999999999945E-2</v>
      </c>
      <c r="C84" s="87">
        <v>1.5999999999999945E-2</v>
      </c>
      <c r="D84" s="162">
        <v>3.2799999999999954E-2</v>
      </c>
    </row>
    <row r="85" spans="1:9" x14ac:dyDescent="0.3">
      <c r="A85" s="158" t="s">
        <v>755</v>
      </c>
    </row>
    <row r="86" spans="1:9" x14ac:dyDescent="0.3">
      <c r="A86" s="158" t="s">
        <v>1561</v>
      </c>
    </row>
    <row r="87" spans="1:9" x14ac:dyDescent="0.3">
      <c r="A87" s="158"/>
    </row>
    <row r="88" spans="1:9" x14ac:dyDescent="0.3">
      <c r="A88" s="161" t="s">
        <v>270</v>
      </c>
    </row>
    <row r="89" spans="1:9" x14ac:dyDescent="0.3">
      <c r="A89" s="160" t="s">
        <v>269</v>
      </c>
      <c r="B89" s="159">
        <v>0.62</v>
      </c>
      <c r="C89" s="68" t="s">
        <v>188</v>
      </c>
    </row>
    <row r="90" spans="1:9" x14ac:dyDescent="0.3">
      <c r="C90" s="38" t="s">
        <v>268</v>
      </c>
    </row>
    <row r="91" spans="1:9" x14ac:dyDescent="0.3">
      <c r="A91" s="120" t="s">
        <v>267</v>
      </c>
    </row>
    <row r="92" spans="1:9" x14ac:dyDescent="0.3">
      <c r="A92" s="46"/>
      <c r="B92" s="69" t="s">
        <v>8</v>
      </c>
      <c r="C92" s="69" t="s">
        <v>266</v>
      </c>
      <c r="D92" s="69" t="s">
        <v>9</v>
      </c>
      <c r="E92" s="69" t="s">
        <v>265</v>
      </c>
      <c r="F92" s="69" t="s">
        <v>11</v>
      </c>
      <c r="G92" s="69" t="s">
        <v>7</v>
      </c>
      <c r="H92" s="74" t="s">
        <v>12</v>
      </c>
      <c r="I92" s="68" t="s">
        <v>188</v>
      </c>
    </row>
    <row r="93" spans="1:9" x14ac:dyDescent="0.3">
      <c r="A93" s="66" t="s">
        <v>6</v>
      </c>
      <c r="B93" s="38">
        <v>1</v>
      </c>
      <c r="H93" s="48"/>
      <c r="I93" s="158" t="s">
        <v>1194</v>
      </c>
    </row>
    <row r="94" spans="1:9" x14ac:dyDescent="0.3">
      <c r="A94" s="66" t="s">
        <v>143</v>
      </c>
      <c r="B94" s="38">
        <v>0.86</v>
      </c>
      <c r="C94" s="38">
        <v>0.01</v>
      </c>
      <c r="D94" s="38">
        <v>0.13</v>
      </c>
      <c r="H94" s="48"/>
    </row>
    <row r="95" spans="1:9" x14ac:dyDescent="0.3">
      <c r="A95" s="66" t="s">
        <v>144</v>
      </c>
      <c r="B95" s="38">
        <v>1</v>
      </c>
      <c r="H95" s="48"/>
    </row>
    <row r="96" spans="1:9" x14ac:dyDescent="0.3">
      <c r="A96" s="66" t="s">
        <v>145</v>
      </c>
      <c r="B96" s="38">
        <v>0.77</v>
      </c>
      <c r="C96" s="38">
        <v>0.23</v>
      </c>
      <c r="H96" s="48"/>
    </row>
    <row r="97" spans="1:10" x14ac:dyDescent="0.3">
      <c r="A97" s="66" t="s">
        <v>146</v>
      </c>
      <c r="B97" s="38">
        <v>1</v>
      </c>
      <c r="H97" s="48"/>
    </row>
    <row r="98" spans="1:10" x14ac:dyDescent="0.3">
      <c r="A98" s="66" t="s">
        <v>147</v>
      </c>
      <c r="B98" s="38">
        <v>1</v>
      </c>
      <c r="H98" s="48"/>
    </row>
    <row r="99" spans="1:10" x14ac:dyDescent="0.3">
      <c r="A99" s="66" t="s">
        <v>148</v>
      </c>
      <c r="B99" s="38">
        <v>0.19</v>
      </c>
      <c r="C99" s="38">
        <v>0.2</v>
      </c>
      <c r="D99" s="38">
        <v>0.42</v>
      </c>
      <c r="F99" s="38">
        <v>0.18</v>
      </c>
      <c r="H99" s="48">
        <v>0.01</v>
      </c>
    </row>
    <row r="100" spans="1:10" x14ac:dyDescent="0.3">
      <c r="A100" s="66" t="s">
        <v>149</v>
      </c>
      <c r="B100" s="38">
        <v>1</v>
      </c>
      <c r="H100" s="48"/>
    </row>
    <row r="101" spans="1:10" x14ac:dyDescent="0.3">
      <c r="A101" s="66" t="s">
        <v>1462</v>
      </c>
      <c r="B101" s="38">
        <v>1</v>
      </c>
      <c r="H101" s="48"/>
    </row>
    <row r="102" spans="1:10" x14ac:dyDescent="0.3">
      <c r="A102" s="66" t="s">
        <v>264</v>
      </c>
      <c r="B102" s="38">
        <v>0.04</v>
      </c>
      <c r="C102" s="38">
        <v>0.09</v>
      </c>
      <c r="G102" s="38">
        <v>0.87</v>
      </c>
      <c r="H102" s="48"/>
    </row>
    <row r="103" spans="1:10" x14ac:dyDescent="0.3">
      <c r="A103" s="66" t="s">
        <v>150</v>
      </c>
      <c r="B103" s="38">
        <v>0.48</v>
      </c>
      <c r="C103" s="38">
        <v>0.52</v>
      </c>
      <c r="H103" s="48"/>
    </row>
    <row r="104" spans="1:10" x14ac:dyDescent="0.3">
      <c r="A104" s="70" t="s">
        <v>263</v>
      </c>
      <c r="B104" s="87">
        <v>0.1</v>
      </c>
      <c r="C104" s="87">
        <v>2.4E-2</v>
      </c>
      <c r="D104" s="87">
        <v>0.52400000000000002</v>
      </c>
      <c r="E104" s="87">
        <v>0.314</v>
      </c>
      <c r="F104" s="87"/>
      <c r="G104" s="87"/>
      <c r="H104" s="162">
        <v>3.7999999999999999E-2</v>
      </c>
    </row>
    <row r="105" spans="1:10" x14ac:dyDescent="0.3">
      <c r="A105" s="38"/>
    </row>
    <row r="106" spans="1:10" x14ac:dyDescent="0.3">
      <c r="A106" s="624" t="s">
        <v>460</v>
      </c>
      <c r="B106" s="69" t="s">
        <v>413</v>
      </c>
      <c r="C106" s="69" t="s">
        <v>70</v>
      </c>
      <c r="D106" s="69" t="s">
        <v>9</v>
      </c>
      <c r="E106" s="69" t="s">
        <v>265</v>
      </c>
      <c r="F106" s="69" t="s">
        <v>11</v>
      </c>
      <c r="G106" s="69" t="s">
        <v>7</v>
      </c>
      <c r="H106" s="74" t="s">
        <v>67</v>
      </c>
      <c r="I106" s="68" t="s">
        <v>188</v>
      </c>
      <c r="J106" s="45"/>
    </row>
    <row r="107" spans="1:10" x14ac:dyDescent="0.3">
      <c r="A107" s="66" t="s">
        <v>6</v>
      </c>
      <c r="B107" s="38">
        <v>1</v>
      </c>
      <c r="H107" s="48"/>
      <c r="I107" s="158" t="s">
        <v>1194</v>
      </c>
    </row>
    <row r="108" spans="1:10" x14ac:dyDescent="0.3">
      <c r="A108" s="66" t="s">
        <v>143</v>
      </c>
      <c r="B108" s="38">
        <v>0.82</v>
      </c>
      <c r="C108" s="38">
        <v>0.05</v>
      </c>
      <c r="D108" s="38">
        <v>0.13</v>
      </c>
      <c r="H108" s="48"/>
    </row>
    <row r="109" spans="1:10" x14ac:dyDescent="0.3">
      <c r="A109" s="66" t="s">
        <v>144</v>
      </c>
      <c r="B109" s="38">
        <v>1</v>
      </c>
      <c r="H109" s="48"/>
    </row>
    <row r="110" spans="1:10" x14ac:dyDescent="0.3">
      <c r="A110" s="66" t="s">
        <v>145</v>
      </c>
      <c r="B110" s="38">
        <v>0.77</v>
      </c>
      <c r="C110" s="38">
        <v>0.23</v>
      </c>
      <c r="F110" s="237"/>
      <c r="H110" s="48"/>
      <c r="J110" s="45"/>
    </row>
    <row r="111" spans="1:10" x14ac:dyDescent="0.3">
      <c r="A111" s="66" t="s">
        <v>146</v>
      </c>
      <c r="B111" s="38">
        <v>1</v>
      </c>
      <c r="H111" s="48"/>
      <c r="J111" s="169"/>
    </row>
    <row r="112" spans="1:10" x14ac:dyDescent="0.3">
      <c r="A112" s="66" t="s">
        <v>147</v>
      </c>
      <c r="B112" s="38">
        <v>1</v>
      </c>
      <c r="H112" s="48"/>
      <c r="I112" s="164"/>
      <c r="J112" s="45"/>
    </row>
    <row r="113" spans="1:10" x14ac:dyDescent="0.3">
      <c r="A113" s="66" t="s">
        <v>148</v>
      </c>
      <c r="D113" s="38">
        <v>0.42</v>
      </c>
      <c r="F113" s="38">
        <v>0.57999999999999996</v>
      </c>
      <c r="H113" s="48"/>
      <c r="J113" s="169"/>
    </row>
    <row r="114" spans="1:10" x14ac:dyDescent="0.3">
      <c r="A114" s="66" t="s">
        <v>149</v>
      </c>
      <c r="B114" s="38">
        <v>1</v>
      </c>
      <c r="H114" s="48"/>
      <c r="I114" s="164"/>
      <c r="J114" s="45"/>
    </row>
    <row r="115" spans="1:10" x14ac:dyDescent="0.3">
      <c r="A115" s="66" t="s">
        <v>1462</v>
      </c>
      <c r="B115" s="38">
        <v>1</v>
      </c>
      <c r="H115" s="48"/>
      <c r="J115" s="169"/>
    </row>
    <row r="116" spans="1:10" x14ac:dyDescent="0.3">
      <c r="A116" s="66" t="s">
        <v>264</v>
      </c>
      <c r="G116" s="38">
        <v>1</v>
      </c>
      <c r="H116" s="48"/>
      <c r="J116" s="169"/>
    </row>
    <row r="117" spans="1:10" x14ac:dyDescent="0.3">
      <c r="A117" s="66" t="s">
        <v>150</v>
      </c>
      <c r="B117" s="38">
        <v>0.34</v>
      </c>
      <c r="C117" s="38">
        <v>0.66</v>
      </c>
      <c r="H117" s="48"/>
      <c r="J117" s="169"/>
    </row>
    <row r="118" spans="1:10" x14ac:dyDescent="0.3">
      <c r="A118" s="70" t="s">
        <v>263</v>
      </c>
      <c r="B118" s="71"/>
      <c r="C118" s="71"/>
      <c r="D118" s="71"/>
      <c r="E118" s="71">
        <v>1</v>
      </c>
      <c r="F118" s="71"/>
      <c r="G118" s="71"/>
      <c r="H118" s="49"/>
      <c r="J118" s="45"/>
    </row>
    <row r="119" spans="1:10" x14ac:dyDescent="0.3">
      <c r="A119" s="9" t="s">
        <v>1008</v>
      </c>
      <c r="J119" s="45"/>
    </row>
    <row r="120" spans="1:10" x14ac:dyDescent="0.3">
      <c r="A120" s="38"/>
      <c r="J120" s="45"/>
    </row>
    <row r="121" spans="1:10" x14ac:dyDescent="0.3">
      <c r="A121" s="38"/>
      <c r="I121" s="164"/>
      <c r="J121" s="45"/>
    </row>
    <row r="122" spans="1:10" x14ac:dyDescent="0.3">
      <c r="A122" s="38"/>
    </row>
    <row r="123" spans="1:10" x14ac:dyDescent="0.3">
      <c r="A123" s="50"/>
      <c r="C123" s="45"/>
      <c r="D123" s="45"/>
      <c r="F123" s="50"/>
      <c r="I123" s="156"/>
    </row>
    <row r="124" spans="1:10" x14ac:dyDescent="0.3">
      <c r="I124" s="94"/>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EJ165"/>
  <sheetViews>
    <sheetView zoomScale="60" zoomScaleNormal="60" workbookViewId="0"/>
  </sheetViews>
  <sheetFormatPr defaultRowHeight="14.4" x14ac:dyDescent="0.3"/>
  <cols>
    <col min="1" max="1" width="25.21875" style="38" customWidth="1"/>
    <col min="2" max="2" width="28.5546875" style="38" customWidth="1"/>
    <col min="3" max="3" width="19.6640625" style="38" customWidth="1"/>
    <col min="4" max="4" width="13.6640625" style="38" bestFit="1" customWidth="1"/>
    <col min="5" max="5" width="11.33203125" style="38" bestFit="1" customWidth="1"/>
    <col min="6" max="6" width="23.6640625" style="38" bestFit="1" customWidth="1"/>
    <col min="7" max="7" width="21.6640625" style="38" bestFit="1" customWidth="1"/>
    <col min="8" max="8" width="24.109375" style="38" bestFit="1" customWidth="1"/>
    <col min="9" max="10" width="12.6640625" bestFit="1" customWidth="1"/>
    <col min="11" max="11" width="38.33203125" style="599" bestFit="1" customWidth="1"/>
    <col min="12" max="12" width="17.88671875" bestFit="1" customWidth="1"/>
    <col min="13" max="14" width="12.6640625" bestFit="1" customWidth="1"/>
    <col min="15" max="15" width="11.6640625" customWidth="1"/>
    <col min="16" max="16" width="16" customWidth="1"/>
    <col min="17" max="17" width="10.77734375" customWidth="1"/>
    <col min="22" max="23" width="10.44140625" bestFit="1" customWidth="1"/>
    <col min="24" max="24" width="12.33203125" bestFit="1" customWidth="1"/>
    <col min="25" max="25" width="10.88671875" bestFit="1" customWidth="1"/>
    <col min="26" max="26" width="11.33203125" bestFit="1" customWidth="1"/>
    <col min="27" max="27" width="12.33203125" bestFit="1" customWidth="1"/>
    <col min="28" max="30" width="12.6640625" bestFit="1" customWidth="1"/>
    <col min="31" max="32" width="10.44140625" bestFit="1" customWidth="1"/>
  </cols>
  <sheetData>
    <row r="1" spans="1:140" ht="23.4" x14ac:dyDescent="0.3">
      <c r="A1" s="433" t="s">
        <v>641</v>
      </c>
    </row>
    <row r="2" spans="1:140" x14ac:dyDescent="0.3">
      <c r="J2" s="235" t="s">
        <v>188</v>
      </c>
    </row>
    <row r="3" spans="1:140" ht="82.8" x14ac:dyDescent="0.3">
      <c r="A3" s="246" t="s">
        <v>507</v>
      </c>
      <c r="B3" s="245" t="s">
        <v>876</v>
      </c>
      <c r="C3" s="245" t="s">
        <v>17</v>
      </c>
      <c r="D3" s="245" t="s">
        <v>179</v>
      </c>
      <c r="E3" s="245" t="s">
        <v>928</v>
      </c>
      <c r="F3" s="245" t="s">
        <v>1400</v>
      </c>
      <c r="G3" s="245" t="s">
        <v>1401</v>
      </c>
      <c r="H3" s="245" t="s">
        <v>1402</v>
      </c>
      <c r="I3" s="247" t="s">
        <v>1403</v>
      </c>
      <c r="J3" s="235" t="s">
        <v>885</v>
      </c>
      <c r="K3" s="235" t="s">
        <v>877</v>
      </c>
      <c r="L3" s="235" t="s">
        <v>887</v>
      </c>
      <c r="M3" s="235" t="s">
        <v>878</v>
      </c>
      <c r="N3" s="235" t="s">
        <v>459</v>
      </c>
      <c r="O3" s="117"/>
      <c r="P3" s="117"/>
      <c r="Q3" s="117"/>
      <c r="R3" s="50"/>
      <c r="S3" s="50"/>
      <c r="T3" s="50"/>
      <c r="U3" s="50"/>
      <c r="V3" s="50"/>
      <c r="W3" s="50"/>
      <c r="X3" s="50"/>
      <c r="Y3" s="50"/>
      <c r="Z3" s="50"/>
      <c r="AA3" s="50"/>
      <c r="AB3" s="50"/>
      <c r="AC3" s="50"/>
      <c r="AD3" s="50"/>
      <c r="AE3" s="50"/>
      <c r="AF3" s="50"/>
      <c r="AG3" s="393"/>
      <c r="AH3" s="394"/>
      <c r="AI3" s="394"/>
      <c r="AJ3" s="394"/>
      <c r="AK3" s="394"/>
      <c r="AL3" s="394"/>
      <c r="AM3" s="394"/>
      <c r="AN3" s="50"/>
      <c r="AO3" s="50"/>
      <c r="AP3" s="50"/>
      <c r="AQ3" s="559"/>
      <c r="AR3" s="559"/>
      <c r="AS3" s="559"/>
      <c r="AT3" s="559"/>
      <c r="AU3" s="559"/>
      <c r="AV3" s="559"/>
      <c r="AW3" s="559"/>
      <c r="AX3" s="559"/>
      <c r="AY3" s="559"/>
      <c r="AZ3" s="559"/>
      <c r="BA3" s="559"/>
      <c r="BB3" s="559"/>
      <c r="BC3" s="559"/>
      <c r="BD3" s="559"/>
      <c r="BE3" s="559"/>
      <c r="BF3" s="559"/>
      <c r="BG3" s="559"/>
      <c r="BH3" s="559"/>
      <c r="BI3" s="559"/>
      <c r="BJ3" s="559"/>
      <c r="BK3" s="559"/>
      <c r="BL3" s="559"/>
      <c r="BM3" s="559"/>
      <c r="BN3" s="559"/>
      <c r="BO3" s="559"/>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row>
    <row r="4" spans="1:140" s="401" customFormat="1" x14ac:dyDescent="0.3">
      <c r="A4" s="371" t="s">
        <v>21</v>
      </c>
      <c r="B4" s="372"/>
      <c r="C4" s="372"/>
      <c r="D4" s="373">
        <f>SUM(D5:D10)</f>
        <v>0.99999999999999978</v>
      </c>
      <c r="E4" s="372"/>
      <c r="F4" s="372"/>
      <c r="G4" s="372"/>
      <c r="H4" s="372"/>
      <c r="I4" s="388"/>
      <c r="J4" s="50"/>
      <c r="K4" s="169"/>
      <c r="L4" s="559"/>
      <c r="M4" s="50"/>
      <c r="N4" s="50"/>
      <c r="O4" s="50"/>
      <c r="P4" s="50"/>
      <c r="Q4" s="50"/>
      <c r="R4" s="50"/>
      <c r="S4" s="50"/>
      <c r="T4" s="50"/>
      <c r="U4" s="50"/>
      <c r="V4" s="50"/>
      <c r="W4" s="50"/>
      <c r="X4" s="50"/>
      <c r="Y4" s="50"/>
      <c r="Z4" s="50"/>
      <c r="AA4" s="50"/>
      <c r="AB4" s="50"/>
      <c r="AC4" s="50"/>
      <c r="AD4" s="50"/>
      <c r="AE4" s="50"/>
      <c r="AF4" s="50"/>
      <c r="AG4" s="60"/>
      <c r="AH4" s="44"/>
      <c r="AI4" s="44"/>
      <c r="AJ4" s="44"/>
      <c r="AK4" s="44"/>
      <c r="AL4" s="44"/>
      <c r="AM4" s="44"/>
      <c r="AN4" s="50"/>
      <c r="AO4" s="50"/>
      <c r="AP4" s="50"/>
      <c r="AQ4" s="559"/>
      <c r="AR4" s="559"/>
      <c r="AS4" s="559"/>
      <c r="AT4" s="559"/>
      <c r="AU4" s="559"/>
      <c r="AV4" s="559"/>
      <c r="AW4" s="559"/>
      <c r="AX4" s="559"/>
      <c r="AY4" s="559"/>
      <c r="AZ4" s="559"/>
      <c r="BA4" s="559"/>
      <c r="BB4" s="559"/>
      <c r="BC4" s="559"/>
      <c r="BD4" s="559"/>
      <c r="BE4" s="559"/>
      <c r="BF4" s="559"/>
      <c r="BG4" s="559"/>
      <c r="BH4" s="559"/>
      <c r="BI4" s="559"/>
      <c r="BJ4" s="559"/>
      <c r="BK4" s="559"/>
      <c r="BL4" s="559"/>
      <c r="BM4" s="559"/>
      <c r="BN4" s="559"/>
      <c r="BO4" s="559"/>
      <c r="BP4" s="402"/>
      <c r="BQ4" s="402"/>
      <c r="BR4" s="402"/>
      <c r="BS4" s="402"/>
      <c r="BT4" s="402"/>
      <c r="BU4" s="402"/>
      <c r="BV4" s="402"/>
      <c r="BW4" s="402"/>
      <c r="BX4" s="402"/>
      <c r="BY4" s="402"/>
      <c r="BZ4" s="402"/>
      <c r="CA4" s="402"/>
      <c r="CB4" s="402"/>
      <c r="CC4" s="402"/>
      <c r="CD4" s="402"/>
      <c r="CE4" s="402"/>
      <c r="CF4" s="402"/>
      <c r="CG4" s="402"/>
      <c r="CH4" s="402"/>
      <c r="CI4" s="402"/>
      <c r="CJ4" s="402"/>
      <c r="CK4" s="402"/>
      <c r="CL4" s="402"/>
      <c r="CM4" s="402"/>
      <c r="CN4" s="402"/>
      <c r="CO4" s="402"/>
      <c r="CP4" s="402"/>
      <c r="CQ4" s="402"/>
      <c r="CR4" s="402"/>
      <c r="CS4" s="402"/>
      <c r="CT4" s="402"/>
      <c r="CU4" s="402"/>
      <c r="CV4" s="402"/>
      <c r="CW4" s="402"/>
      <c r="CX4" s="402"/>
      <c r="CY4" s="402"/>
      <c r="CZ4" s="402"/>
      <c r="DA4" s="402"/>
      <c r="DB4" s="402"/>
      <c r="DC4" s="402"/>
      <c r="DD4" s="402"/>
      <c r="DE4" s="402"/>
      <c r="DF4" s="402"/>
      <c r="DG4" s="402"/>
      <c r="DH4" s="402"/>
      <c r="DI4" s="402"/>
      <c r="DJ4" s="402"/>
      <c r="DK4" s="402"/>
      <c r="DL4" s="402"/>
      <c r="DM4" s="402"/>
      <c r="DN4" s="402"/>
      <c r="DO4" s="402"/>
      <c r="DP4" s="402"/>
      <c r="DQ4" s="402"/>
      <c r="DR4" s="402"/>
    </row>
    <row r="5" spans="1:140" s="1" customFormat="1" x14ac:dyDescent="0.3">
      <c r="A5" s="54" t="s">
        <v>60</v>
      </c>
      <c r="B5" s="37" t="s">
        <v>1</v>
      </c>
      <c r="C5" s="37" t="s">
        <v>225</v>
      </c>
      <c r="D5" s="127">
        <v>0.64998250344785002</v>
      </c>
      <c r="E5" s="40">
        <v>7219.7</v>
      </c>
      <c r="F5" s="37">
        <v>153</v>
      </c>
      <c r="G5" s="37">
        <v>105</v>
      </c>
      <c r="H5" s="41">
        <v>80.888486148000013</v>
      </c>
      <c r="I5" s="55">
        <v>70</v>
      </c>
      <c r="J5" s="50" t="s">
        <v>879</v>
      </c>
      <c r="K5" s="169" t="s">
        <v>883</v>
      </c>
      <c r="L5" s="50" t="s">
        <v>1195</v>
      </c>
      <c r="M5" s="50" t="s">
        <v>894</v>
      </c>
      <c r="N5" s="50" t="s">
        <v>901</v>
      </c>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59"/>
      <c r="AR5" s="559"/>
      <c r="AS5" s="559"/>
      <c r="AT5" s="559"/>
      <c r="AU5" s="559"/>
      <c r="AV5" s="559"/>
      <c r="AW5" s="559"/>
      <c r="AX5" s="559"/>
      <c r="AY5" s="559"/>
      <c r="AZ5" s="559"/>
      <c r="BA5" s="559"/>
      <c r="BB5" s="559"/>
      <c r="BC5" s="559"/>
      <c r="BD5" s="559"/>
      <c r="BE5" s="559"/>
      <c r="BF5" s="559"/>
      <c r="BG5" s="559"/>
      <c r="BH5" s="559"/>
      <c r="BI5" s="559"/>
      <c r="BJ5" s="559"/>
      <c r="BK5" s="559"/>
      <c r="BL5" s="559"/>
      <c r="BM5" s="559"/>
      <c r="BN5" s="559"/>
      <c r="BO5" s="559"/>
    </row>
    <row r="6" spans="1:140" s="1" customFormat="1" x14ac:dyDescent="0.3">
      <c r="A6" s="54" t="s">
        <v>61</v>
      </c>
      <c r="B6" s="37" t="s">
        <v>1</v>
      </c>
      <c r="C6" s="37" t="s">
        <v>225</v>
      </c>
      <c r="D6" s="127">
        <v>0.13202555811316116</v>
      </c>
      <c r="E6" s="40">
        <v>4859</v>
      </c>
      <c r="F6" s="37">
        <v>116</v>
      </c>
      <c r="G6" s="37">
        <v>98</v>
      </c>
      <c r="H6" s="41">
        <v>50.603790240000002</v>
      </c>
      <c r="I6" s="55">
        <v>70</v>
      </c>
      <c r="J6" s="50" t="s">
        <v>879</v>
      </c>
      <c r="K6" s="169" t="s">
        <v>883</v>
      </c>
      <c r="L6" s="50" t="s">
        <v>1195</v>
      </c>
      <c r="M6" s="50" t="s">
        <v>894</v>
      </c>
      <c r="N6" s="50" t="s">
        <v>901</v>
      </c>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59"/>
      <c r="AR6" s="559"/>
      <c r="AS6" s="559"/>
      <c r="AT6" s="559"/>
      <c r="AU6" s="559"/>
      <c r="AV6" s="559"/>
      <c r="AW6" s="559"/>
      <c r="AX6" s="559"/>
      <c r="AY6" s="559"/>
      <c r="AZ6" s="559"/>
      <c r="BA6" s="559"/>
      <c r="BB6" s="559"/>
      <c r="BC6" s="559"/>
      <c r="BD6" s="559"/>
      <c r="BE6" s="559"/>
      <c r="BF6" s="559"/>
      <c r="BG6" s="559"/>
      <c r="BH6" s="559"/>
      <c r="BI6" s="559"/>
      <c r="BJ6" s="559"/>
      <c r="BK6" s="559"/>
      <c r="BL6" s="559"/>
      <c r="BM6" s="559"/>
      <c r="BN6" s="559"/>
      <c r="BO6" s="559"/>
    </row>
    <row r="7" spans="1:140" s="1" customFormat="1" x14ac:dyDescent="0.3">
      <c r="A7" s="54" t="s">
        <v>62</v>
      </c>
      <c r="B7" s="37" t="s">
        <v>1</v>
      </c>
      <c r="C7" s="37" t="s">
        <v>225</v>
      </c>
      <c r="D7" s="127">
        <v>0.11491388787101502</v>
      </c>
      <c r="E7" s="40">
        <v>6475.8</v>
      </c>
      <c r="F7" s="37">
        <v>104</v>
      </c>
      <c r="G7" s="37">
        <v>101</v>
      </c>
      <c r="H7" s="41">
        <v>49.403998335999994</v>
      </c>
      <c r="I7" s="55">
        <v>70</v>
      </c>
      <c r="J7" s="50" t="s">
        <v>879</v>
      </c>
      <c r="K7" s="169" t="s">
        <v>883</v>
      </c>
      <c r="L7" s="50" t="s">
        <v>1195</v>
      </c>
      <c r="M7" s="50" t="s">
        <v>894</v>
      </c>
      <c r="N7" s="50" t="s">
        <v>901</v>
      </c>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59"/>
      <c r="AR7" s="559"/>
      <c r="AS7" s="559"/>
      <c r="AT7" s="559"/>
      <c r="AU7" s="559"/>
      <c r="AV7" s="559"/>
      <c r="AW7" s="559"/>
      <c r="AX7" s="559"/>
      <c r="AY7" s="559"/>
      <c r="AZ7" s="559"/>
      <c r="BA7" s="559"/>
      <c r="BB7" s="559"/>
      <c r="BC7" s="559"/>
      <c r="BD7" s="559"/>
      <c r="BE7" s="559"/>
      <c r="BF7" s="559"/>
      <c r="BG7" s="559"/>
      <c r="BH7" s="559"/>
      <c r="BI7" s="559"/>
      <c r="BJ7" s="559"/>
      <c r="BK7" s="559"/>
      <c r="BL7" s="559"/>
      <c r="BM7" s="559"/>
      <c r="BN7" s="559"/>
      <c r="BO7" s="559"/>
    </row>
    <row r="8" spans="1:140" s="1" customFormat="1" x14ac:dyDescent="0.3">
      <c r="A8" s="54" t="s">
        <v>63</v>
      </c>
      <c r="B8" s="37" t="s">
        <v>1</v>
      </c>
      <c r="C8" s="37" t="s">
        <v>225</v>
      </c>
      <c r="D8" s="127">
        <v>2.2737130881292727E-3</v>
      </c>
      <c r="E8" s="40">
        <v>6355.4</v>
      </c>
      <c r="F8" s="37">
        <v>113</v>
      </c>
      <c r="G8" s="37">
        <v>101</v>
      </c>
      <c r="H8" s="41">
        <v>57.924179711999997</v>
      </c>
      <c r="I8" s="55">
        <v>70</v>
      </c>
      <c r="J8" s="50" t="s">
        <v>879</v>
      </c>
      <c r="K8" s="169" t="s">
        <v>883</v>
      </c>
      <c r="L8" s="50" t="s">
        <v>1195</v>
      </c>
      <c r="M8" s="50" t="s">
        <v>894</v>
      </c>
      <c r="N8" s="50" t="s">
        <v>901</v>
      </c>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59"/>
      <c r="AR8" s="559"/>
      <c r="AS8" s="559"/>
      <c r="AT8" s="559"/>
      <c r="AU8" s="559"/>
      <c r="AV8" s="559"/>
      <c r="AW8" s="559"/>
      <c r="AX8" s="559"/>
      <c r="AY8" s="559"/>
      <c r="AZ8" s="559"/>
      <c r="BA8" s="559"/>
      <c r="BB8" s="559"/>
      <c r="BC8" s="559"/>
      <c r="BD8" s="559"/>
      <c r="BE8" s="559"/>
      <c r="BF8" s="559"/>
      <c r="BG8" s="559"/>
      <c r="BH8" s="559"/>
      <c r="BI8" s="559"/>
      <c r="BJ8" s="559"/>
      <c r="BK8" s="559"/>
      <c r="BL8" s="559"/>
      <c r="BM8" s="559"/>
      <c r="BN8" s="559"/>
      <c r="BO8" s="559"/>
    </row>
    <row r="9" spans="1:140" s="1" customFormat="1" x14ac:dyDescent="0.3">
      <c r="A9" s="54" t="s">
        <v>64</v>
      </c>
      <c r="B9" s="37" t="s">
        <v>1</v>
      </c>
      <c r="C9" s="37" t="s">
        <v>225</v>
      </c>
      <c r="D9" s="127">
        <v>4.9265312195857537E-2</v>
      </c>
      <c r="E9" s="40">
        <v>5117</v>
      </c>
      <c r="F9" s="37">
        <v>93</v>
      </c>
      <c r="G9" s="37">
        <v>100</v>
      </c>
      <c r="H9" s="41">
        <v>47.796053759999999</v>
      </c>
      <c r="I9" s="55">
        <v>70</v>
      </c>
      <c r="J9" s="50" t="s">
        <v>879</v>
      </c>
      <c r="K9" s="169" t="s">
        <v>883</v>
      </c>
      <c r="L9" s="50" t="s">
        <v>1195</v>
      </c>
      <c r="M9" s="50" t="s">
        <v>894</v>
      </c>
      <c r="N9" s="50" t="s">
        <v>901</v>
      </c>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59"/>
      <c r="AR9" s="559"/>
      <c r="AS9" s="559"/>
      <c r="AT9" s="559"/>
      <c r="AU9" s="559"/>
      <c r="AV9" s="559"/>
      <c r="AW9" s="559"/>
      <c r="AX9" s="559"/>
      <c r="AY9" s="559"/>
      <c r="AZ9" s="559"/>
      <c r="BA9" s="559"/>
      <c r="BB9" s="559"/>
      <c r="BC9" s="559"/>
      <c r="BD9" s="559"/>
      <c r="BE9" s="559"/>
      <c r="BF9" s="559"/>
      <c r="BG9" s="559"/>
      <c r="BH9" s="559"/>
      <c r="BI9" s="559"/>
      <c r="BJ9" s="559"/>
      <c r="BK9" s="559"/>
      <c r="BL9" s="559"/>
      <c r="BM9" s="559"/>
      <c r="BN9" s="559"/>
      <c r="BO9" s="559"/>
    </row>
    <row r="10" spans="1:140" s="1" customFormat="1" x14ac:dyDescent="0.3">
      <c r="A10" s="54" t="s">
        <v>65</v>
      </c>
      <c r="B10" s="37" t="s">
        <v>1</v>
      </c>
      <c r="C10" s="37" t="s">
        <v>225</v>
      </c>
      <c r="D10" s="127">
        <v>5.1539025283986808E-2</v>
      </c>
      <c r="E10" s="40">
        <v>4495.6499999999996</v>
      </c>
      <c r="F10" s="37">
        <v>85</v>
      </c>
      <c r="G10" s="37">
        <v>99</v>
      </c>
      <c r="H10" s="41">
        <v>38.493016200000007</v>
      </c>
      <c r="I10" s="55">
        <v>70</v>
      </c>
      <c r="J10" s="50" t="s">
        <v>879</v>
      </c>
      <c r="K10" s="169" t="s">
        <v>883</v>
      </c>
      <c r="L10" s="50" t="s">
        <v>1195</v>
      </c>
      <c r="M10" s="50" t="s">
        <v>894</v>
      </c>
      <c r="N10" s="50" t="s">
        <v>901</v>
      </c>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59"/>
      <c r="AR10" s="559"/>
      <c r="AS10" s="559"/>
      <c r="AT10" s="559"/>
      <c r="AU10" s="559"/>
      <c r="AV10" s="559"/>
      <c r="AW10" s="559"/>
      <c r="AX10" s="559"/>
      <c r="AY10" s="559"/>
      <c r="AZ10" s="559"/>
      <c r="BA10" s="559"/>
      <c r="BB10" s="559"/>
      <c r="BC10" s="559"/>
      <c r="BD10" s="559"/>
      <c r="BE10" s="559"/>
      <c r="BF10" s="559"/>
      <c r="BG10" s="559"/>
      <c r="BH10" s="559"/>
      <c r="BI10" s="559"/>
      <c r="BJ10" s="559"/>
      <c r="BK10" s="559"/>
      <c r="BL10" s="559"/>
      <c r="BM10" s="559"/>
      <c r="BN10" s="559"/>
      <c r="BO10" s="559"/>
    </row>
    <row r="11" spans="1:140" s="389" customFormat="1" x14ac:dyDescent="0.3">
      <c r="A11" s="371" t="s">
        <v>20</v>
      </c>
      <c r="B11" s="372" t="s">
        <v>10</v>
      </c>
      <c r="C11" s="372" t="s">
        <v>225</v>
      </c>
      <c r="D11" s="373">
        <v>0.19</v>
      </c>
      <c r="E11" s="372">
        <v>3121</v>
      </c>
      <c r="F11" s="372">
        <v>69</v>
      </c>
      <c r="G11" s="372">
        <v>0</v>
      </c>
      <c r="H11" s="634">
        <v>41.402300660000009</v>
      </c>
      <c r="I11" s="388">
        <v>200</v>
      </c>
      <c r="J11" s="50" t="s">
        <v>1195</v>
      </c>
      <c r="K11" s="169" t="s">
        <v>884</v>
      </c>
      <c r="L11" s="50" t="s">
        <v>1491</v>
      </c>
      <c r="M11" s="50" t="s">
        <v>894</v>
      </c>
      <c r="N11" s="50" t="s">
        <v>902</v>
      </c>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59"/>
      <c r="AR11" s="559"/>
      <c r="AS11" s="559"/>
      <c r="AT11" s="559"/>
      <c r="AU11" s="559"/>
      <c r="AV11" s="559"/>
      <c r="AW11" s="559"/>
      <c r="AX11" s="559"/>
      <c r="AY11" s="559"/>
      <c r="AZ11" s="559"/>
      <c r="BA11" s="559"/>
      <c r="BB11" s="559"/>
      <c r="BC11" s="559"/>
      <c r="BD11" s="559"/>
      <c r="BE11" s="559"/>
      <c r="BF11" s="559"/>
      <c r="BG11" s="559"/>
      <c r="BH11" s="559"/>
      <c r="BI11" s="559"/>
      <c r="BJ11" s="559"/>
      <c r="BK11" s="559"/>
      <c r="BL11" s="559"/>
      <c r="BM11" s="559"/>
      <c r="BN11" s="559"/>
      <c r="BO11" s="559"/>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row>
    <row r="12" spans="1:140" x14ac:dyDescent="0.3">
      <c r="A12" s="54"/>
      <c r="B12" s="37" t="s">
        <v>66</v>
      </c>
      <c r="C12" s="37" t="s">
        <v>225</v>
      </c>
      <c r="D12" s="127">
        <v>0.14000000000000001</v>
      </c>
      <c r="E12" s="37">
        <v>6452</v>
      </c>
      <c r="F12" s="872">
        <v>91.223031704545505</v>
      </c>
      <c r="G12" s="40">
        <v>18.89409545454545</v>
      </c>
      <c r="H12" s="635">
        <v>64.271147920000004</v>
      </c>
      <c r="I12" s="55">
        <v>200</v>
      </c>
      <c r="J12" s="50" t="s">
        <v>1195</v>
      </c>
      <c r="K12" s="169" t="s">
        <v>884</v>
      </c>
      <c r="L12" s="50" t="s">
        <v>1534</v>
      </c>
      <c r="M12" s="50" t="s">
        <v>894</v>
      </c>
      <c r="N12" s="50" t="s">
        <v>902</v>
      </c>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59"/>
      <c r="AR12" s="559"/>
      <c r="AS12" s="559"/>
      <c r="AT12" s="559"/>
      <c r="AU12" s="559"/>
      <c r="AV12" s="559"/>
      <c r="AW12" s="559"/>
      <c r="AX12" s="559"/>
      <c r="AY12" s="559"/>
      <c r="AZ12" s="559"/>
      <c r="BA12" s="559"/>
      <c r="BB12" s="559"/>
      <c r="BC12" s="559"/>
      <c r="BD12" s="559"/>
      <c r="BE12" s="559"/>
      <c r="BF12" s="559"/>
      <c r="BG12" s="559"/>
      <c r="BH12" s="559"/>
      <c r="BI12" s="559"/>
      <c r="BJ12" s="559"/>
      <c r="BK12" s="559"/>
      <c r="BL12" s="559"/>
      <c r="BM12" s="559"/>
      <c r="BN12" s="559"/>
      <c r="BO12" s="559"/>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row>
    <row r="13" spans="1:140" x14ac:dyDescent="0.3">
      <c r="A13" s="54"/>
      <c r="B13" s="37" t="s">
        <v>67</v>
      </c>
      <c r="C13" s="37" t="s">
        <v>225</v>
      </c>
      <c r="D13" s="127">
        <v>0.67</v>
      </c>
      <c r="E13" s="37">
        <v>4535</v>
      </c>
      <c r="F13" s="40">
        <v>100.8</v>
      </c>
      <c r="G13" s="37">
        <v>0</v>
      </c>
      <c r="H13" s="635">
        <v>51.110061100000003</v>
      </c>
      <c r="I13" s="55">
        <v>200</v>
      </c>
      <c r="J13" s="50" t="s">
        <v>1195</v>
      </c>
      <c r="K13" s="169" t="s">
        <v>884</v>
      </c>
      <c r="L13" s="50" t="s">
        <v>1491</v>
      </c>
      <c r="M13" s="50" t="s">
        <v>894</v>
      </c>
      <c r="N13" s="50" t="s">
        <v>902</v>
      </c>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59"/>
      <c r="AR13" s="559"/>
      <c r="AS13" s="559"/>
      <c r="AT13" s="559"/>
      <c r="AU13" s="559"/>
      <c r="AV13" s="559"/>
      <c r="AW13" s="559"/>
      <c r="AX13" s="559"/>
      <c r="AY13" s="559"/>
      <c r="AZ13" s="559"/>
      <c r="BA13" s="559"/>
      <c r="BB13" s="559"/>
      <c r="BC13" s="559"/>
      <c r="BD13" s="559"/>
      <c r="BE13" s="559"/>
      <c r="BF13" s="559"/>
      <c r="BG13" s="559"/>
      <c r="BH13" s="559"/>
      <c r="BI13" s="559"/>
      <c r="BJ13" s="559"/>
      <c r="BK13" s="559"/>
      <c r="BL13" s="559"/>
      <c r="BM13" s="559"/>
      <c r="BN13" s="559"/>
      <c r="BO13" s="559"/>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row>
    <row r="14" spans="1:140" s="389" customFormat="1" x14ac:dyDescent="0.3">
      <c r="A14" s="371" t="s">
        <v>68</v>
      </c>
      <c r="B14" s="372" t="s">
        <v>1</v>
      </c>
      <c r="C14" s="372" t="s">
        <v>225</v>
      </c>
      <c r="D14" s="373">
        <v>0.76</v>
      </c>
      <c r="E14" s="372">
        <v>30456</v>
      </c>
      <c r="F14" s="372">
        <v>109</v>
      </c>
      <c r="G14" s="372">
        <v>108</v>
      </c>
      <c r="H14" s="634">
        <v>37.714697600000001</v>
      </c>
      <c r="I14" s="388">
        <v>140</v>
      </c>
      <c r="J14" s="50" t="s">
        <v>935</v>
      </c>
      <c r="K14" s="169" t="s">
        <v>883</v>
      </c>
      <c r="L14" s="50" t="s">
        <v>1195</v>
      </c>
      <c r="M14" s="50" t="s">
        <v>894</v>
      </c>
      <c r="N14" s="50" t="s">
        <v>901</v>
      </c>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59"/>
      <c r="AR14" s="559"/>
      <c r="AS14" s="559"/>
      <c r="AT14" s="559"/>
      <c r="AU14" s="559"/>
      <c r="AV14" s="559"/>
      <c r="AW14" s="559"/>
      <c r="AX14" s="559"/>
      <c r="AY14" s="559"/>
      <c r="AZ14" s="559"/>
      <c r="BA14" s="559"/>
      <c r="BB14" s="559"/>
      <c r="BC14" s="559"/>
      <c r="BD14" s="559"/>
      <c r="BE14" s="559"/>
      <c r="BF14" s="559"/>
      <c r="BG14" s="559"/>
      <c r="BH14" s="559"/>
      <c r="BI14" s="559"/>
      <c r="BJ14" s="559"/>
      <c r="BK14" s="559"/>
      <c r="BL14" s="559"/>
      <c r="BM14" s="559"/>
      <c r="BN14" s="559"/>
      <c r="BO14" s="559"/>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row>
    <row r="15" spans="1:140" x14ac:dyDescent="0.3">
      <c r="A15" s="54"/>
      <c r="B15" s="37" t="s">
        <v>69</v>
      </c>
      <c r="C15" s="37" t="s">
        <v>225</v>
      </c>
      <c r="D15" s="127">
        <v>0.15</v>
      </c>
      <c r="E15" s="37">
        <v>41442</v>
      </c>
      <c r="F15" s="40">
        <v>159.24717057296732</v>
      </c>
      <c r="G15" s="37">
        <v>0</v>
      </c>
      <c r="H15" s="635">
        <v>42.983583200000005</v>
      </c>
      <c r="I15" s="55">
        <v>140</v>
      </c>
      <c r="J15" s="50" t="s">
        <v>1195</v>
      </c>
      <c r="K15" s="169" t="s">
        <v>884</v>
      </c>
      <c r="L15" s="50" t="s">
        <v>1542</v>
      </c>
      <c r="M15" s="50" t="s">
        <v>894</v>
      </c>
      <c r="N15" s="50" t="s">
        <v>901</v>
      </c>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59"/>
      <c r="AR15" s="559"/>
      <c r="AS15" s="559"/>
      <c r="AT15" s="559"/>
      <c r="AU15" s="559"/>
      <c r="AV15" s="559"/>
      <c r="AW15" s="559"/>
      <c r="AX15" s="559"/>
      <c r="AY15" s="559"/>
      <c r="AZ15" s="559"/>
      <c r="BA15" s="559"/>
      <c r="BB15" s="559"/>
      <c r="BC15" s="559"/>
      <c r="BD15" s="559"/>
      <c r="BE15" s="559"/>
      <c r="BF15" s="559"/>
      <c r="BG15" s="559"/>
      <c r="BH15" s="559"/>
      <c r="BI15" s="559"/>
      <c r="BJ15" s="559"/>
      <c r="BK15" s="559"/>
      <c r="BL15" s="559"/>
      <c r="BM15" s="559"/>
      <c r="BN15" s="559"/>
      <c r="BO15" s="559"/>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row>
    <row r="16" spans="1:140" x14ac:dyDescent="0.3">
      <c r="A16" s="54"/>
      <c r="B16" s="37" t="s">
        <v>70</v>
      </c>
      <c r="C16" s="37" t="s">
        <v>225</v>
      </c>
      <c r="D16" s="127">
        <v>0.09</v>
      </c>
      <c r="E16" s="37">
        <v>20741</v>
      </c>
      <c r="F16" s="37">
        <v>125</v>
      </c>
      <c r="G16" s="37">
        <v>0</v>
      </c>
      <c r="H16" s="635">
        <v>33.055383600000006</v>
      </c>
      <c r="I16" s="55">
        <v>140</v>
      </c>
      <c r="J16" s="50" t="s">
        <v>1195</v>
      </c>
      <c r="K16" s="169" t="s">
        <v>884</v>
      </c>
      <c r="L16" s="50" t="s">
        <v>1492</v>
      </c>
      <c r="M16" s="50" t="s">
        <v>894</v>
      </c>
      <c r="N16" s="50" t="s">
        <v>901</v>
      </c>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59"/>
      <c r="AR16" s="559"/>
      <c r="AS16" s="559"/>
      <c r="AT16" s="559"/>
      <c r="AU16" s="559"/>
      <c r="AV16" s="559"/>
      <c r="AW16" s="559"/>
      <c r="AX16" s="559"/>
      <c r="AY16" s="559"/>
      <c r="AZ16" s="559"/>
      <c r="BA16" s="559"/>
      <c r="BB16" s="559"/>
      <c r="BC16" s="559"/>
      <c r="BD16" s="559"/>
      <c r="BE16" s="559"/>
      <c r="BF16" s="559"/>
      <c r="BG16" s="559"/>
      <c r="BH16" s="559"/>
      <c r="BI16" s="559"/>
      <c r="BJ16" s="559"/>
      <c r="BK16" s="559"/>
      <c r="BL16" s="559"/>
      <c r="BM16" s="559"/>
      <c r="BN16" s="559"/>
      <c r="BO16" s="559"/>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row>
    <row r="17" spans="1:140" x14ac:dyDescent="0.3">
      <c r="A17" s="371" t="s">
        <v>630</v>
      </c>
      <c r="B17" s="372"/>
      <c r="C17" s="372"/>
      <c r="D17" s="373"/>
      <c r="E17" s="372"/>
      <c r="F17" s="372"/>
      <c r="G17" s="372"/>
      <c r="H17" s="634"/>
      <c r="I17" s="388"/>
      <c r="J17" s="50"/>
      <c r="K17" s="169"/>
      <c r="L17" s="50"/>
      <c r="M17" s="50" t="s">
        <v>894</v>
      </c>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59"/>
      <c r="AR17" s="559"/>
      <c r="AS17" s="559"/>
      <c r="AT17" s="559"/>
      <c r="AU17" s="559"/>
      <c r="AV17" s="559"/>
      <c r="AW17" s="559"/>
      <c r="AX17" s="559"/>
      <c r="AY17" s="559"/>
      <c r="AZ17" s="559"/>
      <c r="BA17" s="559"/>
      <c r="BB17" s="559"/>
      <c r="BC17" s="559"/>
      <c r="BD17" s="559"/>
      <c r="BE17" s="559"/>
      <c r="BF17" s="559"/>
      <c r="BG17" s="559"/>
      <c r="BH17" s="559"/>
      <c r="BI17" s="559"/>
      <c r="BJ17" s="559"/>
      <c r="BK17" s="559"/>
      <c r="BL17" s="559"/>
      <c r="BM17" s="559"/>
      <c r="BN17" s="559"/>
      <c r="BO17" s="559"/>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row>
    <row r="18" spans="1:140" s="389" customFormat="1" x14ac:dyDescent="0.3">
      <c r="A18" s="54" t="s">
        <v>71</v>
      </c>
      <c r="B18" s="37" t="s">
        <v>1</v>
      </c>
      <c r="C18" s="37" t="s">
        <v>225</v>
      </c>
      <c r="D18" s="127">
        <v>0.73921686193494074</v>
      </c>
      <c r="E18" s="37">
        <v>3783</v>
      </c>
      <c r="F18" s="37">
        <v>169</v>
      </c>
      <c r="G18" s="37">
        <v>107</v>
      </c>
      <c r="H18" s="41">
        <v>34.073106144</v>
      </c>
      <c r="I18" s="55">
        <v>70</v>
      </c>
      <c r="J18" s="50" t="s">
        <v>1195</v>
      </c>
      <c r="K18" s="169" t="s">
        <v>883</v>
      </c>
      <c r="L18" s="50" t="s">
        <v>1195</v>
      </c>
      <c r="M18" s="50" t="s">
        <v>894</v>
      </c>
      <c r="N18" s="50" t="s">
        <v>901</v>
      </c>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59"/>
      <c r="AR18" s="559"/>
      <c r="AS18" s="559"/>
      <c r="AT18" s="559"/>
      <c r="AU18" s="559"/>
      <c r="AV18" s="559"/>
      <c r="AW18" s="559"/>
      <c r="AX18" s="559"/>
      <c r="AY18" s="559"/>
      <c r="AZ18" s="559"/>
      <c r="BA18" s="559"/>
      <c r="BB18" s="559"/>
      <c r="BC18" s="559"/>
      <c r="BD18" s="559"/>
      <c r="BE18" s="559"/>
      <c r="BF18" s="559"/>
      <c r="BG18" s="559"/>
      <c r="BH18" s="559"/>
      <c r="BI18" s="559"/>
      <c r="BJ18" s="559"/>
      <c r="BK18" s="559"/>
      <c r="BL18" s="559"/>
      <c r="BM18" s="559"/>
      <c r="BN18" s="559"/>
      <c r="BO18" s="559"/>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row>
    <row r="19" spans="1:140" s="389" customFormat="1" x14ac:dyDescent="0.3">
      <c r="A19" s="54" t="s">
        <v>72</v>
      </c>
      <c r="B19" s="37" t="s">
        <v>1</v>
      </c>
      <c r="C19" s="37" t="s">
        <v>225</v>
      </c>
      <c r="D19" s="127">
        <v>0.23131559883643657</v>
      </c>
      <c r="E19" s="37">
        <v>2090</v>
      </c>
      <c r="F19" s="37">
        <v>111</v>
      </c>
      <c r="G19" s="37">
        <v>107</v>
      </c>
      <c r="H19" s="41">
        <v>21.963820032000005</v>
      </c>
      <c r="I19" s="55">
        <v>70</v>
      </c>
      <c r="J19" s="50" t="s">
        <v>1195</v>
      </c>
      <c r="K19" s="169" t="s">
        <v>883</v>
      </c>
      <c r="L19" s="50" t="s">
        <v>1195</v>
      </c>
      <c r="M19" s="50" t="s">
        <v>894</v>
      </c>
      <c r="N19" s="50" t="s">
        <v>901</v>
      </c>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59"/>
      <c r="AR19" s="559"/>
      <c r="AS19" s="559"/>
      <c r="AT19" s="559"/>
      <c r="AU19" s="559"/>
      <c r="AV19" s="559"/>
      <c r="AW19" s="559"/>
      <c r="AX19" s="559"/>
      <c r="AY19" s="559"/>
      <c r="AZ19" s="559"/>
      <c r="BA19" s="559"/>
      <c r="BB19" s="559"/>
      <c r="BC19" s="559"/>
      <c r="BD19" s="559"/>
      <c r="BE19" s="559"/>
      <c r="BF19" s="559"/>
      <c r="BG19" s="559"/>
      <c r="BH19" s="559"/>
      <c r="BI19" s="559"/>
      <c r="BJ19" s="559"/>
      <c r="BK19" s="559"/>
      <c r="BL19" s="559"/>
      <c r="BM19" s="559"/>
      <c r="BN19" s="559"/>
      <c r="BO19" s="559"/>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row>
    <row r="20" spans="1:140" s="389" customFormat="1" x14ac:dyDescent="0.3">
      <c r="A20" s="54" t="s">
        <v>254</v>
      </c>
      <c r="B20" s="37" t="s">
        <v>70</v>
      </c>
      <c r="C20" s="37" t="s">
        <v>225</v>
      </c>
      <c r="D20" s="127">
        <v>2.9467539228622663E-2</v>
      </c>
      <c r="E20" s="40">
        <v>2826.5600000000004</v>
      </c>
      <c r="F20" s="40">
        <v>134.24355227948513</v>
      </c>
      <c r="G20" s="37">
        <v>0</v>
      </c>
      <c r="H20" s="41">
        <v>28.658066088960009</v>
      </c>
      <c r="I20" s="55">
        <v>70</v>
      </c>
      <c r="J20" s="50" t="s">
        <v>1195</v>
      </c>
      <c r="K20" s="169" t="s">
        <v>884</v>
      </c>
      <c r="L20" s="50" t="s">
        <v>1535</v>
      </c>
      <c r="M20" s="50" t="s">
        <v>894</v>
      </c>
      <c r="N20" s="50" t="s">
        <v>901</v>
      </c>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59"/>
      <c r="AR20" s="559"/>
      <c r="AS20" s="559"/>
      <c r="AT20" s="559"/>
      <c r="AU20" s="559"/>
      <c r="AV20" s="559"/>
      <c r="AW20" s="559"/>
      <c r="AX20" s="559"/>
      <c r="AY20" s="559"/>
      <c r="AZ20" s="559"/>
      <c r="BA20" s="559"/>
      <c r="BB20" s="559"/>
      <c r="BC20" s="559"/>
      <c r="BD20" s="559"/>
      <c r="BE20" s="559"/>
      <c r="BF20" s="559"/>
      <c r="BG20" s="559"/>
      <c r="BH20" s="559"/>
      <c r="BI20" s="559"/>
      <c r="BJ20" s="559"/>
      <c r="BK20" s="559"/>
      <c r="BL20" s="559"/>
      <c r="BM20" s="559"/>
      <c r="BN20" s="559"/>
      <c r="BO20" s="559"/>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row>
    <row r="21" spans="1:140" s="389" customFormat="1" x14ac:dyDescent="0.3">
      <c r="A21" s="371" t="s">
        <v>976</v>
      </c>
      <c r="B21" s="372" t="s">
        <v>1</v>
      </c>
      <c r="C21" s="372" t="s">
        <v>225</v>
      </c>
      <c r="D21" s="373">
        <v>1</v>
      </c>
      <c r="E21" s="372">
        <v>64140</v>
      </c>
      <c r="F21" s="372">
        <v>108</v>
      </c>
      <c r="G21" s="372">
        <v>107</v>
      </c>
      <c r="H21" s="634">
        <v>53.869543999999998</v>
      </c>
      <c r="I21" s="388">
        <v>140</v>
      </c>
      <c r="J21" s="50" t="s">
        <v>935</v>
      </c>
      <c r="K21" s="169" t="s">
        <v>883</v>
      </c>
      <c r="L21" s="50" t="s">
        <v>1195</v>
      </c>
      <c r="M21" s="50" t="s">
        <v>894</v>
      </c>
      <c r="N21" s="50" t="s">
        <v>901</v>
      </c>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59"/>
      <c r="AR21" s="559"/>
      <c r="AS21" s="559"/>
      <c r="AT21" s="559"/>
      <c r="AU21" s="559"/>
      <c r="AV21" s="559"/>
      <c r="AW21" s="559"/>
      <c r="AX21" s="559"/>
      <c r="AY21" s="559"/>
      <c r="AZ21" s="559"/>
      <c r="BA21" s="559"/>
      <c r="BB21" s="559"/>
      <c r="BC21" s="559"/>
      <c r="BD21" s="559"/>
      <c r="BE21" s="559"/>
      <c r="BF21" s="559"/>
      <c r="BG21" s="559"/>
      <c r="BH21" s="559"/>
      <c r="BI21" s="559"/>
      <c r="BJ21" s="559"/>
      <c r="BK21" s="559"/>
      <c r="BL21" s="559"/>
      <c r="BM21" s="559"/>
      <c r="BN21" s="559"/>
      <c r="BO21" s="559"/>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row>
    <row r="22" spans="1:140" s="1" customFormat="1" x14ac:dyDescent="0.3">
      <c r="A22" s="54"/>
      <c r="B22" s="37"/>
      <c r="C22" s="37"/>
      <c r="D22" s="127"/>
      <c r="E22" s="37"/>
      <c r="F22" s="37"/>
      <c r="G22" s="37"/>
      <c r="H22" s="41"/>
      <c r="I22" s="55"/>
      <c r="J22" s="50"/>
      <c r="K22" s="169"/>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59"/>
      <c r="AR22" s="559"/>
      <c r="AS22" s="559"/>
      <c r="AT22" s="559"/>
      <c r="AU22" s="559"/>
      <c r="AV22" s="559"/>
      <c r="AW22" s="559"/>
      <c r="AX22" s="559"/>
      <c r="AY22" s="559"/>
      <c r="AZ22" s="559"/>
      <c r="BA22" s="559"/>
      <c r="BB22" s="559"/>
      <c r="BC22" s="559"/>
      <c r="BD22" s="559"/>
      <c r="BE22" s="559"/>
      <c r="BF22" s="559"/>
      <c r="BG22" s="559"/>
      <c r="BH22" s="559"/>
      <c r="BI22" s="559"/>
      <c r="BJ22" s="559"/>
      <c r="BK22" s="559"/>
      <c r="BL22" s="559"/>
      <c r="BM22" s="559"/>
      <c r="BN22" s="559"/>
      <c r="BO22" s="559"/>
    </row>
    <row r="23" spans="1:140" s="389" customFormat="1" x14ac:dyDescent="0.3">
      <c r="A23" s="371" t="s">
        <v>37</v>
      </c>
      <c r="B23" s="372" t="s">
        <v>1</v>
      </c>
      <c r="C23" s="372" t="s">
        <v>102</v>
      </c>
      <c r="D23" s="373">
        <v>0.14000000000000001</v>
      </c>
      <c r="E23" s="372">
        <v>386377</v>
      </c>
      <c r="F23" s="386">
        <v>1152.3524561403519</v>
      </c>
      <c r="G23" s="372">
        <v>0</v>
      </c>
      <c r="H23" s="372">
        <v>0</v>
      </c>
      <c r="I23" s="377">
        <v>0</v>
      </c>
      <c r="J23" s="50" t="s">
        <v>880</v>
      </c>
      <c r="K23" s="169" t="s">
        <v>883</v>
      </c>
      <c r="L23" s="636" t="s">
        <v>1538</v>
      </c>
      <c r="M23" s="636"/>
      <c r="N23" s="636"/>
      <c r="O23" s="636"/>
      <c r="P23" s="636"/>
      <c r="Q23" s="636"/>
      <c r="R23" s="636"/>
      <c r="S23" s="50"/>
      <c r="T23" s="636"/>
      <c r="U23" s="50"/>
      <c r="V23" s="50"/>
      <c r="W23" s="50"/>
      <c r="X23" s="50"/>
      <c r="Y23" s="50"/>
      <c r="Z23" s="50"/>
      <c r="AA23" s="50"/>
      <c r="AB23" s="50"/>
      <c r="AC23" s="50"/>
      <c r="AD23" s="50"/>
      <c r="AE23" s="50"/>
      <c r="AF23" s="50"/>
      <c r="AG23" s="50"/>
      <c r="AH23" s="50"/>
      <c r="AI23" s="50"/>
      <c r="AJ23" s="50"/>
      <c r="AK23" s="50"/>
      <c r="AL23" s="50"/>
      <c r="AM23" s="50"/>
      <c r="AN23" s="50"/>
      <c r="AO23" s="50"/>
      <c r="AP23" s="50"/>
      <c r="AQ23" s="559"/>
      <c r="AR23" s="559"/>
      <c r="AS23" s="559"/>
      <c r="AT23" s="559"/>
      <c r="AU23" s="559"/>
      <c r="AV23" s="559"/>
      <c r="AW23" s="559"/>
      <c r="AX23" s="559"/>
      <c r="AY23" s="559"/>
      <c r="AZ23" s="559"/>
      <c r="BA23" s="559"/>
      <c r="BB23" s="559"/>
      <c r="BC23" s="559"/>
      <c r="BD23" s="559"/>
      <c r="BE23" s="559"/>
      <c r="BF23" s="559"/>
      <c r="BG23" s="559"/>
      <c r="BH23" s="559"/>
      <c r="BI23" s="559"/>
      <c r="BJ23" s="559"/>
      <c r="BK23" s="559"/>
      <c r="BL23" s="559"/>
      <c r="BM23" s="559"/>
      <c r="BN23" s="559"/>
      <c r="BO23" s="559"/>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row>
    <row r="24" spans="1:140" x14ac:dyDescent="0.3">
      <c r="A24" s="54"/>
      <c r="B24" s="37" t="s">
        <v>79</v>
      </c>
      <c r="C24" s="37" t="s">
        <v>102</v>
      </c>
      <c r="D24" s="127">
        <v>0.56000000000000005</v>
      </c>
      <c r="E24" s="37">
        <v>486028</v>
      </c>
      <c r="F24" s="37">
        <v>1031</v>
      </c>
      <c r="G24" s="37">
        <v>0</v>
      </c>
      <c r="H24" s="37">
        <v>0</v>
      </c>
      <c r="I24" s="21">
        <v>0</v>
      </c>
      <c r="J24" s="50" t="s">
        <v>1196</v>
      </c>
      <c r="K24" s="169" t="s">
        <v>884</v>
      </c>
      <c r="L24" s="636" t="s">
        <v>1493</v>
      </c>
      <c r="M24" s="50"/>
      <c r="N24" s="50"/>
      <c r="O24" s="117"/>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59"/>
      <c r="AR24" s="559"/>
      <c r="AS24" s="559"/>
      <c r="AT24" s="559"/>
      <c r="AU24" s="559"/>
      <c r="AV24" s="559"/>
      <c r="AW24" s="559"/>
      <c r="AX24" s="559"/>
      <c r="AY24" s="559"/>
      <c r="AZ24" s="559"/>
      <c r="BA24" s="559"/>
      <c r="BB24" s="559"/>
      <c r="BC24" s="559"/>
      <c r="BD24" s="559"/>
      <c r="BE24" s="559"/>
      <c r="BF24" s="559"/>
      <c r="BG24" s="559"/>
      <c r="BH24" s="559"/>
      <c r="BI24" s="559"/>
      <c r="BJ24" s="559"/>
      <c r="BK24" s="559"/>
      <c r="BL24" s="559"/>
      <c r="BM24" s="559"/>
      <c r="BN24" s="559"/>
      <c r="BO24" s="559"/>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row>
    <row r="25" spans="1:140" x14ac:dyDescent="0.3">
      <c r="A25" s="54"/>
      <c r="B25" s="37" t="s">
        <v>74</v>
      </c>
      <c r="C25" s="37" t="s">
        <v>927</v>
      </c>
      <c r="D25" s="127">
        <v>0.11</v>
      </c>
      <c r="E25" s="37">
        <v>98025</v>
      </c>
      <c r="F25" s="37">
        <v>352</v>
      </c>
      <c r="G25" s="37">
        <v>0</v>
      </c>
      <c r="H25" s="37">
        <v>0</v>
      </c>
      <c r="I25" s="21">
        <v>0</v>
      </c>
      <c r="J25" s="50" t="s">
        <v>1197</v>
      </c>
      <c r="K25" s="169" t="s">
        <v>1015</v>
      </c>
      <c r="L25" s="50" t="s">
        <v>888</v>
      </c>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59"/>
      <c r="AR25" s="559"/>
      <c r="AS25" s="559"/>
      <c r="AT25" s="559"/>
      <c r="AU25" s="559"/>
      <c r="AV25" s="559"/>
      <c r="AW25" s="559"/>
      <c r="AX25" s="559"/>
      <c r="AY25" s="559"/>
      <c r="AZ25" s="559"/>
      <c r="BA25" s="559"/>
      <c r="BB25" s="559"/>
      <c r="BC25" s="559"/>
      <c r="BD25" s="559"/>
      <c r="BE25" s="559"/>
      <c r="BF25" s="559"/>
      <c r="BG25" s="559"/>
      <c r="BH25" s="559"/>
      <c r="BI25" s="559"/>
      <c r="BJ25" s="559"/>
      <c r="BK25" s="559"/>
      <c r="BL25" s="559"/>
      <c r="BM25" s="559"/>
      <c r="BN25" s="559"/>
      <c r="BO25" s="559"/>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row>
    <row r="26" spans="1:140" x14ac:dyDescent="0.3">
      <c r="A26" s="54"/>
      <c r="B26" s="37"/>
      <c r="C26" s="37" t="s">
        <v>225</v>
      </c>
      <c r="D26" s="127">
        <v>7.0000000000000007E-2</v>
      </c>
      <c r="E26" s="37">
        <v>82235</v>
      </c>
      <c r="F26" s="37">
        <v>302</v>
      </c>
      <c r="G26" s="37">
        <v>0</v>
      </c>
      <c r="H26" s="40">
        <v>71.955624999999998</v>
      </c>
      <c r="I26" s="21">
        <v>140</v>
      </c>
      <c r="J26" s="50" t="s">
        <v>1195</v>
      </c>
      <c r="K26" s="169" t="s">
        <v>1015</v>
      </c>
      <c r="L26" s="50" t="s">
        <v>888</v>
      </c>
      <c r="M26" s="50" t="s">
        <v>888</v>
      </c>
      <c r="N26" s="50" t="s">
        <v>901</v>
      </c>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59"/>
      <c r="AR26" s="559"/>
      <c r="AS26" s="559"/>
      <c r="AT26" s="559"/>
      <c r="AU26" s="559"/>
      <c r="AV26" s="559"/>
      <c r="AW26" s="559"/>
      <c r="AX26" s="559"/>
      <c r="AY26" s="559"/>
      <c r="AZ26" s="559"/>
      <c r="BA26" s="559"/>
      <c r="BB26" s="559"/>
      <c r="BC26" s="559"/>
      <c r="BD26" s="559"/>
      <c r="BE26" s="559"/>
      <c r="BF26" s="559"/>
      <c r="BG26" s="559"/>
      <c r="BH26" s="559"/>
      <c r="BI26" s="559"/>
      <c r="BJ26" s="559"/>
      <c r="BK26" s="559"/>
      <c r="BL26" s="559"/>
      <c r="BM26" s="559"/>
      <c r="BN26" s="559"/>
      <c r="BO26" s="559"/>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row>
    <row r="27" spans="1:140" x14ac:dyDescent="0.3">
      <c r="A27" s="54"/>
      <c r="B27" s="37" t="s">
        <v>70</v>
      </c>
      <c r="C27" s="37" t="s">
        <v>102</v>
      </c>
      <c r="D27" s="127">
        <v>0.06</v>
      </c>
      <c r="E27" s="37">
        <v>42797</v>
      </c>
      <c r="F27" s="37">
        <v>207</v>
      </c>
      <c r="G27" s="37">
        <v>0</v>
      </c>
      <c r="H27" s="37">
        <v>0</v>
      </c>
      <c r="I27" s="21">
        <v>0</v>
      </c>
      <c r="J27" s="50" t="s">
        <v>1195</v>
      </c>
      <c r="K27" s="169" t="s">
        <v>884</v>
      </c>
      <c r="L27" s="636" t="s">
        <v>1494</v>
      </c>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59"/>
      <c r="AR27" s="559"/>
      <c r="AS27" s="559"/>
      <c r="AT27" s="559"/>
      <c r="AU27" s="559"/>
      <c r="AV27" s="559"/>
      <c r="AW27" s="559"/>
      <c r="AX27" s="559"/>
      <c r="AY27" s="559"/>
      <c r="AZ27" s="559"/>
      <c r="BA27" s="559"/>
      <c r="BB27" s="559"/>
      <c r="BC27" s="559"/>
      <c r="BD27" s="559"/>
      <c r="BE27" s="559"/>
      <c r="BF27" s="559"/>
      <c r="BG27" s="559"/>
      <c r="BH27" s="559"/>
      <c r="BI27" s="559"/>
      <c r="BJ27" s="559"/>
      <c r="BK27" s="559"/>
      <c r="BL27" s="559"/>
      <c r="BM27" s="559"/>
      <c r="BN27" s="559"/>
      <c r="BO27" s="559"/>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row>
    <row r="28" spans="1:140" x14ac:dyDescent="0.3">
      <c r="A28" s="54"/>
      <c r="B28" s="37"/>
      <c r="C28" s="37" t="s">
        <v>225</v>
      </c>
      <c r="D28" s="127">
        <v>0.06</v>
      </c>
      <c r="E28" s="37">
        <v>42797</v>
      </c>
      <c r="F28" s="37">
        <v>73</v>
      </c>
      <c r="G28" s="37">
        <v>0</v>
      </c>
      <c r="H28" s="40">
        <v>37.447725000000005</v>
      </c>
      <c r="I28" s="21">
        <v>140</v>
      </c>
      <c r="J28" s="50" t="s">
        <v>1195</v>
      </c>
      <c r="K28" s="169" t="s">
        <v>884</v>
      </c>
      <c r="L28" s="636" t="s">
        <v>1495</v>
      </c>
      <c r="M28" s="50" t="s">
        <v>1555</v>
      </c>
      <c r="N28" s="50" t="s">
        <v>901</v>
      </c>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59"/>
      <c r="AR28" s="559"/>
      <c r="AS28" s="559"/>
      <c r="AT28" s="559"/>
      <c r="AU28" s="559"/>
      <c r="AV28" s="559"/>
      <c r="AW28" s="559"/>
      <c r="AX28" s="559"/>
      <c r="AY28" s="559"/>
      <c r="AZ28" s="559"/>
      <c r="BA28" s="559"/>
      <c r="BB28" s="559"/>
      <c r="BC28" s="559"/>
      <c r="BD28" s="559"/>
      <c r="BE28" s="559"/>
      <c r="BF28" s="559"/>
      <c r="BG28" s="559"/>
      <c r="BH28" s="559"/>
      <c r="BI28" s="559"/>
      <c r="BJ28" s="559"/>
      <c r="BK28" s="559"/>
      <c r="BL28" s="559"/>
      <c r="BM28" s="559"/>
      <c r="BN28" s="559"/>
      <c r="BO28" s="559"/>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row>
    <row r="29" spans="1:140" s="389" customFormat="1" x14ac:dyDescent="0.3">
      <c r="A29" s="371" t="s">
        <v>38</v>
      </c>
      <c r="B29" s="372" t="s">
        <v>1</v>
      </c>
      <c r="C29" s="372" t="s">
        <v>102</v>
      </c>
      <c r="D29" s="373">
        <v>0.35</v>
      </c>
      <c r="E29" s="372">
        <v>439826</v>
      </c>
      <c r="F29" s="386">
        <v>1451.4258</v>
      </c>
      <c r="G29" s="372">
        <v>0</v>
      </c>
      <c r="H29" s="372">
        <v>0</v>
      </c>
      <c r="I29" s="377">
        <v>0</v>
      </c>
      <c r="J29" s="50" t="s">
        <v>882</v>
      </c>
      <c r="K29" s="169" t="s">
        <v>883</v>
      </c>
      <c r="L29" s="636" t="s">
        <v>1539</v>
      </c>
      <c r="M29" s="636"/>
      <c r="N29" s="636"/>
      <c r="O29" s="636"/>
      <c r="P29" s="636"/>
      <c r="Q29" s="636"/>
      <c r="R29" s="636"/>
      <c r="S29" s="50"/>
      <c r="T29" s="636"/>
      <c r="U29" s="50"/>
      <c r="V29" s="50"/>
      <c r="W29" s="50"/>
      <c r="X29" s="50"/>
      <c r="Y29" s="50"/>
      <c r="Z29" s="50"/>
      <c r="AA29" s="50"/>
      <c r="AB29" s="50"/>
      <c r="AC29" s="50"/>
      <c r="AD29" s="50"/>
      <c r="AE29" s="50"/>
      <c r="AF29" s="50"/>
      <c r="AG29" s="50"/>
      <c r="AH29" s="50"/>
      <c r="AI29" s="50"/>
      <c r="AJ29" s="50"/>
      <c r="AK29" s="50"/>
      <c r="AL29" s="50"/>
      <c r="AM29" s="50"/>
      <c r="AN29" s="50"/>
      <c r="AO29" s="50"/>
      <c r="AP29" s="50"/>
      <c r="AQ29" s="559"/>
      <c r="AR29" s="559"/>
      <c r="AS29" s="559"/>
      <c r="AT29" s="559"/>
      <c r="AU29" s="559"/>
      <c r="AV29" s="559"/>
      <c r="AW29" s="559"/>
      <c r="AX29" s="559"/>
      <c r="AY29" s="559"/>
      <c r="AZ29" s="559"/>
      <c r="BA29" s="559"/>
      <c r="BB29" s="559"/>
      <c r="BC29" s="559"/>
      <c r="BD29" s="559"/>
      <c r="BE29" s="559"/>
      <c r="BF29" s="559"/>
      <c r="BG29" s="559"/>
      <c r="BH29" s="559"/>
      <c r="BI29" s="559"/>
      <c r="BJ29" s="559"/>
      <c r="BK29" s="559"/>
      <c r="BL29" s="559"/>
      <c r="BM29" s="559"/>
      <c r="BN29" s="559"/>
      <c r="BO29" s="559"/>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row>
    <row r="30" spans="1:140" x14ac:dyDescent="0.3">
      <c r="A30" s="54"/>
      <c r="B30" s="37"/>
      <c r="C30" s="37" t="s">
        <v>225</v>
      </c>
      <c r="D30" s="127">
        <v>0.12</v>
      </c>
      <c r="E30" s="39">
        <v>58800</v>
      </c>
      <c r="F30" s="37">
        <v>140</v>
      </c>
      <c r="G30" s="37">
        <v>0</v>
      </c>
      <c r="H30" s="40">
        <v>129.36000000000001</v>
      </c>
      <c r="I30" s="21">
        <v>140</v>
      </c>
      <c r="J30" s="50" t="s">
        <v>882</v>
      </c>
      <c r="K30" s="169" t="s">
        <v>883</v>
      </c>
      <c r="L30" s="50" t="s">
        <v>1552</v>
      </c>
      <c r="M30" s="50" t="s">
        <v>896</v>
      </c>
      <c r="N30" s="50" t="s">
        <v>901</v>
      </c>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59"/>
      <c r="AR30" s="559"/>
      <c r="AS30" s="559"/>
      <c r="AT30" s="559"/>
      <c r="AU30" s="559"/>
      <c r="AV30" s="559"/>
      <c r="AW30" s="559"/>
      <c r="AX30" s="559"/>
      <c r="AY30" s="559"/>
      <c r="AZ30" s="559"/>
      <c r="BA30" s="559"/>
      <c r="BB30" s="559"/>
      <c r="BC30" s="559"/>
      <c r="BD30" s="559"/>
      <c r="BE30" s="559"/>
      <c r="BF30" s="559"/>
      <c r="BG30" s="559"/>
      <c r="BH30" s="559"/>
      <c r="BI30" s="559"/>
      <c r="BJ30" s="559"/>
      <c r="BK30" s="559"/>
      <c r="BL30" s="559"/>
      <c r="BM30" s="559"/>
      <c r="BN30" s="559"/>
      <c r="BO30" s="559"/>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row>
    <row r="31" spans="1:140" x14ac:dyDescent="0.3">
      <c r="A31" s="54"/>
      <c r="B31" s="37" t="s">
        <v>79</v>
      </c>
      <c r="C31" s="37" t="s">
        <v>102</v>
      </c>
      <c r="D31" s="127">
        <v>0.17</v>
      </c>
      <c r="E31" s="39">
        <v>679276</v>
      </c>
      <c r="F31" s="37">
        <v>815</v>
      </c>
      <c r="G31" s="37">
        <v>0</v>
      </c>
      <c r="H31" s="37">
        <v>0</v>
      </c>
      <c r="I31" s="21">
        <v>0</v>
      </c>
      <c r="J31" s="50" t="s">
        <v>1196</v>
      </c>
      <c r="K31" s="169" t="s">
        <v>884</v>
      </c>
      <c r="L31" s="636" t="s">
        <v>1496</v>
      </c>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59"/>
      <c r="AR31" s="559"/>
      <c r="AS31" s="559"/>
      <c r="AT31" s="559"/>
      <c r="AU31" s="559"/>
      <c r="AV31" s="559"/>
      <c r="AW31" s="559"/>
      <c r="AX31" s="559"/>
      <c r="AY31" s="559"/>
      <c r="AZ31" s="559"/>
      <c r="BA31" s="559"/>
      <c r="BB31" s="559"/>
      <c r="BC31" s="559"/>
      <c r="BD31" s="559"/>
      <c r="BE31" s="559"/>
      <c r="BF31" s="559"/>
      <c r="BG31" s="559"/>
      <c r="BH31" s="559"/>
      <c r="BI31" s="559"/>
      <c r="BJ31" s="559"/>
      <c r="BK31" s="559"/>
      <c r="BL31" s="559"/>
      <c r="BM31" s="559"/>
      <c r="BN31" s="559"/>
      <c r="BO31" s="559"/>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row>
    <row r="32" spans="1:140" x14ac:dyDescent="0.3">
      <c r="A32" s="54"/>
      <c r="B32" s="37" t="s">
        <v>74</v>
      </c>
      <c r="C32" s="37" t="s">
        <v>927</v>
      </c>
      <c r="D32" s="127">
        <v>0.26</v>
      </c>
      <c r="E32" s="37">
        <v>91618</v>
      </c>
      <c r="F32" s="37">
        <v>286</v>
      </c>
      <c r="G32" s="37">
        <v>0</v>
      </c>
      <c r="H32" s="38">
        <v>0</v>
      </c>
      <c r="I32" s="21">
        <v>0</v>
      </c>
      <c r="J32" s="50" t="s">
        <v>1197</v>
      </c>
      <c r="K32" s="169" t="s">
        <v>1015</v>
      </c>
      <c r="L32" s="50" t="s">
        <v>888</v>
      </c>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59"/>
      <c r="AR32" s="559"/>
      <c r="AS32" s="559"/>
      <c r="AT32" s="559"/>
      <c r="AU32" s="559"/>
      <c r="AV32" s="559"/>
      <c r="AW32" s="559"/>
      <c r="AX32" s="559"/>
      <c r="AY32" s="559"/>
      <c r="AZ32" s="559"/>
      <c r="BA32" s="559"/>
      <c r="BB32" s="559"/>
      <c r="BC32" s="559"/>
      <c r="BD32" s="559"/>
      <c r="BE32" s="559"/>
      <c r="BF32" s="559"/>
      <c r="BG32" s="559"/>
      <c r="BH32" s="559"/>
      <c r="BI32" s="559"/>
      <c r="BJ32" s="559"/>
      <c r="BK32" s="559"/>
      <c r="BL32" s="559"/>
      <c r="BM32" s="559"/>
      <c r="BN32" s="559"/>
      <c r="BO32" s="559"/>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row>
    <row r="33" spans="1:140" x14ac:dyDescent="0.3">
      <c r="A33" s="54"/>
      <c r="B33" s="37"/>
      <c r="C33" s="37" t="s">
        <v>225</v>
      </c>
      <c r="D33" s="127">
        <v>0.05</v>
      </c>
      <c r="E33" s="39">
        <v>85703</v>
      </c>
      <c r="F33" s="37">
        <v>314</v>
      </c>
      <c r="G33" s="37">
        <v>0</v>
      </c>
      <c r="H33" s="40">
        <v>71.390598999999995</v>
      </c>
      <c r="I33" s="21">
        <v>140</v>
      </c>
      <c r="J33" s="50" t="s">
        <v>1197</v>
      </c>
      <c r="K33" s="169" t="s">
        <v>1015</v>
      </c>
      <c r="L33" s="50" t="s">
        <v>888</v>
      </c>
      <c r="M33" s="50" t="s">
        <v>888</v>
      </c>
      <c r="N33" s="50" t="s">
        <v>901</v>
      </c>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59"/>
      <c r="AR33" s="559"/>
      <c r="AS33" s="559"/>
      <c r="AT33" s="559"/>
      <c r="AU33" s="559"/>
      <c r="AV33" s="559"/>
      <c r="AW33" s="559"/>
      <c r="AX33" s="559"/>
      <c r="AY33" s="559"/>
      <c r="AZ33" s="559"/>
      <c r="BA33" s="559"/>
      <c r="BB33" s="559"/>
      <c r="BC33" s="559"/>
      <c r="BD33" s="559"/>
      <c r="BE33" s="559"/>
      <c r="BF33" s="559"/>
      <c r="BG33" s="559"/>
      <c r="BH33" s="559"/>
      <c r="BI33" s="559"/>
      <c r="BJ33" s="559"/>
      <c r="BK33" s="559"/>
      <c r="BL33" s="559"/>
      <c r="BM33" s="559"/>
      <c r="BN33" s="559"/>
      <c r="BO33" s="559"/>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row>
    <row r="34" spans="1:140" x14ac:dyDescent="0.3">
      <c r="A34" s="54"/>
      <c r="B34" s="37" t="s">
        <v>70</v>
      </c>
      <c r="C34" s="37" t="s">
        <v>225</v>
      </c>
      <c r="D34" s="127">
        <v>0.05</v>
      </c>
      <c r="E34" s="37">
        <v>30104</v>
      </c>
      <c r="F34" s="40">
        <v>90.985849692431728</v>
      </c>
      <c r="G34" s="37">
        <v>0</v>
      </c>
      <c r="H34" s="40">
        <v>45.657429999999998</v>
      </c>
      <c r="I34" s="21">
        <v>140</v>
      </c>
      <c r="J34" s="50" t="s">
        <v>1195</v>
      </c>
      <c r="K34" s="169" t="s">
        <v>884</v>
      </c>
      <c r="L34" s="50" t="s">
        <v>1555</v>
      </c>
      <c r="M34" s="50" t="s">
        <v>1555</v>
      </c>
      <c r="N34" s="50" t="s">
        <v>901</v>
      </c>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59"/>
      <c r="AR34" s="559"/>
      <c r="AS34" s="559"/>
      <c r="AT34" s="559"/>
      <c r="AU34" s="559"/>
      <c r="AV34" s="559"/>
      <c r="AW34" s="559"/>
      <c r="AX34" s="559"/>
      <c r="AY34" s="559"/>
      <c r="AZ34" s="559"/>
      <c r="BA34" s="559"/>
      <c r="BB34" s="559"/>
      <c r="BC34" s="559"/>
      <c r="BD34" s="559"/>
      <c r="BE34" s="559"/>
      <c r="BF34" s="559"/>
      <c r="BG34" s="559"/>
      <c r="BH34" s="559"/>
      <c r="BI34" s="559"/>
      <c r="BJ34" s="559"/>
      <c r="BK34" s="559"/>
      <c r="BL34" s="559"/>
      <c r="BM34" s="559"/>
      <c r="BN34" s="559"/>
      <c r="BO34" s="559"/>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row>
    <row r="35" spans="1:140" s="389" customFormat="1" x14ac:dyDescent="0.3">
      <c r="A35" s="371" t="s">
        <v>73</v>
      </c>
      <c r="B35" s="372" t="s">
        <v>1</v>
      </c>
      <c r="C35" s="372" t="s">
        <v>225</v>
      </c>
      <c r="D35" s="373">
        <v>0.82</v>
      </c>
      <c r="E35" s="372">
        <v>24916</v>
      </c>
      <c r="F35" s="372">
        <v>104</v>
      </c>
      <c r="G35" s="372">
        <v>0</v>
      </c>
      <c r="H35" s="386">
        <v>22.424399999999999</v>
      </c>
      <c r="I35" s="377">
        <v>140</v>
      </c>
      <c r="J35" s="50" t="s">
        <v>883</v>
      </c>
      <c r="K35" s="169" t="s">
        <v>883</v>
      </c>
      <c r="L35" s="50" t="s">
        <v>889</v>
      </c>
      <c r="M35" s="50" t="s">
        <v>896</v>
      </c>
      <c r="N35" s="50" t="s">
        <v>901</v>
      </c>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59"/>
      <c r="AR35" s="559"/>
      <c r="AS35" s="559"/>
      <c r="AT35" s="559"/>
      <c r="AU35" s="559"/>
      <c r="AV35" s="559"/>
      <c r="AW35" s="559"/>
      <c r="AX35" s="559"/>
      <c r="AY35" s="559"/>
      <c r="AZ35" s="559"/>
      <c r="BA35" s="559"/>
      <c r="BB35" s="559"/>
      <c r="BC35" s="559"/>
      <c r="BD35" s="559"/>
      <c r="BE35" s="559"/>
      <c r="BF35" s="559"/>
      <c r="BG35" s="559"/>
      <c r="BH35" s="559"/>
      <c r="BI35" s="559"/>
      <c r="BJ35" s="559"/>
      <c r="BK35" s="559"/>
      <c r="BL35" s="559"/>
      <c r="BM35" s="559"/>
      <c r="BN35" s="559"/>
      <c r="BO35" s="559"/>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row>
    <row r="36" spans="1:140" x14ac:dyDescent="0.3">
      <c r="A36" s="54"/>
      <c r="B36" s="37" t="s">
        <v>74</v>
      </c>
      <c r="C36" s="37" t="s">
        <v>225</v>
      </c>
      <c r="D36" s="127">
        <v>0.12</v>
      </c>
      <c r="E36" s="37">
        <v>26640</v>
      </c>
      <c r="F36" s="37">
        <v>99</v>
      </c>
      <c r="G36" s="37">
        <v>0</v>
      </c>
      <c r="H36" s="41">
        <v>17.129519999999999</v>
      </c>
      <c r="I36" s="21">
        <v>140</v>
      </c>
      <c r="J36" s="50" t="s">
        <v>1195</v>
      </c>
      <c r="K36" s="169" t="s">
        <v>884</v>
      </c>
      <c r="L36" s="50" t="s">
        <v>888</v>
      </c>
      <c r="M36" s="50" t="s">
        <v>888</v>
      </c>
      <c r="N36" s="50" t="s">
        <v>901</v>
      </c>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59"/>
      <c r="AR36" s="559"/>
      <c r="AS36" s="559"/>
      <c r="AT36" s="559"/>
      <c r="AU36" s="559"/>
      <c r="AV36" s="559"/>
      <c r="AW36" s="559"/>
      <c r="AX36" s="559"/>
      <c r="AY36" s="559"/>
      <c r="AZ36" s="559"/>
      <c r="BA36" s="559"/>
      <c r="BB36" s="559"/>
      <c r="BC36" s="559"/>
      <c r="BD36" s="559"/>
      <c r="BE36" s="559"/>
      <c r="BF36" s="559"/>
      <c r="BG36" s="559"/>
      <c r="BH36" s="559"/>
      <c r="BI36" s="559"/>
      <c r="BJ36" s="559"/>
      <c r="BK36" s="559"/>
      <c r="BL36" s="559"/>
      <c r="BM36" s="559"/>
      <c r="BN36" s="559"/>
      <c r="BO36" s="559"/>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row>
    <row r="37" spans="1:140" x14ac:dyDescent="0.3">
      <c r="A37" s="54"/>
      <c r="B37" s="37" t="s">
        <v>70</v>
      </c>
      <c r="C37" s="37" t="s">
        <v>225</v>
      </c>
      <c r="D37" s="127">
        <v>0.06</v>
      </c>
      <c r="E37" s="37">
        <v>23483</v>
      </c>
      <c r="F37" s="40">
        <v>83.130882</v>
      </c>
      <c r="G37" s="37">
        <v>0</v>
      </c>
      <c r="H37" s="40">
        <v>18.117134500000002</v>
      </c>
      <c r="I37" s="21">
        <v>140</v>
      </c>
      <c r="J37" s="50" t="s">
        <v>1195</v>
      </c>
      <c r="K37" s="169" t="s">
        <v>884</v>
      </c>
      <c r="L37" s="636" t="s">
        <v>1536</v>
      </c>
      <c r="M37" s="50" t="s">
        <v>1555</v>
      </c>
      <c r="N37" s="50" t="s">
        <v>901</v>
      </c>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59"/>
      <c r="AR37" s="559"/>
      <c r="AS37" s="559"/>
      <c r="AT37" s="559"/>
      <c r="AU37" s="559"/>
      <c r="AV37" s="559"/>
      <c r="AW37" s="559"/>
      <c r="AX37" s="559"/>
      <c r="AY37" s="559"/>
      <c r="AZ37" s="559"/>
      <c r="BA37" s="559"/>
      <c r="BB37" s="559"/>
      <c r="BC37" s="559"/>
      <c r="BD37" s="559"/>
      <c r="BE37" s="559"/>
      <c r="BF37" s="559"/>
      <c r="BG37" s="559"/>
      <c r="BH37" s="559"/>
      <c r="BI37" s="559"/>
      <c r="BJ37" s="559"/>
      <c r="BK37" s="559"/>
      <c r="BL37" s="559"/>
      <c r="BM37" s="559"/>
      <c r="BN37" s="559"/>
      <c r="BO37" s="559"/>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row>
    <row r="38" spans="1:140" s="389" customFormat="1" x14ac:dyDescent="0.3">
      <c r="A38" s="371" t="s">
        <v>75</v>
      </c>
      <c r="B38" s="372" t="s">
        <v>1</v>
      </c>
      <c r="C38" s="372" t="s">
        <v>225</v>
      </c>
      <c r="D38" s="373">
        <v>1</v>
      </c>
      <c r="E38" s="823">
        <v>4753</v>
      </c>
      <c r="F38" s="372">
        <v>0</v>
      </c>
      <c r="G38" s="372">
        <v>0</v>
      </c>
      <c r="H38" s="824">
        <v>116.4429875</v>
      </c>
      <c r="I38" s="377">
        <v>140</v>
      </c>
      <c r="J38" s="50" t="s">
        <v>1198</v>
      </c>
      <c r="K38" s="169" t="s">
        <v>884</v>
      </c>
      <c r="L38" s="722" t="s">
        <v>886</v>
      </c>
      <c r="M38" s="50" t="s">
        <v>896</v>
      </c>
      <c r="N38" s="50" t="s">
        <v>901</v>
      </c>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59"/>
      <c r="AR38" s="559"/>
      <c r="AS38" s="559"/>
      <c r="AT38" s="559"/>
      <c r="AU38" s="559"/>
      <c r="AV38" s="559"/>
      <c r="AW38" s="559"/>
      <c r="AX38" s="559"/>
      <c r="AY38" s="559"/>
      <c r="AZ38" s="559"/>
      <c r="BA38" s="559"/>
      <c r="BB38" s="559"/>
      <c r="BC38" s="559"/>
      <c r="BD38" s="559"/>
      <c r="BE38" s="559"/>
      <c r="BF38" s="559"/>
      <c r="BG38" s="559"/>
      <c r="BH38" s="559"/>
      <c r="BI38" s="559"/>
      <c r="BJ38" s="559"/>
      <c r="BK38" s="559"/>
      <c r="BL38" s="559"/>
      <c r="BM38" s="559"/>
      <c r="BN38" s="559"/>
      <c r="BO38" s="559"/>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row>
    <row r="39" spans="1:140" x14ac:dyDescent="0.3">
      <c r="A39" s="54"/>
      <c r="B39" s="37"/>
      <c r="C39" s="37"/>
      <c r="D39" s="127"/>
      <c r="E39" s="37"/>
      <c r="F39" s="147"/>
      <c r="G39" s="37"/>
      <c r="H39" s="37"/>
      <c r="I39" s="21"/>
      <c r="J39" s="50"/>
      <c r="K39" s="60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59"/>
      <c r="AR39" s="559"/>
      <c r="AS39" s="559"/>
      <c r="AT39" s="559"/>
      <c r="AU39" s="559"/>
      <c r="AV39" s="559"/>
      <c r="AW39" s="559"/>
      <c r="AX39" s="559"/>
      <c r="AY39" s="559"/>
      <c r="AZ39" s="559"/>
      <c r="BA39" s="559"/>
      <c r="BB39" s="559"/>
      <c r="BC39" s="559"/>
      <c r="BD39" s="559"/>
      <c r="BE39" s="559"/>
      <c r="BF39" s="559"/>
      <c r="BG39" s="559"/>
      <c r="BH39" s="559"/>
      <c r="BI39" s="559"/>
      <c r="BJ39" s="559"/>
      <c r="BK39" s="559"/>
      <c r="BL39" s="559"/>
      <c r="BM39" s="559"/>
      <c r="BN39" s="559"/>
      <c r="BO39" s="559"/>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row>
    <row r="40" spans="1:140" s="389" customFormat="1" x14ac:dyDescent="0.3">
      <c r="A40" s="371" t="s">
        <v>76</v>
      </c>
      <c r="B40" s="372" t="s">
        <v>1</v>
      </c>
      <c r="C40" s="372" t="s">
        <v>225</v>
      </c>
      <c r="D40" s="373">
        <v>0.6</v>
      </c>
      <c r="E40" s="824">
        <v>2059.5057324840764</v>
      </c>
      <c r="F40" s="386">
        <v>30</v>
      </c>
      <c r="G40" s="372">
        <v>0</v>
      </c>
      <c r="H40" s="824">
        <v>28.253358369671336</v>
      </c>
      <c r="I40" s="388">
        <v>70</v>
      </c>
      <c r="J40" s="50" t="s">
        <v>1198</v>
      </c>
      <c r="K40" s="169" t="s">
        <v>886</v>
      </c>
      <c r="L40" s="50" t="s">
        <v>1553</v>
      </c>
      <c r="M40" s="50" t="s">
        <v>894</v>
      </c>
      <c r="N40" s="50" t="s">
        <v>901</v>
      </c>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59"/>
      <c r="AR40" s="559"/>
      <c r="AS40" s="559"/>
      <c r="AT40" s="559"/>
      <c r="AU40" s="559"/>
      <c r="AV40" s="559"/>
      <c r="AW40" s="559"/>
      <c r="AX40" s="559"/>
      <c r="AY40" s="559"/>
      <c r="AZ40" s="559"/>
      <c r="BA40" s="559"/>
      <c r="BB40" s="559"/>
      <c r="BC40" s="559"/>
      <c r="BD40" s="559"/>
      <c r="BE40" s="559"/>
      <c r="BF40" s="559"/>
      <c r="BG40" s="559"/>
      <c r="BH40" s="559"/>
      <c r="BI40" s="559"/>
      <c r="BJ40" s="559"/>
      <c r="BK40" s="559"/>
      <c r="BL40" s="559"/>
      <c r="BM40" s="559"/>
      <c r="BN40" s="559"/>
      <c r="BO40" s="559"/>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row>
    <row r="41" spans="1:140" x14ac:dyDescent="0.3">
      <c r="A41" s="54"/>
      <c r="B41" s="37" t="s">
        <v>48</v>
      </c>
      <c r="C41" s="37" t="s">
        <v>225</v>
      </c>
      <c r="D41" s="127">
        <v>0.13</v>
      </c>
      <c r="E41" s="829">
        <v>2336.399363057325</v>
      </c>
      <c r="F41" s="37">
        <v>58</v>
      </c>
      <c r="G41" s="37">
        <v>96</v>
      </c>
      <c r="H41" s="829">
        <v>30.963985307103187</v>
      </c>
      <c r="I41" s="55">
        <v>70</v>
      </c>
      <c r="J41" s="50" t="s">
        <v>1195</v>
      </c>
      <c r="K41" s="169" t="s">
        <v>884</v>
      </c>
      <c r="L41" s="50" t="s">
        <v>890</v>
      </c>
      <c r="M41" s="50" t="s">
        <v>894</v>
      </c>
      <c r="N41" s="50" t="s">
        <v>901</v>
      </c>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59"/>
      <c r="AR41" s="559"/>
      <c r="AS41" s="559"/>
      <c r="AT41" s="559"/>
      <c r="AU41" s="559"/>
      <c r="AV41" s="559"/>
      <c r="AW41" s="559"/>
      <c r="AX41" s="559"/>
      <c r="AY41" s="559"/>
      <c r="AZ41" s="559"/>
      <c r="BA41" s="559"/>
      <c r="BB41" s="559"/>
      <c r="BC41" s="559"/>
      <c r="BD41" s="559"/>
      <c r="BE41" s="559"/>
      <c r="BF41" s="559"/>
      <c r="BG41" s="559"/>
      <c r="BH41" s="559"/>
      <c r="BI41" s="559"/>
      <c r="BJ41" s="559"/>
      <c r="BK41" s="559"/>
      <c r="BL41" s="559"/>
      <c r="BM41" s="559"/>
      <c r="BN41" s="559"/>
      <c r="BO41" s="559"/>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row>
    <row r="42" spans="1:140" x14ac:dyDescent="0.3">
      <c r="A42" s="54"/>
      <c r="B42" s="37" t="s">
        <v>67</v>
      </c>
      <c r="C42" s="37" t="s">
        <v>225</v>
      </c>
      <c r="D42" s="127">
        <v>0.27</v>
      </c>
      <c r="E42" s="829">
        <v>857.23949044585993</v>
      </c>
      <c r="F42" s="40">
        <v>16.883813944945249</v>
      </c>
      <c r="G42" s="40">
        <v>17.611499211999956</v>
      </c>
      <c r="H42" s="829">
        <v>16.48387398360255</v>
      </c>
      <c r="I42" s="55">
        <v>70</v>
      </c>
      <c r="J42" s="50" t="s">
        <v>1195</v>
      </c>
      <c r="K42" s="169" t="s">
        <v>884</v>
      </c>
      <c r="L42" s="50" t="s">
        <v>1554</v>
      </c>
      <c r="M42" s="50" t="s">
        <v>894</v>
      </c>
      <c r="N42" s="50" t="s">
        <v>901</v>
      </c>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59"/>
      <c r="AR42" s="559"/>
      <c r="AS42" s="559"/>
      <c r="AT42" s="559"/>
      <c r="AU42" s="559"/>
      <c r="AV42" s="559"/>
      <c r="AW42" s="559"/>
      <c r="AX42" s="559"/>
      <c r="AY42" s="559"/>
      <c r="AZ42" s="559"/>
      <c r="BA42" s="559"/>
      <c r="BB42" s="559"/>
      <c r="BC42" s="559"/>
      <c r="BD42" s="559"/>
      <c r="BE42" s="559"/>
      <c r="BF42" s="559"/>
      <c r="BG42" s="559"/>
      <c r="BH42" s="559"/>
      <c r="BI42" s="559"/>
      <c r="BJ42" s="559"/>
      <c r="BK42" s="559"/>
      <c r="BL42" s="559"/>
      <c r="BM42" s="559"/>
      <c r="BN42" s="559"/>
      <c r="BO42" s="559"/>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row>
    <row r="43" spans="1:140" s="389" customFormat="1" x14ac:dyDescent="0.3">
      <c r="A43" s="371" t="s">
        <v>77</v>
      </c>
      <c r="B43" s="372" t="s">
        <v>1</v>
      </c>
      <c r="C43" s="372" t="s">
        <v>225</v>
      </c>
      <c r="D43" s="373">
        <v>0.93</v>
      </c>
      <c r="E43" s="372">
        <v>59492</v>
      </c>
      <c r="F43" s="372">
        <v>83</v>
      </c>
      <c r="G43" s="372">
        <v>0</v>
      </c>
      <c r="H43" s="386">
        <v>71.3904</v>
      </c>
      <c r="I43" s="388">
        <v>140</v>
      </c>
      <c r="J43" s="50" t="s">
        <v>880</v>
      </c>
      <c r="K43" s="169" t="s">
        <v>883</v>
      </c>
      <c r="L43" s="50" t="s">
        <v>889</v>
      </c>
      <c r="M43" s="50" t="s">
        <v>896</v>
      </c>
      <c r="N43" s="50" t="s">
        <v>901</v>
      </c>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59"/>
      <c r="AR43" s="559"/>
      <c r="AS43" s="559"/>
      <c r="AT43" s="559"/>
      <c r="AU43" s="559"/>
      <c r="AV43" s="559"/>
      <c r="AW43" s="559"/>
      <c r="AX43" s="559"/>
      <c r="AY43" s="559"/>
      <c r="AZ43" s="559"/>
      <c r="BA43" s="559"/>
      <c r="BB43" s="559"/>
      <c r="BC43" s="559"/>
      <c r="BD43" s="559"/>
      <c r="BE43" s="559"/>
      <c r="BF43" s="559"/>
      <c r="BG43" s="559"/>
      <c r="BH43" s="559"/>
      <c r="BI43" s="559"/>
      <c r="BJ43" s="559"/>
      <c r="BK43" s="559"/>
      <c r="BL43" s="559"/>
      <c r="BM43" s="559"/>
      <c r="BN43" s="559"/>
      <c r="BO43" s="559"/>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row>
    <row r="44" spans="1:140" x14ac:dyDescent="0.3">
      <c r="A44" s="54"/>
      <c r="B44" s="37" t="s">
        <v>70</v>
      </c>
      <c r="C44" s="37" t="s">
        <v>225</v>
      </c>
      <c r="D44" s="127">
        <v>7.0000000000000007E-2</v>
      </c>
      <c r="E44" s="37">
        <v>32525</v>
      </c>
      <c r="F44" s="37">
        <v>121</v>
      </c>
      <c r="G44" s="37">
        <v>55</v>
      </c>
      <c r="H44" s="40">
        <v>39.029999999999994</v>
      </c>
      <c r="I44" s="55">
        <v>140</v>
      </c>
      <c r="J44" s="50" t="s">
        <v>1195</v>
      </c>
      <c r="K44" s="169" t="s">
        <v>884</v>
      </c>
      <c r="L44" s="50" t="s">
        <v>1497</v>
      </c>
      <c r="M44" s="50" t="s">
        <v>896</v>
      </c>
      <c r="N44" s="50" t="s">
        <v>901</v>
      </c>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59"/>
      <c r="AR44" s="559"/>
      <c r="AS44" s="559"/>
      <c r="AT44" s="559"/>
      <c r="AU44" s="559"/>
      <c r="AV44" s="559"/>
      <c r="AW44" s="559"/>
      <c r="AX44" s="559"/>
      <c r="AY44" s="559"/>
      <c r="AZ44" s="559"/>
      <c r="BA44" s="559"/>
      <c r="BB44" s="559"/>
      <c r="BC44" s="559"/>
      <c r="BD44" s="559"/>
      <c r="BE44" s="559"/>
      <c r="BF44" s="559"/>
      <c r="BG44" s="559"/>
      <c r="BH44" s="559"/>
      <c r="BI44" s="559"/>
      <c r="BJ44" s="559"/>
      <c r="BK44" s="559"/>
      <c r="BL44" s="559"/>
      <c r="BM44" s="559"/>
      <c r="BN44" s="559"/>
      <c r="BO44" s="559"/>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row>
    <row r="45" spans="1:140" s="389" customFormat="1" x14ac:dyDescent="0.3">
      <c r="A45" s="371" t="s">
        <v>78</v>
      </c>
      <c r="B45" s="372" t="s">
        <v>1</v>
      </c>
      <c r="C45" s="372" t="s">
        <v>225</v>
      </c>
      <c r="D45" s="373">
        <v>0.65</v>
      </c>
      <c r="E45" s="372">
        <v>47000</v>
      </c>
      <c r="F45" s="372">
        <v>144</v>
      </c>
      <c r="G45" s="372">
        <v>0</v>
      </c>
      <c r="H45" s="386">
        <v>89.3</v>
      </c>
      <c r="I45" s="388">
        <v>140</v>
      </c>
      <c r="J45" s="50" t="s">
        <v>880</v>
      </c>
      <c r="K45" s="169" t="s">
        <v>883</v>
      </c>
      <c r="L45" s="50" t="s">
        <v>889</v>
      </c>
      <c r="M45" s="50" t="s">
        <v>896</v>
      </c>
      <c r="N45" s="50" t="s">
        <v>901</v>
      </c>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59"/>
      <c r="AR45" s="559"/>
      <c r="AS45" s="559"/>
      <c r="AT45" s="559"/>
      <c r="AU45" s="559"/>
      <c r="AV45" s="559"/>
      <c r="AW45" s="559"/>
      <c r="AX45" s="559"/>
      <c r="AY45" s="559"/>
      <c r="AZ45" s="559"/>
      <c r="BA45" s="559"/>
      <c r="BB45" s="559"/>
      <c r="BC45" s="559"/>
      <c r="BD45" s="559"/>
      <c r="BE45" s="559"/>
      <c r="BF45" s="559"/>
      <c r="BG45" s="559"/>
      <c r="BH45" s="559"/>
      <c r="BI45" s="559"/>
      <c r="BJ45" s="559"/>
      <c r="BK45" s="559"/>
      <c r="BL45" s="559"/>
      <c r="BM45" s="559"/>
      <c r="BN45" s="559"/>
      <c r="BO45" s="559"/>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row>
    <row r="46" spans="1:140" x14ac:dyDescent="0.3">
      <c r="A46" s="54"/>
      <c r="B46" s="37" t="s">
        <v>79</v>
      </c>
      <c r="C46" s="37" t="s">
        <v>225</v>
      </c>
      <c r="D46" s="127">
        <v>0.21</v>
      </c>
      <c r="E46" s="39">
        <v>48196</v>
      </c>
      <c r="F46" s="37">
        <v>165</v>
      </c>
      <c r="G46" s="37">
        <v>0</v>
      </c>
      <c r="H46" s="40">
        <v>91.572400000000002</v>
      </c>
      <c r="I46" s="55">
        <v>140</v>
      </c>
      <c r="J46" s="50" t="s">
        <v>1195</v>
      </c>
      <c r="K46" s="169" t="s">
        <v>884</v>
      </c>
      <c r="L46" s="50" t="s">
        <v>891</v>
      </c>
      <c r="M46" s="50" t="s">
        <v>896</v>
      </c>
      <c r="N46" s="50" t="s">
        <v>901</v>
      </c>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59"/>
      <c r="AR46" s="559"/>
      <c r="AS46" s="559"/>
      <c r="AT46" s="559"/>
      <c r="AU46" s="559"/>
      <c r="AV46" s="559"/>
      <c r="AW46" s="559"/>
      <c r="AX46" s="559"/>
      <c r="AY46" s="559"/>
      <c r="AZ46" s="559"/>
      <c r="BA46" s="559"/>
      <c r="BB46" s="559"/>
      <c r="BC46" s="559"/>
      <c r="BD46" s="559"/>
      <c r="BE46" s="559"/>
      <c r="BF46" s="559"/>
      <c r="BG46" s="559"/>
      <c r="BH46" s="559"/>
      <c r="BI46" s="559"/>
      <c r="BJ46" s="559"/>
      <c r="BK46" s="559"/>
      <c r="BL46" s="559"/>
      <c r="BM46" s="559"/>
      <c r="BN46" s="559"/>
      <c r="BO46" s="559"/>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row>
    <row r="47" spans="1:140" x14ac:dyDescent="0.3">
      <c r="A47" s="54"/>
      <c r="B47" s="37" t="s">
        <v>70</v>
      </c>
      <c r="C47" s="37" t="s">
        <v>225</v>
      </c>
      <c r="D47" s="127">
        <v>0.14000000000000001</v>
      </c>
      <c r="E47" s="39">
        <v>17835</v>
      </c>
      <c r="F47" s="37">
        <v>60</v>
      </c>
      <c r="G47" s="37">
        <v>0</v>
      </c>
      <c r="H47" s="40">
        <v>33.886499999999998</v>
      </c>
      <c r="I47" s="55">
        <v>140</v>
      </c>
      <c r="J47" s="50" t="s">
        <v>1195</v>
      </c>
      <c r="K47" s="169" t="s">
        <v>884</v>
      </c>
      <c r="L47" s="50" t="s">
        <v>1498</v>
      </c>
      <c r="M47" s="50" t="s">
        <v>896</v>
      </c>
      <c r="N47" s="50" t="s">
        <v>901</v>
      </c>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59"/>
      <c r="AR47" s="559"/>
      <c r="AS47" s="559"/>
      <c r="AT47" s="559"/>
      <c r="AU47" s="559"/>
      <c r="AV47" s="559"/>
      <c r="AW47" s="559"/>
      <c r="AX47" s="559"/>
      <c r="AY47" s="559"/>
      <c r="AZ47" s="559"/>
      <c r="BA47" s="559"/>
      <c r="BB47" s="559"/>
      <c r="BC47" s="559"/>
      <c r="BD47" s="559"/>
      <c r="BE47" s="559"/>
      <c r="BF47" s="559"/>
      <c r="BG47" s="559"/>
      <c r="BH47" s="559"/>
      <c r="BI47" s="559"/>
      <c r="BJ47" s="559"/>
      <c r="BK47" s="559"/>
      <c r="BL47" s="559"/>
      <c r="BM47" s="559"/>
      <c r="BN47" s="559"/>
      <c r="BO47" s="559"/>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row>
    <row r="48" spans="1:140" s="389" customFormat="1" x14ac:dyDescent="0.3">
      <c r="A48" s="371" t="s">
        <v>80</v>
      </c>
      <c r="B48" s="372" t="s">
        <v>1</v>
      </c>
      <c r="C48" s="372" t="s">
        <v>225</v>
      </c>
      <c r="D48" s="373">
        <v>0.35</v>
      </c>
      <c r="E48" s="392">
        <v>29273</v>
      </c>
      <c r="F48" s="372">
        <v>220</v>
      </c>
      <c r="G48" s="372">
        <v>0</v>
      </c>
      <c r="H48" s="386">
        <v>35.127599999999994</v>
      </c>
      <c r="I48" s="388">
        <v>140</v>
      </c>
      <c r="J48" s="50" t="s">
        <v>883</v>
      </c>
      <c r="K48" s="169" t="s">
        <v>883</v>
      </c>
      <c r="L48" s="50" t="s">
        <v>889</v>
      </c>
      <c r="M48" s="50" t="s">
        <v>896</v>
      </c>
      <c r="N48" s="50" t="s">
        <v>901</v>
      </c>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59"/>
      <c r="AR48" s="559"/>
      <c r="AS48" s="559"/>
      <c r="AT48" s="559"/>
      <c r="AU48" s="559"/>
      <c r="AV48" s="559"/>
      <c r="AW48" s="559"/>
      <c r="AX48" s="559"/>
      <c r="AY48" s="559"/>
      <c r="AZ48" s="559"/>
      <c r="BA48" s="559"/>
      <c r="BB48" s="559"/>
      <c r="BC48" s="559"/>
      <c r="BD48" s="559"/>
      <c r="BE48" s="559"/>
      <c r="BF48" s="559"/>
      <c r="BG48" s="559"/>
      <c r="BH48" s="559"/>
      <c r="BI48" s="559"/>
      <c r="BJ48" s="559"/>
      <c r="BK48" s="559"/>
      <c r="BL48" s="559"/>
      <c r="BM48" s="559"/>
      <c r="BN48" s="559"/>
      <c r="BO48" s="559"/>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row>
    <row r="49" spans="1:140" x14ac:dyDescent="0.3">
      <c r="A49" s="54"/>
      <c r="B49" s="37" t="s">
        <v>79</v>
      </c>
      <c r="C49" s="37" t="s">
        <v>225</v>
      </c>
      <c r="D49" s="127">
        <v>0.54</v>
      </c>
      <c r="E49" s="37">
        <v>35472</v>
      </c>
      <c r="F49" s="37">
        <v>168</v>
      </c>
      <c r="G49" s="37">
        <v>0</v>
      </c>
      <c r="H49" s="40">
        <v>42.566399999999994</v>
      </c>
      <c r="I49" s="55">
        <v>140</v>
      </c>
      <c r="J49" s="50" t="s">
        <v>1195</v>
      </c>
      <c r="K49" s="169" t="s">
        <v>884</v>
      </c>
      <c r="L49" s="50" t="s">
        <v>891</v>
      </c>
      <c r="M49" s="50" t="s">
        <v>896</v>
      </c>
      <c r="N49" s="50" t="s">
        <v>901</v>
      </c>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59"/>
      <c r="AR49" s="559"/>
      <c r="AS49" s="559"/>
      <c r="AT49" s="559"/>
      <c r="AU49" s="559"/>
      <c r="AV49" s="559"/>
      <c r="AW49" s="559"/>
      <c r="AX49" s="559"/>
      <c r="AY49" s="559"/>
      <c r="AZ49" s="559"/>
      <c r="BA49" s="559"/>
      <c r="BB49" s="559"/>
      <c r="BC49" s="559"/>
      <c r="BD49" s="559"/>
      <c r="BE49" s="559"/>
      <c r="BF49" s="559"/>
      <c r="BG49" s="559"/>
      <c r="BH49" s="559"/>
      <c r="BI49" s="559"/>
      <c r="BJ49" s="559"/>
      <c r="BK49" s="559"/>
      <c r="BL49" s="559"/>
      <c r="BM49" s="559"/>
      <c r="BN49" s="559"/>
      <c r="BO49" s="559"/>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row>
    <row r="50" spans="1:140" x14ac:dyDescent="0.3">
      <c r="A50" s="54"/>
      <c r="B50" s="37" t="s">
        <v>70</v>
      </c>
      <c r="C50" s="37" t="s">
        <v>225</v>
      </c>
      <c r="D50" s="127">
        <v>0.11</v>
      </c>
      <c r="E50" s="37">
        <v>28948</v>
      </c>
      <c r="F50" s="37">
        <v>177</v>
      </c>
      <c r="G50" s="37">
        <v>0</v>
      </c>
      <c r="H50" s="40">
        <v>34.7376</v>
      </c>
      <c r="I50" s="55">
        <v>140</v>
      </c>
      <c r="J50" s="50" t="s">
        <v>1195</v>
      </c>
      <c r="K50" s="169" t="s">
        <v>884</v>
      </c>
      <c r="L50" s="50" t="s">
        <v>1554</v>
      </c>
      <c r="M50" s="50" t="s">
        <v>896</v>
      </c>
      <c r="N50" s="50" t="s">
        <v>901</v>
      </c>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59"/>
      <c r="AR50" s="559"/>
      <c r="AS50" s="559"/>
      <c r="AT50" s="559"/>
      <c r="AU50" s="559"/>
      <c r="AV50" s="559"/>
      <c r="AW50" s="559"/>
      <c r="AX50" s="559"/>
      <c r="AY50" s="559"/>
      <c r="AZ50" s="559"/>
      <c r="BA50" s="559"/>
      <c r="BB50" s="559"/>
      <c r="BC50" s="559"/>
      <c r="BD50" s="559"/>
      <c r="BE50" s="559"/>
      <c r="BF50" s="559"/>
      <c r="BG50" s="559"/>
      <c r="BH50" s="559"/>
      <c r="BI50" s="559"/>
      <c r="BJ50" s="559"/>
      <c r="BK50" s="559"/>
      <c r="BL50" s="559"/>
      <c r="BM50" s="559"/>
      <c r="BN50" s="559"/>
      <c r="BO50" s="559"/>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row>
    <row r="51" spans="1:140" s="389" customFormat="1" x14ac:dyDescent="0.3">
      <c r="A51" s="371" t="s">
        <v>81</v>
      </c>
      <c r="B51" s="372" t="s">
        <v>1</v>
      </c>
      <c r="C51" s="372" t="s">
        <v>225</v>
      </c>
      <c r="D51" s="373">
        <v>0.43</v>
      </c>
      <c r="E51" s="372">
        <v>44100</v>
      </c>
      <c r="F51" s="372">
        <v>200</v>
      </c>
      <c r="G51" s="372">
        <v>0</v>
      </c>
      <c r="H51" s="386">
        <v>110.25</v>
      </c>
      <c r="I51" s="388">
        <v>140</v>
      </c>
      <c r="J51" s="50" t="s">
        <v>880</v>
      </c>
      <c r="K51" s="169" t="s">
        <v>883</v>
      </c>
      <c r="L51" s="50" t="s">
        <v>1552</v>
      </c>
      <c r="M51" s="50" t="s">
        <v>896</v>
      </c>
      <c r="N51" s="50" t="s">
        <v>901</v>
      </c>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59"/>
      <c r="AR51" s="559"/>
      <c r="AS51" s="559"/>
      <c r="AT51" s="559"/>
      <c r="AU51" s="559"/>
      <c r="AV51" s="559"/>
      <c r="AW51" s="559"/>
      <c r="AX51" s="559"/>
      <c r="AY51" s="559"/>
      <c r="AZ51" s="559"/>
      <c r="BA51" s="559"/>
      <c r="BB51" s="559"/>
      <c r="BC51" s="559"/>
      <c r="BD51" s="559"/>
      <c r="BE51" s="559"/>
      <c r="BF51" s="559"/>
      <c r="BG51" s="559"/>
      <c r="BH51" s="559"/>
      <c r="BI51" s="559"/>
      <c r="BJ51" s="559"/>
      <c r="BK51" s="559"/>
      <c r="BL51" s="559"/>
      <c r="BM51" s="559"/>
      <c r="BN51" s="559"/>
      <c r="BO51" s="559"/>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row>
    <row r="52" spans="1:140" x14ac:dyDescent="0.3">
      <c r="A52" s="54"/>
      <c r="B52" s="37" t="s">
        <v>82</v>
      </c>
      <c r="C52" s="37" t="s">
        <v>225</v>
      </c>
      <c r="D52" s="127">
        <v>0.51</v>
      </c>
      <c r="E52" s="39">
        <v>56752</v>
      </c>
      <c r="F52" s="40">
        <v>213.95504</v>
      </c>
      <c r="G52" s="37">
        <v>0</v>
      </c>
      <c r="H52" s="40">
        <v>141.88</v>
      </c>
      <c r="I52" s="55">
        <v>140</v>
      </c>
      <c r="J52" s="50" t="s">
        <v>1195</v>
      </c>
      <c r="K52" s="169" t="s">
        <v>884</v>
      </c>
      <c r="L52" s="50" t="s">
        <v>1537</v>
      </c>
      <c r="M52" s="50" t="s">
        <v>896</v>
      </c>
      <c r="N52" s="50" t="s">
        <v>901</v>
      </c>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59"/>
      <c r="AR52" s="559"/>
      <c r="AS52" s="559"/>
      <c r="AT52" s="559"/>
      <c r="AU52" s="559"/>
      <c r="AV52" s="559"/>
      <c r="AW52" s="559"/>
      <c r="AX52" s="559"/>
      <c r="AY52" s="559"/>
      <c r="AZ52" s="559"/>
      <c r="BA52" s="559"/>
      <c r="BB52" s="559"/>
      <c r="BC52" s="559"/>
      <c r="BD52" s="559"/>
      <c r="BE52" s="559"/>
      <c r="BF52" s="559"/>
      <c r="BG52" s="559"/>
      <c r="BH52" s="559"/>
      <c r="BI52" s="559"/>
      <c r="BJ52" s="559"/>
      <c r="BK52" s="559"/>
      <c r="BL52" s="559"/>
      <c r="BM52" s="559"/>
      <c r="BN52" s="559"/>
      <c r="BO52" s="559"/>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row>
    <row r="53" spans="1:140" x14ac:dyDescent="0.3">
      <c r="A53" s="54"/>
      <c r="B53" s="37" t="s">
        <v>70</v>
      </c>
      <c r="C53" s="37" t="s">
        <v>225</v>
      </c>
      <c r="D53" s="127">
        <v>0.06</v>
      </c>
      <c r="E53" s="37">
        <v>29144</v>
      </c>
      <c r="F53" s="872">
        <v>109.87287999999999</v>
      </c>
      <c r="G53" s="37">
        <v>0</v>
      </c>
      <c r="H53" s="40">
        <v>72.86</v>
      </c>
      <c r="I53" s="55">
        <v>140</v>
      </c>
      <c r="J53" s="50" t="s">
        <v>1195</v>
      </c>
      <c r="K53" s="169" t="s">
        <v>884</v>
      </c>
      <c r="L53" s="50" t="s">
        <v>1537</v>
      </c>
      <c r="M53" s="50" t="s">
        <v>896</v>
      </c>
      <c r="N53" s="50" t="s">
        <v>901</v>
      </c>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59"/>
      <c r="AR53" s="559"/>
      <c r="AS53" s="559"/>
      <c r="AT53" s="559"/>
      <c r="AU53" s="559"/>
      <c r="AV53" s="559"/>
      <c r="AW53" s="559"/>
      <c r="AX53" s="559"/>
      <c r="AY53" s="559"/>
      <c r="AZ53" s="559"/>
      <c r="BA53" s="559"/>
      <c r="BB53" s="559"/>
      <c r="BC53" s="559"/>
      <c r="BD53" s="559"/>
      <c r="BE53" s="559"/>
      <c r="BF53" s="559"/>
      <c r="BG53" s="559"/>
      <c r="BH53" s="559"/>
      <c r="BI53" s="559"/>
      <c r="BJ53" s="559"/>
      <c r="BK53" s="559"/>
      <c r="BL53" s="559"/>
      <c r="BM53" s="559"/>
      <c r="BN53" s="559"/>
      <c r="BO53" s="559"/>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row>
    <row r="54" spans="1:140" s="389" customFormat="1" x14ac:dyDescent="0.3">
      <c r="A54" s="371" t="s">
        <v>83</v>
      </c>
      <c r="B54" s="372" t="s">
        <v>1</v>
      </c>
      <c r="C54" s="372" t="s">
        <v>225</v>
      </c>
      <c r="D54" s="373">
        <v>0.42</v>
      </c>
      <c r="E54" s="372">
        <v>17820</v>
      </c>
      <c r="F54" s="372">
        <v>220</v>
      </c>
      <c r="G54" s="372">
        <v>0</v>
      </c>
      <c r="H54" s="386">
        <v>89.100000000000009</v>
      </c>
      <c r="I54" s="388">
        <v>140</v>
      </c>
      <c r="J54" s="50" t="s">
        <v>883</v>
      </c>
      <c r="K54" s="169" t="s">
        <v>883</v>
      </c>
      <c r="L54" s="50" t="s">
        <v>1552</v>
      </c>
      <c r="M54" s="50" t="s">
        <v>896</v>
      </c>
      <c r="N54" s="50" t="s">
        <v>901</v>
      </c>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59"/>
      <c r="AR54" s="559"/>
      <c r="AS54" s="559"/>
      <c r="AT54" s="559"/>
      <c r="AU54" s="559"/>
      <c r="AV54" s="559"/>
      <c r="AW54" s="559"/>
      <c r="AX54" s="559"/>
      <c r="AY54" s="559"/>
      <c r="AZ54" s="559"/>
      <c r="BA54" s="559"/>
      <c r="BB54" s="559"/>
      <c r="BC54" s="559"/>
      <c r="BD54" s="559"/>
      <c r="BE54" s="559"/>
      <c r="BF54" s="559"/>
      <c r="BG54" s="559"/>
      <c r="BH54" s="559"/>
      <c r="BI54" s="559"/>
      <c r="BJ54" s="559"/>
      <c r="BK54" s="559"/>
      <c r="BL54" s="559"/>
      <c r="BM54" s="559"/>
      <c r="BN54" s="559"/>
      <c r="BO54" s="559"/>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row>
    <row r="55" spans="1:140" x14ac:dyDescent="0.3">
      <c r="A55" s="54"/>
      <c r="B55" s="37" t="s">
        <v>74</v>
      </c>
      <c r="C55" s="37" t="s">
        <v>225</v>
      </c>
      <c r="D55" s="127">
        <v>0.27</v>
      </c>
      <c r="E55" s="37">
        <v>17353</v>
      </c>
      <c r="F55" s="37">
        <v>162</v>
      </c>
      <c r="G55" s="37">
        <v>0</v>
      </c>
      <c r="H55" s="40">
        <v>78.088499999999996</v>
      </c>
      <c r="I55" s="55">
        <v>140</v>
      </c>
      <c r="J55" s="50" t="s">
        <v>1195</v>
      </c>
      <c r="K55" s="169" t="s">
        <v>884</v>
      </c>
      <c r="L55" s="50" t="s">
        <v>888</v>
      </c>
      <c r="M55" s="50" t="s">
        <v>888</v>
      </c>
      <c r="N55" s="50" t="s">
        <v>901</v>
      </c>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59"/>
      <c r="AR55" s="559"/>
      <c r="AS55" s="559"/>
      <c r="AT55" s="559"/>
      <c r="AU55" s="559"/>
      <c r="AV55" s="559"/>
      <c r="AW55" s="559"/>
      <c r="AX55" s="559"/>
      <c r="AY55" s="559"/>
      <c r="AZ55" s="559"/>
      <c r="BA55" s="559"/>
      <c r="BB55" s="559"/>
      <c r="BC55" s="559"/>
      <c r="BD55" s="559"/>
      <c r="BE55" s="559"/>
      <c r="BF55" s="559"/>
      <c r="BG55" s="559"/>
      <c r="BH55" s="559"/>
      <c r="BI55" s="559"/>
      <c r="BJ55" s="559"/>
      <c r="BK55" s="559"/>
      <c r="BL55" s="559"/>
      <c r="BM55" s="559"/>
      <c r="BN55" s="559"/>
      <c r="BO55" s="559"/>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row>
    <row r="56" spans="1:140" x14ac:dyDescent="0.3">
      <c r="A56" s="54"/>
      <c r="B56" s="37" t="s">
        <v>84</v>
      </c>
      <c r="C56" s="37" t="s">
        <v>225</v>
      </c>
      <c r="D56" s="127">
        <v>0.14000000000000001</v>
      </c>
      <c r="E56" s="37">
        <v>17578</v>
      </c>
      <c r="F56" s="37">
        <v>190</v>
      </c>
      <c r="G56" s="37">
        <v>0</v>
      </c>
      <c r="H56" s="40">
        <v>83.495499999999993</v>
      </c>
      <c r="I56" s="55">
        <v>140</v>
      </c>
      <c r="J56" s="50" t="s">
        <v>1195</v>
      </c>
      <c r="K56" s="169" t="s">
        <v>884</v>
      </c>
      <c r="L56" s="50" t="s">
        <v>1499</v>
      </c>
      <c r="M56" s="50" t="s">
        <v>1555</v>
      </c>
      <c r="N56" s="50" t="s">
        <v>901</v>
      </c>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59"/>
      <c r="AR56" s="559"/>
      <c r="AS56" s="559"/>
      <c r="AT56" s="559"/>
      <c r="AU56" s="559"/>
      <c r="AV56" s="559"/>
      <c r="AW56" s="559"/>
      <c r="AX56" s="559"/>
      <c r="AY56" s="559"/>
      <c r="AZ56" s="559"/>
      <c r="BA56" s="559"/>
      <c r="BB56" s="559"/>
      <c r="BC56" s="559"/>
      <c r="BD56" s="559"/>
      <c r="BE56" s="559"/>
      <c r="BF56" s="559"/>
      <c r="BG56" s="559"/>
      <c r="BH56" s="559"/>
      <c r="BI56" s="559"/>
      <c r="BJ56" s="559"/>
      <c r="BK56" s="559"/>
      <c r="BL56" s="559"/>
      <c r="BM56" s="559"/>
      <c r="BN56" s="559"/>
      <c r="BO56" s="559"/>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row>
    <row r="57" spans="1:140" x14ac:dyDescent="0.3">
      <c r="A57" s="54"/>
      <c r="B57" s="37" t="s">
        <v>70</v>
      </c>
      <c r="C57" s="37" t="s">
        <v>225</v>
      </c>
      <c r="D57" s="127">
        <v>0.17</v>
      </c>
      <c r="E57" s="37">
        <v>17400</v>
      </c>
      <c r="F57" s="37">
        <v>188</v>
      </c>
      <c r="G57" s="37">
        <v>0</v>
      </c>
      <c r="H57" s="40">
        <v>82.649999999999991</v>
      </c>
      <c r="I57" s="55">
        <v>140</v>
      </c>
      <c r="J57" s="50" t="s">
        <v>1195</v>
      </c>
      <c r="K57" s="169" t="s">
        <v>884</v>
      </c>
      <c r="L57" s="50" t="s">
        <v>1499</v>
      </c>
      <c r="M57" s="50" t="s">
        <v>1555</v>
      </c>
      <c r="N57" s="50" t="s">
        <v>901</v>
      </c>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59"/>
      <c r="AR57" s="559"/>
      <c r="AS57" s="559"/>
      <c r="AT57" s="559"/>
      <c r="AU57" s="559"/>
      <c r="AV57" s="559"/>
      <c r="AW57" s="559"/>
      <c r="AX57" s="559"/>
      <c r="AY57" s="559"/>
      <c r="AZ57" s="559"/>
      <c r="BA57" s="559"/>
      <c r="BB57" s="559"/>
      <c r="BC57" s="559"/>
      <c r="BD57" s="559"/>
      <c r="BE57" s="559"/>
      <c r="BF57" s="559"/>
      <c r="BG57" s="559"/>
      <c r="BH57" s="559"/>
      <c r="BI57" s="559"/>
      <c r="BJ57" s="559"/>
      <c r="BK57" s="559"/>
      <c r="BL57" s="559"/>
      <c r="BM57" s="559"/>
      <c r="BN57" s="559"/>
      <c r="BO57" s="559"/>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row>
    <row r="58" spans="1:140" s="389" customFormat="1" x14ac:dyDescent="0.3">
      <c r="A58" s="371" t="s">
        <v>85</v>
      </c>
      <c r="B58" s="372" t="s">
        <v>1</v>
      </c>
      <c r="C58" s="372" t="s">
        <v>225</v>
      </c>
      <c r="D58" s="373">
        <v>0.66</v>
      </c>
      <c r="E58" s="386">
        <v>8428.7213498037745</v>
      </c>
      <c r="F58" s="372">
        <v>150</v>
      </c>
      <c r="G58" s="372">
        <v>0</v>
      </c>
      <c r="H58" s="386">
        <v>113.36959999999999</v>
      </c>
      <c r="I58" s="388">
        <v>140</v>
      </c>
      <c r="J58" s="50" t="s">
        <v>883</v>
      </c>
      <c r="K58" s="169" t="s">
        <v>883</v>
      </c>
      <c r="L58" s="50" t="s">
        <v>1552</v>
      </c>
      <c r="M58" s="50" t="s">
        <v>897</v>
      </c>
      <c r="N58" s="50" t="s">
        <v>901</v>
      </c>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59"/>
      <c r="AR58" s="559"/>
      <c r="AS58" s="559"/>
      <c r="AT58" s="559"/>
      <c r="AU58" s="559"/>
      <c r="AV58" s="559"/>
      <c r="AW58" s="559"/>
      <c r="AX58" s="559"/>
      <c r="AY58" s="559"/>
      <c r="AZ58" s="559"/>
      <c r="BA58" s="559"/>
      <c r="BB58" s="559"/>
      <c r="BC58" s="559"/>
      <c r="BD58" s="559"/>
      <c r="BE58" s="559"/>
      <c r="BF58" s="559"/>
      <c r="BG58" s="559"/>
      <c r="BH58" s="559"/>
      <c r="BI58" s="559"/>
      <c r="BJ58" s="559"/>
      <c r="BK58" s="559"/>
      <c r="BL58" s="559"/>
      <c r="BM58" s="559"/>
      <c r="BN58" s="559"/>
      <c r="BO58" s="559"/>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row>
    <row r="59" spans="1:140" x14ac:dyDescent="0.3">
      <c r="A59" s="54"/>
      <c r="B59" s="37" t="s">
        <v>74</v>
      </c>
      <c r="C59" s="37" t="s">
        <v>225</v>
      </c>
      <c r="D59" s="127">
        <v>0.14000000000000001</v>
      </c>
      <c r="E59" s="37">
        <v>17353</v>
      </c>
      <c r="F59" s="37">
        <v>298</v>
      </c>
      <c r="G59" s="37">
        <v>0</v>
      </c>
      <c r="H59" s="40">
        <v>194.00654</v>
      </c>
      <c r="I59" s="55">
        <v>140</v>
      </c>
      <c r="J59" s="50" t="s">
        <v>1195</v>
      </c>
      <c r="K59" s="169" t="s">
        <v>884</v>
      </c>
      <c r="L59" s="50" t="s">
        <v>888</v>
      </c>
      <c r="M59" s="50" t="s">
        <v>888</v>
      </c>
      <c r="N59" s="50" t="s">
        <v>901</v>
      </c>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59"/>
      <c r="AR59" s="559"/>
      <c r="AS59" s="559"/>
      <c r="AT59" s="559"/>
      <c r="AU59" s="559"/>
      <c r="AV59" s="559"/>
      <c r="AW59" s="559"/>
      <c r="AX59" s="559"/>
      <c r="AY59" s="559"/>
      <c r="AZ59" s="559"/>
      <c r="BA59" s="559"/>
      <c r="BB59" s="559"/>
      <c r="BC59" s="559"/>
      <c r="BD59" s="559"/>
      <c r="BE59" s="559"/>
      <c r="BF59" s="559"/>
      <c r="BG59" s="559"/>
      <c r="BH59" s="559"/>
      <c r="BI59" s="559"/>
      <c r="BJ59" s="559"/>
      <c r="BK59" s="559"/>
      <c r="BL59" s="559"/>
      <c r="BM59" s="559"/>
      <c r="BN59" s="559"/>
      <c r="BO59" s="559"/>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row>
    <row r="60" spans="1:140" x14ac:dyDescent="0.3">
      <c r="A60" s="54"/>
      <c r="B60" s="37" t="s">
        <v>70</v>
      </c>
      <c r="C60" s="37" t="s">
        <v>225</v>
      </c>
      <c r="D60" s="127">
        <v>0.2</v>
      </c>
      <c r="E60" s="37">
        <v>17400</v>
      </c>
      <c r="F60" s="37">
        <v>209</v>
      </c>
      <c r="G60" s="37">
        <v>0</v>
      </c>
      <c r="H60" s="40">
        <v>215.58600000000001</v>
      </c>
      <c r="I60" s="55">
        <v>140</v>
      </c>
      <c r="J60" s="50" t="s">
        <v>1195</v>
      </c>
      <c r="K60" s="169" t="s">
        <v>884</v>
      </c>
      <c r="L60" s="50" t="s">
        <v>1500</v>
      </c>
      <c r="M60" s="50" t="s">
        <v>1555</v>
      </c>
      <c r="N60" s="50" t="s">
        <v>901</v>
      </c>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59"/>
      <c r="AR60" s="559"/>
      <c r="AS60" s="559"/>
      <c r="AT60" s="559"/>
      <c r="AU60" s="559"/>
      <c r="AV60" s="559"/>
      <c r="AW60" s="559"/>
      <c r="AX60" s="559"/>
      <c r="AY60" s="559"/>
      <c r="AZ60" s="559"/>
      <c r="BA60" s="559"/>
      <c r="BB60" s="559"/>
      <c r="BC60" s="559"/>
      <c r="BD60" s="559"/>
      <c r="BE60" s="559"/>
      <c r="BF60" s="559"/>
      <c r="BG60" s="559"/>
      <c r="BH60" s="559"/>
      <c r="BI60" s="559"/>
      <c r="BJ60" s="559"/>
      <c r="BK60" s="559"/>
      <c r="BL60" s="559"/>
      <c r="BM60" s="559"/>
      <c r="BN60" s="559"/>
      <c r="BO60" s="559"/>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row>
    <row r="61" spans="1:140" s="389" customFormat="1" x14ac:dyDescent="0.3">
      <c r="A61" s="371" t="s">
        <v>39</v>
      </c>
      <c r="B61" s="372" t="s">
        <v>79</v>
      </c>
      <c r="C61" s="372" t="s">
        <v>102</v>
      </c>
      <c r="D61" s="373">
        <v>0.60091427556903521</v>
      </c>
      <c r="E61" s="372">
        <v>272934</v>
      </c>
      <c r="F61" s="372">
        <v>573</v>
      </c>
      <c r="G61" s="372">
        <v>0</v>
      </c>
      <c r="H61" s="372">
        <v>0</v>
      </c>
      <c r="I61" s="388">
        <v>0</v>
      </c>
      <c r="J61" s="50" t="s">
        <v>1196</v>
      </c>
      <c r="K61" s="169" t="s">
        <v>884</v>
      </c>
      <c r="L61" s="50" t="s">
        <v>1501</v>
      </c>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59"/>
      <c r="AR61" s="559"/>
      <c r="AS61" s="559"/>
      <c r="AT61" s="559"/>
      <c r="AU61" s="559"/>
      <c r="AV61" s="559"/>
      <c r="AW61" s="559"/>
      <c r="AX61" s="559"/>
      <c r="AY61" s="559"/>
      <c r="AZ61" s="559"/>
      <c r="BA61" s="559"/>
      <c r="BB61" s="559"/>
      <c r="BC61" s="559"/>
      <c r="BD61" s="559"/>
      <c r="BE61" s="559"/>
      <c r="BF61" s="559"/>
      <c r="BG61" s="559"/>
      <c r="BH61" s="559"/>
      <c r="BI61" s="559"/>
      <c r="BJ61" s="559"/>
      <c r="BK61" s="559"/>
      <c r="BL61" s="559"/>
      <c r="BM61" s="559"/>
      <c r="BN61" s="559"/>
      <c r="BO61" s="559"/>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row>
    <row r="62" spans="1:140" x14ac:dyDescent="0.3">
      <c r="A62" s="54"/>
      <c r="B62" s="37" t="s">
        <v>74</v>
      </c>
      <c r="C62" s="37" t="s">
        <v>927</v>
      </c>
      <c r="D62" s="127">
        <v>0.1185948576891951</v>
      </c>
      <c r="E62" s="39">
        <v>72326</v>
      </c>
      <c r="F62" s="37">
        <v>338</v>
      </c>
      <c r="G62" s="37">
        <v>0</v>
      </c>
      <c r="H62" s="37">
        <v>0</v>
      </c>
      <c r="I62" s="21">
        <v>0</v>
      </c>
      <c r="J62" s="50" t="s">
        <v>1197</v>
      </c>
      <c r="K62" s="169" t="s">
        <v>1015</v>
      </c>
      <c r="L62" s="50" t="s">
        <v>888</v>
      </c>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59"/>
      <c r="AR62" s="559"/>
      <c r="AS62" s="559"/>
      <c r="AT62" s="559"/>
      <c r="AU62" s="559"/>
      <c r="AV62" s="559"/>
      <c r="AW62" s="559"/>
      <c r="AX62" s="559"/>
      <c r="AY62" s="559"/>
      <c r="AZ62" s="559"/>
      <c r="BA62" s="559"/>
      <c r="BB62" s="559"/>
      <c r="BC62" s="559"/>
      <c r="BD62" s="559"/>
      <c r="BE62" s="559"/>
      <c r="BF62" s="559"/>
      <c r="BG62" s="559"/>
      <c r="BH62" s="559"/>
      <c r="BI62" s="559"/>
      <c r="BJ62" s="559"/>
      <c r="BK62" s="559"/>
      <c r="BL62" s="559"/>
      <c r="BM62" s="559"/>
      <c r="BN62" s="559"/>
      <c r="BO62" s="559"/>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row>
    <row r="63" spans="1:140" x14ac:dyDescent="0.3">
      <c r="A63" s="54"/>
      <c r="B63" s="37"/>
      <c r="C63" s="37" t="s">
        <v>225</v>
      </c>
      <c r="D63" s="127">
        <v>0.13598069034833049</v>
      </c>
      <c r="E63" s="37">
        <v>57121</v>
      </c>
      <c r="F63" s="37">
        <v>260</v>
      </c>
      <c r="G63" s="37">
        <v>0</v>
      </c>
      <c r="H63" s="40">
        <v>128.52224999999999</v>
      </c>
      <c r="I63" s="55">
        <v>140</v>
      </c>
      <c r="J63" s="50" t="s">
        <v>1197</v>
      </c>
      <c r="K63" s="169" t="s">
        <v>1015</v>
      </c>
      <c r="L63" s="50" t="s">
        <v>888</v>
      </c>
      <c r="M63" s="50" t="s">
        <v>888</v>
      </c>
      <c r="N63" s="50" t="s">
        <v>901</v>
      </c>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59"/>
      <c r="AR63" s="559"/>
      <c r="AS63" s="559"/>
      <c r="AT63" s="559"/>
      <c r="AU63" s="559"/>
      <c r="AV63" s="559"/>
      <c r="AW63" s="559"/>
      <c r="AX63" s="559"/>
      <c r="AY63" s="559"/>
      <c r="AZ63" s="559"/>
      <c r="BA63" s="559"/>
      <c r="BB63" s="559"/>
      <c r="BC63" s="559"/>
      <c r="BD63" s="559"/>
      <c r="BE63" s="559"/>
      <c r="BF63" s="559"/>
      <c r="BG63" s="559"/>
      <c r="BH63" s="559"/>
      <c r="BI63" s="559"/>
      <c r="BJ63" s="559"/>
      <c r="BK63" s="559"/>
      <c r="BL63" s="559"/>
      <c r="BM63" s="559"/>
      <c r="BN63" s="559"/>
      <c r="BO63" s="559"/>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row>
    <row r="64" spans="1:140" x14ac:dyDescent="0.3">
      <c r="A64" s="54"/>
      <c r="B64" s="37" t="s">
        <v>70</v>
      </c>
      <c r="C64" s="37" t="s">
        <v>102</v>
      </c>
      <c r="D64" s="127">
        <v>4.0879851287850155E-2</v>
      </c>
      <c r="E64" s="37">
        <v>41215</v>
      </c>
      <c r="F64" s="37">
        <v>87</v>
      </c>
      <c r="G64" s="37">
        <v>0</v>
      </c>
      <c r="H64" s="38">
        <v>0</v>
      </c>
      <c r="I64" s="21">
        <v>0</v>
      </c>
      <c r="J64" s="50" t="s">
        <v>1195</v>
      </c>
      <c r="K64" s="169" t="s">
        <v>884</v>
      </c>
      <c r="L64" s="50" t="s">
        <v>1501</v>
      </c>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59"/>
      <c r="AR64" s="559"/>
      <c r="AS64" s="559"/>
      <c r="AT64" s="559"/>
      <c r="AU64" s="559"/>
      <c r="AV64" s="559"/>
      <c r="AW64" s="559"/>
      <c r="AX64" s="559"/>
      <c r="AY64" s="559"/>
      <c r="AZ64" s="559"/>
      <c r="BA64" s="559"/>
      <c r="BB64" s="559"/>
      <c r="BC64" s="559"/>
      <c r="BD64" s="559"/>
      <c r="BE64" s="559"/>
      <c r="BF64" s="559"/>
      <c r="BG64" s="559"/>
      <c r="BH64" s="559"/>
      <c r="BI64" s="559"/>
      <c r="BJ64" s="559"/>
      <c r="BK64" s="559"/>
      <c r="BL64" s="559"/>
      <c r="BM64" s="559"/>
      <c r="BN64" s="559"/>
      <c r="BO64" s="559"/>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row>
    <row r="65" spans="1:140" x14ac:dyDescent="0.3">
      <c r="A65" s="54"/>
      <c r="B65" s="37"/>
      <c r="C65" s="37" t="s">
        <v>225</v>
      </c>
      <c r="D65" s="127">
        <v>0.10363032510558906</v>
      </c>
      <c r="E65" s="37">
        <v>38538</v>
      </c>
      <c r="F65" s="37">
        <v>81</v>
      </c>
      <c r="G65" s="37">
        <v>0</v>
      </c>
      <c r="H65" s="40">
        <v>86.710499999999996</v>
      </c>
      <c r="I65" s="55">
        <v>140</v>
      </c>
      <c r="J65" s="50" t="s">
        <v>1195</v>
      </c>
      <c r="K65" s="169" t="s">
        <v>884</v>
      </c>
      <c r="L65" s="50" t="s">
        <v>1501</v>
      </c>
      <c r="M65" s="50" t="s">
        <v>888</v>
      </c>
      <c r="N65" s="50" t="s">
        <v>901</v>
      </c>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59"/>
      <c r="AR65" s="559"/>
      <c r="AS65" s="559"/>
      <c r="AT65" s="559"/>
      <c r="AU65" s="559"/>
      <c r="AV65" s="559"/>
      <c r="AW65" s="559"/>
      <c r="AX65" s="559"/>
      <c r="AY65" s="559"/>
      <c r="AZ65" s="559"/>
      <c r="BA65" s="559"/>
      <c r="BB65" s="559"/>
      <c r="BC65" s="559"/>
      <c r="BD65" s="559"/>
      <c r="BE65" s="559"/>
      <c r="BF65" s="559"/>
      <c r="BG65" s="559"/>
      <c r="BH65" s="559"/>
      <c r="BI65" s="559"/>
      <c r="BJ65" s="559"/>
      <c r="BK65" s="559"/>
      <c r="BL65" s="559"/>
      <c r="BM65" s="559"/>
      <c r="BN65" s="559"/>
      <c r="BO65" s="559"/>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row>
    <row r="66" spans="1:140" s="389" customFormat="1" x14ac:dyDescent="0.3">
      <c r="A66" s="371" t="s">
        <v>86</v>
      </c>
      <c r="B66" s="372" t="s">
        <v>1</v>
      </c>
      <c r="C66" s="372" t="s">
        <v>225</v>
      </c>
      <c r="D66" s="373">
        <v>0.21</v>
      </c>
      <c r="E66" s="372">
        <v>17137</v>
      </c>
      <c r="F66" s="372">
        <v>45</v>
      </c>
      <c r="G66" s="372">
        <v>0</v>
      </c>
      <c r="H66" s="372">
        <v>0</v>
      </c>
      <c r="I66" s="377">
        <v>450</v>
      </c>
      <c r="J66" s="50" t="s">
        <v>880</v>
      </c>
      <c r="K66" s="169" t="s">
        <v>883</v>
      </c>
      <c r="L66" s="50" t="s">
        <v>892</v>
      </c>
      <c r="M66" s="50"/>
      <c r="N66" s="50" t="s">
        <v>905</v>
      </c>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59"/>
      <c r="AR66" s="559"/>
      <c r="AS66" s="559"/>
      <c r="AT66" s="559"/>
      <c r="AU66" s="559"/>
      <c r="AV66" s="559"/>
      <c r="AW66" s="559"/>
      <c r="AX66" s="559"/>
      <c r="AY66" s="559"/>
      <c r="AZ66" s="559"/>
      <c r="BA66" s="559"/>
      <c r="BB66" s="559"/>
      <c r="BC66" s="559"/>
      <c r="BD66" s="559"/>
      <c r="BE66" s="559"/>
      <c r="BF66" s="559"/>
      <c r="BG66" s="559"/>
      <c r="BH66" s="559"/>
      <c r="BI66" s="559"/>
      <c r="BJ66" s="559"/>
      <c r="BK66" s="559"/>
      <c r="BL66" s="559"/>
      <c r="BM66" s="559"/>
      <c r="BN66" s="559"/>
      <c r="BO66" s="559"/>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row>
    <row r="67" spans="1:140" x14ac:dyDescent="0.3">
      <c r="A67" s="54"/>
      <c r="B67" s="37" t="s">
        <v>66</v>
      </c>
      <c r="C67" s="37" t="s">
        <v>225</v>
      </c>
      <c r="D67" s="127">
        <v>0.3</v>
      </c>
      <c r="E67" s="37">
        <v>41029</v>
      </c>
      <c r="F67" s="37">
        <v>51</v>
      </c>
      <c r="G67" s="37">
        <v>0</v>
      </c>
      <c r="H67" s="37">
        <v>0</v>
      </c>
      <c r="I67" s="48">
        <v>450</v>
      </c>
      <c r="J67" s="50" t="s">
        <v>1195</v>
      </c>
      <c r="K67" s="169" t="s">
        <v>884</v>
      </c>
      <c r="L67" s="50" t="s">
        <v>1502</v>
      </c>
      <c r="M67" s="50"/>
      <c r="N67" s="50" t="s">
        <v>905</v>
      </c>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59"/>
      <c r="AR67" s="559"/>
      <c r="AS67" s="559"/>
      <c r="AT67" s="559"/>
      <c r="AU67" s="559"/>
      <c r="AV67" s="559"/>
      <c r="AW67" s="559"/>
      <c r="AX67" s="559"/>
      <c r="AY67" s="559"/>
      <c r="AZ67" s="559"/>
      <c r="BA67" s="559"/>
      <c r="BB67" s="559"/>
      <c r="BC67" s="559"/>
      <c r="BD67" s="559"/>
      <c r="BE67" s="559"/>
      <c r="BF67" s="559"/>
      <c r="BG67" s="559"/>
      <c r="BH67" s="559"/>
      <c r="BI67" s="559"/>
      <c r="BJ67" s="559"/>
      <c r="BK67" s="559"/>
      <c r="BL67" s="559"/>
      <c r="BM67" s="559"/>
      <c r="BN67" s="559"/>
      <c r="BO67" s="559"/>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row>
    <row r="68" spans="1:140" x14ac:dyDescent="0.3">
      <c r="A68" s="54"/>
      <c r="B68" s="37" t="s">
        <v>70</v>
      </c>
      <c r="C68" s="37" t="s">
        <v>225</v>
      </c>
      <c r="D68" s="127">
        <v>0.49</v>
      </c>
      <c r="E68" s="37">
        <v>15908</v>
      </c>
      <c r="F68" s="37">
        <v>28</v>
      </c>
      <c r="G68" s="37">
        <v>0</v>
      </c>
      <c r="H68" s="37">
        <v>0</v>
      </c>
      <c r="I68" s="48">
        <v>450</v>
      </c>
      <c r="J68" s="50" t="s">
        <v>1195</v>
      </c>
      <c r="K68" s="169" t="s">
        <v>884</v>
      </c>
      <c r="L68" s="50" t="s">
        <v>1533</v>
      </c>
      <c r="M68" s="50"/>
      <c r="N68" s="50" t="s">
        <v>905</v>
      </c>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59"/>
      <c r="AR68" s="559"/>
      <c r="AS68" s="559"/>
      <c r="AT68" s="559"/>
      <c r="AU68" s="559"/>
      <c r="AV68" s="559"/>
      <c r="AW68" s="559"/>
      <c r="AX68" s="559"/>
      <c r="AY68" s="559"/>
      <c r="AZ68" s="559"/>
      <c r="BA68" s="559"/>
      <c r="BB68" s="559"/>
      <c r="BC68" s="559"/>
      <c r="BD68" s="559"/>
      <c r="BE68" s="559"/>
      <c r="BF68" s="559"/>
      <c r="BG68" s="559"/>
      <c r="BH68" s="559"/>
      <c r="BI68" s="559"/>
      <c r="BJ68" s="559"/>
      <c r="BK68" s="559"/>
      <c r="BL68" s="559"/>
      <c r="BM68" s="559"/>
      <c r="BN68" s="559"/>
      <c r="BO68" s="559"/>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row>
    <row r="69" spans="1:140" s="389" customFormat="1" x14ac:dyDescent="0.3">
      <c r="A69" s="371" t="s">
        <v>87</v>
      </c>
      <c r="B69" s="372" t="s">
        <v>88</v>
      </c>
      <c r="C69" s="372" t="s">
        <v>225</v>
      </c>
      <c r="D69" s="373">
        <v>0.22</v>
      </c>
      <c r="E69" s="372">
        <v>51039</v>
      </c>
      <c r="F69" s="372">
        <v>76</v>
      </c>
      <c r="G69" s="372">
        <v>47</v>
      </c>
      <c r="H69" s="372">
        <v>0</v>
      </c>
      <c r="I69" s="377">
        <v>100</v>
      </c>
      <c r="J69" s="50" t="s">
        <v>1195</v>
      </c>
      <c r="K69" s="169" t="s">
        <v>884</v>
      </c>
      <c r="L69" s="50" t="s">
        <v>1503</v>
      </c>
      <c r="M69" s="50"/>
      <c r="N69" s="50" t="s">
        <v>1522</v>
      </c>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59"/>
      <c r="AR69" s="559"/>
      <c r="AS69" s="559"/>
      <c r="AT69" s="559"/>
      <c r="AU69" s="559"/>
      <c r="AV69" s="559"/>
      <c r="AW69" s="559"/>
      <c r="AX69" s="559"/>
      <c r="AY69" s="559"/>
      <c r="AZ69" s="559"/>
      <c r="BA69" s="559"/>
      <c r="BB69" s="559"/>
      <c r="BC69" s="559"/>
      <c r="BD69" s="559"/>
      <c r="BE69" s="559"/>
      <c r="BF69" s="559"/>
      <c r="BG69" s="559"/>
      <c r="BH69" s="559"/>
      <c r="BI69" s="559"/>
      <c r="BJ69" s="559"/>
      <c r="BK69" s="559"/>
      <c r="BL69" s="559"/>
      <c r="BM69" s="559"/>
      <c r="BN69" s="559"/>
      <c r="BO69" s="559"/>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row>
    <row r="70" spans="1:140" x14ac:dyDescent="0.3">
      <c r="A70" s="54"/>
      <c r="B70" s="37" t="s">
        <v>89</v>
      </c>
      <c r="C70" s="37" t="s">
        <v>225</v>
      </c>
      <c r="D70" s="127">
        <v>0.15</v>
      </c>
      <c r="E70" s="37">
        <v>35203</v>
      </c>
      <c r="F70" s="37">
        <v>283</v>
      </c>
      <c r="G70" s="37">
        <v>0</v>
      </c>
      <c r="H70" s="37">
        <v>0</v>
      </c>
      <c r="I70" s="48">
        <v>100</v>
      </c>
      <c r="J70" s="50" t="s">
        <v>1195</v>
      </c>
      <c r="K70" s="169" t="s">
        <v>884</v>
      </c>
      <c r="L70" s="50" t="s">
        <v>1504</v>
      </c>
      <c r="M70" s="50"/>
      <c r="N70" s="50" t="s">
        <v>1522</v>
      </c>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59"/>
      <c r="AR70" s="559"/>
      <c r="AS70" s="559"/>
      <c r="AT70" s="559"/>
      <c r="AU70" s="559"/>
      <c r="AV70" s="559"/>
      <c r="AW70" s="559"/>
      <c r="AX70" s="559"/>
      <c r="AY70" s="559"/>
      <c r="AZ70" s="559"/>
      <c r="BA70" s="559"/>
      <c r="BB70" s="559"/>
      <c r="BC70" s="559"/>
      <c r="BD70" s="559"/>
      <c r="BE70" s="559"/>
      <c r="BF70" s="559"/>
      <c r="BG70" s="559"/>
      <c r="BH70" s="559"/>
      <c r="BI70" s="559"/>
      <c r="BJ70" s="559"/>
      <c r="BK70" s="559"/>
      <c r="BL70" s="559"/>
      <c r="BM70" s="559"/>
      <c r="BN70" s="559"/>
      <c r="BO70" s="559"/>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row>
    <row r="71" spans="1:140" x14ac:dyDescent="0.3">
      <c r="A71" s="54"/>
      <c r="B71" s="37" t="s">
        <v>90</v>
      </c>
      <c r="C71" s="37" t="s">
        <v>225</v>
      </c>
      <c r="D71" s="127">
        <v>0.15</v>
      </c>
      <c r="E71" s="37">
        <v>37174</v>
      </c>
      <c r="F71" s="37">
        <v>60</v>
      </c>
      <c r="G71" s="37">
        <v>18</v>
      </c>
      <c r="H71" s="37">
        <v>0</v>
      </c>
      <c r="I71" s="21">
        <v>100</v>
      </c>
      <c r="J71" s="50" t="s">
        <v>1195</v>
      </c>
      <c r="K71" s="169" t="s">
        <v>884</v>
      </c>
      <c r="L71" s="50" t="s">
        <v>1505</v>
      </c>
      <c r="M71" s="50"/>
      <c r="N71" s="50" t="s">
        <v>1522</v>
      </c>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59"/>
      <c r="AR71" s="559"/>
      <c r="AS71" s="559"/>
      <c r="AT71" s="559"/>
      <c r="AU71" s="559"/>
      <c r="AV71" s="559"/>
      <c r="AW71" s="559"/>
      <c r="AX71" s="559"/>
      <c r="AY71" s="559"/>
      <c r="AZ71" s="559"/>
      <c r="BA71" s="559"/>
      <c r="BB71" s="559"/>
      <c r="BC71" s="559"/>
      <c r="BD71" s="559"/>
      <c r="BE71" s="559"/>
      <c r="BF71" s="559"/>
      <c r="BG71" s="559"/>
      <c r="BH71" s="559"/>
      <c r="BI71" s="559"/>
      <c r="BJ71" s="559"/>
      <c r="BK71" s="559"/>
      <c r="BL71" s="559"/>
      <c r="BM71" s="559"/>
      <c r="BN71" s="559"/>
      <c r="BO71" s="559"/>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row>
    <row r="72" spans="1:140" x14ac:dyDescent="0.3">
      <c r="A72" s="54"/>
      <c r="B72" s="37" t="s">
        <v>67</v>
      </c>
      <c r="C72" s="37" t="s">
        <v>225</v>
      </c>
      <c r="D72" s="127">
        <v>0.48</v>
      </c>
      <c r="E72" s="37">
        <v>20544</v>
      </c>
      <c r="F72" s="37">
        <v>33</v>
      </c>
      <c r="G72" s="37">
        <v>10</v>
      </c>
      <c r="H72" s="37">
        <v>0</v>
      </c>
      <c r="I72" s="21">
        <v>100</v>
      </c>
      <c r="J72" s="50" t="s">
        <v>1195</v>
      </c>
      <c r="K72" s="169" t="s">
        <v>884</v>
      </c>
      <c r="L72" s="50" t="s">
        <v>1505</v>
      </c>
      <c r="M72" s="50"/>
      <c r="N72" s="50" t="s">
        <v>1522</v>
      </c>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59"/>
      <c r="AR72" s="559"/>
      <c r="AS72" s="559"/>
      <c r="AT72" s="559"/>
      <c r="AU72" s="559"/>
      <c r="AV72" s="559"/>
      <c r="AW72" s="559"/>
      <c r="AX72" s="559"/>
      <c r="AY72" s="559"/>
      <c r="AZ72" s="559"/>
      <c r="BA72" s="559"/>
      <c r="BB72" s="559"/>
      <c r="BC72" s="559"/>
      <c r="BD72" s="559"/>
      <c r="BE72" s="559"/>
      <c r="BF72" s="559"/>
      <c r="BG72" s="559"/>
      <c r="BH72" s="559"/>
      <c r="BI72" s="559"/>
      <c r="BJ72" s="559"/>
      <c r="BK72" s="559"/>
      <c r="BL72" s="559"/>
      <c r="BM72" s="559"/>
      <c r="BN72" s="559"/>
      <c r="BO72" s="559"/>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row>
    <row r="73" spans="1:140" s="389" customFormat="1" x14ac:dyDescent="0.3">
      <c r="A73" s="371" t="s">
        <v>91</v>
      </c>
      <c r="B73" s="372" t="s">
        <v>1</v>
      </c>
      <c r="C73" s="372" t="s">
        <v>102</v>
      </c>
      <c r="D73" s="373">
        <v>0.38</v>
      </c>
      <c r="E73" s="372">
        <v>57362</v>
      </c>
      <c r="F73" s="372">
        <v>204</v>
      </c>
      <c r="G73" s="372">
        <v>0</v>
      </c>
      <c r="H73" s="372">
        <v>0</v>
      </c>
      <c r="I73" s="377">
        <v>0</v>
      </c>
      <c r="J73" s="50" t="s">
        <v>883</v>
      </c>
      <c r="K73" s="169" t="s">
        <v>883</v>
      </c>
      <c r="L73" s="636" t="s">
        <v>1506</v>
      </c>
      <c r="M73" s="636"/>
      <c r="N73" s="636"/>
      <c r="O73" s="636"/>
      <c r="P73" s="636"/>
      <c r="Q73" s="636"/>
      <c r="R73" s="636"/>
      <c r="S73" s="50"/>
      <c r="T73" s="636"/>
      <c r="U73" s="50"/>
      <c r="V73" s="50"/>
      <c r="W73" s="50"/>
      <c r="X73" s="50"/>
      <c r="Y73" s="50"/>
      <c r="Z73" s="50"/>
      <c r="AA73" s="50"/>
      <c r="AB73" s="50"/>
      <c r="AC73" s="50"/>
      <c r="AD73" s="50"/>
      <c r="AE73" s="50"/>
      <c r="AF73" s="50"/>
      <c r="AG73" s="50"/>
      <c r="AH73" s="50"/>
      <c r="AI73" s="50"/>
      <c r="AJ73" s="50"/>
      <c r="AK73" s="50"/>
      <c r="AL73" s="50"/>
      <c r="AM73" s="50"/>
      <c r="AN73" s="50"/>
      <c r="AO73" s="50"/>
      <c r="AP73" s="50"/>
      <c r="AQ73" s="559"/>
      <c r="AR73" s="559"/>
      <c r="AS73" s="559"/>
      <c r="AT73" s="559"/>
      <c r="AU73" s="559"/>
      <c r="AV73" s="559"/>
      <c r="AW73" s="559"/>
      <c r="AX73" s="559"/>
      <c r="AY73" s="559"/>
      <c r="AZ73" s="559"/>
      <c r="BA73" s="559"/>
      <c r="BB73" s="559"/>
      <c r="BC73" s="559"/>
      <c r="BD73" s="559"/>
      <c r="BE73" s="559"/>
      <c r="BF73" s="559"/>
      <c r="BG73" s="559"/>
      <c r="BH73" s="559"/>
      <c r="BI73" s="559"/>
      <c r="BJ73" s="559"/>
      <c r="BK73" s="559"/>
      <c r="BL73" s="559"/>
      <c r="BM73" s="559"/>
      <c r="BN73" s="559"/>
      <c r="BO73" s="559"/>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row>
    <row r="74" spans="1:140" x14ac:dyDescent="0.3">
      <c r="A74" s="54"/>
      <c r="B74" s="37" t="s">
        <v>74</v>
      </c>
      <c r="C74" s="37" t="s">
        <v>225</v>
      </c>
      <c r="D74" s="127">
        <v>0.34</v>
      </c>
      <c r="E74" s="37">
        <v>31379</v>
      </c>
      <c r="F74" s="37">
        <v>135</v>
      </c>
      <c r="G74" s="37">
        <v>0</v>
      </c>
      <c r="H74" s="37">
        <v>0</v>
      </c>
      <c r="I74" s="21">
        <v>300</v>
      </c>
      <c r="J74" s="50" t="s">
        <v>1195</v>
      </c>
      <c r="K74" s="169" t="s">
        <v>884</v>
      </c>
      <c r="L74" s="50" t="s">
        <v>888</v>
      </c>
      <c r="M74" s="50"/>
      <c r="N74" s="50" t="s">
        <v>903</v>
      </c>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59"/>
      <c r="AR74" s="559"/>
      <c r="AS74" s="559"/>
      <c r="AT74" s="559"/>
      <c r="AU74" s="559"/>
      <c r="AV74" s="559"/>
      <c r="AW74" s="559"/>
      <c r="AX74" s="559"/>
      <c r="AY74" s="559"/>
      <c r="AZ74" s="559"/>
      <c r="BA74" s="559"/>
      <c r="BB74" s="559"/>
      <c r="BC74" s="559"/>
      <c r="BD74" s="559"/>
      <c r="BE74" s="559"/>
      <c r="BF74" s="559"/>
      <c r="BG74" s="559"/>
      <c r="BH74" s="559"/>
      <c r="BI74" s="559"/>
      <c r="BJ74" s="559"/>
      <c r="BK74" s="559"/>
      <c r="BL74" s="559"/>
      <c r="BM74" s="559"/>
      <c r="BN74" s="559"/>
      <c r="BO74" s="559"/>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row>
    <row r="75" spans="1:140" x14ac:dyDescent="0.3">
      <c r="A75" s="54"/>
      <c r="B75" s="37" t="s">
        <v>79</v>
      </c>
      <c r="C75" s="37" t="s">
        <v>225</v>
      </c>
      <c r="D75" s="127">
        <v>0.16</v>
      </c>
      <c r="E75" s="37">
        <v>29537</v>
      </c>
      <c r="F75" s="37">
        <v>105</v>
      </c>
      <c r="G75" s="37">
        <v>0</v>
      </c>
      <c r="H75" s="37">
        <v>0</v>
      </c>
      <c r="I75" s="21">
        <v>300</v>
      </c>
      <c r="J75" s="50" t="s">
        <v>1195</v>
      </c>
      <c r="K75" s="169" t="s">
        <v>884</v>
      </c>
      <c r="L75" s="636" t="s">
        <v>1506</v>
      </c>
      <c r="M75" s="50"/>
      <c r="N75" s="50" t="s">
        <v>903</v>
      </c>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59"/>
      <c r="AR75" s="559"/>
      <c r="AS75" s="559"/>
      <c r="AT75" s="559"/>
      <c r="AU75" s="559"/>
      <c r="AV75" s="559"/>
      <c r="AW75" s="559"/>
      <c r="AX75" s="559"/>
      <c r="AY75" s="559"/>
      <c r="AZ75" s="559"/>
      <c r="BA75" s="559"/>
      <c r="BB75" s="559"/>
      <c r="BC75" s="559"/>
      <c r="BD75" s="559"/>
      <c r="BE75" s="559"/>
      <c r="BF75" s="559"/>
      <c r="BG75" s="559"/>
      <c r="BH75" s="559"/>
      <c r="BI75" s="559"/>
      <c r="BJ75" s="559"/>
      <c r="BK75" s="559"/>
      <c r="BL75" s="559"/>
      <c r="BM75" s="559"/>
      <c r="BN75" s="559"/>
      <c r="BO75" s="559"/>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row>
    <row r="76" spans="1:140" x14ac:dyDescent="0.3">
      <c r="A76" s="54"/>
      <c r="B76" s="37" t="s">
        <v>70</v>
      </c>
      <c r="C76" s="37" t="s">
        <v>225</v>
      </c>
      <c r="D76" s="127">
        <v>0.12</v>
      </c>
      <c r="E76" s="37">
        <v>20335</v>
      </c>
      <c r="F76" s="37">
        <v>72</v>
      </c>
      <c r="G76" s="37">
        <v>0</v>
      </c>
      <c r="H76" s="37">
        <v>0</v>
      </c>
      <c r="I76" s="21">
        <v>300</v>
      </c>
      <c r="J76" s="50" t="s">
        <v>1195</v>
      </c>
      <c r="K76" s="169" t="s">
        <v>884</v>
      </c>
      <c r="L76" s="636" t="s">
        <v>1506</v>
      </c>
      <c r="M76" s="50"/>
      <c r="N76" s="50" t="s">
        <v>903</v>
      </c>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59"/>
      <c r="AR76" s="559"/>
      <c r="AS76" s="559"/>
      <c r="AT76" s="559"/>
      <c r="AU76" s="559"/>
      <c r="AV76" s="559"/>
      <c r="AW76" s="559"/>
      <c r="AX76" s="559"/>
      <c r="AY76" s="559"/>
      <c r="AZ76" s="559"/>
      <c r="BA76" s="559"/>
      <c r="BB76" s="559"/>
      <c r="BC76" s="559"/>
      <c r="BD76" s="559"/>
      <c r="BE76" s="559"/>
      <c r="BF76" s="559"/>
      <c r="BG76" s="559"/>
      <c r="BH76" s="559"/>
      <c r="BI76" s="559"/>
      <c r="BJ76" s="559"/>
      <c r="BK76" s="559"/>
      <c r="BL76" s="559"/>
      <c r="BM76" s="559"/>
      <c r="BN76" s="559"/>
      <c r="BO76" s="559"/>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row>
    <row r="77" spans="1:140" s="389" customFormat="1" x14ac:dyDescent="0.3">
      <c r="A77" s="371" t="s">
        <v>92</v>
      </c>
      <c r="B77" s="372" t="s">
        <v>1</v>
      </c>
      <c r="C77" s="372" t="s">
        <v>225</v>
      </c>
      <c r="D77" s="373">
        <v>5.5877298484047239E-2</v>
      </c>
      <c r="E77" s="372">
        <v>14510</v>
      </c>
      <c r="F77" s="372">
        <v>48</v>
      </c>
      <c r="G77" s="372">
        <v>0</v>
      </c>
      <c r="H77" s="372">
        <v>0</v>
      </c>
      <c r="I77" s="377">
        <v>450</v>
      </c>
      <c r="J77" s="50" t="s">
        <v>883</v>
      </c>
      <c r="K77" s="169" t="s">
        <v>883</v>
      </c>
      <c r="L77" s="50" t="s">
        <v>892</v>
      </c>
      <c r="M77" s="50"/>
      <c r="N77" s="50" t="s">
        <v>905</v>
      </c>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59"/>
      <c r="AR77" s="559"/>
      <c r="AS77" s="559"/>
      <c r="AT77" s="559"/>
      <c r="AU77" s="559"/>
      <c r="AV77" s="559"/>
      <c r="AW77" s="559"/>
      <c r="AX77" s="559"/>
      <c r="AY77" s="559"/>
      <c r="AZ77" s="559"/>
      <c r="BA77" s="559"/>
      <c r="BB77" s="559"/>
      <c r="BC77" s="559"/>
      <c r="BD77" s="559"/>
      <c r="BE77" s="559"/>
      <c r="BF77" s="559"/>
      <c r="BG77" s="559"/>
      <c r="BH77" s="559"/>
      <c r="BI77" s="559"/>
      <c r="BJ77" s="559"/>
      <c r="BK77" s="559"/>
      <c r="BL77" s="559"/>
      <c r="BM77" s="559"/>
      <c r="BN77" s="559"/>
      <c r="BO77" s="559"/>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row>
    <row r="78" spans="1:140" x14ac:dyDescent="0.3">
      <c r="A78" s="54"/>
      <c r="B78" s="37" t="s">
        <v>93</v>
      </c>
      <c r="C78" s="37" t="s">
        <v>225</v>
      </c>
      <c r="D78" s="127">
        <v>0.23061781466398334</v>
      </c>
      <c r="E78" s="37">
        <v>34389</v>
      </c>
      <c r="F78" s="37">
        <v>26</v>
      </c>
      <c r="G78" s="37">
        <v>16</v>
      </c>
      <c r="H78" s="37">
        <v>0</v>
      </c>
      <c r="I78" s="21">
        <v>450</v>
      </c>
      <c r="J78" s="50" t="s">
        <v>1195</v>
      </c>
      <c r="K78" s="169" t="s">
        <v>884</v>
      </c>
      <c r="L78" s="50" t="s">
        <v>1507</v>
      </c>
      <c r="M78" s="50"/>
      <c r="N78" s="50" t="s">
        <v>905</v>
      </c>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59"/>
      <c r="AR78" s="559"/>
      <c r="AS78" s="559"/>
      <c r="AT78" s="559"/>
      <c r="AU78" s="559"/>
      <c r="AV78" s="559"/>
      <c r="AW78" s="559"/>
      <c r="AX78" s="559"/>
      <c r="AY78" s="559"/>
      <c r="AZ78" s="559"/>
      <c r="BA78" s="559"/>
      <c r="BB78" s="559"/>
      <c r="BC78" s="559"/>
      <c r="BD78" s="559"/>
      <c r="BE78" s="559"/>
      <c r="BF78" s="559"/>
      <c r="BG78" s="559"/>
      <c r="BH78" s="559"/>
      <c r="BI78" s="559"/>
      <c r="BJ78" s="559"/>
      <c r="BK78" s="559"/>
      <c r="BL78" s="559"/>
      <c r="BM78" s="559"/>
      <c r="BN78" s="559"/>
      <c r="BO78" s="559"/>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row>
    <row r="79" spans="1:140" x14ac:dyDescent="0.3">
      <c r="A79" s="54"/>
      <c r="B79" s="37" t="s">
        <v>79</v>
      </c>
      <c r="C79" s="37" t="s">
        <v>225</v>
      </c>
      <c r="D79" s="127">
        <v>0.4862756560987116</v>
      </c>
      <c r="E79" s="37">
        <v>36080</v>
      </c>
      <c r="F79" s="37">
        <v>389</v>
      </c>
      <c r="G79" s="37">
        <v>28</v>
      </c>
      <c r="H79" s="37">
        <v>0</v>
      </c>
      <c r="I79" s="21">
        <v>450</v>
      </c>
      <c r="J79" s="50" t="s">
        <v>1195</v>
      </c>
      <c r="K79" s="169" t="s">
        <v>884</v>
      </c>
      <c r="L79" s="50" t="s">
        <v>1508</v>
      </c>
      <c r="M79" s="50"/>
      <c r="N79" s="50" t="s">
        <v>905</v>
      </c>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59"/>
      <c r="AR79" s="559"/>
      <c r="AS79" s="559"/>
      <c r="AT79" s="559"/>
      <c r="AU79" s="559"/>
      <c r="AV79" s="559"/>
      <c r="AW79" s="559"/>
      <c r="AX79" s="559"/>
      <c r="AY79" s="559"/>
      <c r="AZ79" s="559"/>
      <c r="BA79" s="559"/>
      <c r="BB79" s="559"/>
      <c r="BC79" s="559"/>
      <c r="BD79" s="559"/>
      <c r="BE79" s="559"/>
      <c r="BF79" s="559"/>
      <c r="BG79" s="559"/>
      <c r="BH79" s="559"/>
      <c r="BI79" s="559"/>
      <c r="BJ79" s="559"/>
      <c r="BK79" s="559"/>
      <c r="BL79" s="559"/>
      <c r="BM79" s="559"/>
      <c r="BN79" s="559"/>
      <c r="BO79" s="559"/>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row>
    <row r="80" spans="1:140" x14ac:dyDescent="0.3">
      <c r="A80" s="54"/>
      <c r="B80" s="37" t="s">
        <v>70</v>
      </c>
      <c r="C80" s="37" t="s">
        <v>225</v>
      </c>
      <c r="D80" s="127">
        <v>0.22722923075325785</v>
      </c>
      <c r="E80" s="37">
        <v>15627</v>
      </c>
      <c r="F80" s="37">
        <v>169</v>
      </c>
      <c r="G80" s="37">
        <v>12</v>
      </c>
      <c r="H80" s="37">
        <v>0</v>
      </c>
      <c r="I80" s="21">
        <v>450</v>
      </c>
      <c r="J80" s="50" t="s">
        <v>1195</v>
      </c>
      <c r="K80" s="169" t="s">
        <v>884</v>
      </c>
      <c r="L80" s="50" t="s">
        <v>1508</v>
      </c>
      <c r="M80" s="50"/>
      <c r="N80" s="50" t="s">
        <v>905</v>
      </c>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59"/>
      <c r="AR80" s="559"/>
      <c r="AS80" s="559"/>
      <c r="AT80" s="559"/>
      <c r="AU80" s="559"/>
      <c r="AV80" s="559"/>
      <c r="AW80" s="559"/>
      <c r="AX80" s="559"/>
      <c r="AY80" s="559"/>
      <c r="AZ80" s="559"/>
      <c r="BA80" s="559"/>
      <c r="BB80" s="559"/>
      <c r="BC80" s="559"/>
      <c r="BD80" s="559"/>
      <c r="BE80" s="559"/>
      <c r="BF80" s="559"/>
      <c r="BG80" s="559"/>
      <c r="BH80" s="559"/>
      <c r="BI80" s="559"/>
      <c r="BJ80" s="559"/>
      <c r="BK80" s="559"/>
      <c r="BL80" s="559"/>
      <c r="BM80" s="559"/>
      <c r="BN80" s="559"/>
      <c r="BO80" s="559"/>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row>
    <row r="81" spans="1:140" s="389" customFormat="1" x14ac:dyDescent="0.3">
      <c r="A81" s="371" t="s">
        <v>94</v>
      </c>
      <c r="B81" s="372" t="s">
        <v>74</v>
      </c>
      <c r="C81" s="372" t="s">
        <v>225</v>
      </c>
      <c r="D81" s="373">
        <v>0.43</v>
      </c>
      <c r="E81" s="372">
        <v>21546</v>
      </c>
      <c r="F81" s="372">
        <v>260</v>
      </c>
      <c r="G81" s="372">
        <v>0</v>
      </c>
      <c r="H81" s="372">
        <v>0</v>
      </c>
      <c r="I81" s="377">
        <v>200</v>
      </c>
      <c r="J81" s="50" t="s">
        <v>1195</v>
      </c>
      <c r="K81" s="169" t="s">
        <v>884</v>
      </c>
      <c r="L81" s="50" t="s">
        <v>888</v>
      </c>
      <c r="M81" s="50"/>
      <c r="N81" s="50" t="s">
        <v>904</v>
      </c>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59"/>
      <c r="AR81" s="559"/>
      <c r="AS81" s="559"/>
      <c r="AT81" s="559"/>
      <c r="AU81" s="559"/>
      <c r="AV81" s="559"/>
      <c r="AW81" s="559"/>
      <c r="AX81" s="559"/>
      <c r="AY81" s="559"/>
      <c r="AZ81" s="559"/>
      <c r="BA81" s="559"/>
      <c r="BB81" s="559"/>
      <c r="BC81" s="559"/>
      <c r="BD81" s="559"/>
      <c r="BE81" s="559"/>
      <c r="BF81" s="559"/>
      <c r="BG81" s="559"/>
      <c r="BH81" s="559"/>
      <c r="BI81" s="559"/>
      <c r="BJ81" s="559"/>
      <c r="BK81" s="559"/>
      <c r="BL81" s="559"/>
      <c r="BM81" s="559"/>
      <c r="BN81" s="559"/>
      <c r="BO81" s="559"/>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row>
    <row r="82" spans="1:140" x14ac:dyDescent="0.3">
      <c r="A82" s="54"/>
      <c r="B82" s="37" t="s">
        <v>70</v>
      </c>
      <c r="C82" s="37" t="s">
        <v>225</v>
      </c>
      <c r="D82" s="127">
        <v>0.56999999999999995</v>
      </c>
      <c r="E82" s="37">
        <v>15410</v>
      </c>
      <c r="F82" s="37">
        <v>37</v>
      </c>
      <c r="G82" s="37">
        <v>14</v>
      </c>
      <c r="H82" s="37">
        <v>0</v>
      </c>
      <c r="I82" s="21">
        <v>200</v>
      </c>
      <c r="J82" s="50" t="s">
        <v>1195</v>
      </c>
      <c r="K82" s="169" t="s">
        <v>884</v>
      </c>
      <c r="L82" s="50" t="s">
        <v>1509</v>
      </c>
      <c r="M82" s="50"/>
      <c r="N82" s="50" t="s">
        <v>904</v>
      </c>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59"/>
      <c r="AR82" s="559"/>
      <c r="AS82" s="559"/>
      <c r="AT82" s="559"/>
      <c r="AU82" s="559"/>
      <c r="AV82" s="559"/>
      <c r="AW82" s="559"/>
      <c r="AX82" s="559"/>
      <c r="AY82" s="559"/>
      <c r="AZ82" s="559"/>
      <c r="BA82" s="559"/>
      <c r="BB82" s="559"/>
      <c r="BC82" s="559"/>
      <c r="BD82" s="559"/>
      <c r="BE82" s="559"/>
      <c r="BF82" s="559"/>
      <c r="BG82" s="559"/>
      <c r="BH82" s="559"/>
      <c r="BI82" s="559"/>
      <c r="BJ82" s="559"/>
      <c r="BK82" s="559"/>
      <c r="BL82" s="559"/>
      <c r="BM82" s="559"/>
      <c r="BN82" s="559"/>
      <c r="BO82" s="559"/>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row>
    <row r="83" spans="1:140" s="389" customFormat="1" x14ac:dyDescent="0.3">
      <c r="A83" s="371" t="s">
        <v>95</v>
      </c>
      <c r="B83" s="372" t="s">
        <v>1</v>
      </c>
      <c r="C83" s="372" t="s">
        <v>225</v>
      </c>
      <c r="D83" s="373">
        <v>0.69</v>
      </c>
      <c r="E83" s="372">
        <v>6624</v>
      </c>
      <c r="F83" s="386">
        <v>32.992615384615377</v>
      </c>
      <c r="G83" s="372">
        <v>0</v>
      </c>
      <c r="H83" s="372">
        <v>0</v>
      </c>
      <c r="I83" s="377">
        <v>300</v>
      </c>
      <c r="J83" s="50" t="s">
        <v>880</v>
      </c>
      <c r="K83" s="169" t="s">
        <v>883</v>
      </c>
      <c r="L83" s="50" t="s">
        <v>1539</v>
      </c>
      <c r="M83" s="50"/>
      <c r="N83" s="50" t="s">
        <v>905</v>
      </c>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59"/>
      <c r="AR83" s="559"/>
      <c r="AS83" s="559"/>
      <c r="AT83" s="559"/>
      <c r="AU83" s="559"/>
      <c r="AV83" s="559"/>
      <c r="AW83" s="559"/>
      <c r="AX83" s="559"/>
      <c r="AY83" s="559"/>
      <c r="AZ83" s="559"/>
      <c r="BA83" s="559"/>
      <c r="BB83" s="559"/>
      <c r="BC83" s="559"/>
      <c r="BD83" s="559"/>
      <c r="BE83" s="559"/>
      <c r="BF83" s="559"/>
      <c r="BG83" s="559"/>
      <c r="BH83" s="559"/>
      <c r="BI83" s="559"/>
      <c r="BJ83" s="559"/>
      <c r="BK83" s="559"/>
      <c r="BL83" s="559"/>
      <c r="BM83" s="559"/>
      <c r="BN83" s="559"/>
      <c r="BO83" s="559"/>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row>
    <row r="84" spans="1:140" x14ac:dyDescent="0.3">
      <c r="A84" s="54"/>
      <c r="B84" s="37" t="s">
        <v>93</v>
      </c>
      <c r="C84" s="37" t="s">
        <v>225</v>
      </c>
      <c r="D84" s="127">
        <v>0.14000000000000001</v>
      </c>
      <c r="E84" s="37">
        <v>23765</v>
      </c>
      <c r="F84" s="37">
        <v>83</v>
      </c>
      <c r="G84" s="37">
        <v>0</v>
      </c>
      <c r="H84" s="37">
        <v>0</v>
      </c>
      <c r="I84" s="21">
        <v>300</v>
      </c>
      <c r="J84" s="50" t="s">
        <v>1195</v>
      </c>
      <c r="K84" s="169" t="s">
        <v>884</v>
      </c>
      <c r="L84" s="50" t="s">
        <v>1510</v>
      </c>
      <c r="M84" s="50"/>
      <c r="N84" s="50" t="s">
        <v>905</v>
      </c>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59"/>
      <c r="AR84" s="559"/>
      <c r="AS84" s="559"/>
      <c r="AT84" s="559"/>
      <c r="AU84" s="559"/>
      <c r="AV84" s="559"/>
      <c r="AW84" s="559"/>
      <c r="AX84" s="559"/>
      <c r="AY84" s="559"/>
      <c r="AZ84" s="559"/>
      <c r="BA84" s="559"/>
      <c r="BB84" s="559"/>
      <c r="BC84" s="559"/>
      <c r="BD84" s="559"/>
      <c r="BE84" s="559"/>
      <c r="BF84" s="559"/>
      <c r="BG84" s="559"/>
      <c r="BH84" s="559"/>
      <c r="BI84" s="559"/>
      <c r="BJ84" s="559"/>
      <c r="BK84" s="559"/>
      <c r="BL84" s="559"/>
      <c r="BM84" s="559"/>
      <c r="BN84" s="559"/>
      <c r="BO84" s="559"/>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row>
    <row r="85" spans="1:140" x14ac:dyDescent="0.3">
      <c r="A85" s="54"/>
      <c r="B85" s="37" t="s">
        <v>70</v>
      </c>
      <c r="C85" s="37" t="s">
        <v>102</v>
      </c>
      <c r="D85" s="127">
        <v>8.5000000000000006E-2</v>
      </c>
      <c r="E85" s="40">
        <v>87836.713061197777</v>
      </c>
      <c r="F85" s="40">
        <v>421.61759999999998</v>
      </c>
      <c r="G85" s="37">
        <v>0</v>
      </c>
      <c r="H85" s="37">
        <v>0</v>
      </c>
      <c r="I85" s="21">
        <v>0</v>
      </c>
      <c r="J85" s="50" t="s">
        <v>1195</v>
      </c>
      <c r="K85" s="169" t="s">
        <v>884</v>
      </c>
      <c r="L85" s="50" t="s">
        <v>1511</v>
      </c>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59"/>
      <c r="AR85" s="559"/>
      <c r="AS85" s="559"/>
      <c r="AT85" s="559"/>
      <c r="AU85" s="559"/>
      <c r="AV85" s="559"/>
      <c r="AW85" s="559"/>
      <c r="AX85" s="559"/>
      <c r="AY85" s="559"/>
      <c r="AZ85" s="559"/>
      <c r="BA85" s="559"/>
      <c r="BB85" s="559"/>
      <c r="BC85" s="559"/>
      <c r="BD85" s="559"/>
      <c r="BE85" s="559"/>
      <c r="BF85" s="559"/>
      <c r="BG85" s="559"/>
      <c r="BH85" s="559"/>
      <c r="BI85" s="559"/>
      <c r="BJ85" s="559"/>
      <c r="BK85" s="559"/>
      <c r="BL85" s="559"/>
      <c r="BM85" s="559"/>
      <c r="BN85" s="559"/>
      <c r="BO85" s="559"/>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row>
    <row r="86" spans="1:140" x14ac:dyDescent="0.3">
      <c r="A86" s="54"/>
      <c r="B86" s="37"/>
      <c r="C86" s="37" t="s">
        <v>225</v>
      </c>
      <c r="D86" s="127">
        <v>8.5000000000000006E-2</v>
      </c>
      <c r="E86" s="37">
        <v>9312</v>
      </c>
      <c r="F86" s="37">
        <v>33</v>
      </c>
      <c r="G86" s="37">
        <v>0</v>
      </c>
      <c r="H86" s="37">
        <v>0</v>
      </c>
      <c r="I86" s="21">
        <v>300</v>
      </c>
      <c r="J86" s="50" t="s">
        <v>1195</v>
      </c>
      <c r="K86" s="169" t="s">
        <v>884</v>
      </c>
      <c r="L86" s="50" t="s">
        <v>1510</v>
      </c>
      <c r="M86" s="50"/>
      <c r="N86" s="50" t="s">
        <v>905</v>
      </c>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59"/>
      <c r="AR86" s="559"/>
      <c r="AS86" s="559"/>
      <c r="AT86" s="559"/>
      <c r="AU86" s="559"/>
      <c r="AV86" s="559"/>
      <c r="AW86" s="559"/>
      <c r="AX86" s="559"/>
      <c r="AY86" s="559"/>
      <c r="AZ86" s="559"/>
      <c r="BA86" s="559"/>
      <c r="BB86" s="559"/>
      <c r="BC86" s="559"/>
      <c r="BD86" s="559"/>
      <c r="BE86" s="559"/>
      <c r="BF86" s="559"/>
      <c r="BG86" s="559"/>
      <c r="BH86" s="559"/>
      <c r="BI86" s="559"/>
      <c r="BJ86" s="559"/>
      <c r="BK86" s="559"/>
      <c r="BL86" s="559"/>
      <c r="BM86" s="559"/>
      <c r="BN86" s="559"/>
      <c r="BO86" s="559"/>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row>
    <row r="87" spans="1:140" s="389" customFormat="1" x14ac:dyDescent="0.3">
      <c r="A87" s="371" t="s">
        <v>96</v>
      </c>
      <c r="B87" s="372" t="s">
        <v>1</v>
      </c>
      <c r="C87" s="372" t="s">
        <v>225</v>
      </c>
      <c r="D87" s="373">
        <v>0.44</v>
      </c>
      <c r="E87" s="372">
        <v>3343</v>
      </c>
      <c r="F87" s="372">
        <v>100</v>
      </c>
      <c r="G87" s="372">
        <v>0</v>
      </c>
      <c r="H87" s="372">
        <v>0</v>
      </c>
      <c r="I87" s="377">
        <v>300</v>
      </c>
      <c r="J87" s="50" t="s">
        <v>883</v>
      </c>
      <c r="K87" s="169" t="s">
        <v>883</v>
      </c>
      <c r="L87" s="50" t="s">
        <v>893</v>
      </c>
      <c r="M87" s="50"/>
      <c r="N87" s="50" t="s">
        <v>905</v>
      </c>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59"/>
      <c r="AR87" s="559"/>
      <c r="AS87" s="559"/>
      <c r="AT87" s="559"/>
      <c r="AU87" s="559"/>
      <c r="AV87" s="559"/>
      <c r="AW87" s="559"/>
      <c r="AX87" s="559"/>
      <c r="AY87" s="559"/>
      <c r="AZ87" s="559"/>
      <c r="BA87" s="559"/>
      <c r="BB87" s="559"/>
      <c r="BC87" s="559"/>
      <c r="BD87" s="559"/>
      <c r="BE87" s="559"/>
      <c r="BF87" s="559"/>
      <c r="BG87" s="559"/>
      <c r="BH87" s="559"/>
      <c r="BI87" s="559"/>
      <c r="BJ87" s="559"/>
      <c r="BK87" s="559"/>
      <c r="BL87" s="559"/>
      <c r="BM87" s="559"/>
      <c r="BN87" s="559"/>
      <c r="BO87" s="559"/>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row>
    <row r="88" spans="1:140" x14ac:dyDescent="0.3">
      <c r="A88" s="54"/>
      <c r="B88" s="37" t="s">
        <v>93</v>
      </c>
      <c r="C88" s="37" t="s">
        <v>225</v>
      </c>
      <c r="D88" s="127">
        <v>0.15</v>
      </c>
      <c r="E88" s="37">
        <v>11690</v>
      </c>
      <c r="F88" s="37">
        <v>100</v>
      </c>
      <c r="G88" s="37">
        <v>0</v>
      </c>
      <c r="H88" s="37">
        <v>0</v>
      </c>
      <c r="I88" s="21">
        <v>300</v>
      </c>
      <c r="J88" s="50" t="s">
        <v>1195</v>
      </c>
      <c r="K88" s="169" t="s">
        <v>884</v>
      </c>
      <c r="L88" s="50" t="s">
        <v>893</v>
      </c>
      <c r="M88" s="50"/>
      <c r="N88" s="50" t="s">
        <v>905</v>
      </c>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59"/>
      <c r="AR88" s="559"/>
      <c r="AS88" s="559"/>
      <c r="AT88" s="559"/>
      <c r="AU88" s="559"/>
      <c r="AV88" s="559"/>
      <c r="AW88" s="559"/>
      <c r="AX88" s="559"/>
      <c r="AY88" s="559"/>
      <c r="AZ88" s="559"/>
      <c r="BA88" s="559"/>
      <c r="BB88" s="559"/>
      <c r="BC88" s="559"/>
      <c r="BD88" s="559"/>
      <c r="BE88" s="559"/>
      <c r="BF88" s="559"/>
      <c r="BG88" s="559"/>
      <c r="BH88" s="559"/>
      <c r="BI88" s="559"/>
      <c r="BJ88" s="559"/>
      <c r="BK88" s="559"/>
      <c r="BL88" s="559"/>
      <c r="BM88" s="559"/>
      <c r="BN88" s="559"/>
      <c r="BO88" s="559"/>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row>
    <row r="89" spans="1:140" x14ac:dyDescent="0.3">
      <c r="A89" s="54"/>
      <c r="B89" s="37" t="s">
        <v>79</v>
      </c>
      <c r="C89" s="37" t="s">
        <v>225</v>
      </c>
      <c r="D89" s="127">
        <v>0.25</v>
      </c>
      <c r="E89" s="37">
        <v>8272</v>
      </c>
      <c r="F89" s="37">
        <v>100</v>
      </c>
      <c r="G89" s="37">
        <v>0</v>
      </c>
      <c r="H89" s="37">
        <v>0</v>
      </c>
      <c r="I89" s="21">
        <v>300</v>
      </c>
      <c r="J89" s="50" t="s">
        <v>1195</v>
      </c>
      <c r="K89" s="169" t="s">
        <v>884</v>
      </c>
      <c r="L89" s="50" t="s">
        <v>893</v>
      </c>
      <c r="M89" s="50"/>
      <c r="N89" s="50" t="s">
        <v>905</v>
      </c>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59"/>
      <c r="AR89" s="559"/>
      <c r="AS89" s="559"/>
      <c r="AT89" s="559"/>
      <c r="AU89" s="559"/>
      <c r="AV89" s="559"/>
      <c r="AW89" s="559"/>
      <c r="AX89" s="559"/>
      <c r="AY89" s="559"/>
      <c r="AZ89" s="559"/>
      <c r="BA89" s="559"/>
      <c r="BB89" s="559"/>
      <c r="BC89" s="559"/>
      <c r="BD89" s="559"/>
      <c r="BE89" s="559"/>
      <c r="BF89" s="559"/>
      <c r="BG89" s="559"/>
      <c r="BH89" s="559"/>
      <c r="BI89" s="559"/>
      <c r="BJ89" s="559"/>
      <c r="BK89" s="559"/>
      <c r="BL89" s="559"/>
      <c r="BM89" s="559"/>
      <c r="BN89" s="559"/>
      <c r="BO89" s="559"/>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row>
    <row r="90" spans="1:140" x14ac:dyDescent="0.3">
      <c r="A90" s="54"/>
      <c r="B90" s="37" t="s">
        <v>70</v>
      </c>
      <c r="C90" s="37" t="s">
        <v>225</v>
      </c>
      <c r="D90" s="127">
        <v>0.16</v>
      </c>
      <c r="E90" s="37">
        <v>5513</v>
      </c>
      <c r="F90" s="37">
        <v>100</v>
      </c>
      <c r="G90" s="37">
        <v>0</v>
      </c>
      <c r="H90" s="37">
        <v>0</v>
      </c>
      <c r="I90" s="21">
        <v>300</v>
      </c>
      <c r="J90" s="50" t="s">
        <v>1195</v>
      </c>
      <c r="K90" s="169" t="s">
        <v>884</v>
      </c>
      <c r="L90" s="50" t="s">
        <v>893</v>
      </c>
      <c r="M90" s="50"/>
      <c r="N90" s="50" t="s">
        <v>905</v>
      </c>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59"/>
      <c r="AR90" s="559"/>
      <c r="AS90" s="559"/>
      <c r="AT90" s="559"/>
      <c r="AU90" s="559"/>
      <c r="AV90" s="559"/>
      <c r="AW90" s="559"/>
      <c r="AX90" s="559"/>
      <c r="AY90" s="559"/>
      <c r="AZ90" s="559"/>
      <c r="BA90" s="559"/>
      <c r="BB90" s="559"/>
      <c r="BC90" s="559"/>
      <c r="BD90" s="559"/>
      <c r="BE90" s="559"/>
      <c r="BF90" s="559"/>
      <c r="BG90" s="559"/>
      <c r="BH90" s="559"/>
      <c r="BI90" s="559"/>
      <c r="BJ90" s="559"/>
      <c r="BK90" s="559"/>
      <c r="BL90" s="559"/>
      <c r="BM90" s="559"/>
      <c r="BN90" s="559"/>
      <c r="BO90" s="559"/>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row>
    <row r="91" spans="1:140" s="389" customFormat="1" x14ac:dyDescent="0.3">
      <c r="A91" s="371" t="s">
        <v>97</v>
      </c>
      <c r="B91" s="372" t="s">
        <v>12</v>
      </c>
      <c r="C91" s="372" t="s">
        <v>225</v>
      </c>
      <c r="D91" s="373">
        <v>1</v>
      </c>
      <c r="E91" s="372">
        <v>9032</v>
      </c>
      <c r="F91" s="372">
        <v>136</v>
      </c>
      <c r="G91" s="372">
        <v>0</v>
      </c>
      <c r="H91" s="372">
        <v>0</v>
      </c>
      <c r="I91" s="377">
        <v>100</v>
      </c>
      <c r="J91" s="50" t="s">
        <v>1195</v>
      </c>
      <c r="K91" s="169" t="s">
        <v>884</v>
      </c>
      <c r="L91" s="50" t="s">
        <v>1512</v>
      </c>
      <c r="M91" s="50"/>
      <c r="N91" s="50" t="s">
        <v>904</v>
      </c>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59"/>
      <c r="AR91" s="559"/>
      <c r="AS91" s="559"/>
      <c r="AT91" s="559"/>
      <c r="AU91" s="559"/>
      <c r="AV91" s="559"/>
      <c r="AW91" s="559"/>
      <c r="AX91" s="559"/>
      <c r="AY91" s="559"/>
      <c r="AZ91" s="559"/>
      <c r="BA91" s="559"/>
      <c r="BB91" s="559"/>
      <c r="BC91" s="559"/>
      <c r="BD91" s="559"/>
      <c r="BE91" s="559"/>
      <c r="BF91" s="559"/>
      <c r="BG91" s="559"/>
      <c r="BH91" s="559"/>
      <c r="BI91" s="559"/>
      <c r="BJ91" s="559"/>
      <c r="BK91" s="559"/>
      <c r="BL91" s="559"/>
      <c r="BM91" s="559"/>
      <c r="BN91" s="559"/>
      <c r="BO91" s="559"/>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row>
    <row r="92" spans="1:140" x14ac:dyDescent="0.3">
      <c r="A92" s="54"/>
      <c r="B92" s="37"/>
      <c r="C92" s="37"/>
      <c r="D92" s="127"/>
      <c r="E92" s="37"/>
      <c r="F92" s="37"/>
      <c r="G92" s="37"/>
      <c r="H92" s="37"/>
      <c r="I92" s="21"/>
      <c r="J92" s="50"/>
      <c r="K92" s="169"/>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59"/>
      <c r="AR92" s="559"/>
      <c r="AS92" s="559"/>
      <c r="AT92" s="559"/>
      <c r="AU92" s="559"/>
      <c r="AV92" s="559"/>
      <c r="AW92" s="559"/>
      <c r="AX92" s="559"/>
      <c r="AY92" s="559"/>
      <c r="AZ92" s="559"/>
      <c r="BA92" s="559"/>
      <c r="BB92" s="559"/>
      <c r="BC92" s="559"/>
      <c r="BD92" s="559"/>
      <c r="BE92" s="559"/>
      <c r="BF92" s="559"/>
      <c r="BG92" s="559"/>
      <c r="BH92" s="559"/>
      <c r="BI92" s="559"/>
      <c r="BJ92" s="559"/>
      <c r="BK92" s="559"/>
      <c r="BL92" s="559"/>
      <c r="BM92" s="559"/>
      <c r="BN92" s="559"/>
      <c r="BO92" s="559"/>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row>
    <row r="93" spans="1:140" s="389" customFormat="1" x14ac:dyDescent="0.3">
      <c r="A93" s="371" t="s">
        <v>253</v>
      </c>
      <c r="B93" s="372" t="s">
        <v>66</v>
      </c>
      <c r="C93" s="372" t="s">
        <v>225</v>
      </c>
      <c r="D93" s="373">
        <v>0.49</v>
      </c>
      <c r="E93" s="372">
        <v>17796</v>
      </c>
      <c r="F93" s="386">
        <v>79.683369600000006</v>
      </c>
      <c r="G93" s="372">
        <v>0</v>
      </c>
      <c r="H93" s="372">
        <v>0</v>
      </c>
      <c r="I93" s="377">
        <v>350</v>
      </c>
      <c r="J93" s="50" t="s">
        <v>1195</v>
      </c>
      <c r="K93" s="169" t="s">
        <v>884</v>
      </c>
      <c r="L93" s="50" t="s">
        <v>1540</v>
      </c>
      <c r="M93" s="50"/>
      <c r="N93" s="50" t="s">
        <v>906</v>
      </c>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59"/>
      <c r="AR93" s="559"/>
      <c r="AS93" s="559"/>
      <c r="AT93" s="559"/>
      <c r="AU93" s="559"/>
      <c r="AV93" s="559"/>
      <c r="AW93" s="559"/>
      <c r="AX93" s="559"/>
      <c r="AY93" s="559"/>
      <c r="AZ93" s="559"/>
      <c r="BA93" s="559"/>
      <c r="BB93" s="559"/>
      <c r="BC93" s="559"/>
      <c r="BD93" s="559"/>
      <c r="BE93" s="559"/>
      <c r="BF93" s="559"/>
      <c r="BG93" s="559"/>
      <c r="BH93" s="559"/>
      <c r="BI93" s="559"/>
      <c r="BJ93" s="559"/>
      <c r="BK93" s="559"/>
      <c r="BL93" s="559"/>
      <c r="BM93" s="559"/>
      <c r="BN93" s="559"/>
      <c r="BO93" s="559"/>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row>
    <row r="94" spans="1:140" x14ac:dyDescent="0.3">
      <c r="A94" s="54"/>
      <c r="B94" s="37" t="s">
        <v>67</v>
      </c>
      <c r="C94" s="37" t="s">
        <v>225</v>
      </c>
      <c r="D94" s="127">
        <v>0.51</v>
      </c>
      <c r="E94" s="37">
        <v>15757</v>
      </c>
      <c r="F94" s="37">
        <v>71</v>
      </c>
      <c r="G94" s="37">
        <v>0</v>
      </c>
      <c r="H94" s="37">
        <v>0</v>
      </c>
      <c r="I94" s="21">
        <v>350</v>
      </c>
      <c r="J94" s="50" t="s">
        <v>1195</v>
      </c>
      <c r="K94" s="169" t="s">
        <v>884</v>
      </c>
      <c r="L94" s="50" t="s">
        <v>1513</v>
      </c>
      <c r="M94" s="50"/>
      <c r="N94" s="50" t="s">
        <v>906</v>
      </c>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59"/>
      <c r="AR94" s="559"/>
      <c r="AS94" s="559"/>
      <c r="AT94" s="559"/>
      <c r="AU94" s="559"/>
      <c r="AV94" s="559"/>
      <c r="AW94" s="559"/>
      <c r="AX94" s="559"/>
      <c r="AY94" s="559"/>
      <c r="AZ94" s="559"/>
      <c r="BA94" s="559"/>
      <c r="BB94" s="559"/>
      <c r="BC94" s="559"/>
      <c r="BD94" s="559"/>
      <c r="BE94" s="559"/>
      <c r="BF94" s="559"/>
      <c r="BG94" s="559"/>
      <c r="BH94" s="559"/>
      <c r="BI94" s="559"/>
      <c r="BJ94" s="559"/>
      <c r="BK94" s="559"/>
      <c r="BL94" s="559"/>
      <c r="BM94" s="559"/>
      <c r="BN94" s="559"/>
      <c r="BO94" s="559"/>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row>
    <row r="95" spans="1:140" s="389" customFormat="1" x14ac:dyDescent="0.3">
      <c r="A95" s="371" t="s">
        <v>98</v>
      </c>
      <c r="B95" s="372" t="s">
        <v>74</v>
      </c>
      <c r="C95" s="372" t="s">
        <v>225</v>
      </c>
      <c r="D95" s="373">
        <v>0.41</v>
      </c>
      <c r="E95" s="372">
        <v>21325</v>
      </c>
      <c r="F95" s="372">
        <v>260</v>
      </c>
      <c r="G95" s="372">
        <v>0</v>
      </c>
      <c r="H95" s="372">
        <v>0</v>
      </c>
      <c r="I95" s="377">
        <v>200</v>
      </c>
      <c r="J95" s="50" t="s">
        <v>1195</v>
      </c>
      <c r="K95" s="169" t="s">
        <v>884</v>
      </c>
      <c r="L95" s="50" t="s">
        <v>888</v>
      </c>
      <c r="M95" s="50"/>
      <c r="N95" s="50" t="s">
        <v>904</v>
      </c>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59"/>
      <c r="AR95" s="559"/>
      <c r="AS95" s="559"/>
      <c r="AT95" s="559"/>
      <c r="AU95" s="559"/>
      <c r="AV95" s="559"/>
      <c r="AW95" s="559"/>
      <c r="AX95" s="559"/>
      <c r="AY95" s="559"/>
      <c r="AZ95" s="559"/>
      <c r="BA95" s="559"/>
      <c r="BB95" s="559"/>
      <c r="BC95" s="559"/>
      <c r="BD95" s="559"/>
      <c r="BE95" s="559"/>
      <c r="BF95" s="559"/>
      <c r="BG95" s="559"/>
      <c r="BH95" s="559"/>
      <c r="BI95" s="559"/>
      <c r="BJ95" s="559"/>
      <c r="BK95" s="559"/>
      <c r="BL95" s="559"/>
      <c r="BM95" s="559"/>
      <c r="BN95" s="559"/>
      <c r="BO95" s="559"/>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row>
    <row r="96" spans="1:140" x14ac:dyDescent="0.3">
      <c r="A96" s="54"/>
      <c r="B96" s="37" t="s">
        <v>67</v>
      </c>
      <c r="C96" s="37" t="s">
        <v>225</v>
      </c>
      <c r="D96" s="127">
        <v>0.59</v>
      </c>
      <c r="E96" s="37">
        <v>18131</v>
      </c>
      <c r="F96" s="37">
        <v>181</v>
      </c>
      <c r="G96" s="37">
        <v>8</v>
      </c>
      <c r="H96" s="37">
        <v>0</v>
      </c>
      <c r="I96" s="21">
        <v>200</v>
      </c>
      <c r="J96" s="50" t="s">
        <v>1195</v>
      </c>
      <c r="K96" s="169" t="s">
        <v>884</v>
      </c>
      <c r="L96" s="50" t="s">
        <v>1514</v>
      </c>
      <c r="M96" s="50"/>
      <c r="N96" s="50" t="s">
        <v>904</v>
      </c>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59"/>
      <c r="AR96" s="559"/>
      <c r="AS96" s="559"/>
      <c r="AT96" s="559"/>
      <c r="AU96" s="559"/>
      <c r="AV96" s="559"/>
      <c r="AW96" s="559"/>
      <c r="AX96" s="559"/>
      <c r="AY96" s="559"/>
      <c r="AZ96" s="559"/>
      <c r="BA96" s="559"/>
      <c r="BB96" s="559"/>
      <c r="BC96" s="559"/>
      <c r="BD96" s="559"/>
      <c r="BE96" s="559"/>
      <c r="BF96" s="559"/>
      <c r="BG96" s="559"/>
      <c r="BH96" s="559"/>
      <c r="BI96" s="559"/>
      <c r="BJ96" s="559"/>
      <c r="BK96" s="559"/>
      <c r="BL96" s="559"/>
      <c r="BM96" s="559"/>
      <c r="BN96" s="559"/>
      <c r="BO96" s="559"/>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row>
    <row r="97" spans="1:140" s="389" customFormat="1" ht="27.6" x14ac:dyDescent="0.3">
      <c r="A97" s="371" t="s">
        <v>32</v>
      </c>
      <c r="B97" s="372" t="s">
        <v>103</v>
      </c>
      <c r="C97" s="372" t="s">
        <v>225</v>
      </c>
      <c r="D97" s="373"/>
      <c r="E97" s="372">
        <v>545</v>
      </c>
      <c r="F97" s="372">
        <v>27</v>
      </c>
      <c r="G97" s="372">
        <v>0</v>
      </c>
      <c r="H97" s="386">
        <v>2.7250000000000001</v>
      </c>
      <c r="I97" s="377">
        <v>0</v>
      </c>
      <c r="J97" s="50" t="s">
        <v>881</v>
      </c>
      <c r="K97" s="169" t="s">
        <v>884</v>
      </c>
      <c r="L97" s="50" t="s">
        <v>1515</v>
      </c>
      <c r="M97" s="9" t="s">
        <v>900</v>
      </c>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59"/>
      <c r="AR97" s="559"/>
      <c r="AS97" s="559"/>
      <c r="AT97" s="559"/>
      <c r="AU97" s="559"/>
      <c r="AV97" s="559"/>
      <c r="AW97" s="559"/>
      <c r="AX97" s="559"/>
      <c r="AY97" s="559"/>
      <c r="AZ97" s="559"/>
      <c r="BA97" s="559"/>
      <c r="BB97" s="559"/>
      <c r="BC97" s="559"/>
      <c r="BD97" s="559"/>
      <c r="BE97" s="559"/>
      <c r="BF97" s="559"/>
      <c r="BG97" s="559"/>
      <c r="BH97" s="559"/>
      <c r="BI97" s="559"/>
      <c r="BJ97" s="559"/>
      <c r="BK97" s="559"/>
      <c r="BL97" s="559"/>
      <c r="BM97" s="559"/>
      <c r="BN97" s="559"/>
      <c r="BO97" s="559"/>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row>
    <row r="98" spans="1:140" x14ac:dyDescent="0.3">
      <c r="A98" s="54"/>
      <c r="B98" s="37"/>
      <c r="C98" s="37"/>
      <c r="D98" s="127"/>
      <c r="E98" s="37"/>
      <c r="F98" s="37"/>
      <c r="G98" s="37"/>
      <c r="H98" s="40"/>
      <c r="I98" s="21"/>
      <c r="J98" s="50"/>
      <c r="K98" s="169"/>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59"/>
      <c r="AR98" s="559"/>
      <c r="AS98" s="559"/>
      <c r="AT98" s="559"/>
      <c r="AU98" s="559"/>
      <c r="AV98" s="559"/>
      <c r="AW98" s="559"/>
      <c r="AX98" s="559"/>
      <c r="AY98" s="559"/>
      <c r="AZ98" s="559"/>
      <c r="BA98" s="559"/>
      <c r="BB98" s="559"/>
      <c r="BC98" s="559"/>
      <c r="BD98" s="559"/>
      <c r="BE98" s="559"/>
      <c r="BF98" s="559"/>
      <c r="BG98" s="559"/>
      <c r="BH98" s="559"/>
      <c r="BI98" s="559"/>
      <c r="BJ98" s="559"/>
      <c r="BK98" s="559"/>
      <c r="BL98" s="559"/>
      <c r="BM98" s="559"/>
      <c r="BN98" s="559"/>
      <c r="BO98" s="559"/>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row>
    <row r="99" spans="1:140" s="389" customFormat="1" x14ac:dyDescent="0.3">
      <c r="A99" s="371" t="s">
        <v>99</v>
      </c>
      <c r="B99" s="372" t="s">
        <v>47</v>
      </c>
      <c r="C99" s="372" t="s">
        <v>225</v>
      </c>
      <c r="D99" s="373">
        <v>0.34</v>
      </c>
      <c r="E99" s="372">
        <v>1371</v>
      </c>
      <c r="F99" s="372">
        <v>131</v>
      </c>
      <c r="G99" s="372">
        <v>0</v>
      </c>
      <c r="H99" s="386">
        <v>22.827150000000003</v>
      </c>
      <c r="I99" s="377">
        <v>140</v>
      </c>
      <c r="J99" s="50" t="s">
        <v>1195</v>
      </c>
      <c r="K99" s="169" t="s">
        <v>884</v>
      </c>
      <c r="L99" s="50" t="s">
        <v>1516</v>
      </c>
      <c r="M99" s="9" t="s">
        <v>899</v>
      </c>
      <c r="N99" s="50" t="s">
        <v>1516</v>
      </c>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59"/>
      <c r="AR99" s="559"/>
      <c r="AS99" s="559"/>
      <c r="AT99" s="559"/>
      <c r="AU99" s="559"/>
      <c r="AV99" s="559"/>
      <c r="AW99" s="559"/>
      <c r="AX99" s="559"/>
      <c r="AY99" s="559"/>
      <c r="AZ99" s="559"/>
      <c r="BA99" s="559"/>
      <c r="BB99" s="559"/>
      <c r="BC99" s="559"/>
      <c r="BD99" s="559"/>
      <c r="BE99" s="559"/>
      <c r="BF99" s="559"/>
      <c r="BG99" s="559"/>
      <c r="BH99" s="559"/>
      <c r="BI99" s="559"/>
      <c r="BJ99" s="559"/>
      <c r="BK99" s="559"/>
      <c r="BL99" s="559"/>
      <c r="BM99" s="559"/>
      <c r="BN99" s="559"/>
      <c r="BO99" s="559"/>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row>
    <row r="100" spans="1:140" x14ac:dyDescent="0.3">
      <c r="A100" s="54"/>
      <c r="B100" s="37" t="s">
        <v>67</v>
      </c>
      <c r="C100" s="37" t="s">
        <v>225</v>
      </c>
      <c r="D100" s="127">
        <v>0.66</v>
      </c>
      <c r="E100" s="37">
        <v>839</v>
      </c>
      <c r="F100" s="37">
        <v>81</v>
      </c>
      <c r="G100" s="37">
        <v>0</v>
      </c>
      <c r="H100" s="40">
        <v>13.969350000000002</v>
      </c>
      <c r="I100" s="21">
        <v>140</v>
      </c>
      <c r="J100" s="50" t="s">
        <v>1195</v>
      </c>
      <c r="K100" s="169" t="s">
        <v>884</v>
      </c>
      <c r="L100" s="50" t="s">
        <v>1517</v>
      </c>
      <c r="M100" s="9" t="s">
        <v>899</v>
      </c>
      <c r="N100" s="50" t="s">
        <v>1517</v>
      </c>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59"/>
      <c r="AR100" s="559"/>
      <c r="AS100" s="559"/>
      <c r="AT100" s="559"/>
      <c r="AU100" s="559"/>
      <c r="AV100" s="559"/>
      <c r="AW100" s="559"/>
      <c r="AX100" s="559"/>
      <c r="AY100" s="559"/>
      <c r="AZ100" s="559"/>
      <c r="BA100" s="559"/>
      <c r="BB100" s="559"/>
      <c r="BC100" s="559"/>
      <c r="BD100" s="559"/>
      <c r="BE100" s="559"/>
      <c r="BF100" s="559"/>
      <c r="BG100" s="559"/>
      <c r="BH100" s="559"/>
      <c r="BI100" s="559"/>
      <c r="BJ100" s="559"/>
      <c r="BK100" s="559"/>
      <c r="BL100" s="559"/>
      <c r="BM100" s="559"/>
      <c r="BN100" s="559"/>
      <c r="BO100" s="559"/>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row>
    <row r="101" spans="1:140" s="389" customFormat="1" x14ac:dyDescent="0.3">
      <c r="A101" s="371" t="s">
        <v>631</v>
      </c>
      <c r="B101" s="372" t="s">
        <v>101</v>
      </c>
      <c r="C101" s="372" t="s">
        <v>225</v>
      </c>
      <c r="D101" s="373">
        <v>0.11</v>
      </c>
      <c r="E101" s="372">
        <v>2733</v>
      </c>
      <c r="F101" s="372">
        <v>40</v>
      </c>
      <c r="G101" s="372">
        <v>0</v>
      </c>
      <c r="H101" s="372">
        <v>0</v>
      </c>
      <c r="I101" s="377">
        <v>140</v>
      </c>
      <c r="J101" s="50" t="s">
        <v>1195</v>
      </c>
      <c r="K101" s="169" t="s">
        <v>884</v>
      </c>
      <c r="L101" s="50" t="s">
        <v>1541</v>
      </c>
      <c r="M101" s="50"/>
      <c r="N101" s="50" t="s">
        <v>904</v>
      </c>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59"/>
      <c r="AR101" s="559"/>
      <c r="AS101" s="559"/>
      <c r="AT101" s="559"/>
      <c r="AU101" s="559"/>
      <c r="AV101" s="559"/>
      <c r="AW101" s="559"/>
      <c r="AX101" s="559"/>
      <c r="AY101" s="559"/>
      <c r="AZ101" s="559"/>
      <c r="BA101" s="559"/>
      <c r="BB101" s="559"/>
      <c r="BC101" s="559"/>
      <c r="BD101" s="559"/>
      <c r="BE101" s="559"/>
      <c r="BF101" s="559"/>
      <c r="BG101" s="559"/>
      <c r="BH101" s="559"/>
      <c r="BI101" s="559"/>
      <c r="BJ101" s="559"/>
      <c r="BK101" s="559"/>
      <c r="BL101" s="559"/>
      <c r="BM101" s="559"/>
      <c r="BN101" s="559"/>
      <c r="BO101" s="559"/>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row>
    <row r="102" spans="1:140" x14ac:dyDescent="0.3">
      <c r="A102" s="54"/>
      <c r="B102" s="37" t="s">
        <v>66</v>
      </c>
      <c r="C102" s="37" t="s">
        <v>225</v>
      </c>
      <c r="D102" s="127">
        <v>0.56000000000000005</v>
      </c>
      <c r="E102" s="37">
        <v>2314</v>
      </c>
      <c r="F102" s="37">
        <v>40</v>
      </c>
      <c r="G102" s="37">
        <v>12</v>
      </c>
      <c r="H102" s="37">
        <v>0</v>
      </c>
      <c r="I102" s="21">
        <v>140</v>
      </c>
      <c r="J102" s="50" t="s">
        <v>1195</v>
      </c>
      <c r="K102" s="169" t="s">
        <v>884</v>
      </c>
      <c r="L102" s="50" t="s">
        <v>1519</v>
      </c>
      <c r="M102" s="50"/>
      <c r="N102" s="50" t="s">
        <v>904</v>
      </c>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59"/>
      <c r="AR102" s="559"/>
      <c r="AS102" s="559"/>
      <c r="AT102" s="559"/>
      <c r="AU102" s="559"/>
      <c r="AV102" s="559"/>
      <c r="AW102" s="559"/>
      <c r="AX102" s="559"/>
      <c r="AY102" s="559"/>
      <c r="AZ102" s="559"/>
      <c r="BA102" s="559"/>
      <c r="BB102" s="559"/>
      <c r="BC102" s="559"/>
      <c r="BD102" s="559"/>
      <c r="BE102" s="559"/>
      <c r="BF102" s="559"/>
      <c r="BG102" s="559"/>
      <c r="BH102" s="559"/>
      <c r="BI102" s="559"/>
      <c r="BJ102" s="559"/>
      <c r="BK102" s="559"/>
      <c r="BL102" s="559"/>
      <c r="BM102" s="559"/>
      <c r="BN102" s="559"/>
      <c r="BO102" s="559"/>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row>
    <row r="103" spans="1:140" x14ac:dyDescent="0.3">
      <c r="A103" s="54"/>
      <c r="B103" s="37" t="s">
        <v>74</v>
      </c>
      <c r="C103" s="37" t="s">
        <v>225</v>
      </c>
      <c r="D103" s="127">
        <v>0.28000000000000003</v>
      </c>
      <c r="E103" s="37">
        <v>2723</v>
      </c>
      <c r="F103" s="37">
        <v>33</v>
      </c>
      <c r="G103" s="37">
        <v>0</v>
      </c>
      <c r="H103" s="37">
        <v>0</v>
      </c>
      <c r="I103" s="21">
        <v>140</v>
      </c>
      <c r="J103" s="50" t="s">
        <v>1195</v>
      </c>
      <c r="K103" s="169" t="s">
        <v>884</v>
      </c>
      <c r="L103" s="50" t="s">
        <v>1520</v>
      </c>
      <c r="M103" s="50"/>
      <c r="N103" s="50" t="s">
        <v>904</v>
      </c>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59"/>
      <c r="AR103" s="559"/>
      <c r="AS103" s="559"/>
      <c r="AT103" s="559"/>
      <c r="AU103" s="559"/>
      <c r="AV103" s="559"/>
      <c r="AW103" s="559"/>
      <c r="AX103" s="559"/>
      <c r="AY103" s="559"/>
      <c r="AZ103" s="559"/>
      <c r="BA103" s="559"/>
      <c r="BB103" s="559"/>
      <c r="BC103" s="559"/>
      <c r="BD103" s="559"/>
      <c r="BE103" s="559"/>
      <c r="BF103" s="559"/>
      <c r="BG103" s="559"/>
      <c r="BH103" s="559"/>
      <c r="BI103" s="559"/>
      <c r="BJ103" s="559"/>
      <c r="BK103" s="559"/>
      <c r="BL103" s="559"/>
      <c r="BM103" s="559"/>
      <c r="BN103" s="559"/>
      <c r="BO103" s="559"/>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row>
    <row r="104" spans="1:140" x14ac:dyDescent="0.3">
      <c r="A104" s="57"/>
      <c r="B104" s="58" t="s">
        <v>70</v>
      </c>
      <c r="C104" s="58" t="s">
        <v>225</v>
      </c>
      <c r="D104" s="129">
        <v>0.05</v>
      </c>
      <c r="E104" s="58">
        <v>2504</v>
      </c>
      <c r="F104" s="58">
        <v>30</v>
      </c>
      <c r="G104" s="58">
        <v>0</v>
      </c>
      <c r="H104" s="58">
        <v>0</v>
      </c>
      <c r="I104" s="23">
        <v>140</v>
      </c>
      <c r="J104" s="50" t="s">
        <v>1195</v>
      </c>
      <c r="K104" s="169" t="s">
        <v>884</v>
      </c>
      <c r="L104" s="50" t="s">
        <v>1518</v>
      </c>
      <c r="M104" s="50"/>
      <c r="N104" s="50" t="s">
        <v>904</v>
      </c>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59"/>
      <c r="AR104" s="559"/>
      <c r="AS104" s="559"/>
      <c r="AT104" s="559"/>
      <c r="AU104" s="559"/>
      <c r="AV104" s="559"/>
      <c r="AW104" s="559"/>
      <c r="AX104" s="559"/>
      <c r="AY104" s="559"/>
      <c r="AZ104" s="559"/>
      <c r="BA104" s="559"/>
      <c r="BB104" s="559"/>
      <c r="BC104" s="559"/>
      <c r="BD104" s="559"/>
      <c r="BE104" s="559"/>
      <c r="BF104" s="559"/>
      <c r="BG104" s="559"/>
      <c r="BH104" s="559"/>
      <c r="BI104" s="559"/>
      <c r="BJ104" s="559"/>
      <c r="BK104" s="559"/>
      <c r="BL104" s="559"/>
      <c r="BM104" s="559"/>
      <c r="BN104" s="559"/>
      <c r="BO104" s="559"/>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row>
    <row r="105" spans="1:140" x14ac:dyDescent="0.3">
      <c r="A105" s="50" t="s">
        <v>907</v>
      </c>
      <c r="B105" s="37"/>
      <c r="C105" s="37"/>
      <c r="D105" s="127"/>
      <c r="E105" s="37"/>
      <c r="F105" s="37"/>
      <c r="G105" s="37"/>
      <c r="H105" s="37"/>
      <c r="I105" s="15"/>
      <c r="J105" s="50"/>
      <c r="K105" s="169"/>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59"/>
      <c r="AR105" s="559"/>
      <c r="AS105" s="559"/>
      <c r="AT105" s="559"/>
      <c r="AU105" s="559"/>
      <c r="AV105" s="559"/>
      <c r="AW105" s="559"/>
      <c r="AX105" s="559"/>
      <c r="AY105" s="559"/>
      <c r="AZ105" s="559"/>
      <c r="BA105" s="559"/>
      <c r="BB105" s="559"/>
      <c r="BC105" s="559"/>
      <c r="BD105" s="559"/>
      <c r="BE105" s="559"/>
      <c r="BF105" s="559"/>
      <c r="BG105" s="559"/>
      <c r="BH105" s="559"/>
      <c r="BI105" s="559"/>
      <c r="BJ105" s="559"/>
      <c r="BK105" s="559"/>
      <c r="BL105" s="559"/>
      <c r="BM105" s="559"/>
      <c r="BN105" s="559"/>
      <c r="BO105" s="559"/>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row>
    <row r="106" spans="1:140" s="603" customFormat="1" x14ac:dyDescent="0.3">
      <c r="A106" s="158" t="s">
        <v>929</v>
      </c>
      <c r="B106" s="573"/>
      <c r="C106" s="573"/>
      <c r="D106" s="158"/>
      <c r="E106" s="158"/>
      <c r="F106" s="158"/>
      <c r="G106" s="158"/>
      <c r="H106" s="158"/>
      <c r="I106" s="118"/>
      <c r="J106" s="583"/>
      <c r="K106" s="583"/>
      <c r="L106" s="583"/>
      <c r="M106" s="583"/>
      <c r="N106" s="583"/>
      <c r="O106" s="583"/>
      <c r="P106" s="583"/>
      <c r="Q106" s="583"/>
      <c r="R106" s="583"/>
      <c r="S106" s="583"/>
      <c r="T106" s="583"/>
      <c r="U106" s="583"/>
      <c r="V106" s="583"/>
      <c r="W106" s="583"/>
      <c r="X106" s="583"/>
      <c r="Y106" s="583"/>
      <c r="Z106" s="583"/>
      <c r="AA106" s="583"/>
      <c r="AB106" s="583"/>
      <c r="AC106" s="583"/>
      <c r="AD106" s="583"/>
      <c r="AE106" s="583"/>
      <c r="AF106" s="583"/>
      <c r="AG106" s="583"/>
      <c r="AH106" s="583"/>
      <c r="AI106" s="583"/>
      <c r="AJ106" s="583"/>
      <c r="AK106" s="583"/>
      <c r="AL106" s="583"/>
      <c r="AM106" s="583"/>
      <c r="AN106" s="583"/>
      <c r="AO106" s="583"/>
      <c r="AP106" s="583"/>
      <c r="AQ106" s="583"/>
      <c r="AR106" s="583"/>
      <c r="AS106" s="583"/>
      <c r="AT106" s="583"/>
      <c r="AU106" s="583"/>
      <c r="AV106" s="583"/>
      <c r="AW106" s="583"/>
      <c r="AX106" s="583"/>
      <c r="AY106" s="583"/>
      <c r="AZ106" s="583"/>
      <c r="BA106" s="583"/>
      <c r="BB106" s="583"/>
      <c r="BC106" s="583"/>
      <c r="BD106" s="583"/>
      <c r="BE106" s="583"/>
      <c r="BF106" s="583"/>
      <c r="BG106" s="583"/>
      <c r="BH106" s="583"/>
      <c r="BI106" s="583"/>
      <c r="BJ106" s="583"/>
      <c r="BK106" s="583"/>
      <c r="BL106" s="583"/>
      <c r="BM106" s="583"/>
      <c r="BN106" s="583"/>
      <c r="BO106" s="583"/>
      <c r="BP106" s="604"/>
      <c r="BQ106" s="604"/>
      <c r="BR106" s="604"/>
      <c r="BS106" s="604"/>
      <c r="BT106" s="604"/>
      <c r="BU106" s="604"/>
      <c r="BV106" s="604"/>
      <c r="BW106" s="604"/>
      <c r="BX106" s="604"/>
      <c r="BY106" s="604"/>
      <c r="BZ106" s="604"/>
      <c r="CA106" s="604"/>
      <c r="CB106" s="604"/>
      <c r="CC106" s="604"/>
      <c r="CD106" s="604"/>
      <c r="CE106" s="604"/>
      <c r="CF106" s="604"/>
      <c r="CG106" s="604"/>
      <c r="CH106" s="604"/>
      <c r="CI106" s="604"/>
      <c r="CJ106" s="604"/>
      <c r="CK106" s="604"/>
      <c r="CL106" s="604"/>
      <c r="CM106" s="604"/>
      <c r="CN106" s="604"/>
      <c r="CO106" s="604"/>
      <c r="CP106" s="604"/>
      <c r="CQ106" s="604"/>
      <c r="CR106" s="604"/>
      <c r="CS106" s="604"/>
      <c r="CT106" s="604"/>
      <c r="CU106" s="604"/>
      <c r="CV106" s="604"/>
      <c r="CW106" s="604"/>
      <c r="CX106" s="604"/>
      <c r="CY106" s="604"/>
      <c r="CZ106" s="604"/>
      <c r="DA106" s="604"/>
      <c r="DB106" s="604"/>
      <c r="DC106" s="604"/>
      <c r="DD106" s="604"/>
      <c r="DE106" s="604"/>
      <c r="DF106" s="604"/>
      <c r="DG106" s="604"/>
      <c r="DH106" s="604"/>
      <c r="DI106" s="604"/>
      <c r="DJ106" s="604"/>
      <c r="DK106" s="604"/>
      <c r="DL106" s="604"/>
      <c r="DM106" s="604"/>
      <c r="DN106" s="604"/>
      <c r="DO106" s="604"/>
      <c r="DP106" s="604"/>
      <c r="DQ106" s="604"/>
      <c r="DR106" s="604"/>
      <c r="DS106" s="604"/>
      <c r="DT106" s="604"/>
      <c r="DU106" s="604"/>
      <c r="DV106" s="604"/>
      <c r="DW106" s="604"/>
      <c r="DX106" s="604"/>
      <c r="DY106" s="604"/>
      <c r="DZ106" s="604"/>
      <c r="EA106" s="604"/>
      <c r="EB106" s="604"/>
      <c r="EC106" s="604"/>
      <c r="ED106" s="604"/>
      <c r="EE106" s="604"/>
      <c r="EF106" s="604"/>
      <c r="EG106" s="604"/>
      <c r="EH106" s="604"/>
      <c r="EI106" s="604"/>
      <c r="EJ106" s="604"/>
    </row>
    <row r="107" spans="1:140" x14ac:dyDescent="0.3">
      <c r="A107" s="50" t="s">
        <v>1421</v>
      </c>
      <c r="B107" s="37"/>
      <c r="C107" s="37"/>
      <c r="I107" s="117"/>
      <c r="J107" s="559"/>
      <c r="K107" s="600"/>
      <c r="L107" s="559"/>
      <c r="M107" s="559"/>
      <c r="N107" s="559"/>
      <c r="O107" s="559"/>
      <c r="P107" s="559"/>
      <c r="Q107" s="559"/>
      <c r="R107" s="559"/>
      <c r="S107" s="559"/>
      <c r="T107" s="559"/>
      <c r="U107" s="559"/>
      <c r="V107" s="559"/>
      <c r="W107" s="559"/>
      <c r="X107" s="559"/>
      <c r="Y107" s="559"/>
      <c r="Z107" s="559"/>
      <c r="AA107" s="559"/>
      <c r="AB107" s="559"/>
      <c r="AC107" s="559"/>
      <c r="AD107" s="559"/>
      <c r="AE107" s="559"/>
      <c r="AF107" s="559"/>
      <c r="AG107" s="559"/>
      <c r="AH107" s="559"/>
      <c r="AI107" s="559"/>
      <c r="AJ107" s="559"/>
      <c r="AK107" s="559"/>
      <c r="AL107" s="559"/>
      <c r="AM107" s="559"/>
      <c r="AN107" s="559"/>
      <c r="AO107" s="559"/>
      <c r="AP107" s="559"/>
      <c r="AQ107" s="559"/>
      <c r="AR107" s="559"/>
      <c r="AS107" s="559"/>
      <c r="AT107" s="559"/>
      <c r="AU107" s="559"/>
      <c r="AV107" s="559"/>
      <c r="AW107" s="559"/>
      <c r="AX107" s="559"/>
      <c r="AY107" s="559"/>
      <c r="AZ107" s="559"/>
      <c r="BA107" s="559"/>
      <c r="BB107" s="559"/>
      <c r="BC107" s="559"/>
      <c r="BD107" s="559"/>
      <c r="BE107" s="559"/>
      <c r="BF107" s="559"/>
      <c r="BG107" s="559"/>
      <c r="BH107" s="559"/>
      <c r="BI107" s="559"/>
      <c r="BJ107" s="559"/>
      <c r="BK107" s="559"/>
      <c r="BL107" s="559"/>
      <c r="BM107" s="559"/>
      <c r="BN107" s="559"/>
      <c r="BO107" s="559"/>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row>
    <row r="108" spans="1:140" x14ac:dyDescent="0.3">
      <c r="A108" s="50" t="s">
        <v>1406</v>
      </c>
      <c r="B108" s="37"/>
      <c r="C108" s="37"/>
      <c r="I108" s="117"/>
      <c r="J108" s="559"/>
      <c r="K108" s="600"/>
      <c r="L108" s="559"/>
      <c r="M108" s="559"/>
      <c r="N108" s="559"/>
      <c r="O108" s="559"/>
      <c r="P108" s="559"/>
      <c r="Q108" s="559"/>
      <c r="R108" s="559"/>
      <c r="S108" s="559"/>
      <c r="T108" s="559"/>
      <c r="U108" s="559"/>
      <c r="V108" s="559"/>
      <c r="W108" s="559"/>
      <c r="X108" s="559"/>
      <c r="Y108" s="559"/>
      <c r="Z108" s="559"/>
      <c r="AA108" s="559"/>
      <c r="AB108" s="559"/>
      <c r="AC108" s="559"/>
      <c r="AD108" s="559"/>
      <c r="AE108" s="559"/>
      <c r="AF108" s="559"/>
      <c r="AG108" s="559"/>
      <c r="AH108" s="559"/>
      <c r="AI108" s="559"/>
      <c r="AJ108" s="559"/>
      <c r="AK108" s="559"/>
      <c r="AL108" s="559"/>
      <c r="AM108" s="559"/>
      <c r="AN108" s="559"/>
      <c r="AO108" s="559"/>
      <c r="AP108" s="559"/>
      <c r="AQ108" s="559"/>
      <c r="AR108" s="559"/>
      <c r="AS108" s="559"/>
      <c r="AT108" s="559"/>
      <c r="AU108" s="559"/>
      <c r="AV108" s="559"/>
      <c r="AW108" s="559"/>
      <c r="AX108" s="559"/>
      <c r="AY108" s="559"/>
      <c r="AZ108" s="559"/>
      <c r="BA108" s="559"/>
      <c r="BB108" s="559"/>
      <c r="BC108" s="559"/>
      <c r="BD108" s="559"/>
      <c r="BE108" s="559"/>
      <c r="BF108" s="559"/>
      <c r="BG108" s="559"/>
      <c r="BH108" s="559"/>
      <c r="BI108" s="559"/>
      <c r="BJ108" s="559"/>
      <c r="BK108" s="559"/>
      <c r="BL108" s="559"/>
      <c r="BM108" s="559"/>
      <c r="BN108" s="559"/>
      <c r="BO108" s="559"/>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row>
    <row r="109" spans="1:140" x14ac:dyDescent="0.3">
      <c r="A109" s="9" t="s">
        <v>1404</v>
      </c>
      <c r="B109" s="37"/>
      <c r="C109" s="37"/>
      <c r="I109" s="117"/>
      <c r="J109" s="559"/>
      <c r="K109" s="600"/>
      <c r="L109" s="559"/>
      <c r="M109" s="559"/>
      <c r="N109" s="559"/>
      <c r="O109" s="559"/>
      <c r="P109" s="559"/>
      <c r="Q109" s="559"/>
      <c r="R109" s="559"/>
      <c r="S109" s="559"/>
      <c r="T109" s="559"/>
      <c r="U109" s="559"/>
      <c r="V109" s="559"/>
      <c r="W109" s="559"/>
      <c r="X109" s="559"/>
      <c r="Y109" s="559"/>
      <c r="Z109" s="559"/>
      <c r="AA109" s="559"/>
      <c r="AB109" s="559"/>
      <c r="AC109" s="559"/>
      <c r="AD109" s="559"/>
      <c r="AE109" s="559"/>
      <c r="AF109" s="559"/>
      <c r="AG109" s="559"/>
      <c r="AH109" s="559"/>
      <c r="AI109" s="559"/>
      <c r="AJ109" s="559"/>
      <c r="AK109" s="559"/>
      <c r="AL109" s="559"/>
      <c r="AM109" s="559"/>
      <c r="AN109" s="559"/>
      <c r="AO109" s="559"/>
      <c r="AP109" s="559"/>
      <c r="AQ109" s="559"/>
      <c r="AR109" s="559"/>
      <c r="AS109" s="559"/>
      <c r="AT109" s="559"/>
      <c r="AU109" s="559"/>
      <c r="AV109" s="559"/>
      <c r="AW109" s="559"/>
      <c r="AX109" s="559"/>
      <c r="AY109" s="559"/>
      <c r="AZ109" s="559"/>
      <c r="BA109" s="559"/>
      <c r="BB109" s="559"/>
      <c r="BC109" s="559"/>
      <c r="BD109" s="559"/>
      <c r="BE109" s="559"/>
      <c r="BF109" s="559"/>
      <c r="BG109" s="559"/>
      <c r="BH109" s="559"/>
      <c r="BI109" s="559"/>
      <c r="BJ109" s="559"/>
      <c r="BK109" s="559"/>
      <c r="BL109" s="559"/>
      <c r="BM109" s="559"/>
      <c r="BN109" s="559"/>
      <c r="BO109" s="559"/>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row>
    <row r="110" spans="1:140" x14ac:dyDescent="0.3">
      <c r="A110" s="158" t="s">
        <v>1405</v>
      </c>
      <c r="D110" s="235"/>
      <c r="E110" s="235"/>
      <c r="F110" s="235"/>
      <c r="I110" s="117"/>
      <c r="J110" s="117"/>
      <c r="K110" s="63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row>
    <row r="111" spans="1:140" x14ac:dyDescent="0.3">
      <c r="A111" s="158" t="s">
        <v>1018</v>
      </c>
      <c r="I111" s="117"/>
      <c r="J111" s="117"/>
      <c r="K111" s="63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7"/>
      <c r="BK111" s="117"/>
      <c r="BL111" s="117"/>
      <c r="BM111" s="117"/>
      <c r="BN111" s="117"/>
      <c r="BO111" s="117"/>
    </row>
    <row r="112" spans="1:140" x14ac:dyDescent="0.3">
      <c r="I112" s="117"/>
      <c r="J112" s="117"/>
      <c r="K112" s="63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7"/>
      <c r="BK112" s="117"/>
      <c r="BL112" s="117"/>
      <c r="BM112" s="117"/>
      <c r="BN112" s="117"/>
      <c r="BO112" s="117"/>
    </row>
    <row r="113" spans="1:140" x14ac:dyDescent="0.3">
      <c r="A113" s="120" t="s">
        <v>226</v>
      </c>
      <c r="I113" s="117"/>
      <c r="J113" s="559"/>
      <c r="K113" s="600"/>
      <c r="L113" s="559"/>
      <c r="M113" s="559"/>
      <c r="N113" s="559"/>
      <c r="O113" s="559"/>
      <c r="P113" s="559"/>
      <c r="Q113" s="559"/>
      <c r="R113" s="559"/>
      <c r="S113" s="559"/>
      <c r="T113" s="559"/>
      <c r="U113" s="559"/>
      <c r="V113" s="559"/>
      <c r="W113" s="559"/>
      <c r="X113" s="559"/>
      <c r="Y113" s="559"/>
      <c r="Z113" s="559"/>
      <c r="AA113" s="559"/>
      <c r="AB113" s="559"/>
      <c r="AC113" s="559"/>
      <c r="AD113" s="559"/>
      <c r="AE113" s="559"/>
      <c r="AF113" s="559"/>
      <c r="AG113" s="559"/>
      <c r="AH113" s="559"/>
      <c r="AI113" s="559"/>
      <c r="AJ113" s="559"/>
      <c r="AK113" s="559"/>
      <c r="AL113" s="559"/>
      <c r="AM113" s="559"/>
      <c r="AN113" s="559"/>
      <c r="AO113" s="559"/>
      <c r="AP113" s="559"/>
      <c r="AQ113" s="559"/>
      <c r="AR113" s="559"/>
      <c r="AS113" s="559"/>
      <c r="AT113" s="559"/>
      <c r="AU113" s="559"/>
      <c r="AV113" s="559"/>
      <c r="AW113" s="559"/>
      <c r="AX113" s="559"/>
      <c r="AY113" s="559"/>
      <c r="AZ113" s="559"/>
      <c r="BA113" s="559"/>
      <c r="BB113" s="559"/>
      <c r="BC113" s="559"/>
      <c r="BD113" s="559"/>
      <c r="BE113" s="559"/>
      <c r="BF113" s="559"/>
      <c r="BG113" s="559"/>
      <c r="BH113" s="559"/>
      <c r="BI113" s="559"/>
      <c r="BJ113" s="559"/>
      <c r="BK113" s="559"/>
      <c r="BL113" s="559"/>
      <c r="BM113" s="559"/>
      <c r="BN113" s="559"/>
      <c r="BO113" s="559"/>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row>
    <row r="114" spans="1:140" x14ac:dyDescent="0.3">
      <c r="A114" s="46" t="s">
        <v>246</v>
      </c>
      <c r="B114" s="121">
        <v>0.01</v>
      </c>
      <c r="C114" s="130" t="s">
        <v>248</v>
      </c>
      <c r="D114" s="68" t="s">
        <v>188</v>
      </c>
      <c r="I114" s="117"/>
      <c r="J114" s="559"/>
      <c r="K114" s="600"/>
      <c r="L114" s="559"/>
      <c r="M114" s="559"/>
      <c r="N114" s="559"/>
      <c r="O114" s="559"/>
      <c r="P114" s="559"/>
      <c r="Q114" s="559"/>
      <c r="R114" s="559"/>
      <c r="S114" s="559"/>
      <c r="T114" s="559"/>
      <c r="U114" s="559"/>
      <c r="V114" s="559"/>
      <c r="W114" s="559"/>
      <c r="X114" s="559"/>
      <c r="Y114" s="559"/>
      <c r="Z114" s="559"/>
      <c r="AA114" s="559"/>
      <c r="AB114" s="559"/>
      <c r="AC114" s="559"/>
      <c r="AD114" s="559"/>
      <c r="AE114" s="559"/>
      <c r="AF114" s="559"/>
      <c r="AG114" s="559"/>
      <c r="AH114" s="559"/>
      <c r="AI114" s="559"/>
      <c r="AJ114" s="559"/>
      <c r="AK114" s="559"/>
      <c r="AL114" s="559"/>
      <c r="AM114" s="559"/>
      <c r="AN114" s="559"/>
      <c r="AO114" s="559"/>
      <c r="AP114" s="559"/>
      <c r="AQ114" s="559"/>
      <c r="AR114" s="559"/>
      <c r="AS114" s="559"/>
      <c r="AT114" s="559"/>
      <c r="AU114" s="559"/>
      <c r="AV114" s="559"/>
      <c r="AW114" s="559"/>
      <c r="AX114" s="559"/>
      <c r="AY114" s="559"/>
      <c r="AZ114" s="559"/>
      <c r="BA114" s="559"/>
      <c r="BB114" s="559"/>
      <c r="BC114" s="559"/>
      <c r="BD114" s="559"/>
      <c r="BE114" s="559"/>
      <c r="BF114" s="559"/>
      <c r="BG114" s="559"/>
      <c r="BH114" s="559"/>
      <c r="BI114" s="559"/>
      <c r="BJ114" s="559"/>
      <c r="BK114" s="559"/>
      <c r="BL114" s="559"/>
      <c r="BM114" s="559"/>
      <c r="BN114" s="559"/>
      <c r="BO114" s="559"/>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row>
    <row r="115" spans="1:140" x14ac:dyDescent="0.3">
      <c r="A115" s="70" t="s">
        <v>932</v>
      </c>
      <c r="B115" s="71">
        <v>0.1</v>
      </c>
      <c r="C115" s="131" t="s">
        <v>245</v>
      </c>
      <c r="D115" s="38" t="s">
        <v>894</v>
      </c>
      <c r="I115" s="117"/>
      <c r="J115" s="559"/>
      <c r="K115" s="600"/>
      <c r="L115" s="559"/>
      <c r="M115" s="559"/>
      <c r="N115" s="559"/>
      <c r="O115" s="559"/>
      <c r="P115" s="559"/>
      <c r="Q115" s="559"/>
      <c r="R115" s="559"/>
      <c r="S115" s="559"/>
      <c r="T115" s="559"/>
      <c r="U115" s="559"/>
      <c r="V115" s="559"/>
      <c r="W115" s="559"/>
      <c r="X115" s="559"/>
      <c r="Y115" s="559"/>
      <c r="Z115" s="559"/>
      <c r="AA115" s="559"/>
      <c r="AB115" s="559"/>
      <c r="AC115" s="559"/>
      <c r="AD115" s="559"/>
      <c r="AE115" s="559"/>
      <c r="AF115" s="559"/>
      <c r="AG115" s="559"/>
      <c r="AH115" s="559"/>
      <c r="AI115" s="559"/>
      <c r="AJ115" s="559"/>
      <c r="AK115" s="559"/>
      <c r="AL115" s="559"/>
      <c r="AM115" s="559"/>
      <c r="AN115" s="559"/>
      <c r="AO115" s="559"/>
      <c r="AP115" s="559"/>
      <c r="AQ115" s="559"/>
      <c r="AR115" s="559"/>
      <c r="AS115" s="559"/>
      <c r="AT115" s="559"/>
      <c r="AU115" s="559"/>
      <c r="AV115" s="559"/>
      <c r="AW115" s="559"/>
      <c r="AX115" s="559"/>
      <c r="AY115" s="559"/>
      <c r="AZ115" s="559"/>
      <c r="BA115" s="559"/>
      <c r="BB115" s="559"/>
      <c r="BC115" s="559"/>
      <c r="BD115" s="559"/>
      <c r="BE115" s="559"/>
      <c r="BF115" s="559"/>
      <c r="BG115" s="559"/>
      <c r="BH115" s="559"/>
      <c r="BI115" s="559"/>
      <c r="BJ115" s="559"/>
      <c r="BK115" s="559"/>
      <c r="BL115" s="559"/>
      <c r="BM115" s="559"/>
      <c r="BN115" s="559"/>
      <c r="BO115" s="559"/>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row>
    <row r="116" spans="1:140" x14ac:dyDescent="0.3">
      <c r="A116" s="9" t="s">
        <v>933</v>
      </c>
      <c r="I116" s="117"/>
      <c r="J116" s="559"/>
      <c r="K116" s="600"/>
      <c r="L116" s="559"/>
      <c r="M116" s="559"/>
      <c r="N116" s="559"/>
      <c r="O116" s="559"/>
      <c r="P116" s="559"/>
      <c r="Q116" s="559"/>
      <c r="R116" s="559"/>
      <c r="S116" s="559"/>
      <c r="T116" s="559"/>
      <c r="U116" s="559"/>
      <c r="V116" s="559"/>
      <c r="W116" s="559"/>
      <c r="X116" s="559"/>
      <c r="Y116" s="559"/>
      <c r="Z116" s="559"/>
      <c r="AA116" s="559"/>
      <c r="AB116" s="559"/>
      <c r="AC116" s="559"/>
      <c r="AD116" s="559"/>
      <c r="AE116" s="559"/>
      <c r="AF116" s="559"/>
      <c r="AG116" s="559"/>
      <c r="AH116" s="559"/>
      <c r="AI116" s="559"/>
      <c r="AJ116" s="559"/>
      <c r="AK116" s="559"/>
      <c r="AL116" s="559"/>
      <c r="AM116" s="559"/>
      <c r="AN116" s="559"/>
      <c r="AO116" s="559"/>
      <c r="AP116" s="559"/>
      <c r="AQ116" s="559"/>
      <c r="AR116" s="559"/>
      <c r="AS116" s="559"/>
      <c r="AT116" s="559"/>
      <c r="AU116" s="559"/>
      <c r="AV116" s="559"/>
      <c r="AW116" s="559"/>
      <c r="AX116" s="559"/>
      <c r="AY116" s="559"/>
      <c r="AZ116" s="559"/>
      <c r="BA116" s="559"/>
      <c r="BB116" s="559"/>
      <c r="BC116" s="559"/>
      <c r="BD116" s="559"/>
      <c r="BE116" s="559"/>
      <c r="BF116" s="559"/>
      <c r="BG116" s="559"/>
      <c r="BH116" s="559"/>
      <c r="BI116" s="559"/>
      <c r="BJ116" s="559"/>
      <c r="BK116" s="559"/>
      <c r="BL116" s="559"/>
      <c r="BM116" s="559"/>
      <c r="BN116" s="559"/>
      <c r="BO116" s="559"/>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row>
    <row r="117" spans="1:140" x14ac:dyDescent="0.3">
      <c r="I117" s="117"/>
      <c r="J117" s="559"/>
      <c r="K117" s="600"/>
      <c r="L117" s="559"/>
      <c r="M117" s="559"/>
      <c r="N117" s="559"/>
      <c r="O117" s="559"/>
      <c r="P117" s="559"/>
      <c r="Q117" s="559"/>
      <c r="R117" s="559"/>
      <c r="S117" s="559"/>
      <c r="T117" s="559"/>
      <c r="U117" s="559"/>
      <c r="V117" s="559"/>
      <c r="W117" s="559"/>
      <c r="X117" s="559"/>
      <c r="Y117" s="559"/>
      <c r="Z117" s="559"/>
      <c r="AA117" s="559"/>
      <c r="AB117" s="559"/>
      <c r="AC117" s="559"/>
      <c r="AD117" s="559"/>
      <c r="AE117" s="559"/>
      <c r="AF117" s="559"/>
      <c r="AG117" s="559"/>
      <c r="AH117" s="559"/>
      <c r="AI117" s="559"/>
      <c r="AJ117" s="559"/>
      <c r="AK117" s="559"/>
      <c r="AL117" s="559"/>
      <c r="AM117" s="559"/>
      <c r="AN117" s="559"/>
      <c r="AO117" s="559"/>
      <c r="AP117" s="559"/>
      <c r="AQ117" s="559"/>
      <c r="AR117" s="559"/>
      <c r="AS117" s="559"/>
      <c r="AT117" s="559"/>
      <c r="AU117" s="559"/>
      <c r="AV117" s="559"/>
      <c r="AW117" s="559"/>
      <c r="AX117" s="559"/>
      <c r="AY117" s="559"/>
      <c r="AZ117" s="559"/>
      <c r="BA117" s="559"/>
      <c r="BB117" s="559"/>
      <c r="BC117" s="559"/>
      <c r="BD117" s="559"/>
      <c r="BE117" s="559"/>
      <c r="BF117" s="559"/>
      <c r="BG117" s="559"/>
      <c r="BH117" s="559"/>
      <c r="BI117" s="559"/>
      <c r="BJ117" s="559"/>
      <c r="BK117" s="559"/>
      <c r="BL117" s="559"/>
      <c r="BM117" s="559"/>
      <c r="BN117" s="559"/>
      <c r="BO117" s="559"/>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row>
    <row r="118" spans="1:140" x14ac:dyDescent="0.3">
      <c r="A118" s="43" t="s">
        <v>236</v>
      </c>
      <c r="I118" s="117"/>
      <c r="J118" s="559"/>
      <c r="K118" s="600"/>
      <c r="L118" s="559"/>
      <c r="M118" s="559"/>
      <c r="N118" s="559"/>
      <c r="O118" s="559"/>
      <c r="P118" s="638" t="s">
        <v>188</v>
      </c>
      <c r="Q118" s="559"/>
      <c r="R118" s="559"/>
      <c r="S118" s="559"/>
      <c r="T118" s="559"/>
      <c r="V118" s="559"/>
      <c r="W118" s="559"/>
      <c r="Y118" s="559"/>
      <c r="Z118" s="559"/>
      <c r="AA118" s="559"/>
      <c r="AB118" s="559"/>
      <c r="AC118" s="559"/>
      <c r="AD118" s="559"/>
      <c r="AE118" s="559"/>
      <c r="AF118" s="559"/>
      <c r="AG118" s="559"/>
      <c r="AH118" s="559"/>
      <c r="AI118" s="559"/>
      <c r="AJ118" s="559"/>
      <c r="AK118" s="559"/>
      <c r="AL118" s="559"/>
      <c r="AM118" s="559"/>
      <c r="AN118" s="559"/>
      <c r="AO118" s="559"/>
      <c r="AP118" s="559"/>
      <c r="AQ118" s="559"/>
      <c r="AR118" s="559"/>
      <c r="AS118" s="559"/>
      <c r="AT118" s="559"/>
      <c r="AU118" s="559"/>
      <c r="AV118" s="559"/>
      <c r="AW118" s="559"/>
      <c r="AX118" s="559"/>
      <c r="AY118" s="559"/>
      <c r="AZ118" s="559"/>
      <c r="BA118" s="559"/>
      <c r="BB118" s="559"/>
      <c r="BC118" s="559"/>
      <c r="BD118" s="559"/>
      <c r="BE118" s="559"/>
      <c r="BF118" s="559"/>
      <c r="BG118" s="559"/>
      <c r="BH118" s="559"/>
      <c r="BI118" s="559"/>
      <c r="BJ118" s="559"/>
      <c r="BK118" s="559"/>
      <c r="BL118" s="559"/>
      <c r="BM118" s="559"/>
      <c r="BN118" s="559"/>
      <c r="BO118" s="559"/>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row>
    <row r="119" spans="1:140" ht="110.4" x14ac:dyDescent="0.3">
      <c r="A119" s="46"/>
      <c r="B119" s="128" t="s">
        <v>228</v>
      </c>
      <c r="C119" s="52" t="s">
        <v>229</v>
      </c>
      <c r="D119" s="52" t="s">
        <v>230</v>
      </c>
      <c r="E119" s="52" t="s">
        <v>231</v>
      </c>
      <c r="F119" s="52" t="s">
        <v>232</v>
      </c>
      <c r="G119" s="52" t="s">
        <v>233</v>
      </c>
      <c r="H119" s="52" t="s">
        <v>234</v>
      </c>
      <c r="I119" s="52" t="s">
        <v>474</v>
      </c>
      <c r="J119" s="52" t="s">
        <v>475</v>
      </c>
      <c r="K119" s="52" t="s">
        <v>476</v>
      </c>
      <c r="L119" s="52" t="s">
        <v>477</v>
      </c>
      <c r="M119" s="52" t="s">
        <v>243</v>
      </c>
      <c r="N119" s="52" t="s">
        <v>244</v>
      </c>
      <c r="O119" s="53" t="s">
        <v>1424</v>
      </c>
      <c r="P119" s="235" t="s">
        <v>953</v>
      </c>
      <c r="Q119" s="235" t="s">
        <v>954</v>
      </c>
      <c r="R119" s="235"/>
      <c r="S119" s="37"/>
      <c r="T119" s="37"/>
      <c r="V119" s="37"/>
      <c r="W119" s="37"/>
      <c r="Y119" s="37"/>
      <c r="Z119" s="37"/>
      <c r="AA119" s="37"/>
      <c r="AB119" s="37"/>
      <c r="AC119" s="37"/>
      <c r="AD119" s="559"/>
      <c r="AE119" s="559"/>
      <c r="AF119" s="559"/>
      <c r="AG119" s="559"/>
      <c r="AH119" s="559"/>
      <c r="AI119" s="559"/>
      <c r="AJ119" s="559"/>
      <c r="AK119" s="559"/>
      <c r="AL119" s="559"/>
      <c r="AM119" s="559"/>
      <c r="AN119" s="559"/>
      <c r="AO119" s="559"/>
      <c r="AP119" s="559"/>
      <c r="AQ119" s="559"/>
      <c r="AR119" s="559"/>
      <c r="AS119" s="559"/>
      <c r="AT119" s="559"/>
      <c r="AU119" s="559"/>
      <c r="AV119" s="559"/>
      <c r="AW119" s="559"/>
      <c r="AX119" s="559"/>
      <c r="AY119" s="559"/>
      <c r="AZ119" s="559"/>
      <c r="BA119" s="559"/>
      <c r="BB119" s="559"/>
      <c r="BC119" s="559"/>
      <c r="BD119" s="559"/>
      <c r="BE119" s="559"/>
      <c r="BF119" s="559"/>
      <c r="BG119" s="559"/>
      <c r="BH119" s="559"/>
      <c r="BI119" s="559"/>
      <c r="BJ119" s="559"/>
      <c r="BK119" s="559"/>
      <c r="BL119" s="559"/>
      <c r="BM119" s="559"/>
      <c r="BN119" s="559"/>
      <c r="BO119" s="559"/>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row>
    <row r="120" spans="1:140" x14ac:dyDescent="0.3">
      <c r="A120" s="66" t="s">
        <v>21</v>
      </c>
      <c r="B120" s="86">
        <v>1.1299999999999999E-2</v>
      </c>
      <c r="C120" s="127">
        <v>1.8800000000000001E-2</v>
      </c>
      <c r="D120" s="127"/>
      <c r="E120" s="127">
        <v>7.0593446920052434E-3</v>
      </c>
      <c r="F120" s="94">
        <v>1.1069444444444443</v>
      </c>
      <c r="G120" s="127"/>
      <c r="H120" s="127"/>
      <c r="I120" s="42"/>
      <c r="J120" s="50"/>
      <c r="K120" s="169"/>
      <c r="L120" s="50"/>
      <c r="M120" s="38">
        <v>20</v>
      </c>
      <c r="N120" s="40">
        <v>14</v>
      </c>
      <c r="O120" s="639">
        <f>1/((100-M120)/(100-N120))</f>
        <v>1.075</v>
      </c>
      <c r="P120" s="559" t="s">
        <v>966</v>
      </c>
      <c r="Q120" s="559" t="s">
        <v>883</v>
      </c>
      <c r="R120" s="559"/>
      <c r="S120" s="559"/>
      <c r="T120" s="559"/>
      <c r="V120" s="559"/>
      <c r="W120" s="559"/>
      <c r="Y120" s="559"/>
      <c r="Z120" s="559"/>
      <c r="AA120" s="559"/>
      <c r="AB120" s="559"/>
      <c r="AC120" s="559"/>
      <c r="AD120" s="559"/>
      <c r="AE120" s="559"/>
      <c r="AF120" s="559"/>
      <c r="AG120" s="559"/>
      <c r="AH120" s="559"/>
      <c r="AI120" s="559"/>
      <c r="AJ120" s="559"/>
      <c r="AK120" s="559"/>
      <c r="AL120" s="559"/>
      <c r="AM120" s="559"/>
      <c r="AN120" s="559"/>
      <c r="AO120" s="559"/>
      <c r="AP120" s="559"/>
      <c r="AQ120" s="559"/>
      <c r="AR120" s="559"/>
      <c r="AS120" s="559"/>
      <c r="AT120" s="559"/>
      <c r="AU120" s="559"/>
      <c r="AV120" s="559"/>
      <c r="AW120" s="559"/>
      <c r="AX120" s="559"/>
      <c r="AY120" s="559"/>
      <c r="AZ120" s="559"/>
      <c r="BA120" s="559"/>
      <c r="BB120" s="559"/>
      <c r="BC120" s="559"/>
      <c r="BD120" s="559"/>
      <c r="BE120" s="559"/>
      <c r="BF120" s="559"/>
      <c r="BG120" s="559"/>
      <c r="BH120" s="559"/>
      <c r="BI120" s="559"/>
      <c r="BJ120" s="559"/>
      <c r="BK120" s="559"/>
      <c r="BL120" s="559"/>
      <c r="BM120" s="559"/>
      <c r="BN120" s="559"/>
      <c r="BO120" s="559"/>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row>
    <row r="121" spans="1:140" x14ac:dyDescent="0.3">
      <c r="A121" s="66" t="s">
        <v>1417</v>
      </c>
      <c r="B121" s="86">
        <v>1.1299999999999999E-2</v>
      </c>
      <c r="C121" s="127">
        <v>1.8800000000000001E-2</v>
      </c>
      <c r="D121" s="127"/>
      <c r="E121" s="127"/>
      <c r="F121" s="94"/>
      <c r="G121" s="127"/>
      <c r="H121" s="127"/>
      <c r="I121" s="42"/>
      <c r="J121" s="50"/>
      <c r="K121" s="169"/>
      <c r="L121" s="50"/>
      <c r="M121" s="41">
        <v>21.5</v>
      </c>
      <c r="N121" s="40">
        <v>18</v>
      </c>
      <c r="O121" s="639">
        <f t="shared" ref="O121:O124" si="0">1/((100-M121)/(100-N121))</f>
        <v>1.0445859872611465</v>
      </c>
      <c r="P121" s="559" t="s">
        <v>1408</v>
      </c>
      <c r="Q121" s="169" t="s">
        <v>886</v>
      </c>
      <c r="R121" s="559"/>
      <c r="S121" s="559"/>
      <c r="T121" s="559"/>
      <c r="V121" s="559"/>
      <c r="W121" s="559"/>
      <c r="Y121" s="559"/>
      <c r="Z121" s="559"/>
      <c r="AA121" s="559"/>
      <c r="AB121" s="559"/>
      <c r="AC121" s="559"/>
      <c r="AD121" s="559"/>
      <c r="AE121" s="559"/>
      <c r="AF121" s="559"/>
      <c r="AG121" s="559"/>
      <c r="AH121" s="559"/>
      <c r="AI121" s="559"/>
      <c r="AJ121" s="559"/>
      <c r="AK121" s="559"/>
      <c r="AL121" s="559"/>
      <c r="AM121" s="559"/>
      <c r="AN121" s="559"/>
      <c r="AO121" s="559"/>
      <c r="AP121" s="559"/>
      <c r="AQ121" s="559"/>
      <c r="AR121" s="559"/>
      <c r="AS121" s="559"/>
      <c r="AT121" s="559"/>
      <c r="AU121" s="559"/>
      <c r="AV121" s="559"/>
      <c r="AW121" s="559"/>
      <c r="AX121" s="559"/>
      <c r="AY121" s="559"/>
      <c r="AZ121" s="559"/>
      <c r="BA121" s="559"/>
      <c r="BB121" s="559"/>
      <c r="BC121" s="559"/>
      <c r="BD121" s="559"/>
      <c r="BE121" s="559"/>
      <c r="BF121" s="559"/>
      <c r="BG121" s="559"/>
      <c r="BH121" s="559"/>
      <c r="BI121" s="559"/>
      <c r="BJ121" s="559"/>
      <c r="BK121" s="559"/>
      <c r="BL121" s="559"/>
      <c r="BM121" s="559"/>
      <c r="BN121" s="559"/>
      <c r="BO121" s="559"/>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row>
    <row r="122" spans="1:140" ht="14.4" customHeight="1" x14ac:dyDescent="0.3">
      <c r="A122" s="66" t="s">
        <v>20</v>
      </c>
      <c r="B122" s="86">
        <v>1.61E-2</v>
      </c>
      <c r="C122" s="127">
        <v>0.17799999999999999</v>
      </c>
      <c r="D122" s="127"/>
      <c r="E122" s="127"/>
      <c r="F122" s="94">
        <v>1.95E-2</v>
      </c>
      <c r="G122" s="127"/>
      <c r="H122" s="127"/>
      <c r="I122" s="42"/>
      <c r="J122" s="50"/>
      <c r="K122" s="169"/>
      <c r="L122" s="50"/>
      <c r="M122" s="38">
        <v>25</v>
      </c>
      <c r="N122" s="38">
        <v>14</v>
      </c>
      <c r="O122" s="639">
        <f t="shared" si="0"/>
        <v>1.1466666666666667</v>
      </c>
      <c r="P122" s="50" t="s">
        <v>961</v>
      </c>
      <c r="Q122" s="50" t="s">
        <v>902</v>
      </c>
      <c r="R122" s="559"/>
      <c r="S122" s="559"/>
      <c r="T122" s="559"/>
      <c r="V122" s="559"/>
      <c r="W122" s="559"/>
      <c r="Y122" s="559"/>
      <c r="Z122" s="559"/>
      <c r="AA122" s="559"/>
      <c r="AB122" s="559"/>
      <c r="AC122" s="559"/>
      <c r="AD122" s="559"/>
      <c r="AE122" s="559"/>
      <c r="AF122" s="559"/>
      <c r="AG122" s="559"/>
      <c r="AH122" s="559"/>
      <c r="AI122" s="559"/>
      <c r="AJ122" s="559"/>
      <c r="AK122" s="559"/>
      <c r="AL122" s="559"/>
      <c r="AM122" s="559"/>
      <c r="AN122" s="559"/>
      <c r="AO122" s="559"/>
      <c r="AP122" s="559"/>
      <c r="AQ122" s="559"/>
      <c r="AR122" s="559"/>
      <c r="AS122" s="559"/>
      <c r="AT122" s="559"/>
      <c r="AU122" s="559"/>
      <c r="AV122" s="559"/>
      <c r="AW122" s="559"/>
      <c r="AX122" s="559"/>
      <c r="AY122" s="559"/>
      <c r="AZ122" s="559"/>
      <c r="BA122" s="559"/>
      <c r="BB122" s="559"/>
      <c r="BC122" s="559"/>
      <c r="BD122" s="559"/>
      <c r="BE122" s="559"/>
      <c r="BF122" s="559"/>
      <c r="BG122" s="559"/>
      <c r="BH122" s="559"/>
      <c r="BI122" s="559"/>
      <c r="BJ122" s="559"/>
      <c r="BK122" s="559"/>
      <c r="BL122" s="559"/>
      <c r="BM122" s="559"/>
      <c r="BN122" s="559"/>
      <c r="BO122" s="559"/>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row>
    <row r="123" spans="1:140" x14ac:dyDescent="0.3">
      <c r="A123" s="66" t="s">
        <v>235</v>
      </c>
      <c r="B123" s="86">
        <v>1.7000000000000001E-2</v>
      </c>
      <c r="C123" s="127">
        <v>1.78E-2</v>
      </c>
      <c r="D123" s="127"/>
      <c r="E123" s="127"/>
      <c r="F123" s="127"/>
      <c r="G123" s="127">
        <v>5.0999999999999997E-2</v>
      </c>
      <c r="H123" s="127">
        <v>0.20399999999999999</v>
      </c>
      <c r="I123" s="42"/>
      <c r="J123" s="50"/>
      <c r="K123" s="169"/>
      <c r="L123" s="50"/>
      <c r="M123" s="38">
        <v>15</v>
      </c>
      <c r="N123" s="38">
        <v>9</v>
      </c>
      <c r="O123" s="639">
        <f t="shared" si="0"/>
        <v>1.0705882352941176</v>
      </c>
      <c r="P123" s="559" t="s">
        <v>956</v>
      </c>
      <c r="Q123" s="559" t="s">
        <v>883</v>
      </c>
      <c r="R123" s="559"/>
      <c r="S123" s="559"/>
      <c r="T123" s="559"/>
      <c r="V123" s="559"/>
      <c r="W123" s="559"/>
      <c r="Y123" s="559"/>
      <c r="Z123" s="559"/>
      <c r="AA123" s="559"/>
      <c r="AB123" s="559"/>
      <c r="AC123" s="559"/>
      <c r="AD123" s="559"/>
      <c r="AE123" s="559"/>
      <c r="AF123" s="559"/>
      <c r="AG123" s="559"/>
      <c r="AH123" s="559"/>
      <c r="AI123" s="559"/>
      <c r="AJ123" s="559"/>
      <c r="AK123" s="559"/>
      <c r="AL123" s="559"/>
      <c r="AM123" s="559"/>
      <c r="AN123" s="559"/>
      <c r="AO123" s="559"/>
      <c r="AP123" s="559"/>
      <c r="AQ123" s="559"/>
      <c r="AR123" s="559"/>
      <c r="AS123" s="559"/>
      <c r="AT123" s="559"/>
      <c r="AU123" s="559"/>
      <c r="AV123" s="559"/>
      <c r="AW123" s="559"/>
      <c r="AX123" s="559"/>
      <c r="AY123" s="559"/>
      <c r="AZ123" s="559"/>
      <c r="BA123" s="559"/>
      <c r="BB123" s="559"/>
      <c r="BC123" s="559"/>
      <c r="BD123" s="559"/>
      <c r="BE123" s="559"/>
      <c r="BF123" s="559"/>
      <c r="BG123" s="559"/>
      <c r="BH123" s="559"/>
      <c r="BI123" s="559"/>
      <c r="BJ123" s="559"/>
      <c r="BK123" s="559"/>
      <c r="BL123" s="559"/>
      <c r="BM123" s="559"/>
      <c r="BN123" s="559"/>
      <c r="BO123" s="559"/>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row>
    <row r="124" spans="1:140" x14ac:dyDescent="0.3">
      <c r="A124" s="66" t="s">
        <v>99</v>
      </c>
      <c r="C124" s="127">
        <v>0.17899999999999999</v>
      </c>
      <c r="D124" s="147">
        <v>1.288</v>
      </c>
      <c r="E124" s="127"/>
      <c r="F124" s="94"/>
      <c r="G124" s="127"/>
      <c r="H124" s="127"/>
      <c r="I124" s="42"/>
      <c r="J124" s="50"/>
      <c r="K124" s="169"/>
      <c r="L124" s="50"/>
      <c r="M124" s="38">
        <v>50</v>
      </c>
      <c r="N124" s="41">
        <f>AVERAGE(8,13)</f>
        <v>10.5</v>
      </c>
      <c r="O124" s="639">
        <f t="shared" si="0"/>
        <v>1.79</v>
      </c>
      <c r="P124" s="50" t="s">
        <v>957</v>
      </c>
      <c r="Q124" s="559" t="s">
        <v>960</v>
      </c>
      <c r="R124" s="559"/>
      <c r="S124" s="559"/>
      <c r="T124" s="559"/>
      <c r="V124" s="559"/>
      <c r="W124" s="559"/>
      <c r="Y124" s="559"/>
      <c r="Z124" s="559"/>
      <c r="AA124" s="559"/>
      <c r="AB124" s="559"/>
      <c r="AC124" s="559"/>
      <c r="AD124" s="559"/>
      <c r="AE124" s="559"/>
      <c r="AF124" s="559"/>
      <c r="AG124" s="559"/>
      <c r="AH124" s="559"/>
      <c r="AI124" s="559"/>
      <c r="AJ124" s="559"/>
      <c r="AK124" s="559"/>
      <c r="AL124" s="559"/>
      <c r="AM124" s="559"/>
      <c r="AN124" s="559"/>
      <c r="AO124" s="559"/>
      <c r="AP124" s="559"/>
      <c r="AQ124" s="559"/>
      <c r="AR124" s="559"/>
      <c r="AS124" s="559"/>
      <c r="AT124" s="559"/>
      <c r="AU124" s="559"/>
      <c r="AV124" s="559"/>
      <c r="AW124" s="559"/>
      <c r="AX124" s="559"/>
      <c r="AY124" s="559"/>
      <c r="AZ124" s="559"/>
      <c r="BA124" s="559"/>
      <c r="BB124" s="559"/>
      <c r="BC124" s="559"/>
      <c r="BD124" s="559"/>
      <c r="BE124" s="559"/>
      <c r="BF124" s="559"/>
      <c r="BG124" s="559"/>
      <c r="BH124" s="559"/>
      <c r="BI124" s="559"/>
      <c r="BJ124" s="559"/>
      <c r="BK124" s="559"/>
      <c r="BL124" s="559"/>
      <c r="BM124" s="559"/>
      <c r="BN124" s="559"/>
      <c r="BO124" s="559"/>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row>
    <row r="125" spans="1:140" x14ac:dyDescent="0.3">
      <c r="A125" s="66" t="s">
        <v>100</v>
      </c>
      <c r="B125" s="86"/>
      <c r="C125" s="127"/>
      <c r="D125" s="127"/>
      <c r="E125" s="127"/>
      <c r="F125" s="127"/>
      <c r="G125" s="127">
        <v>5.0999999999999997E-2</v>
      </c>
      <c r="H125" s="127">
        <v>0.20399999999999999</v>
      </c>
      <c r="I125" s="42"/>
      <c r="J125" s="50"/>
      <c r="K125" s="169"/>
      <c r="L125" s="50"/>
      <c r="M125" s="38">
        <v>65</v>
      </c>
      <c r="N125" s="41">
        <v>30</v>
      </c>
      <c r="O125" s="639">
        <f>1/((100-M125)/(100-N125))</f>
        <v>2</v>
      </c>
      <c r="P125" s="559" t="s">
        <v>955</v>
      </c>
      <c r="Q125" s="559" t="s">
        <v>962</v>
      </c>
      <c r="R125" s="559"/>
      <c r="S125" s="559"/>
      <c r="T125" s="559"/>
      <c r="V125" s="559"/>
      <c r="W125" s="559"/>
      <c r="Y125" s="559"/>
      <c r="Z125" s="559"/>
      <c r="AA125" s="559"/>
      <c r="AB125" s="559"/>
      <c r="AC125" s="559"/>
      <c r="AD125" s="559"/>
      <c r="AE125" s="559"/>
      <c r="AF125" s="559"/>
      <c r="AG125" s="559"/>
      <c r="AH125" s="559"/>
      <c r="AI125" s="559"/>
      <c r="AJ125" s="559"/>
      <c r="AK125" s="559"/>
      <c r="AL125" s="559"/>
      <c r="AM125" s="559"/>
      <c r="AN125" s="559"/>
      <c r="AO125" s="559"/>
      <c r="AP125" s="559"/>
      <c r="AQ125" s="559"/>
      <c r="AR125" s="559"/>
      <c r="AS125" s="559"/>
      <c r="AT125" s="559"/>
      <c r="AU125" s="559"/>
      <c r="AV125" s="559"/>
      <c r="AW125" s="559"/>
      <c r="AX125" s="559"/>
      <c r="AY125" s="559"/>
      <c r="AZ125" s="559"/>
      <c r="BA125" s="559"/>
      <c r="BB125" s="559"/>
      <c r="BC125" s="559"/>
      <c r="BD125" s="559"/>
      <c r="BE125" s="559"/>
      <c r="BF125" s="559"/>
      <c r="BG125" s="559"/>
      <c r="BH125" s="559"/>
      <c r="BI125" s="559"/>
      <c r="BJ125" s="559"/>
      <c r="BK125" s="559"/>
      <c r="BL125" s="559"/>
      <c r="BM125" s="559"/>
      <c r="BN125" s="559"/>
      <c r="BO125" s="559"/>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row>
    <row r="126" spans="1:140" x14ac:dyDescent="0.3">
      <c r="A126" s="38" t="s">
        <v>22</v>
      </c>
      <c r="B126" s="86"/>
      <c r="C126" s="127"/>
      <c r="D126" s="127"/>
      <c r="E126" s="127"/>
      <c r="F126" s="127"/>
      <c r="G126" s="127"/>
      <c r="H126" s="127"/>
      <c r="I126" s="515">
        <v>8.5999999999999993E-2</v>
      </c>
      <c r="J126" s="86">
        <v>0.14280000000000001</v>
      </c>
      <c r="K126" s="86">
        <v>1.32E-2</v>
      </c>
      <c r="L126" s="640">
        <v>4.4000000000000003E-3</v>
      </c>
      <c r="M126" s="50"/>
      <c r="N126" s="38"/>
      <c r="O126" s="639">
        <v>6.5</v>
      </c>
      <c r="P126" s="559" t="s">
        <v>958</v>
      </c>
      <c r="Q126" s="559" t="s">
        <v>963</v>
      </c>
      <c r="R126" s="559"/>
      <c r="S126" s="559"/>
      <c r="T126" s="559"/>
      <c r="V126" s="559"/>
      <c r="W126" s="559"/>
      <c r="Y126" s="559"/>
      <c r="Z126" s="559"/>
      <c r="AA126" s="559"/>
      <c r="AB126" s="559"/>
      <c r="AC126" s="559"/>
      <c r="AD126" s="559"/>
      <c r="AE126" s="559"/>
      <c r="AF126" s="559"/>
      <c r="AG126" s="559"/>
      <c r="AH126" s="559"/>
      <c r="AI126" s="559"/>
      <c r="AJ126" s="559"/>
      <c r="AK126" s="559"/>
      <c r="AL126" s="559"/>
      <c r="AM126" s="559"/>
      <c r="AN126" s="559"/>
      <c r="AO126" s="559"/>
      <c r="AP126" s="559"/>
      <c r="AQ126" s="559"/>
      <c r="AR126" s="559"/>
      <c r="AS126" s="559"/>
      <c r="AT126" s="559"/>
      <c r="AU126" s="559"/>
      <c r="AV126" s="559"/>
      <c r="AW126" s="559"/>
      <c r="AX126" s="559"/>
      <c r="AY126" s="559"/>
      <c r="AZ126" s="559"/>
      <c r="BA126" s="559"/>
      <c r="BB126" s="559"/>
      <c r="BC126" s="559"/>
      <c r="BD126" s="559"/>
      <c r="BE126" s="559"/>
      <c r="BF126" s="559"/>
      <c r="BG126" s="559"/>
      <c r="BH126" s="559"/>
      <c r="BI126" s="559"/>
      <c r="BJ126" s="559"/>
      <c r="BK126" s="559"/>
      <c r="BL126" s="559"/>
      <c r="BM126" s="559"/>
      <c r="BN126" s="559"/>
      <c r="BO126" s="559"/>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row>
    <row r="127" spans="1:140" x14ac:dyDescent="0.3">
      <c r="A127" s="71" t="s">
        <v>32</v>
      </c>
      <c r="B127" s="87"/>
      <c r="C127" s="129"/>
      <c r="D127" s="129"/>
      <c r="E127" s="129"/>
      <c r="F127" s="129"/>
      <c r="G127" s="129"/>
      <c r="H127" s="129"/>
      <c r="I127" s="516"/>
      <c r="J127" s="87"/>
      <c r="K127" s="87"/>
      <c r="L127" s="641"/>
      <c r="M127" s="167">
        <v>60</v>
      </c>
      <c r="N127" s="71">
        <v>7.5</v>
      </c>
      <c r="O127" s="642">
        <f>1/((100-M127)/(100-N127))</f>
        <v>2.3125</v>
      </c>
      <c r="P127" s="117"/>
      <c r="Q127" s="117" t="s">
        <v>965</v>
      </c>
      <c r="R127" s="559"/>
      <c r="S127" s="559"/>
      <c r="T127" s="559"/>
      <c r="V127" s="559"/>
      <c r="W127" s="559"/>
      <c r="Y127" s="559"/>
      <c r="Z127" s="559"/>
      <c r="AA127" s="559"/>
      <c r="AB127" s="559"/>
      <c r="AC127" s="559"/>
      <c r="AD127" s="559"/>
      <c r="AE127" s="559"/>
      <c r="AF127" s="559"/>
      <c r="AG127" s="559"/>
      <c r="AH127" s="559"/>
      <c r="AI127" s="559"/>
      <c r="AJ127" s="559"/>
      <c r="AK127" s="559"/>
      <c r="AL127" s="559"/>
      <c r="AM127" s="559"/>
      <c r="AN127" s="559"/>
      <c r="AO127" s="559"/>
      <c r="AP127" s="559"/>
      <c r="AQ127" s="559"/>
      <c r="AR127" s="559"/>
      <c r="AS127" s="559"/>
      <c r="AT127" s="559"/>
      <c r="AU127" s="559"/>
      <c r="AV127" s="559"/>
      <c r="AW127" s="559"/>
      <c r="AX127" s="559"/>
      <c r="AY127" s="559"/>
      <c r="AZ127" s="559"/>
      <c r="BA127" s="559"/>
      <c r="BB127" s="559"/>
      <c r="BC127" s="559"/>
      <c r="BD127" s="559"/>
      <c r="BE127" s="559"/>
      <c r="BF127" s="559"/>
      <c r="BG127" s="559"/>
      <c r="BH127" s="559"/>
      <c r="BI127" s="559"/>
      <c r="BJ127" s="559"/>
      <c r="BK127" s="559"/>
      <c r="BL127" s="559"/>
      <c r="BM127" s="559"/>
      <c r="BN127" s="559"/>
      <c r="BO127" s="559"/>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row>
    <row r="128" spans="1:140" x14ac:dyDescent="0.3">
      <c r="I128" s="117"/>
      <c r="J128" s="559"/>
      <c r="K128" s="600"/>
      <c r="L128" s="50"/>
      <c r="M128" s="559"/>
      <c r="N128" s="559"/>
      <c r="O128" s="559"/>
      <c r="P128" s="559"/>
      <c r="Q128" s="559"/>
      <c r="R128" s="559"/>
      <c r="S128" s="559"/>
      <c r="T128" s="559"/>
      <c r="U128" s="559"/>
      <c r="V128" s="559"/>
      <c r="W128" s="559"/>
      <c r="X128" s="559"/>
      <c r="Y128" s="559"/>
      <c r="Z128" s="559"/>
      <c r="AA128" s="559"/>
      <c r="AB128" s="559"/>
      <c r="AC128" s="559"/>
      <c r="AD128" s="559"/>
      <c r="AE128" s="559"/>
      <c r="AF128" s="559"/>
      <c r="AG128" s="559"/>
      <c r="AH128" s="559"/>
      <c r="AI128" s="559"/>
      <c r="AJ128" s="559"/>
      <c r="AK128" s="559"/>
      <c r="AL128" s="559"/>
      <c r="AM128" s="559"/>
      <c r="AN128" s="559"/>
      <c r="AO128" s="559"/>
      <c r="AP128" s="559"/>
      <c r="AQ128" s="559"/>
      <c r="AR128" s="559"/>
      <c r="AS128" s="559"/>
      <c r="AT128" s="559"/>
      <c r="AU128" s="559"/>
      <c r="AV128" s="559"/>
      <c r="AW128" s="559"/>
      <c r="AX128" s="559"/>
      <c r="AY128" s="559"/>
      <c r="AZ128" s="559"/>
      <c r="BA128" s="559"/>
      <c r="BB128" s="559"/>
      <c r="BC128" s="559"/>
      <c r="BD128" s="559"/>
      <c r="BE128" s="559"/>
      <c r="BF128" s="559"/>
      <c r="BG128" s="559"/>
      <c r="BH128" s="559"/>
      <c r="BI128" s="559"/>
      <c r="BJ128" s="559"/>
      <c r="BK128" s="559"/>
      <c r="BL128" s="559"/>
      <c r="BM128" s="559"/>
      <c r="BN128" s="559"/>
      <c r="BO128" s="559"/>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row>
    <row r="129" spans="1:140" x14ac:dyDescent="0.3">
      <c r="A129" s="624" t="s">
        <v>1411</v>
      </c>
      <c r="B129" s="121" t="s">
        <v>516</v>
      </c>
      <c r="C129" s="47" t="s">
        <v>517</v>
      </c>
      <c r="D129" s="68" t="s">
        <v>188</v>
      </c>
      <c r="I129" s="117"/>
      <c r="J129" s="559"/>
      <c r="K129" s="600"/>
      <c r="L129" s="50"/>
      <c r="M129" s="559"/>
      <c r="N129" s="559"/>
      <c r="O129" s="559"/>
      <c r="P129" s="643"/>
      <c r="Q129" s="559"/>
      <c r="R129" s="559"/>
      <c r="S129" s="559"/>
      <c r="T129" s="559"/>
      <c r="U129" s="559"/>
      <c r="V129" s="559"/>
      <c r="W129" s="559"/>
      <c r="X129" s="559"/>
      <c r="Y129" s="559"/>
      <c r="Z129" s="559"/>
      <c r="AA129" s="559"/>
      <c r="AB129" s="559"/>
      <c r="AC129" s="559"/>
      <c r="AD129" s="559"/>
      <c r="AE129" s="559"/>
      <c r="AF129" s="559"/>
      <c r="AG129" s="559"/>
      <c r="AH129" s="559"/>
      <c r="AI129" s="559"/>
      <c r="AJ129" s="559"/>
      <c r="AK129" s="559"/>
      <c r="AL129" s="559"/>
      <c r="AM129" s="559"/>
      <c r="AN129" s="559"/>
      <c r="AO129" s="559"/>
      <c r="AP129" s="559"/>
      <c r="AQ129" s="559"/>
      <c r="AR129" s="559"/>
      <c r="AS129" s="559"/>
      <c r="AT129" s="559"/>
      <c r="AU129" s="559"/>
      <c r="AV129" s="559"/>
      <c r="AW129" s="559"/>
      <c r="AX129" s="559"/>
      <c r="AY129" s="559"/>
      <c r="AZ129" s="559"/>
      <c r="BA129" s="559"/>
      <c r="BB129" s="559"/>
      <c r="BC129" s="559"/>
      <c r="BD129" s="559"/>
      <c r="BE129" s="559"/>
      <c r="BF129" s="559"/>
      <c r="BG129" s="559"/>
      <c r="BH129" s="559"/>
      <c r="BI129" s="559"/>
      <c r="BJ129" s="559"/>
      <c r="BK129" s="559"/>
      <c r="BL129" s="559"/>
      <c r="BM129" s="559"/>
      <c r="BN129" s="559"/>
      <c r="BO129" s="559"/>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row>
    <row r="130" spans="1:140" x14ac:dyDescent="0.3">
      <c r="A130" s="70" t="s">
        <v>1410</v>
      </c>
      <c r="B130" s="825">
        <f>1/0.4*0.914</f>
        <v>2.2850000000000001</v>
      </c>
      <c r="C130" s="826">
        <f>1/0.2*0.914</f>
        <v>4.57</v>
      </c>
      <c r="D130" s="117" t="s">
        <v>964</v>
      </c>
      <c r="I130" s="117"/>
      <c r="J130" s="559"/>
      <c r="K130" s="600"/>
      <c r="L130" s="50"/>
      <c r="M130" s="559"/>
      <c r="N130" s="559"/>
      <c r="O130" s="559"/>
      <c r="P130" s="559"/>
      <c r="Q130" s="559"/>
      <c r="R130" s="559"/>
      <c r="S130" s="559"/>
      <c r="T130" s="559"/>
      <c r="U130" s="559"/>
      <c r="V130" s="559"/>
      <c r="W130" s="559"/>
      <c r="X130" s="559"/>
      <c r="Y130" s="559"/>
      <c r="Z130" s="559"/>
      <c r="AA130" s="559"/>
      <c r="AB130" s="559"/>
      <c r="AC130" s="559"/>
      <c r="AD130" s="559"/>
      <c r="AE130" s="559"/>
      <c r="AF130" s="559"/>
      <c r="AG130" s="559"/>
      <c r="AH130" s="559"/>
      <c r="AI130" s="559"/>
      <c r="AJ130" s="559"/>
      <c r="AK130" s="559"/>
      <c r="AL130" s="559"/>
      <c r="AM130" s="559"/>
      <c r="AN130" s="559"/>
      <c r="AO130" s="559"/>
      <c r="AP130" s="559"/>
      <c r="AQ130" s="559"/>
      <c r="AR130" s="559"/>
      <c r="AS130" s="559"/>
      <c r="AT130" s="559"/>
      <c r="AU130" s="559"/>
      <c r="AV130" s="559"/>
      <c r="AW130" s="559"/>
      <c r="AX130" s="559"/>
      <c r="AY130" s="559"/>
      <c r="AZ130" s="559"/>
      <c r="BA130" s="559"/>
      <c r="BB130" s="559"/>
      <c r="BC130" s="559"/>
      <c r="BD130" s="559"/>
      <c r="BE130" s="559"/>
      <c r="BF130" s="559"/>
      <c r="BG130" s="559"/>
      <c r="BH130" s="559"/>
      <c r="BI130" s="559"/>
      <c r="BJ130" s="559"/>
      <c r="BK130" s="559"/>
      <c r="BL130" s="559"/>
      <c r="BM130" s="559"/>
      <c r="BN130" s="559"/>
      <c r="BO130" s="559"/>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row>
    <row r="131" spans="1:140" x14ac:dyDescent="0.3">
      <c r="A131" s="158" t="s">
        <v>1412</v>
      </c>
      <c r="I131" s="117"/>
      <c r="J131" s="559"/>
      <c r="K131" s="600"/>
      <c r="L131" s="50"/>
      <c r="M131" s="559"/>
      <c r="N131" s="559"/>
      <c r="O131" s="559"/>
      <c r="P131" s="559"/>
      <c r="Q131" s="559"/>
      <c r="R131" s="559"/>
      <c r="S131" s="559"/>
      <c r="T131" s="559"/>
      <c r="U131" s="559"/>
      <c r="V131" s="559"/>
      <c r="W131" s="559"/>
      <c r="X131" s="559"/>
      <c r="Y131" s="559"/>
      <c r="Z131" s="559"/>
      <c r="AA131" s="559"/>
      <c r="AB131" s="559"/>
      <c r="AC131" s="559"/>
      <c r="AD131" s="559"/>
      <c r="AE131" s="559"/>
      <c r="AF131" s="559"/>
      <c r="AG131" s="559"/>
      <c r="AH131" s="559"/>
      <c r="AI131" s="559"/>
      <c r="AJ131" s="559"/>
      <c r="AK131" s="559"/>
      <c r="AL131" s="559"/>
      <c r="AM131" s="559"/>
      <c r="AN131" s="559"/>
      <c r="AO131" s="559"/>
      <c r="AP131" s="559"/>
      <c r="AQ131" s="559"/>
      <c r="AR131" s="559"/>
      <c r="AS131" s="559"/>
      <c r="AT131" s="559"/>
      <c r="AU131" s="559"/>
      <c r="AV131" s="559"/>
      <c r="AW131" s="559"/>
      <c r="AX131" s="559"/>
      <c r="AY131" s="559"/>
      <c r="AZ131" s="559"/>
      <c r="BA131" s="559"/>
      <c r="BB131" s="559"/>
      <c r="BC131" s="559"/>
      <c r="BD131" s="559"/>
      <c r="BE131" s="559"/>
      <c r="BF131" s="559"/>
      <c r="BG131" s="559"/>
      <c r="BH131" s="559"/>
      <c r="BI131" s="559"/>
      <c r="BJ131" s="559"/>
      <c r="BK131" s="559"/>
      <c r="BL131" s="559"/>
      <c r="BM131" s="559"/>
      <c r="BN131" s="559"/>
      <c r="BO131" s="559"/>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row>
    <row r="132" spans="1:140" x14ac:dyDescent="0.3">
      <c r="I132" s="117"/>
      <c r="J132" s="559"/>
      <c r="K132" s="600"/>
      <c r="L132" s="50"/>
      <c r="M132" s="559"/>
      <c r="N132" s="559"/>
      <c r="O132" s="559"/>
      <c r="P132" s="559"/>
      <c r="Q132" s="559"/>
      <c r="R132" s="559"/>
      <c r="S132" s="559"/>
      <c r="T132" s="559"/>
      <c r="U132" s="559"/>
      <c r="V132" s="559"/>
      <c r="W132" s="559"/>
      <c r="X132" s="559"/>
      <c r="Y132" s="559"/>
      <c r="Z132" s="559"/>
      <c r="AA132" s="559"/>
      <c r="AB132" s="559"/>
      <c r="AC132" s="559"/>
      <c r="AD132" s="559"/>
      <c r="AE132" s="559"/>
      <c r="AF132" s="559"/>
      <c r="AG132" s="559"/>
      <c r="AH132" s="559"/>
      <c r="AI132" s="559"/>
      <c r="AJ132" s="559"/>
      <c r="AK132" s="559"/>
      <c r="AL132" s="559"/>
      <c r="AM132" s="559"/>
      <c r="AN132" s="559"/>
      <c r="AO132" s="559"/>
      <c r="AP132" s="559"/>
      <c r="AQ132" s="559"/>
      <c r="AR132" s="559"/>
      <c r="AS132" s="559"/>
      <c r="AT132" s="559"/>
      <c r="AU132" s="559"/>
      <c r="AV132" s="559"/>
      <c r="AW132" s="559"/>
      <c r="AX132" s="559"/>
      <c r="AY132" s="559"/>
      <c r="AZ132" s="559"/>
      <c r="BA132" s="559"/>
      <c r="BB132" s="559"/>
      <c r="BC132" s="559"/>
      <c r="BD132" s="559"/>
      <c r="BE132" s="559"/>
      <c r="BF132" s="559"/>
      <c r="BG132" s="559"/>
      <c r="BH132" s="559"/>
      <c r="BI132" s="559"/>
      <c r="BJ132" s="559"/>
      <c r="BK132" s="559"/>
      <c r="BL132" s="559"/>
      <c r="BM132" s="559"/>
      <c r="BN132" s="559"/>
      <c r="BO132" s="559"/>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row>
    <row r="133" spans="1:140" x14ac:dyDescent="0.3">
      <c r="A133" s="249" t="s">
        <v>500</v>
      </c>
      <c r="B133" s="121" t="s">
        <v>32</v>
      </c>
      <c r="C133" s="79" t="s">
        <v>1383</v>
      </c>
      <c r="D133" s="68" t="s">
        <v>188</v>
      </c>
      <c r="I133" s="117"/>
      <c r="J133" s="559"/>
      <c r="K133" s="600"/>
      <c r="L133" s="50"/>
      <c r="M133" s="559"/>
      <c r="N133" s="559"/>
      <c r="O133" s="559"/>
      <c r="P133" s="559"/>
      <c r="Q133" s="559"/>
      <c r="R133" s="559"/>
      <c r="S133" s="559"/>
      <c r="T133" s="559"/>
      <c r="U133" s="559"/>
      <c r="V133" s="559"/>
      <c r="W133" s="559"/>
      <c r="X133" s="559"/>
      <c r="Y133" s="559"/>
      <c r="Z133" s="559"/>
      <c r="AA133" s="559"/>
      <c r="AB133" s="559"/>
      <c r="AC133" s="559"/>
      <c r="AD133" s="559"/>
      <c r="AE133" s="559"/>
      <c r="AF133" s="559"/>
      <c r="AG133" s="559"/>
      <c r="AH133" s="559"/>
      <c r="AI133" s="559"/>
      <c r="AJ133" s="559"/>
      <c r="AK133" s="559"/>
      <c r="AL133" s="559"/>
      <c r="AM133" s="559"/>
      <c r="AN133" s="559"/>
      <c r="AO133" s="559"/>
      <c r="AP133" s="559"/>
      <c r="AQ133" s="559"/>
      <c r="AR133" s="559"/>
      <c r="AS133" s="559"/>
      <c r="AT133" s="559"/>
      <c r="AU133" s="559"/>
      <c r="AV133" s="559"/>
      <c r="AW133" s="559"/>
      <c r="AX133" s="559"/>
      <c r="AY133" s="559"/>
      <c r="AZ133" s="559"/>
      <c r="BA133" s="559"/>
      <c r="BB133" s="559"/>
      <c r="BC133" s="559"/>
      <c r="BD133" s="559"/>
      <c r="BE133" s="559"/>
      <c r="BF133" s="559"/>
      <c r="BG133" s="559"/>
      <c r="BH133" s="559"/>
      <c r="BI133" s="559"/>
      <c r="BJ133" s="559"/>
      <c r="BK133" s="559"/>
      <c r="BL133" s="559"/>
      <c r="BM133" s="559"/>
      <c r="BN133" s="559"/>
      <c r="BO133" s="559"/>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row>
    <row r="134" spans="1:140" x14ac:dyDescent="0.3">
      <c r="A134" s="70" t="s">
        <v>501</v>
      </c>
      <c r="B134" s="71">
        <v>0.2</v>
      </c>
      <c r="C134" s="166">
        <v>0.1</v>
      </c>
      <c r="D134" s="158" t="s">
        <v>967</v>
      </c>
      <c r="I134" s="117"/>
      <c r="J134" s="559"/>
      <c r="K134" s="600"/>
      <c r="L134" s="50"/>
      <c r="M134" s="559"/>
      <c r="N134" s="559"/>
      <c r="O134" s="559"/>
      <c r="P134" s="559"/>
      <c r="Q134" s="559"/>
      <c r="R134" s="559"/>
      <c r="S134" s="559"/>
      <c r="T134" s="559"/>
      <c r="U134" s="559"/>
      <c r="V134" s="559"/>
      <c r="W134" s="559"/>
      <c r="X134" s="559"/>
      <c r="Y134" s="559"/>
      <c r="Z134" s="559"/>
      <c r="AA134" s="559"/>
      <c r="AB134" s="559"/>
      <c r="AC134" s="559"/>
      <c r="AD134" s="559"/>
      <c r="AE134" s="559"/>
      <c r="AF134" s="559"/>
      <c r="AG134" s="559"/>
      <c r="AH134" s="559"/>
      <c r="AI134" s="559"/>
      <c r="AJ134" s="559"/>
      <c r="AK134" s="559"/>
      <c r="AL134" s="559"/>
      <c r="AM134" s="559"/>
      <c r="AN134" s="559"/>
      <c r="AO134" s="559"/>
      <c r="AP134" s="559"/>
      <c r="AQ134" s="559"/>
      <c r="AR134" s="559"/>
      <c r="AS134" s="559"/>
      <c r="AT134" s="559"/>
      <c r="AU134" s="559"/>
      <c r="AV134" s="559"/>
      <c r="AW134" s="559"/>
      <c r="AX134" s="559"/>
      <c r="AY134" s="559"/>
      <c r="AZ134" s="559"/>
      <c r="BA134" s="559"/>
      <c r="BB134" s="559"/>
      <c r="BC134" s="559"/>
      <c r="BD134" s="559"/>
      <c r="BE134" s="559"/>
      <c r="BF134" s="559"/>
      <c r="BG134" s="559"/>
      <c r="BH134" s="559"/>
      <c r="BI134" s="559"/>
      <c r="BJ134" s="559"/>
      <c r="BK134" s="559"/>
      <c r="BL134" s="559"/>
      <c r="BM134" s="559"/>
      <c r="BN134" s="559"/>
      <c r="BO134" s="559"/>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row>
    <row r="135" spans="1:140" x14ac:dyDescent="0.3">
      <c r="A135" s="38" t="s">
        <v>1384</v>
      </c>
      <c r="C135" s="45"/>
      <c r="D135" s="158"/>
      <c r="I135" s="117"/>
      <c r="J135" s="559"/>
      <c r="K135" s="876"/>
      <c r="L135" s="50"/>
      <c r="M135" s="559"/>
      <c r="N135" s="559"/>
      <c r="O135" s="559"/>
      <c r="P135" s="559"/>
      <c r="Q135" s="559"/>
      <c r="R135" s="559"/>
      <c r="S135" s="559"/>
      <c r="T135" s="559"/>
      <c r="U135" s="559"/>
      <c r="V135" s="559"/>
      <c r="W135" s="559"/>
      <c r="X135" s="559"/>
      <c r="Y135" s="559"/>
      <c r="Z135" s="559"/>
      <c r="AA135" s="559"/>
      <c r="AB135" s="559"/>
      <c r="AC135" s="559"/>
      <c r="AD135" s="559"/>
      <c r="AE135" s="559"/>
      <c r="AF135" s="559"/>
      <c r="AG135" s="559"/>
      <c r="AH135" s="559"/>
      <c r="AI135" s="559"/>
      <c r="AJ135" s="559"/>
      <c r="AK135" s="559"/>
      <c r="AL135" s="559"/>
      <c r="AM135" s="559"/>
      <c r="AN135" s="559"/>
      <c r="AO135" s="559"/>
      <c r="AP135" s="559"/>
      <c r="AQ135" s="559"/>
      <c r="AR135" s="559"/>
      <c r="AS135" s="559"/>
      <c r="AT135" s="559"/>
      <c r="AU135" s="559"/>
      <c r="AV135" s="559"/>
      <c r="AW135" s="559"/>
      <c r="AX135" s="559"/>
      <c r="AY135" s="559"/>
      <c r="AZ135" s="559"/>
      <c r="BA135" s="559"/>
      <c r="BB135" s="559"/>
      <c r="BC135" s="559"/>
      <c r="BD135" s="559"/>
      <c r="BE135" s="559"/>
      <c r="BF135" s="559"/>
      <c r="BG135" s="559"/>
      <c r="BH135" s="559"/>
      <c r="BI135" s="559"/>
      <c r="BJ135" s="559"/>
      <c r="BK135" s="559"/>
      <c r="BL135" s="559"/>
      <c r="BM135" s="559"/>
      <c r="BN135" s="559"/>
      <c r="BO135" s="559"/>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row>
    <row r="136" spans="1:140" x14ac:dyDescent="0.3">
      <c r="I136" s="117"/>
      <c r="J136" s="559"/>
      <c r="K136" s="600"/>
      <c r="L136" s="559"/>
      <c r="M136" s="559"/>
      <c r="N136" s="559"/>
      <c r="O136" s="559"/>
      <c r="P136" s="559"/>
      <c r="Q136" s="559"/>
      <c r="R136" s="559"/>
      <c r="S136" s="559"/>
      <c r="T136" s="559"/>
      <c r="U136" s="559"/>
      <c r="V136" s="559"/>
      <c r="W136" s="559"/>
      <c r="X136" s="559"/>
      <c r="Y136" s="559"/>
      <c r="Z136" s="559"/>
      <c r="AA136" s="559"/>
      <c r="AB136" s="559"/>
      <c r="AC136" s="559"/>
      <c r="AD136" s="559"/>
      <c r="AE136" s="559"/>
      <c r="AF136" s="559"/>
      <c r="AG136" s="559"/>
      <c r="AH136" s="559"/>
      <c r="AI136" s="559"/>
      <c r="AJ136" s="559"/>
      <c r="AK136" s="559"/>
      <c r="AL136" s="559"/>
      <c r="AM136" s="559"/>
      <c r="AN136" s="559"/>
      <c r="AO136" s="559"/>
      <c r="AP136" s="559"/>
      <c r="AQ136" s="559"/>
      <c r="AR136" s="559"/>
      <c r="AS136" s="559"/>
      <c r="AT136" s="559"/>
      <c r="AU136" s="559"/>
      <c r="AV136" s="559"/>
      <c r="AW136" s="559"/>
      <c r="AX136" s="559"/>
      <c r="AY136" s="559"/>
      <c r="AZ136" s="559"/>
      <c r="BA136" s="559"/>
      <c r="BB136" s="559"/>
      <c r="BC136" s="559"/>
      <c r="BD136" s="559"/>
      <c r="BE136" s="559"/>
      <c r="BF136" s="559"/>
      <c r="BG136" s="559"/>
      <c r="BH136" s="559"/>
      <c r="BI136" s="559"/>
      <c r="BJ136" s="559"/>
      <c r="BK136" s="559"/>
      <c r="BL136" s="559"/>
      <c r="BM136" s="559"/>
      <c r="BN136" s="559"/>
      <c r="BO136" s="559"/>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row>
    <row r="137" spans="1:140" x14ac:dyDescent="0.3">
      <c r="A137" s="120" t="s">
        <v>237</v>
      </c>
      <c r="I137" s="117"/>
      <c r="J137" s="559"/>
      <c r="K137" s="600"/>
      <c r="L137" s="559"/>
      <c r="M137" s="235"/>
      <c r="N137" s="559"/>
      <c r="O137" s="559"/>
      <c r="P137" s="638" t="s">
        <v>188</v>
      </c>
      <c r="Q137" s="559"/>
      <c r="R137" s="559"/>
      <c r="S137" s="559"/>
      <c r="T137" s="559"/>
      <c r="U137" s="559"/>
      <c r="V137" s="559"/>
      <c r="W137" s="559"/>
      <c r="X137" s="559"/>
      <c r="Y137" s="559"/>
      <c r="Z137" s="559"/>
      <c r="AA137" s="559"/>
      <c r="AB137" s="559"/>
      <c r="AC137" s="559"/>
      <c r="AD137" s="559"/>
      <c r="AE137" s="559"/>
      <c r="AF137" s="559"/>
      <c r="AG137" s="559"/>
      <c r="AH137" s="559"/>
      <c r="AI137" s="559"/>
      <c r="AJ137" s="559"/>
      <c r="AK137" s="559"/>
      <c r="AL137" s="559"/>
      <c r="AM137" s="559"/>
      <c r="AN137" s="559"/>
      <c r="AO137" s="559"/>
      <c r="AP137" s="559"/>
      <c r="AQ137" s="559"/>
      <c r="AR137" s="559"/>
      <c r="AS137" s="559"/>
      <c r="AT137" s="559"/>
      <c r="AU137" s="559"/>
      <c r="AV137" s="559"/>
      <c r="AW137" s="559"/>
      <c r="AX137" s="559"/>
      <c r="AY137" s="559"/>
      <c r="AZ137" s="559"/>
      <c r="BA137" s="559"/>
      <c r="BB137" s="559"/>
      <c r="BC137" s="559"/>
      <c r="BD137" s="559"/>
      <c r="BE137" s="559"/>
      <c r="BF137" s="559"/>
      <c r="BG137" s="559"/>
      <c r="BH137" s="559"/>
      <c r="BI137" s="559"/>
      <c r="BJ137" s="559"/>
      <c r="BK137" s="559"/>
      <c r="BL137" s="559"/>
      <c r="BM137" s="559"/>
      <c r="BN137" s="559"/>
      <c r="BO137" s="559"/>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row>
    <row r="138" spans="1:140" ht="82.8" x14ac:dyDescent="0.3">
      <c r="A138" s="46"/>
      <c r="B138" s="73" t="s">
        <v>876</v>
      </c>
      <c r="C138" s="73" t="s">
        <v>255</v>
      </c>
      <c r="D138" s="73" t="s">
        <v>455</v>
      </c>
      <c r="E138" s="73" t="s">
        <v>454</v>
      </c>
      <c r="F138" s="73" t="s">
        <v>453</v>
      </c>
      <c r="G138" s="73" t="s">
        <v>452</v>
      </c>
      <c r="H138" s="73" t="s">
        <v>451</v>
      </c>
      <c r="I138" s="73" t="s">
        <v>450</v>
      </c>
      <c r="J138" s="73" t="s">
        <v>449</v>
      </c>
      <c r="K138" s="73" t="s">
        <v>448</v>
      </c>
      <c r="L138" s="73" t="s">
        <v>447</v>
      </c>
      <c r="M138" s="73" t="s">
        <v>444</v>
      </c>
      <c r="N138" s="73" t="s">
        <v>445</v>
      </c>
      <c r="O138" s="73" t="s">
        <v>446</v>
      </c>
      <c r="P138" s="80" t="s">
        <v>934</v>
      </c>
      <c r="Q138" s="235" t="s">
        <v>447</v>
      </c>
      <c r="R138" s="644"/>
      <c r="S138" s="644"/>
      <c r="T138" s="645"/>
      <c r="U138" s="559"/>
      <c r="V138" s="559"/>
      <c r="W138" s="559"/>
      <c r="X138" s="559"/>
      <c r="Y138" s="559"/>
      <c r="Z138" s="559"/>
      <c r="AA138" s="559"/>
      <c r="AB138" s="559"/>
      <c r="AC138" s="559"/>
      <c r="AD138" s="559"/>
      <c r="AE138" s="559"/>
      <c r="AF138" s="559"/>
      <c r="AG138" s="559"/>
      <c r="AH138" s="559"/>
      <c r="AI138" s="559"/>
      <c r="AJ138" s="559"/>
      <c r="AK138" s="559"/>
      <c r="AL138" s="559"/>
      <c r="AM138" s="559"/>
      <c r="AN138" s="559"/>
      <c r="AO138" s="559"/>
      <c r="AP138" s="559"/>
      <c r="AQ138" s="559"/>
      <c r="AR138" s="559"/>
      <c r="AS138" s="559"/>
      <c r="AT138" s="559"/>
      <c r="AU138" s="559"/>
      <c r="AV138" s="559"/>
      <c r="AW138" s="559"/>
      <c r="AX138" s="559"/>
      <c r="AY138" s="559"/>
      <c r="AZ138" s="559"/>
      <c r="BA138" s="559"/>
      <c r="BB138" s="559"/>
      <c r="BC138" s="559"/>
      <c r="BD138" s="559"/>
      <c r="BE138" s="559"/>
      <c r="BF138" s="559"/>
      <c r="BG138" s="559"/>
      <c r="BH138" s="559"/>
      <c r="BI138" s="559"/>
      <c r="BJ138" s="559"/>
      <c r="BK138" s="559"/>
      <c r="BL138" s="559"/>
      <c r="BM138" s="559"/>
      <c r="BN138" s="559"/>
      <c r="BO138" s="559"/>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row>
    <row r="139" spans="1:140" x14ac:dyDescent="0.3">
      <c r="A139" s="54" t="s">
        <v>37</v>
      </c>
      <c r="B139" s="37" t="s">
        <v>1</v>
      </c>
      <c r="C139" s="646">
        <f>10.944*1000*1000</f>
        <v>10944000</v>
      </c>
      <c r="D139" s="647">
        <v>0.49</v>
      </c>
      <c r="E139" s="647">
        <v>1.4999999999999999E-2</v>
      </c>
      <c r="F139" s="647">
        <v>0.05</v>
      </c>
      <c r="G139" s="647">
        <v>0.18</v>
      </c>
      <c r="H139" s="647">
        <v>0.03</v>
      </c>
      <c r="I139" s="647">
        <v>0.19</v>
      </c>
      <c r="J139" s="574">
        <v>0.08</v>
      </c>
      <c r="K139" s="183">
        <v>0.01</v>
      </c>
      <c r="L139" s="574">
        <v>0.51</v>
      </c>
      <c r="M139" s="636">
        <f>C139*(D139*'Common input data'!E49+E139*'Common input data'!F49+F139*'Common input data'!G49+G139*'Common input data'!I49+H139*'Common input data'!B63/3.6+I139*'Common input data'!C49+J139*'Common input data'!B49+K139*'Common input data'!D49)</f>
        <v>275730.06719999999</v>
      </c>
      <c r="N139" s="636">
        <f>C139*(D139*'Common input data'!E50+E139*'Common input data'!F50+F139*'Common input data'!G50+G139*'Common input data'!I50+I139*'Common input data'!C50+J139*'Common input data'!B50+K139*'Common input data'!D50)</f>
        <v>649.79270400000007</v>
      </c>
      <c r="O139" s="648">
        <f>C139*(D139*'Common input data'!E51+E139*'Common input data'!F51+F139*'Common input data'!G51+G139*'Common input data'!I51+I139*'Common input data'!C51+J139*'Common input data'!B51+K139*'Common input data'!D51)</f>
        <v>14.029565952</v>
      </c>
      <c r="P139" s="117" t="s">
        <v>969</v>
      </c>
      <c r="Q139" s="117" t="s">
        <v>936</v>
      </c>
      <c r="R139" s="581"/>
      <c r="S139" s="645"/>
      <c r="T139" s="645"/>
      <c r="U139" s="559"/>
      <c r="V139" s="559"/>
      <c r="W139" s="559"/>
      <c r="X139" s="559"/>
      <c r="Y139" s="559"/>
      <c r="Z139" s="559"/>
      <c r="AA139" s="559"/>
      <c r="AB139" s="559"/>
      <c r="AC139" s="559"/>
      <c r="AD139" s="559"/>
      <c r="AE139" s="559"/>
      <c r="AF139" s="559"/>
      <c r="AG139" s="559"/>
      <c r="AH139" s="559"/>
      <c r="AI139" s="559"/>
      <c r="AJ139" s="559"/>
      <c r="AK139" s="559"/>
      <c r="AL139" s="559"/>
      <c r="AM139" s="559"/>
      <c r="AN139" s="559"/>
      <c r="AO139" s="559"/>
      <c r="AP139" s="559"/>
      <c r="AQ139" s="559"/>
      <c r="AR139" s="559"/>
      <c r="AS139" s="559"/>
      <c r="AT139" s="559"/>
      <c r="AU139" s="559"/>
      <c r="AV139" s="559"/>
      <c r="AW139" s="559"/>
      <c r="AX139" s="559"/>
      <c r="AY139" s="559"/>
      <c r="AZ139" s="559"/>
      <c r="BA139" s="559"/>
      <c r="BB139" s="559"/>
      <c r="BC139" s="559"/>
      <c r="BD139" s="559"/>
      <c r="BE139" s="559"/>
      <c r="BF139" s="559"/>
      <c r="BG139" s="559"/>
      <c r="BH139" s="559"/>
      <c r="BI139" s="559"/>
      <c r="BJ139" s="559"/>
      <c r="BK139" s="559"/>
      <c r="BL139" s="559"/>
      <c r="BM139" s="559"/>
      <c r="BN139" s="559"/>
      <c r="BO139" s="559"/>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row>
    <row r="140" spans="1:140" x14ac:dyDescent="0.3">
      <c r="A140" s="54" t="s">
        <v>37</v>
      </c>
      <c r="B140" s="37" t="s">
        <v>79</v>
      </c>
      <c r="C140" s="646">
        <f>11.4*1000*1000</f>
        <v>11400000</v>
      </c>
      <c r="D140" s="647"/>
      <c r="E140" s="647"/>
      <c r="F140" s="647">
        <v>0.03</v>
      </c>
      <c r="G140" s="647"/>
      <c r="H140" s="647"/>
      <c r="I140" s="647">
        <v>0.97</v>
      </c>
      <c r="J140" s="574"/>
      <c r="K140" s="183"/>
      <c r="L140" s="574">
        <v>1</v>
      </c>
      <c r="M140" s="636">
        <f>C140*(D140*'Common input data'!E49+E140*'Common input data'!F49+F140*'Common input data'!G49+G140*'Common input data'!I49+H140*'Common input data'!C63/3.6+I140*'Common input data'!C49+J140*'Common input data'!B49+K140*'Common input data'!D49)</f>
        <v>686510.85</v>
      </c>
      <c r="N140" s="636">
        <f>C140*(D140*'Common input data'!E50+E140*'Common input data'!F50+F140*'Common input data'!G50+G140*'Common input data'!I50+I140*'Common input data'!C50+J140*'Common input data'!B50+K140*'Common input data'!D50)</f>
        <v>3099.7227000000003</v>
      </c>
      <c r="O140" s="648">
        <f>C140*(D140*'Common input data'!E51+E140*'Common input data'!F51+F140*'Common input data'!G51+G140*'Common input data'!I51+I140*'Common input data'!C51+J140*'Common input data'!B51+K140*'Common input data'!D51)</f>
        <v>23.565509999999996</v>
      </c>
      <c r="P140" s="559" t="s">
        <v>968</v>
      </c>
      <c r="Q140" s="559" t="s">
        <v>1016</v>
      </c>
      <c r="R140" s="649"/>
      <c r="S140" s="645"/>
      <c r="T140" s="645"/>
      <c r="U140" s="559"/>
      <c r="V140" s="559"/>
      <c r="W140" s="559"/>
      <c r="X140" s="559"/>
      <c r="Y140" s="559"/>
      <c r="Z140" s="559"/>
      <c r="AA140" s="559"/>
      <c r="AB140" s="559"/>
      <c r="AC140" s="559"/>
      <c r="AD140" s="559"/>
      <c r="AE140" s="559"/>
      <c r="AF140" s="559"/>
      <c r="AG140" s="559"/>
      <c r="AH140" s="559"/>
      <c r="AI140" s="559"/>
      <c r="AJ140" s="559"/>
      <c r="AK140" s="559"/>
      <c r="AL140" s="559"/>
      <c r="AM140" s="559"/>
      <c r="AN140" s="559"/>
      <c r="AO140" s="559"/>
      <c r="AP140" s="559"/>
      <c r="AQ140" s="559"/>
      <c r="AR140" s="559"/>
      <c r="AS140" s="559"/>
      <c r="AT140" s="559"/>
      <c r="AU140" s="559"/>
      <c r="AV140" s="559"/>
      <c r="AW140" s="559"/>
      <c r="AX140" s="559"/>
      <c r="AY140" s="559"/>
      <c r="AZ140" s="559"/>
      <c r="BA140" s="559"/>
      <c r="BB140" s="559"/>
      <c r="BC140" s="559"/>
      <c r="BD140" s="559"/>
      <c r="BE140" s="559"/>
      <c r="BF140" s="559"/>
      <c r="BG140" s="559"/>
      <c r="BH140" s="559"/>
      <c r="BI140" s="559"/>
      <c r="BJ140" s="559"/>
      <c r="BK140" s="559"/>
      <c r="BL140" s="559"/>
      <c r="BM140" s="559"/>
      <c r="BN140" s="559"/>
      <c r="BO140" s="559"/>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row>
    <row r="141" spans="1:140" x14ac:dyDescent="0.3">
      <c r="A141" s="54" t="s">
        <v>38</v>
      </c>
      <c r="B141" s="37" t="s">
        <v>1</v>
      </c>
      <c r="C141" s="646">
        <f>7.272*1000*1000</f>
        <v>7272000</v>
      </c>
      <c r="D141" s="647">
        <v>0.49</v>
      </c>
      <c r="E141" s="647">
        <v>2.5000000000000001E-2</v>
      </c>
      <c r="F141" s="647">
        <v>2.5000000000000001E-2</v>
      </c>
      <c r="G141" s="647">
        <v>0.04</v>
      </c>
      <c r="H141" s="647">
        <v>5.5E-2</v>
      </c>
      <c r="I141" s="647">
        <v>0.26500000000000001</v>
      </c>
      <c r="J141" s="574">
        <v>0.08</v>
      </c>
      <c r="K141" s="183">
        <v>2.5000000000000001E-2</v>
      </c>
      <c r="L141" s="574">
        <v>0.51</v>
      </c>
      <c r="M141" s="636">
        <f>C141*(D141*'Common input data'!E49+E141*'Common input data'!F49+F141*'Common input data'!G49+G141*'Common input data'!I49+H141*'Common input data'!B63/3.6+I141*'Common input data'!C49+J141*'Common input data'!B49+K141*'Common input data'!D49)</f>
        <v>204396.3866</v>
      </c>
      <c r="N141" s="636">
        <f>C141*(D141*'Common input data'!E50+E141*'Common input data'!F50+F141*'Common input data'!G50+G141*'Common input data'!I50+I141*'Common input data'!C50+J141*'Common input data'!B50+K141*'Common input data'!D50)</f>
        <v>600.81082200000014</v>
      </c>
      <c r="O141" s="648">
        <f>C141*(D141*'Common input data'!E51+E141*'Common input data'!F51+F141*'Common input data'!G51+G141*'Common input data'!I51+I141*'Common input data'!C51+J141*'Common input data'!B51+K141*'Common input data'!D51)</f>
        <v>10.354295376000001</v>
      </c>
      <c r="P141" s="117" t="s">
        <v>969</v>
      </c>
      <c r="Q141" s="117" t="s">
        <v>936</v>
      </c>
      <c r="R141" s="644"/>
      <c r="S141" s="559"/>
      <c r="T141" s="559"/>
      <c r="U141" s="559"/>
      <c r="V141" s="559"/>
      <c r="W141" s="559"/>
      <c r="X141" s="559"/>
      <c r="Y141" s="559"/>
      <c r="Z141" s="559"/>
      <c r="AA141" s="559"/>
      <c r="AB141" s="559"/>
      <c r="AC141" s="559"/>
      <c r="AD141" s="559"/>
      <c r="AE141" s="559"/>
      <c r="AF141" s="559"/>
      <c r="AG141" s="559"/>
      <c r="AH141" s="559"/>
      <c r="AI141" s="559"/>
      <c r="AJ141" s="559"/>
      <c r="AK141" s="559"/>
      <c r="AL141" s="559"/>
      <c r="AM141" s="559"/>
      <c r="AN141" s="559"/>
      <c r="AO141" s="559"/>
      <c r="AP141" s="559"/>
      <c r="AQ141" s="559"/>
      <c r="AR141" s="559"/>
      <c r="AS141" s="559"/>
      <c r="AT141" s="559"/>
      <c r="AU141" s="559"/>
      <c r="AV141" s="559"/>
      <c r="AW141" s="559"/>
      <c r="AX141" s="559"/>
      <c r="AY141" s="559"/>
      <c r="AZ141" s="559"/>
      <c r="BA141" s="559"/>
      <c r="BB141" s="559"/>
      <c r="BC141" s="559"/>
      <c r="BD141" s="559"/>
      <c r="BE141" s="559"/>
      <c r="BF141" s="559"/>
      <c r="BG141" s="559"/>
      <c r="BH141" s="559"/>
      <c r="BI141" s="559"/>
      <c r="BJ141" s="559"/>
      <c r="BK141" s="559"/>
      <c r="BL141" s="559"/>
      <c r="BM141" s="559"/>
      <c r="BN141" s="559"/>
      <c r="BO141" s="559"/>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row>
    <row r="142" spans="1:140" x14ac:dyDescent="0.3">
      <c r="A142" s="54" t="s">
        <v>38</v>
      </c>
      <c r="B142" s="37" t="s">
        <v>79</v>
      </c>
      <c r="C142" s="646">
        <f>11.4*1000*1000</f>
        <v>11400000</v>
      </c>
      <c r="D142" s="647"/>
      <c r="E142" s="647"/>
      <c r="F142" s="647">
        <v>0.03</v>
      </c>
      <c r="G142" s="647"/>
      <c r="H142" s="647"/>
      <c r="I142" s="647">
        <v>0.97</v>
      </c>
      <c r="J142" s="574"/>
      <c r="K142" s="183"/>
      <c r="L142" s="574">
        <v>1</v>
      </c>
      <c r="M142" s="636">
        <f>C142*(D142*'Common input data'!E49+E142*'Common input data'!F49+F142*'Common input data'!G49+G142*'Common input data'!I49+H142*'Common input data'!C63/3.6+I142*'Common input data'!C49+J142*'Common input data'!B49+K142*'Common input data'!D49)</f>
        <v>686510.85</v>
      </c>
      <c r="N142" s="636">
        <f>C142*(D142*'Common input data'!E50+E142*'Common input data'!F50+F142*'Common input data'!G50+G142*'Common input data'!I50+I142*'Common input data'!C50+J142*'Common input data'!B50+K142*'Common input data'!D50)</f>
        <v>3099.7227000000003</v>
      </c>
      <c r="O142" s="648">
        <f>C142*(D142*'Common input data'!E51+E142*'Common input data'!F51+F142*'Common input data'!G51+G142*'Common input data'!I51+I142*'Common input data'!C51+J142*'Common input data'!B51+K142*'Common input data'!D51)</f>
        <v>23.565509999999996</v>
      </c>
      <c r="P142" s="559" t="s">
        <v>968</v>
      </c>
      <c r="Q142" s="559" t="s">
        <v>1016</v>
      </c>
      <c r="R142" s="649"/>
      <c r="S142" s="645"/>
      <c r="T142" s="882"/>
      <c r="U142" s="882"/>
      <c r="V142" s="559"/>
      <c r="W142" s="559"/>
      <c r="X142" s="559"/>
      <c r="Y142" s="559"/>
      <c r="Z142" s="559"/>
      <c r="AA142" s="559"/>
      <c r="AB142" s="559"/>
      <c r="AC142" s="559"/>
      <c r="AD142" s="559"/>
      <c r="AE142" s="559"/>
      <c r="AF142" s="559"/>
      <c r="AG142" s="559"/>
      <c r="AH142" s="559"/>
      <c r="AI142" s="559"/>
      <c r="AJ142" s="559"/>
      <c r="AK142" s="559"/>
      <c r="AL142" s="559"/>
      <c r="AM142" s="559"/>
      <c r="AN142" s="559"/>
      <c r="AO142" s="559"/>
      <c r="AP142" s="559"/>
      <c r="AQ142" s="559"/>
      <c r="AR142" s="559"/>
      <c r="AS142" s="559"/>
      <c r="AT142" s="559"/>
      <c r="AU142" s="559"/>
      <c r="AV142" s="559"/>
      <c r="AW142" s="559"/>
      <c r="AX142" s="559"/>
      <c r="AY142" s="559"/>
      <c r="AZ142" s="559"/>
      <c r="BA142" s="559"/>
      <c r="BB142" s="559"/>
      <c r="BC142" s="559"/>
      <c r="BD142" s="559"/>
      <c r="BE142" s="559"/>
      <c r="BF142" s="559"/>
      <c r="BG142" s="559"/>
      <c r="BH142" s="559"/>
      <c r="BI142" s="559"/>
      <c r="BJ142" s="559"/>
      <c r="BK142" s="559"/>
      <c r="BL142" s="559"/>
      <c r="BM142" s="559"/>
      <c r="BN142" s="559"/>
      <c r="BO142" s="559"/>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row>
    <row r="143" spans="1:140" x14ac:dyDescent="0.3">
      <c r="A143" s="54" t="s">
        <v>39</v>
      </c>
      <c r="B143" s="37" t="s">
        <v>79</v>
      </c>
      <c r="C143" s="646">
        <f>11.4*1000*1000</f>
        <v>11400000</v>
      </c>
      <c r="D143" s="647"/>
      <c r="E143" s="647"/>
      <c r="F143" s="647">
        <v>0.03</v>
      </c>
      <c r="G143" s="647"/>
      <c r="H143" s="647"/>
      <c r="I143" s="647">
        <v>0.97</v>
      </c>
      <c r="J143" s="574"/>
      <c r="K143" s="183"/>
      <c r="L143" s="574">
        <v>1</v>
      </c>
      <c r="M143" s="636">
        <f>C143*(D143*'Common input data'!E49+E143*'Common input data'!F49+F143*'Common input data'!G49+G143*'Common input data'!I49+H143*'Common input data'!C63/3.6+I143*'Common input data'!C49+J143*'Common input data'!B49+K143*'Common input data'!D49)</f>
        <v>686510.85</v>
      </c>
      <c r="N143" s="636">
        <f>C143*(D143*'Common input data'!E50+E143*'Common input data'!F50+F143*'Common input data'!G50+G143*'Common input data'!I50+I143*'Common input data'!C50+J143*'Common input data'!B50+K143*'Common input data'!D50)</f>
        <v>3099.7227000000003</v>
      </c>
      <c r="O143" s="648">
        <f>C143*(D143*'Common input data'!E51+E143*'Common input data'!F51+F143*'Common input data'!G51+G143*'Common input data'!I51+I143*'Common input data'!C51+J143*'Common input data'!B51+K143*'Common input data'!D51)</f>
        <v>23.565509999999996</v>
      </c>
      <c r="P143" s="559" t="s">
        <v>968</v>
      </c>
      <c r="Q143" s="559" t="s">
        <v>1016</v>
      </c>
      <c r="R143" s="559"/>
      <c r="S143" s="559"/>
      <c r="T143" s="559"/>
      <c r="U143" s="559"/>
      <c r="V143" s="559"/>
      <c r="W143" s="559"/>
      <c r="X143" s="559"/>
      <c r="Y143" s="559"/>
      <c r="Z143" s="559"/>
      <c r="AA143" s="559"/>
      <c r="AB143" s="559"/>
      <c r="AC143" s="559"/>
      <c r="AD143" s="559"/>
      <c r="AE143" s="559"/>
      <c r="AF143" s="559"/>
      <c r="AG143" s="559"/>
      <c r="AH143" s="559"/>
      <c r="AI143" s="559"/>
      <c r="AJ143" s="559"/>
      <c r="AK143" s="559"/>
      <c r="AL143" s="559"/>
      <c r="AM143" s="559"/>
      <c r="AN143" s="559"/>
      <c r="AO143" s="559"/>
      <c r="AP143" s="559"/>
      <c r="AQ143" s="559"/>
      <c r="AR143" s="559"/>
      <c r="AS143" s="559"/>
      <c r="AT143" s="559"/>
      <c r="AU143" s="559"/>
      <c r="AV143" s="559"/>
      <c r="AW143" s="559"/>
      <c r="AX143" s="559"/>
      <c r="AY143" s="559"/>
      <c r="AZ143" s="559"/>
      <c r="BA143" s="559"/>
      <c r="BB143" s="559"/>
      <c r="BC143" s="559"/>
      <c r="BD143" s="559"/>
      <c r="BE143" s="559"/>
      <c r="BF143" s="559"/>
      <c r="BG143" s="559"/>
      <c r="BH143" s="559"/>
      <c r="BI143" s="559"/>
      <c r="BJ143" s="559"/>
      <c r="BK143" s="559"/>
      <c r="BL143" s="559"/>
      <c r="BM143" s="559"/>
      <c r="BN143" s="559"/>
      <c r="BO143" s="559"/>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row>
    <row r="144" spans="1:140" x14ac:dyDescent="0.3">
      <c r="A144" s="54" t="s">
        <v>1398</v>
      </c>
      <c r="B144" s="37" t="s">
        <v>1</v>
      </c>
      <c r="C144" s="646">
        <f>6.714*1000*1000</f>
        <v>6714000</v>
      </c>
      <c r="D144" s="647">
        <v>0.34</v>
      </c>
      <c r="E144" s="647">
        <v>6.5000000000000002E-2</v>
      </c>
      <c r="F144" s="647">
        <v>0.02</v>
      </c>
      <c r="G144" s="647">
        <v>7.0000000000000007E-2</v>
      </c>
      <c r="H144" s="647">
        <v>0.15</v>
      </c>
      <c r="I144" s="647">
        <v>0.14499999999999999</v>
      </c>
      <c r="J144" s="574">
        <v>0.19</v>
      </c>
      <c r="K144" s="183">
        <v>0.02</v>
      </c>
      <c r="L144" s="574">
        <v>0.51</v>
      </c>
      <c r="M144" s="636">
        <f>C144*(D144*'Common input data'!E49+E144*'Common input data'!F49+F144*'Common input data'!G49+G144*'Common input data'!I49+H144*'Common input data'!B63/3.6+I144*'Common input data'!C49+J144*'Common input data'!B49+K144*'Common input data'!D49)</f>
        <v>217195.17709999997</v>
      </c>
      <c r="N144" s="636">
        <f>C144*(D144*'Common input data'!E50+E144*'Common input data'!F50+F144*'Common input data'!G50+G144*'Common input data'!I50+I144*'Common input data'!C50+J144*'Common input data'!B50+K144*'Common input data'!D50)</f>
        <v>347.98550100000006</v>
      </c>
      <c r="O144" s="648">
        <f>C144*(D144*'Common input data'!E51+E144*'Common input data'!F51+F144*'Common input data'!G51+G144*'Common input data'!I51+I144*'Common input data'!C51+J144*'Common input data'!B51+K144*'Common input data'!D51)</f>
        <v>11.281717716000001</v>
      </c>
      <c r="P144" s="117" t="s">
        <v>969</v>
      </c>
      <c r="Q144" s="117" t="s">
        <v>936</v>
      </c>
      <c r="R144" s="644"/>
      <c r="S144" s="644"/>
      <c r="T144" s="559"/>
      <c r="U144" s="559"/>
      <c r="V144" s="559"/>
      <c r="W144" s="559"/>
      <c r="X144" s="559"/>
      <c r="Y144" s="559"/>
      <c r="Z144" s="559"/>
      <c r="AA144" s="559"/>
      <c r="AB144" s="559"/>
      <c r="AC144" s="559"/>
      <c r="AD144" s="559"/>
      <c r="AE144" s="559"/>
      <c r="AF144" s="559"/>
      <c r="AG144" s="559"/>
      <c r="AH144" s="559"/>
      <c r="AI144" s="559"/>
      <c r="AJ144" s="559"/>
      <c r="AK144" s="559"/>
      <c r="AL144" s="559"/>
      <c r="AM144" s="559"/>
      <c r="AN144" s="559"/>
      <c r="AO144" s="559"/>
      <c r="AP144" s="559"/>
      <c r="AQ144" s="559"/>
      <c r="AR144" s="559"/>
      <c r="AS144" s="559"/>
      <c r="AT144" s="559"/>
      <c r="AU144" s="559"/>
      <c r="AV144" s="559"/>
      <c r="AW144" s="559"/>
      <c r="AX144" s="559"/>
      <c r="AY144" s="559"/>
      <c r="AZ144" s="559"/>
      <c r="BA144" s="559"/>
      <c r="BB144" s="559"/>
      <c r="BC144" s="559"/>
      <c r="BD144" s="559"/>
      <c r="BE144" s="559"/>
      <c r="BF144" s="559"/>
      <c r="BG144" s="559"/>
      <c r="BH144" s="559"/>
      <c r="BI144" s="559"/>
      <c r="BJ144" s="559"/>
      <c r="BK144" s="559"/>
      <c r="BL144" s="559"/>
      <c r="BM144" s="559"/>
      <c r="BN144" s="559"/>
      <c r="BO144" s="559"/>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row>
    <row r="145" spans="1:140" x14ac:dyDescent="0.3">
      <c r="A145" s="58" t="s">
        <v>95</v>
      </c>
      <c r="B145" s="58" t="s">
        <v>70</v>
      </c>
      <c r="C145" s="611">
        <v>4059400</v>
      </c>
      <c r="D145" s="650"/>
      <c r="E145" s="650"/>
      <c r="F145" s="650">
        <v>0.03</v>
      </c>
      <c r="G145" s="650"/>
      <c r="H145" s="650"/>
      <c r="I145" s="650">
        <v>0.97</v>
      </c>
      <c r="J145" s="651"/>
      <c r="K145" s="633"/>
      <c r="L145" s="651">
        <v>1</v>
      </c>
      <c r="M145" s="652">
        <f>C145*(D145*'Common input data'!E49+E145*'Common input data'!F49+F145*'Common input data'!G49+G145*'Common input data'!I49+H145*'Common input data'!C63/3.6+I145*'Common input data'!C49+J145*'Common input data'!B49+K145*'Common input data'!D49)</f>
        <v>244458.08284999998</v>
      </c>
      <c r="N145" s="652">
        <f>C145*(D145*'Common input data'!E50+E145*'Common input data'!F50+F145*'Common input data'!G50+G145*'Common input data'!I50+I145*'Common input data'!C50+J145*'Common input data'!B50+K145*'Common input data'!D50)</f>
        <v>1103.7731867000002</v>
      </c>
      <c r="O145" s="653">
        <f>C145*(D145*'Common input data'!E51+E145*'Common input data'!F51+F145*'Common input data'!G51+G145*'Common input data'!I51+I145*'Common input data'!C51+J145*'Common input data'!B51+K145*'Common input data'!D51)</f>
        <v>8.3913887099999993</v>
      </c>
      <c r="P145" s="559" t="s">
        <v>1521</v>
      </c>
      <c r="Q145" s="559" t="s">
        <v>1016</v>
      </c>
      <c r="R145" s="644"/>
      <c r="S145" s="644"/>
      <c r="T145" s="559"/>
      <c r="U145" s="559"/>
      <c r="V145" s="559"/>
      <c r="W145" s="559"/>
      <c r="X145" s="559"/>
      <c r="Y145" s="559"/>
      <c r="Z145" s="559"/>
      <c r="AA145" s="559"/>
      <c r="AB145" s="559"/>
      <c r="AC145" s="559"/>
      <c r="AD145" s="559"/>
      <c r="AE145" s="559"/>
      <c r="AF145" s="559"/>
      <c r="AG145" s="559"/>
      <c r="AH145" s="559"/>
      <c r="AI145" s="559"/>
      <c r="AJ145" s="559"/>
      <c r="AK145" s="559"/>
      <c r="AL145" s="559"/>
      <c r="AM145" s="559"/>
      <c r="AN145" s="559"/>
      <c r="AO145" s="559"/>
      <c r="AP145" s="559"/>
      <c r="AQ145" s="559"/>
      <c r="AR145" s="559"/>
      <c r="AS145" s="559"/>
      <c r="AT145" s="559"/>
      <c r="AU145" s="559"/>
      <c r="AV145" s="559"/>
      <c r="AW145" s="559"/>
      <c r="AX145" s="559"/>
      <c r="AY145" s="559"/>
      <c r="AZ145" s="559"/>
      <c r="BA145" s="559"/>
      <c r="BB145" s="559"/>
      <c r="BC145" s="559"/>
      <c r="BD145" s="559"/>
      <c r="BE145" s="559"/>
      <c r="BF145" s="559"/>
      <c r="BG145" s="559"/>
      <c r="BH145" s="559"/>
      <c r="BI145" s="559"/>
      <c r="BJ145" s="559"/>
      <c r="BK145" s="559"/>
      <c r="BL145" s="559"/>
      <c r="BM145" s="559"/>
      <c r="BN145" s="559"/>
      <c r="BO145" s="559"/>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row>
    <row r="146" spans="1:140" x14ac:dyDescent="0.3">
      <c r="A146" s="158" t="s">
        <v>939</v>
      </c>
      <c r="B146" s="37"/>
      <c r="C146" s="50"/>
      <c r="D146" s="647"/>
      <c r="E146" s="647"/>
      <c r="F146" s="647"/>
      <c r="G146" s="647"/>
      <c r="H146" s="647"/>
      <c r="I146" s="647"/>
      <c r="J146" s="574"/>
      <c r="K146" s="183"/>
      <c r="L146" s="574"/>
      <c r="M146" s="636"/>
      <c r="N146" s="636"/>
      <c r="O146" s="636"/>
      <c r="P146" s="559"/>
      <c r="Q146" s="559"/>
      <c r="R146" s="644"/>
      <c r="S146" s="644"/>
      <c r="T146" s="559"/>
      <c r="U146" s="559"/>
      <c r="V146" s="559"/>
      <c r="W146" s="559"/>
      <c r="X146" s="559"/>
      <c r="Y146" s="559"/>
      <c r="Z146" s="559"/>
      <c r="AA146" s="559"/>
      <c r="AB146" s="559"/>
      <c r="AC146" s="559"/>
      <c r="AD146" s="559"/>
      <c r="AE146" s="559"/>
      <c r="AF146" s="559"/>
      <c r="AG146" s="559"/>
      <c r="AH146" s="559"/>
      <c r="AI146" s="559"/>
      <c r="AJ146" s="559"/>
      <c r="AK146" s="559"/>
      <c r="AL146" s="559"/>
      <c r="AM146" s="559"/>
      <c r="AN146" s="559"/>
      <c r="AO146" s="559"/>
      <c r="AP146" s="559"/>
      <c r="AQ146" s="559"/>
      <c r="AR146" s="559"/>
      <c r="AS146" s="559"/>
      <c r="AT146" s="559"/>
      <c r="AU146" s="559"/>
      <c r="AV146" s="559"/>
      <c r="AW146" s="559"/>
      <c r="AX146" s="559"/>
      <c r="AY146" s="559"/>
      <c r="AZ146" s="559"/>
      <c r="BA146" s="559"/>
      <c r="BB146" s="559"/>
      <c r="BC146" s="559"/>
      <c r="BD146" s="559"/>
      <c r="BE146" s="559"/>
      <c r="BF146" s="559"/>
      <c r="BG146" s="559"/>
      <c r="BH146" s="559"/>
      <c r="BI146" s="559"/>
      <c r="BJ146" s="559"/>
      <c r="BK146" s="559"/>
      <c r="BL146" s="559"/>
      <c r="BM146" s="559"/>
      <c r="BN146" s="559"/>
      <c r="BO146" s="559"/>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row>
    <row r="147" spans="1:140" x14ac:dyDescent="0.3">
      <c r="A147" s="158" t="s">
        <v>1399</v>
      </c>
      <c r="B147" s="37"/>
      <c r="C147" s="50"/>
      <c r="D147" s="647"/>
      <c r="E147" s="647"/>
      <c r="F147" s="647"/>
      <c r="G147" s="647"/>
      <c r="H147" s="647"/>
      <c r="I147" s="647"/>
      <c r="J147" s="574"/>
      <c r="K147" s="183"/>
      <c r="L147" s="574"/>
      <c r="M147" s="636"/>
      <c r="N147" s="636"/>
      <c r="O147" s="636"/>
      <c r="P147" s="559"/>
      <c r="Q147" s="559"/>
      <c r="R147" s="644"/>
      <c r="S147" s="644"/>
      <c r="T147" s="559"/>
      <c r="U147" s="559"/>
      <c r="V147" s="559"/>
      <c r="W147" s="559"/>
      <c r="X147" s="559"/>
      <c r="Y147" s="559"/>
      <c r="Z147" s="559"/>
      <c r="AA147" s="559"/>
      <c r="AB147" s="559"/>
      <c r="AC147" s="559"/>
      <c r="AD147" s="559"/>
      <c r="AE147" s="559"/>
      <c r="AF147" s="559"/>
      <c r="AG147" s="559"/>
      <c r="AH147" s="559"/>
      <c r="AI147" s="559"/>
      <c r="AJ147" s="559"/>
      <c r="AK147" s="559"/>
      <c r="AL147" s="559"/>
      <c r="AM147" s="559"/>
      <c r="AN147" s="559"/>
      <c r="AO147" s="559"/>
      <c r="AP147" s="559"/>
      <c r="AQ147" s="559"/>
      <c r="AR147" s="559"/>
      <c r="AS147" s="559"/>
      <c r="AT147" s="559"/>
      <c r="AU147" s="559"/>
      <c r="AV147" s="559"/>
      <c r="AW147" s="559"/>
      <c r="AX147" s="559"/>
      <c r="AY147" s="559"/>
      <c r="AZ147" s="559"/>
      <c r="BA147" s="559"/>
      <c r="BB147" s="559"/>
      <c r="BC147" s="559"/>
      <c r="BD147" s="559"/>
      <c r="BE147" s="559"/>
      <c r="BF147" s="559"/>
      <c r="BG147" s="559"/>
      <c r="BH147" s="559"/>
      <c r="BI147" s="559"/>
      <c r="BJ147" s="559"/>
      <c r="BK147" s="559"/>
      <c r="BL147" s="559"/>
      <c r="BM147" s="559"/>
      <c r="BN147" s="559"/>
      <c r="BO147" s="559"/>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row>
    <row r="148" spans="1:140" x14ac:dyDescent="0.3">
      <c r="A148" s="158" t="s">
        <v>1019</v>
      </c>
      <c r="H148" s="117"/>
      <c r="I148" s="117"/>
      <c r="J148" s="559"/>
      <c r="K148" s="600"/>
      <c r="L148" s="559"/>
      <c r="M148" s="559"/>
      <c r="N148" s="559"/>
      <c r="O148" s="559"/>
      <c r="P148" s="559"/>
      <c r="Q148" s="559"/>
      <c r="R148" s="645"/>
      <c r="S148" s="649"/>
      <c r="T148" s="559"/>
      <c r="U148" s="559"/>
      <c r="V148" s="559"/>
      <c r="W148" s="559"/>
      <c r="X148" s="559"/>
      <c r="Y148" s="559"/>
      <c r="Z148" s="559"/>
      <c r="AA148" s="559"/>
      <c r="AB148" s="559"/>
      <c r="AC148" s="559"/>
      <c r="AD148" s="559"/>
      <c r="AE148" s="559"/>
      <c r="AF148" s="559"/>
      <c r="AG148" s="559"/>
      <c r="AH148" s="559"/>
      <c r="AI148" s="559"/>
      <c r="AJ148" s="559"/>
      <c r="AK148" s="559"/>
      <c r="AL148" s="559"/>
      <c r="AM148" s="559"/>
      <c r="AN148" s="559"/>
      <c r="AO148" s="559"/>
      <c r="AP148" s="559"/>
      <c r="AQ148" s="559"/>
      <c r="AR148" s="559"/>
      <c r="AS148" s="559"/>
      <c r="AT148" s="559"/>
      <c r="AU148" s="559"/>
      <c r="AV148" s="559"/>
      <c r="AW148" s="559"/>
      <c r="AX148" s="559"/>
      <c r="AY148" s="559"/>
      <c r="AZ148" s="559"/>
      <c r="BA148" s="559"/>
      <c r="BB148" s="559"/>
      <c r="BC148" s="559"/>
      <c r="BD148" s="559"/>
      <c r="BE148" s="559"/>
      <c r="BF148" s="559"/>
      <c r="BG148" s="559"/>
      <c r="BH148" s="559"/>
      <c r="BI148" s="559"/>
      <c r="BJ148" s="559"/>
      <c r="BK148" s="559"/>
      <c r="BL148" s="559"/>
      <c r="BM148" s="559"/>
      <c r="BN148" s="559"/>
      <c r="BO148" s="559"/>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row>
    <row r="149" spans="1:140" x14ac:dyDescent="0.3">
      <c r="A149" s="158"/>
      <c r="H149" s="117"/>
      <c r="I149" s="117"/>
      <c r="J149" s="559"/>
      <c r="K149" s="600"/>
      <c r="L149" s="559"/>
      <c r="M149" s="559"/>
      <c r="N149" s="559"/>
      <c r="O149" s="559"/>
      <c r="P149" s="559"/>
      <c r="Q149" s="559"/>
      <c r="R149" s="645"/>
      <c r="S149" s="649"/>
      <c r="T149" s="559"/>
      <c r="U149" s="559"/>
      <c r="V149" s="559"/>
      <c r="W149" s="559"/>
      <c r="X149" s="559"/>
      <c r="Y149" s="559"/>
      <c r="Z149" s="559"/>
      <c r="AA149" s="559"/>
      <c r="AB149" s="559"/>
      <c r="AC149" s="559"/>
      <c r="AD149" s="559"/>
      <c r="AE149" s="559"/>
      <c r="AF149" s="559"/>
      <c r="AG149" s="559"/>
      <c r="AH149" s="559"/>
      <c r="AI149" s="559"/>
      <c r="AJ149" s="559"/>
      <c r="AK149" s="559"/>
      <c r="AL149" s="559"/>
      <c r="AM149" s="559"/>
      <c r="AN149" s="559"/>
      <c r="AO149" s="559"/>
      <c r="AP149" s="559"/>
      <c r="AQ149" s="559"/>
      <c r="AR149" s="559"/>
      <c r="AS149" s="559"/>
      <c r="AT149" s="559"/>
      <c r="AU149" s="559"/>
      <c r="AV149" s="559"/>
      <c r="AW149" s="559"/>
      <c r="AX149" s="559"/>
      <c r="AY149" s="559"/>
      <c r="AZ149" s="559"/>
      <c r="BA149" s="559"/>
      <c r="BB149" s="559"/>
      <c r="BC149" s="559"/>
      <c r="BD149" s="559"/>
      <c r="BE149" s="559"/>
      <c r="BF149" s="559"/>
      <c r="BG149" s="559"/>
      <c r="BH149" s="559"/>
      <c r="BI149" s="559"/>
      <c r="BJ149" s="559"/>
      <c r="BK149" s="559"/>
      <c r="BL149" s="559"/>
      <c r="BM149" s="559"/>
      <c r="BN149" s="559"/>
      <c r="BO149" s="559"/>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row>
    <row r="150" spans="1:140" x14ac:dyDescent="0.3">
      <c r="A150" s="123" t="s">
        <v>931</v>
      </c>
      <c r="B150" s="117"/>
      <c r="C150" s="117"/>
      <c r="D150" s="117"/>
      <c r="E150" s="117"/>
      <c r="G150" s="86"/>
      <c r="I150" s="38"/>
      <c r="J150" s="559"/>
      <c r="K150" s="600"/>
      <c r="L150" s="559"/>
      <c r="M150" s="559"/>
      <c r="N150" s="559"/>
      <c r="O150" s="559"/>
      <c r="P150" s="559"/>
      <c r="Q150" s="559"/>
      <c r="R150" s="645"/>
      <c r="S150" s="649"/>
      <c r="T150" s="559"/>
      <c r="U150" s="559"/>
      <c r="V150" s="559"/>
      <c r="W150" s="559"/>
      <c r="X150" s="559"/>
      <c r="Y150" s="559"/>
      <c r="Z150" s="559"/>
      <c r="AA150" s="559"/>
      <c r="AB150" s="559"/>
      <c r="AC150" s="559"/>
      <c r="AD150" s="559"/>
      <c r="AE150" s="559"/>
      <c r="AF150" s="559"/>
      <c r="AG150" s="559"/>
      <c r="AH150" s="559"/>
      <c r="AI150" s="559"/>
      <c r="AJ150" s="559"/>
      <c r="AK150" s="559"/>
      <c r="AL150" s="559"/>
      <c r="AM150" s="559"/>
      <c r="AN150" s="559"/>
      <c r="AO150" s="559"/>
      <c r="AP150" s="559"/>
      <c r="AQ150" s="559"/>
      <c r="AR150" s="559"/>
      <c r="AS150" s="559"/>
      <c r="AT150" s="559"/>
      <c r="AU150" s="559"/>
      <c r="AV150" s="559"/>
      <c r="AW150" s="559"/>
      <c r="AX150" s="559"/>
      <c r="AY150" s="559"/>
      <c r="AZ150" s="559"/>
      <c r="BA150" s="559"/>
      <c r="BB150" s="559"/>
      <c r="BC150" s="559"/>
      <c r="BD150" s="559"/>
      <c r="BE150" s="559"/>
      <c r="BF150" s="559"/>
      <c r="BG150" s="559"/>
      <c r="BH150" s="559"/>
      <c r="BI150" s="559"/>
      <c r="BJ150" s="559"/>
      <c r="BK150" s="559"/>
      <c r="BL150" s="559"/>
      <c r="BM150" s="559"/>
      <c r="BN150" s="559"/>
      <c r="BO150" s="559"/>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row>
    <row r="151" spans="1:140" ht="27.6" x14ac:dyDescent="0.3">
      <c r="A151" s="124"/>
      <c r="B151" s="17" t="s">
        <v>20</v>
      </c>
      <c r="C151" s="17" t="s">
        <v>99</v>
      </c>
      <c r="D151" s="69" t="s">
        <v>32</v>
      </c>
      <c r="E151" s="69" t="s">
        <v>97</v>
      </c>
      <c r="F151" s="17" t="s">
        <v>238</v>
      </c>
      <c r="G151" s="19" t="s">
        <v>1556</v>
      </c>
      <c r="H151" s="68" t="s">
        <v>188</v>
      </c>
      <c r="I151" s="38"/>
      <c r="J151" s="559"/>
      <c r="K151" s="600"/>
      <c r="L151" s="559"/>
      <c r="M151" s="559"/>
      <c r="N151" s="559"/>
      <c r="O151" s="559"/>
      <c r="P151" s="559"/>
      <c r="Q151" s="559"/>
      <c r="R151" s="514"/>
      <c r="S151" s="559"/>
      <c r="T151" s="559"/>
      <c r="U151" s="559"/>
      <c r="V151" s="559"/>
      <c r="W151" s="559"/>
      <c r="X151" s="559"/>
      <c r="Y151" s="559"/>
      <c r="Z151" s="559"/>
      <c r="AA151" s="559"/>
      <c r="AB151" s="559"/>
      <c r="AC151" s="559"/>
      <c r="AD151" s="559"/>
      <c r="AE151" s="559"/>
      <c r="AF151" s="559"/>
      <c r="AG151" s="559"/>
      <c r="AH151" s="559"/>
      <c r="AI151" s="559"/>
      <c r="AJ151" s="559"/>
      <c r="AK151" s="559"/>
      <c r="AL151" s="559"/>
      <c r="AM151" s="559"/>
      <c r="AN151" s="559"/>
      <c r="AO151" s="559"/>
      <c r="AP151" s="559"/>
      <c r="AQ151" s="559"/>
      <c r="AR151" s="559"/>
      <c r="AS151" s="559"/>
      <c r="AT151" s="559"/>
      <c r="AU151" s="559"/>
      <c r="AV151" s="559"/>
      <c r="AW151" s="559"/>
      <c r="AX151" s="559"/>
      <c r="AY151" s="559"/>
      <c r="AZ151" s="559"/>
      <c r="BA151" s="559"/>
      <c r="BB151" s="559"/>
      <c r="BC151" s="559"/>
      <c r="BD151" s="559"/>
      <c r="BE151" s="559"/>
      <c r="BF151" s="559"/>
      <c r="BG151" s="559"/>
      <c r="BH151" s="559"/>
      <c r="BI151" s="559"/>
      <c r="BJ151" s="559"/>
      <c r="BK151" s="559"/>
      <c r="BL151" s="559"/>
      <c r="BM151" s="559"/>
      <c r="BN151" s="559"/>
      <c r="BO151" s="559"/>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row>
    <row r="152" spans="1:140" x14ac:dyDescent="0.3">
      <c r="A152" s="24" t="s">
        <v>59</v>
      </c>
      <c r="B152" s="25">
        <v>0.3</v>
      </c>
      <c r="C152" s="25">
        <v>0.4</v>
      </c>
      <c r="D152" s="71">
        <v>0.6</v>
      </c>
      <c r="E152" s="87">
        <v>0.15</v>
      </c>
      <c r="F152" s="25">
        <v>0.05</v>
      </c>
      <c r="G152" s="26">
        <v>0.02</v>
      </c>
      <c r="H152" s="158" t="s">
        <v>1523</v>
      </c>
      <c r="I152" s="38"/>
      <c r="J152" s="559"/>
      <c r="K152" s="600"/>
      <c r="L152" s="559"/>
      <c r="M152" s="559"/>
      <c r="N152" s="559"/>
      <c r="O152" s="559"/>
      <c r="P152" s="559"/>
      <c r="Q152" s="559"/>
      <c r="R152" s="559"/>
      <c r="S152" s="559"/>
      <c r="T152" s="559"/>
      <c r="U152" s="559"/>
      <c r="V152" s="559"/>
      <c r="W152" s="559"/>
      <c r="X152" s="559"/>
      <c r="Y152" s="559"/>
      <c r="Z152" s="559"/>
      <c r="AA152" s="559"/>
      <c r="AB152" s="559"/>
      <c r="AC152" s="559"/>
      <c r="AD152" s="559"/>
      <c r="AE152" s="559"/>
      <c r="AF152" s="559"/>
      <c r="AG152" s="559"/>
      <c r="AH152" s="559"/>
      <c r="AI152" s="559"/>
      <c r="AJ152" s="559"/>
      <c r="AK152" s="559"/>
      <c r="AL152" s="559"/>
      <c r="AM152" s="559"/>
      <c r="AN152" s="559"/>
      <c r="AO152" s="559"/>
      <c r="AP152" s="559"/>
      <c r="AQ152" s="559"/>
      <c r="AR152" s="559"/>
      <c r="AS152" s="559"/>
      <c r="AT152" s="559"/>
      <c r="AU152" s="559"/>
      <c r="AV152" s="559"/>
      <c r="AW152" s="559"/>
      <c r="AX152" s="559"/>
      <c r="AY152" s="559"/>
      <c r="AZ152" s="559"/>
      <c r="BA152" s="559"/>
      <c r="BB152" s="559"/>
      <c r="BC152" s="559"/>
      <c r="BD152" s="559"/>
      <c r="BE152" s="559"/>
      <c r="BF152" s="559"/>
      <c r="BG152" s="559"/>
      <c r="BH152" s="559"/>
      <c r="BI152" s="559"/>
      <c r="BJ152" s="559"/>
      <c r="BK152" s="559"/>
      <c r="BL152" s="559"/>
      <c r="BM152" s="559"/>
      <c r="BN152" s="559"/>
      <c r="BO152" s="559"/>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row>
    <row r="153" spans="1:140" x14ac:dyDescent="0.3">
      <c r="A153" s="158" t="s">
        <v>930</v>
      </c>
      <c r="I153" s="117"/>
      <c r="J153" s="559"/>
      <c r="K153" s="600"/>
      <c r="L153" s="559"/>
      <c r="M153" s="559"/>
      <c r="N153" s="559"/>
      <c r="O153" s="559"/>
      <c r="P153" s="559"/>
      <c r="Q153" s="559"/>
      <c r="R153" s="559"/>
      <c r="S153" s="559"/>
      <c r="T153" s="559"/>
      <c r="U153" s="559"/>
      <c r="V153" s="559"/>
      <c r="W153" s="559"/>
      <c r="X153" s="559"/>
      <c r="Y153" s="559"/>
      <c r="Z153" s="559"/>
      <c r="AA153" s="559"/>
      <c r="AB153" s="559"/>
      <c r="AC153" s="559"/>
      <c r="AD153" s="559"/>
      <c r="AE153" s="559"/>
      <c r="AF153" s="559"/>
      <c r="AG153" s="559"/>
      <c r="AH153" s="559"/>
      <c r="AI153" s="559"/>
      <c r="AJ153" s="559"/>
      <c r="AK153" s="559"/>
      <c r="AL153" s="559"/>
      <c r="AM153" s="559"/>
      <c r="AN153" s="559"/>
      <c r="AO153" s="559"/>
      <c r="AP153" s="559"/>
      <c r="AQ153" s="559"/>
      <c r="AR153" s="559"/>
      <c r="AS153" s="559"/>
      <c r="AT153" s="559"/>
      <c r="AU153" s="559"/>
      <c r="AV153" s="559"/>
      <c r="AW153" s="559"/>
      <c r="AX153" s="559"/>
      <c r="AY153" s="559"/>
      <c r="AZ153" s="559"/>
      <c r="BA153" s="559"/>
      <c r="BB153" s="559"/>
      <c r="BC153" s="559"/>
      <c r="BD153" s="559"/>
      <c r="BE153" s="559"/>
      <c r="BF153" s="559"/>
      <c r="BG153" s="559"/>
      <c r="BH153" s="559"/>
      <c r="BI153" s="559"/>
      <c r="BJ153" s="559"/>
      <c r="BK153" s="559"/>
      <c r="BL153" s="559"/>
      <c r="BM153" s="559"/>
      <c r="BN153" s="559"/>
      <c r="BO153" s="559"/>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row>
    <row r="154" spans="1:140" x14ac:dyDescent="0.3">
      <c r="I154" s="117"/>
      <c r="J154" s="559"/>
      <c r="K154" s="600"/>
      <c r="L154" s="559"/>
      <c r="M154" s="559"/>
      <c r="N154" s="559"/>
      <c r="O154" s="559"/>
      <c r="P154" s="559"/>
      <c r="Q154" s="559"/>
      <c r="R154" s="559"/>
      <c r="S154" s="559"/>
      <c r="T154" s="559"/>
      <c r="U154" s="559"/>
      <c r="V154" s="559"/>
      <c r="W154" s="559"/>
      <c r="X154" s="559"/>
      <c r="Y154" s="559"/>
      <c r="Z154" s="559"/>
      <c r="AA154" s="559"/>
      <c r="AB154" s="559"/>
      <c r="AC154" s="559"/>
      <c r="AD154" s="559"/>
      <c r="AE154" s="559"/>
      <c r="AF154" s="559"/>
      <c r="AG154" s="559"/>
      <c r="AH154" s="559"/>
      <c r="AI154" s="559"/>
      <c r="AJ154" s="559"/>
      <c r="AK154" s="559"/>
      <c r="AL154" s="559"/>
      <c r="AM154" s="559"/>
      <c r="AN154" s="559"/>
      <c r="AO154" s="559"/>
      <c r="AP154" s="559"/>
      <c r="AQ154" s="559"/>
      <c r="AR154" s="559"/>
      <c r="AS154" s="559"/>
      <c r="AT154" s="559"/>
      <c r="AU154" s="559"/>
      <c r="AV154" s="559"/>
      <c r="AW154" s="559"/>
      <c r="AX154" s="559"/>
      <c r="AY154" s="559"/>
      <c r="AZ154" s="559"/>
      <c r="BA154" s="559"/>
      <c r="BB154" s="559"/>
      <c r="BC154" s="559"/>
      <c r="BD154" s="559"/>
      <c r="BE154" s="559"/>
      <c r="BF154" s="559"/>
      <c r="BG154" s="559"/>
      <c r="BH154" s="559"/>
      <c r="BI154" s="559"/>
      <c r="BJ154" s="559"/>
      <c r="BK154" s="559"/>
      <c r="BL154" s="559"/>
      <c r="BM154" s="559"/>
      <c r="BN154" s="559"/>
      <c r="BO154" s="559"/>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row>
    <row r="155" spans="1:140" x14ac:dyDescent="0.3">
      <c r="A155" s="120" t="s">
        <v>239</v>
      </c>
      <c r="I155" s="117"/>
      <c r="J155" s="559"/>
      <c r="K155" s="600"/>
      <c r="L155" s="559"/>
      <c r="M155" s="235" t="s">
        <v>188</v>
      </c>
      <c r="N155" s="559"/>
      <c r="O155" s="559"/>
      <c r="P155" s="559"/>
      <c r="Q155" s="559"/>
      <c r="R155" s="559"/>
      <c r="S155" s="559"/>
      <c r="T155" s="559"/>
      <c r="U155" s="559"/>
      <c r="V155" s="559"/>
      <c r="W155" s="559"/>
      <c r="X155" s="559"/>
      <c r="Y155" s="559"/>
      <c r="Z155" s="559"/>
      <c r="AA155" s="559"/>
      <c r="AB155" s="559"/>
      <c r="AC155" s="559"/>
      <c r="AD155" s="559"/>
      <c r="AE155" s="559"/>
      <c r="AF155" s="559"/>
      <c r="AG155" s="559"/>
      <c r="AH155" s="559"/>
      <c r="AI155" s="559"/>
      <c r="AJ155" s="559"/>
      <c r="AK155" s="559"/>
      <c r="AL155" s="559"/>
      <c r="AM155" s="559"/>
      <c r="AN155" s="559"/>
      <c r="AO155" s="559"/>
      <c r="AP155" s="559"/>
      <c r="AQ155" s="559"/>
      <c r="AR155" s="559"/>
      <c r="AS155" s="559"/>
      <c r="AT155" s="559"/>
      <c r="AU155" s="559"/>
      <c r="AV155" s="559"/>
      <c r="AW155" s="559"/>
      <c r="AX155" s="559"/>
      <c r="AY155" s="559"/>
      <c r="AZ155" s="559"/>
      <c r="BA155" s="559"/>
      <c r="BB155" s="559"/>
      <c r="BC155" s="559"/>
      <c r="BD155" s="559"/>
      <c r="BE155" s="559"/>
      <c r="BF155" s="559"/>
      <c r="BG155" s="559"/>
      <c r="BH155" s="559"/>
      <c r="BI155" s="559"/>
      <c r="BJ155" s="559"/>
      <c r="BK155" s="559"/>
      <c r="BL155" s="559"/>
      <c r="BM155" s="559"/>
      <c r="BN155" s="559"/>
      <c r="BO155" s="559"/>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row>
    <row r="156" spans="1:140" ht="55.2" x14ac:dyDescent="0.3">
      <c r="A156" s="46"/>
      <c r="B156" s="73" t="s">
        <v>240</v>
      </c>
      <c r="C156" s="73" t="s">
        <v>241</v>
      </c>
      <c r="D156" s="73" t="s">
        <v>242</v>
      </c>
      <c r="E156" s="73" t="s">
        <v>944</v>
      </c>
      <c r="F156" s="73" t="s">
        <v>945</v>
      </c>
      <c r="G156" s="73" t="s">
        <v>946</v>
      </c>
      <c r="H156" s="73" t="s">
        <v>947</v>
      </c>
      <c r="I156" s="73" t="s">
        <v>948</v>
      </c>
      <c r="J156" s="73" t="s">
        <v>949</v>
      </c>
      <c r="K156" s="73" t="s">
        <v>950</v>
      </c>
      <c r="L156" s="95" t="s">
        <v>951</v>
      </c>
      <c r="M156" s="235" t="s">
        <v>952</v>
      </c>
      <c r="N156" s="235" t="s">
        <v>942</v>
      </c>
      <c r="O156" s="117"/>
      <c r="P156" s="117"/>
      <c r="Q156" s="117"/>
      <c r="R156" s="117"/>
      <c r="S156" s="117"/>
      <c r="T156" s="117"/>
      <c r="U156" s="117"/>
      <c r="V156" s="117"/>
      <c r="W156" s="117"/>
      <c r="X156" s="117"/>
      <c r="Y156" s="117"/>
      <c r="Z156" s="117"/>
      <c r="AA156" s="117"/>
      <c r="AB156" s="117"/>
      <c r="AC156" s="117"/>
      <c r="AD156" s="117"/>
      <c r="AE156" s="117"/>
      <c r="AF156" s="117"/>
      <c r="AG156" s="117"/>
      <c r="AH156" s="117"/>
      <c r="AI156" s="117"/>
      <c r="AJ156" s="117"/>
      <c r="AK156" s="117"/>
      <c r="AL156" s="117"/>
      <c r="AM156" s="117"/>
      <c r="AN156" s="117"/>
      <c r="AO156" s="117"/>
      <c r="AP156" s="117"/>
      <c r="AQ156" s="117"/>
      <c r="AR156" s="117"/>
      <c r="AS156" s="117"/>
      <c r="AT156" s="117"/>
      <c r="AU156" s="117"/>
      <c r="AV156" s="117"/>
      <c r="AW156" s="117"/>
      <c r="AX156" s="117"/>
      <c r="AY156" s="117"/>
      <c r="AZ156" s="117"/>
      <c r="BA156" s="117"/>
      <c r="BB156" s="117"/>
      <c r="BC156" s="117"/>
      <c r="BD156" s="117"/>
      <c r="BE156" s="117"/>
      <c r="BF156" s="117"/>
      <c r="BG156" s="117"/>
      <c r="BH156" s="117"/>
      <c r="BI156" s="117"/>
      <c r="BJ156" s="117"/>
      <c r="BK156" s="117"/>
      <c r="BL156" s="117"/>
      <c r="BM156" s="117"/>
      <c r="BN156" s="117"/>
      <c r="BO156" s="117"/>
    </row>
    <row r="157" spans="1:140" ht="18" customHeight="1" x14ac:dyDescent="0.3">
      <c r="A157" s="54" t="s">
        <v>10</v>
      </c>
      <c r="B157" s="15"/>
      <c r="C157" s="635">
        <f>G157*(H157*D157*K157+E157*I157*L157+F157*J157)</f>
        <v>41.379000000000005</v>
      </c>
      <c r="D157" s="515">
        <v>0.89</v>
      </c>
      <c r="E157" s="515">
        <v>0.1</v>
      </c>
      <c r="F157" s="515">
        <v>0.01</v>
      </c>
      <c r="G157" s="832">
        <v>1.3</v>
      </c>
      <c r="H157" s="15">
        <v>0.27</v>
      </c>
      <c r="I157" s="515">
        <v>0.78</v>
      </c>
      <c r="J157" s="635">
        <v>0</v>
      </c>
      <c r="K157" s="15">
        <v>100</v>
      </c>
      <c r="L157" s="21">
        <v>100</v>
      </c>
      <c r="M157" s="117" t="s">
        <v>943</v>
      </c>
      <c r="N157" s="655" t="s">
        <v>1017</v>
      </c>
      <c r="O157" s="117"/>
      <c r="P157" s="117"/>
      <c r="Q157" s="117"/>
      <c r="R157" s="117"/>
      <c r="S157" s="117"/>
      <c r="T157" s="117"/>
      <c r="U157" s="117"/>
      <c r="V157" s="117"/>
      <c r="W157" s="117"/>
      <c r="X157" s="117"/>
      <c r="Y157" s="117"/>
      <c r="Z157" s="117"/>
      <c r="AA157" s="117"/>
      <c r="AB157" s="117"/>
      <c r="AC157" s="117"/>
      <c r="AD157" s="117"/>
      <c r="AE157" s="117"/>
      <c r="AF157" s="117"/>
      <c r="AG157" s="117"/>
      <c r="AH157" s="117"/>
      <c r="AI157" s="117"/>
      <c r="AJ157" s="117"/>
      <c r="AK157" s="117"/>
      <c r="AL157" s="117"/>
      <c r="AM157" s="117"/>
      <c r="AN157" s="117"/>
      <c r="AO157" s="117"/>
      <c r="AP157" s="117"/>
      <c r="AQ157" s="117"/>
      <c r="AR157" s="117"/>
      <c r="AS157" s="117"/>
      <c r="AT157" s="117"/>
      <c r="AU157" s="117"/>
      <c r="AV157" s="117"/>
      <c r="AW157" s="117"/>
      <c r="AX157" s="117"/>
      <c r="AY157" s="117"/>
      <c r="AZ157" s="117"/>
      <c r="BA157" s="117"/>
      <c r="BB157" s="117"/>
      <c r="BC157" s="117"/>
      <c r="BD157" s="117"/>
      <c r="BE157" s="117"/>
      <c r="BF157" s="117"/>
      <c r="BG157" s="117"/>
      <c r="BH157" s="117"/>
      <c r="BI157" s="117"/>
      <c r="BJ157" s="117"/>
      <c r="BK157" s="117"/>
      <c r="BL157" s="117"/>
      <c r="BM157" s="117"/>
      <c r="BN157" s="117"/>
      <c r="BO157" s="117"/>
    </row>
    <row r="158" spans="1:140" x14ac:dyDescent="0.3">
      <c r="A158" s="54" t="s">
        <v>66</v>
      </c>
      <c r="B158" s="515">
        <v>4.603908941081547E-2</v>
      </c>
      <c r="C158" s="15"/>
      <c r="D158" s="515">
        <v>0</v>
      </c>
      <c r="E158" s="515">
        <v>1</v>
      </c>
      <c r="F158" s="515">
        <v>0</v>
      </c>
      <c r="G158" s="15"/>
      <c r="H158" s="15"/>
      <c r="I158" s="15"/>
      <c r="J158" s="15"/>
      <c r="K158" s="15"/>
      <c r="L158" s="21"/>
      <c r="M158" s="117" t="s">
        <v>940</v>
      </c>
      <c r="N158" s="117" t="s">
        <v>940</v>
      </c>
      <c r="O158" s="117"/>
      <c r="P158" s="117"/>
      <c r="Q158" s="117"/>
      <c r="R158" s="117"/>
      <c r="S158" s="117"/>
      <c r="T158" s="117"/>
      <c r="U158" s="117"/>
      <c r="V158" s="117"/>
      <c r="W158" s="117"/>
      <c r="X158" s="117"/>
      <c r="Y158" s="117"/>
      <c r="Z158" s="117"/>
      <c r="AA158" s="117"/>
      <c r="AB158" s="117"/>
      <c r="AC158" s="117"/>
      <c r="AD158" s="117"/>
      <c r="AE158" s="117"/>
      <c r="AF158" s="117"/>
      <c r="AG158" s="117"/>
      <c r="AH158" s="117"/>
      <c r="AI158" s="117"/>
      <c r="AJ158" s="117"/>
      <c r="AK158" s="117"/>
      <c r="AL158" s="117"/>
      <c r="AM158" s="117"/>
      <c r="AN158" s="117"/>
      <c r="AO158" s="117"/>
      <c r="AP158" s="117"/>
      <c r="AQ158" s="117"/>
      <c r="AR158" s="117"/>
      <c r="AS158" s="117"/>
      <c r="AT158" s="117"/>
      <c r="AU158" s="117"/>
      <c r="AV158" s="117"/>
      <c r="AW158" s="117"/>
      <c r="AX158" s="117"/>
      <c r="AY158" s="117"/>
      <c r="AZ158" s="117"/>
      <c r="BA158" s="117"/>
      <c r="BB158" s="117"/>
      <c r="BC158" s="117"/>
      <c r="BD158" s="117"/>
      <c r="BE158" s="117"/>
      <c r="BF158" s="117"/>
      <c r="BG158" s="117"/>
      <c r="BH158" s="117"/>
      <c r="BI158" s="117"/>
      <c r="BJ158" s="117"/>
      <c r="BK158" s="117"/>
      <c r="BL158" s="117"/>
      <c r="BM158" s="117"/>
      <c r="BN158" s="117"/>
      <c r="BO158" s="117"/>
    </row>
    <row r="159" spans="1:140" x14ac:dyDescent="0.3">
      <c r="A159" s="57" t="s">
        <v>67</v>
      </c>
      <c r="B159" s="22"/>
      <c r="C159" s="239">
        <f>G159*(H159*D159*K159+E159*I159*L159+F159*J159)</f>
        <v>62.467470000000006</v>
      </c>
      <c r="D159" s="516">
        <v>0.41</v>
      </c>
      <c r="E159" s="516">
        <v>0.5</v>
      </c>
      <c r="F159" s="516">
        <v>0.09</v>
      </c>
      <c r="G159" s="125">
        <v>1.3</v>
      </c>
      <c r="H159" s="22">
        <v>0.27</v>
      </c>
      <c r="I159" s="516">
        <v>0.78</v>
      </c>
      <c r="J159" s="239">
        <v>0</v>
      </c>
      <c r="K159" s="22">
        <v>117</v>
      </c>
      <c r="L159" s="23">
        <v>90</v>
      </c>
      <c r="M159" s="117" t="s">
        <v>943</v>
      </c>
      <c r="N159" s="655" t="s">
        <v>1017</v>
      </c>
      <c r="O159" s="117"/>
      <c r="P159" s="117"/>
      <c r="Q159" s="117"/>
      <c r="R159" s="117"/>
      <c r="S159" s="117"/>
      <c r="T159" s="117"/>
      <c r="U159" s="117"/>
      <c r="V159" s="117"/>
      <c r="W159" s="117"/>
      <c r="X159" s="117"/>
      <c r="Y159" s="117"/>
      <c r="Z159" s="117"/>
      <c r="AA159" s="117"/>
      <c r="AB159" s="117"/>
      <c r="AC159" s="117"/>
      <c r="AD159" s="117"/>
      <c r="AE159" s="117"/>
      <c r="AF159" s="117"/>
      <c r="AG159" s="117"/>
      <c r="AH159" s="117"/>
      <c r="AI159" s="117"/>
      <c r="AJ159" s="117"/>
      <c r="AK159" s="117"/>
      <c r="AL159" s="117"/>
      <c r="AM159" s="117"/>
      <c r="AN159" s="117"/>
      <c r="AO159" s="117"/>
      <c r="AP159" s="117"/>
      <c r="AQ159" s="117"/>
      <c r="AR159" s="117"/>
      <c r="AS159" s="117"/>
      <c r="AT159" s="117"/>
      <c r="AU159" s="117"/>
      <c r="AV159" s="117"/>
      <c r="AW159" s="117"/>
      <c r="AX159" s="117"/>
      <c r="AY159" s="117"/>
      <c r="AZ159" s="117"/>
      <c r="BA159" s="117"/>
      <c r="BB159" s="117"/>
      <c r="BC159" s="117"/>
      <c r="BD159" s="117"/>
      <c r="BE159" s="117"/>
      <c r="BF159" s="117"/>
      <c r="BG159" s="117"/>
      <c r="BH159" s="117"/>
      <c r="BI159" s="117"/>
      <c r="BJ159" s="117"/>
      <c r="BK159" s="117"/>
      <c r="BL159" s="117"/>
      <c r="BM159" s="117"/>
      <c r="BN159" s="117"/>
      <c r="BO159" s="117"/>
    </row>
    <row r="160" spans="1:140" x14ac:dyDescent="0.3">
      <c r="A160" s="42" t="s">
        <v>941</v>
      </c>
      <c r="B160" s="42"/>
      <c r="C160" s="42"/>
      <c r="D160" s="42"/>
      <c r="E160" s="42"/>
      <c r="F160" s="42"/>
      <c r="G160" s="42"/>
      <c r="H160" s="42"/>
      <c r="I160" s="42"/>
      <c r="J160" s="42"/>
      <c r="K160" s="654"/>
      <c r="L160" s="42"/>
      <c r="M160" s="117"/>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117"/>
      <c r="AL160" s="117"/>
      <c r="AM160" s="117"/>
      <c r="AN160" s="117"/>
      <c r="AO160" s="117"/>
      <c r="AP160" s="117"/>
      <c r="AQ160" s="117"/>
      <c r="AR160" s="117"/>
      <c r="AS160" s="117"/>
      <c r="AT160" s="117"/>
      <c r="AU160" s="117"/>
      <c r="AV160" s="117"/>
      <c r="AW160" s="117"/>
      <c r="AX160" s="117"/>
      <c r="AY160" s="117"/>
      <c r="AZ160" s="117"/>
      <c r="BA160" s="117"/>
      <c r="BB160" s="117"/>
      <c r="BC160" s="117"/>
      <c r="BD160" s="117"/>
      <c r="BE160" s="117"/>
      <c r="BF160" s="117"/>
      <c r="BG160" s="117"/>
      <c r="BH160" s="117"/>
      <c r="BI160" s="117"/>
      <c r="BJ160" s="117"/>
      <c r="BK160" s="117"/>
      <c r="BL160" s="117"/>
      <c r="BM160" s="117"/>
      <c r="BN160" s="117"/>
      <c r="BO160" s="117"/>
    </row>
    <row r="161" spans="1:67" ht="55.2" x14ac:dyDescent="0.3">
      <c r="A161" s="37" t="s">
        <v>1020</v>
      </c>
      <c r="C161" s="42"/>
      <c r="D161" s="42"/>
      <c r="E161" s="42"/>
      <c r="F161" s="42"/>
      <c r="G161" s="42"/>
      <c r="H161" s="42"/>
      <c r="I161" s="42"/>
      <c r="J161" s="42"/>
      <c r="K161" s="654"/>
      <c r="L161" s="42"/>
      <c r="M161" s="117"/>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117"/>
      <c r="AL161" s="117"/>
      <c r="AM161" s="117"/>
      <c r="AN161" s="117"/>
      <c r="AO161" s="117"/>
      <c r="AP161" s="117"/>
      <c r="AQ161" s="117"/>
      <c r="AR161" s="117"/>
      <c r="AS161" s="117"/>
      <c r="AT161" s="117"/>
      <c r="AU161" s="117"/>
      <c r="AV161" s="117"/>
      <c r="AW161" s="117"/>
      <c r="AX161" s="117"/>
      <c r="AY161" s="117"/>
      <c r="AZ161" s="117"/>
      <c r="BA161" s="117"/>
      <c r="BB161" s="117"/>
      <c r="BC161" s="117"/>
      <c r="BD161" s="117"/>
      <c r="BE161" s="117"/>
      <c r="BF161" s="117"/>
      <c r="BG161" s="117"/>
      <c r="BH161" s="117"/>
      <c r="BI161" s="117"/>
      <c r="BJ161" s="117"/>
      <c r="BK161" s="117"/>
      <c r="BL161" s="117"/>
      <c r="BM161" s="117"/>
      <c r="BN161" s="117"/>
      <c r="BO161" s="117"/>
    </row>
    <row r="162" spans="1:67" x14ac:dyDescent="0.3">
      <c r="A162" s="37"/>
      <c r="C162" s="42"/>
      <c r="D162" s="42"/>
      <c r="E162" s="42"/>
      <c r="F162" s="42"/>
      <c r="G162" s="42"/>
      <c r="H162" s="42"/>
      <c r="I162" s="42"/>
      <c r="J162" s="42"/>
      <c r="K162" s="654"/>
      <c r="L162" s="42"/>
      <c r="M162" s="117"/>
      <c r="N162" s="117"/>
      <c r="O162" s="117"/>
      <c r="P162" s="117"/>
      <c r="Q162" s="117"/>
      <c r="R162" s="117"/>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117"/>
      <c r="BD162" s="117"/>
      <c r="BE162" s="117"/>
      <c r="BF162" s="117"/>
      <c r="BG162" s="117"/>
      <c r="BH162" s="117"/>
      <c r="BI162" s="117"/>
      <c r="BJ162" s="117"/>
      <c r="BK162" s="117"/>
      <c r="BL162" s="117"/>
      <c r="BM162" s="117"/>
      <c r="BN162" s="117"/>
      <c r="BO162" s="117"/>
    </row>
    <row r="163" spans="1:67" x14ac:dyDescent="0.3">
      <c r="A163" s="54"/>
      <c r="I163" s="117"/>
      <c r="J163" s="117"/>
      <c r="K163" s="637"/>
      <c r="L163" s="117"/>
      <c r="M163" s="117"/>
      <c r="N163" s="117"/>
      <c r="O163" s="117"/>
      <c r="P163" s="117"/>
      <c r="Q163" s="117"/>
      <c r="R163" s="117"/>
      <c r="S163" s="117"/>
      <c r="T163" s="117"/>
      <c r="U163" s="117"/>
      <c r="V163" s="117"/>
      <c r="W163" s="117"/>
      <c r="X163" s="117"/>
      <c r="Y163" s="117"/>
      <c r="Z163" s="117"/>
      <c r="AA163" s="117"/>
      <c r="AB163" s="117"/>
      <c r="AC163" s="117"/>
      <c r="AD163" s="117"/>
      <c r="AE163" s="117"/>
      <c r="AF163" s="117"/>
      <c r="AG163" s="117"/>
      <c r="AH163" s="117"/>
      <c r="AI163" s="117"/>
      <c r="AJ163" s="117"/>
      <c r="AK163" s="117"/>
      <c r="AL163" s="117"/>
      <c r="AM163" s="117"/>
      <c r="AN163" s="117"/>
      <c r="AO163" s="117"/>
      <c r="AP163" s="117"/>
      <c r="AQ163" s="117"/>
      <c r="AR163" s="117"/>
      <c r="AS163" s="117"/>
      <c r="AT163" s="117"/>
      <c r="AU163" s="117"/>
      <c r="AV163" s="117"/>
      <c r="AW163" s="117"/>
      <c r="AX163" s="117"/>
      <c r="AY163" s="117"/>
      <c r="AZ163" s="117"/>
      <c r="BA163" s="117"/>
      <c r="BB163" s="117"/>
      <c r="BC163" s="117"/>
      <c r="BD163" s="117"/>
      <c r="BE163" s="117"/>
      <c r="BF163" s="117"/>
      <c r="BG163" s="117"/>
      <c r="BH163" s="117"/>
      <c r="BI163" s="117"/>
      <c r="BJ163" s="117"/>
      <c r="BK163" s="117"/>
      <c r="BL163" s="117"/>
      <c r="BM163" s="117"/>
      <c r="BN163" s="117"/>
      <c r="BO163" s="117"/>
    </row>
    <row r="164" spans="1:67" x14ac:dyDescent="0.3">
      <c r="I164" s="117"/>
      <c r="J164" s="117"/>
      <c r="K164" s="637"/>
      <c r="L164" s="117"/>
      <c r="M164" s="117"/>
      <c r="N164" s="117"/>
      <c r="O164" s="117"/>
      <c r="P164" s="117"/>
      <c r="Q164" s="117"/>
      <c r="R164" s="117"/>
      <c r="S164" s="117"/>
      <c r="T164" s="117"/>
      <c r="U164" s="117"/>
      <c r="V164" s="117"/>
      <c r="W164" s="117"/>
      <c r="X164" s="117"/>
      <c r="Y164" s="117"/>
      <c r="Z164" s="117"/>
      <c r="AA164" s="117"/>
      <c r="AB164" s="117"/>
      <c r="AC164" s="117"/>
      <c r="AD164" s="117"/>
      <c r="AE164" s="117"/>
      <c r="AF164" s="117"/>
      <c r="AG164" s="117"/>
      <c r="AH164" s="117"/>
      <c r="AI164" s="117"/>
      <c r="AJ164" s="117"/>
      <c r="AK164" s="117"/>
      <c r="AL164" s="117"/>
      <c r="AM164" s="117"/>
      <c r="AN164" s="117"/>
      <c r="AO164" s="117"/>
      <c r="AP164" s="117"/>
      <c r="AQ164" s="117"/>
      <c r="AR164" s="117"/>
      <c r="AS164" s="117"/>
      <c r="AT164" s="117"/>
      <c r="AU164" s="117"/>
      <c r="AV164" s="117"/>
      <c r="AW164" s="117"/>
      <c r="AX164" s="117"/>
      <c r="AY164" s="117"/>
      <c r="AZ164" s="117"/>
      <c r="BA164" s="117"/>
      <c r="BB164" s="117"/>
      <c r="BC164" s="117"/>
      <c r="BD164" s="117"/>
      <c r="BE164" s="117"/>
      <c r="BF164" s="117"/>
      <c r="BG164" s="117"/>
      <c r="BH164" s="117"/>
      <c r="BI164" s="117"/>
      <c r="BJ164" s="117"/>
      <c r="BK164" s="117"/>
      <c r="BL164" s="117"/>
      <c r="BM164" s="117"/>
      <c r="BN164" s="117"/>
      <c r="BO164" s="117"/>
    </row>
    <row r="165" spans="1:67" x14ac:dyDescent="0.3">
      <c r="I165" s="117"/>
      <c r="J165" s="117"/>
      <c r="K165" s="637"/>
      <c r="L165" s="117"/>
      <c r="M165" s="117"/>
      <c r="N165" s="117"/>
      <c r="O165" s="117"/>
      <c r="P165" s="117"/>
      <c r="Q165" s="117"/>
      <c r="R165" s="117"/>
      <c r="S165" s="117"/>
      <c r="T165" s="117"/>
      <c r="U165" s="117"/>
      <c r="V165" s="117"/>
      <c r="W165" s="117"/>
      <c r="X165" s="117"/>
      <c r="Y165" s="117"/>
      <c r="Z165" s="117"/>
      <c r="AA165" s="117"/>
      <c r="AB165" s="117"/>
      <c r="AC165" s="117"/>
      <c r="AD165" s="117"/>
      <c r="AE165" s="117"/>
      <c r="AF165" s="117"/>
      <c r="AG165" s="117"/>
      <c r="AH165" s="117"/>
      <c r="AI165" s="117"/>
      <c r="AJ165" s="117"/>
      <c r="AK165" s="117"/>
      <c r="AL165" s="117"/>
      <c r="AM165" s="117"/>
      <c r="AN165" s="117"/>
      <c r="AO165" s="117"/>
      <c r="AP165" s="117"/>
      <c r="AQ165" s="117"/>
      <c r="AR165" s="117"/>
      <c r="AS165" s="117"/>
      <c r="AT165" s="117"/>
      <c r="AU165" s="117"/>
      <c r="AV165" s="117"/>
      <c r="AW165" s="117"/>
      <c r="AX165" s="117"/>
      <c r="AY165" s="117"/>
      <c r="AZ165" s="117"/>
      <c r="BA165" s="117"/>
      <c r="BB165" s="117"/>
      <c r="BC165" s="117"/>
      <c r="BD165" s="117"/>
      <c r="BE165" s="117"/>
      <c r="BF165" s="117"/>
      <c r="BG165" s="117"/>
      <c r="BH165" s="117"/>
      <c r="BI165" s="117"/>
      <c r="BJ165" s="117"/>
      <c r="BK165" s="117"/>
      <c r="BL165" s="117"/>
      <c r="BM165" s="117"/>
      <c r="BN165" s="117"/>
      <c r="BO165" s="117"/>
    </row>
  </sheetData>
  <mergeCells count="1">
    <mergeCell ref="T142:U14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FS72"/>
  <sheetViews>
    <sheetView zoomScale="70" zoomScaleNormal="70" workbookViewId="0"/>
  </sheetViews>
  <sheetFormatPr defaultColWidth="8.88671875" defaultRowHeight="13.8" x14ac:dyDescent="0.3"/>
  <cols>
    <col min="1" max="1" width="66" style="559" customWidth="1"/>
    <col min="2" max="2" width="17.33203125" style="559" bestFit="1" customWidth="1"/>
    <col min="3" max="3" width="19.6640625" style="559" bestFit="1" customWidth="1"/>
    <col min="4" max="4" width="26.6640625" style="559" bestFit="1" customWidth="1"/>
    <col min="5" max="5" width="26.5546875" style="559" bestFit="1" customWidth="1"/>
    <col min="6" max="6" width="16.6640625" style="559" customWidth="1"/>
    <col min="7" max="7" width="21" style="559" bestFit="1" customWidth="1"/>
    <col min="8" max="8" width="22.33203125" style="559" bestFit="1" customWidth="1"/>
    <col min="9" max="9" width="14.88671875" style="559" bestFit="1" customWidth="1"/>
    <col min="10" max="10" width="21.33203125" style="559" bestFit="1" customWidth="1"/>
    <col min="11" max="11" width="8.44140625" style="559" bestFit="1" customWidth="1"/>
    <col min="12" max="12" width="16" style="559" bestFit="1" customWidth="1"/>
    <col min="13" max="13" width="16.44140625" style="559" bestFit="1" customWidth="1"/>
    <col min="14" max="14" width="11.6640625" style="559" bestFit="1" customWidth="1"/>
    <col min="15" max="15" width="10.33203125" style="559" bestFit="1" customWidth="1"/>
    <col min="16" max="16" width="8.6640625" style="559" bestFit="1" customWidth="1"/>
    <col min="17" max="17" width="14.5546875" style="559" bestFit="1" customWidth="1"/>
    <col min="18" max="18" width="14.33203125" style="559" bestFit="1" customWidth="1"/>
    <col min="19" max="19" width="13.6640625" style="559" bestFit="1" customWidth="1"/>
    <col min="20" max="20" width="8.44140625" style="559" bestFit="1" customWidth="1"/>
    <col min="21" max="21" width="10.6640625" style="559" bestFit="1" customWidth="1"/>
    <col min="22" max="22" width="13.6640625" style="559" bestFit="1" customWidth="1"/>
    <col min="23" max="23" width="13.44140625" style="559" bestFit="1" customWidth="1"/>
    <col min="24" max="24" width="14.5546875" style="559" bestFit="1" customWidth="1"/>
    <col min="25" max="25" width="8.109375" style="559" bestFit="1" customWidth="1"/>
    <col min="26" max="26" width="37.109375" style="559" bestFit="1" customWidth="1"/>
    <col min="27" max="27" width="16.44140625" style="559" bestFit="1" customWidth="1"/>
    <col min="28" max="28" width="6.5546875" style="559" bestFit="1" customWidth="1"/>
    <col min="29" max="29" width="14.6640625" style="583" bestFit="1" customWidth="1"/>
    <col min="30" max="30" width="28.6640625" style="583" bestFit="1" customWidth="1"/>
    <col min="31" max="36" width="8.88671875" style="559"/>
    <col min="37" max="37" width="10.6640625" style="559" bestFit="1" customWidth="1"/>
    <col min="38" max="38" width="8.88671875" style="559"/>
    <col min="39" max="39" width="11.77734375" style="559" bestFit="1" customWidth="1"/>
    <col min="40" max="16384" width="8.88671875" style="559"/>
  </cols>
  <sheetData>
    <row r="1" spans="1:175" ht="23.4" x14ac:dyDescent="0.3">
      <c r="A1" s="433" t="s">
        <v>642</v>
      </c>
    </row>
    <row r="3" spans="1:175" ht="72" customHeight="1" x14ac:dyDescent="0.3">
      <c r="A3" s="246" t="s">
        <v>507</v>
      </c>
      <c r="B3" s="245" t="s">
        <v>2</v>
      </c>
      <c r="C3" s="245" t="s">
        <v>179</v>
      </c>
      <c r="D3" s="246" t="s">
        <v>518</v>
      </c>
      <c r="E3" s="560"/>
      <c r="F3" s="560"/>
      <c r="G3" s="560"/>
      <c r="H3" s="560"/>
      <c r="I3" s="560"/>
      <c r="J3" s="560"/>
      <c r="K3" s="560"/>
      <c r="L3" s="560"/>
      <c r="M3" s="560"/>
      <c r="N3" s="560"/>
      <c r="O3" s="560"/>
      <c r="P3" s="560"/>
      <c r="Q3" s="560"/>
      <c r="R3" s="560"/>
      <c r="S3" s="560"/>
      <c r="T3" s="560"/>
      <c r="U3" s="560"/>
      <c r="V3" s="560"/>
      <c r="W3" s="560"/>
      <c r="X3" s="560"/>
      <c r="Y3" s="560"/>
      <c r="Z3" s="560"/>
      <c r="AA3" s="560"/>
      <c r="AB3" s="561"/>
      <c r="AC3" s="68" t="s">
        <v>188</v>
      </c>
    </row>
    <row r="4" spans="1:175" s="562" customFormat="1" ht="55.2" x14ac:dyDescent="0.3">
      <c r="A4" s="67"/>
      <c r="B4" s="69"/>
      <c r="C4" s="69"/>
      <c r="D4" s="246" t="s">
        <v>110</v>
      </c>
      <c r="E4" s="73" t="s">
        <v>111</v>
      </c>
      <c r="F4" s="73" t="s">
        <v>538</v>
      </c>
      <c r="G4" s="73" t="s">
        <v>18</v>
      </c>
      <c r="H4" s="69" t="s">
        <v>481</v>
      </c>
      <c r="I4" s="69" t="s">
        <v>482</v>
      </c>
      <c r="J4" s="73" t="s">
        <v>112</v>
      </c>
      <c r="K4" s="73" t="s">
        <v>27</v>
      </c>
      <c r="L4" s="73" t="s">
        <v>34</v>
      </c>
      <c r="M4" s="73" t="s">
        <v>33</v>
      </c>
      <c r="N4" s="73" t="s">
        <v>113</v>
      </c>
      <c r="O4" s="73" t="s">
        <v>520</v>
      </c>
      <c r="P4" s="73" t="s">
        <v>521</v>
      </c>
      <c r="Q4" s="73" t="s">
        <v>122</v>
      </c>
      <c r="R4" s="69" t="s">
        <v>157</v>
      </c>
      <c r="S4" s="69" t="s">
        <v>158</v>
      </c>
      <c r="T4" s="73" t="s">
        <v>22</v>
      </c>
      <c r="U4" s="73" t="s">
        <v>68</v>
      </c>
      <c r="V4" s="73" t="s">
        <v>484</v>
      </c>
      <c r="W4" s="69" t="s">
        <v>470</v>
      </c>
      <c r="X4" s="69" t="s">
        <v>483</v>
      </c>
      <c r="Y4" s="73" t="s">
        <v>28</v>
      </c>
      <c r="Z4" s="69" t="s">
        <v>514</v>
      </c>
      <c r="AA4" s="69" t="s">
        <v>523</v>
      </c>
      <c r="AB4" s="74" t="s">
        <v>155</v>
      </c>
      <c r="AC4" s="235" t="s">
        <v>866</v>
      </c>
      <c r="AD4" s="584" t="s">
        <v>518</v>
      </c>
    </row>
    <row r="5" spans="1:175" s="567" customFormat="1" x14ac:dyDescent="0.3">
      <c r="A5" s="563" t="s">
        <v>119</v>
      </c>
      <c r="B5" s="368" t="s">
        <v>1</v>
      </c>
      <c r="C5" s="370">
        <v>0.3</v>
      </c>
      <c r="D5" s="395">
        <v>1.18</v>
      </c>
      <c r="E5" s="564"/>
      <c r="F5" s="564"/>
      <c r="G5" s="564"/>
      <c r="H5" s="564"/>
      <c r="I5" s="564"/>
      <c r="J5" s="564"/>
      <c r="K5" s="564"/>
      <c r="L5" s="564"/>
      <c r="M5" s="564"/>
      <c r="N5" s="564"/>
      <c r="O5" s="564"/>
      <c r="P5" s="564"/>
      <c r="Q5" s="564"/>
      <c r="R5" s="564"/>
      <c r="S5" s="564"/>
      <c r="T5" s="564"/>
      <c r="U5" s="564"/>
      <c r="V5" s="564"/>
      <c r="W5" s="564"/>
      <c r="X5" s="564"/>
      <c r="Y5" s="564"/>
      <c r="Z5" s="564"/>
      <c r="AA5" s="564"/>
      <c r="AB5" s="565"/>
      <c r="AC5" s="583" t="s">
        <v>1256</v>
      </c>
      <c r="AD5" s="583" t="s">
        <v>526</v>
      </c>
      <c r="AE5" s="559"/>
      <c r="AF5" s="566"/>
      <c r="AG5" s="566"/>
      <c r="AH5" s="559"/>
      <c r="AI5" s="559"/>
      <c r="AJ5" s="559"/>
      <c r="AK5" s="559"/>
      <c r="AL5" s="559"/>
      <c r="AM5" s="559"/>
      <c r="AN5" s="559"/>
      <c r="AO5" s="559"/>
      <c r="AP5" s="559"/>
      <c r="AQ5" s="559"/>
      <c r="AR5" s="559"/>
      <c r="AS5" s="559"/>
      <c r="AT5" s="559"/>
      <c r="AU5" s="559"/>
      <c r="AV5" s="559"/>
      <c r="AW5" s="559"/>
      <c r="AX5" s="559"/>
      <c r="AY5" s="559"/>
      <c r="AZ5" s="559"/>
      <c r="BA5" s="559"/>
      <c r="BB5" s="559"/>
      <c r="BC5" s="559"/>
      <c r="BD5" s="559"/>
      <c r="BE5" s="559"/>
      <c r="BF5" s="559"/>
      <c r="BG5" s="559"/>
      <c r="BH5" s="559"/>
      <c r="BI5" s="559"/>
      <c r="BJ5" s="559"/>
      <c r="BK5" s="559"/>
      <c r="BL5" s="559"/>
      <c r="BM5" s="559"/>
      <c r="BN5" s="559"/>
      <c r="BO5" s="559"/>
      <c r="BP5" s="559"/>
      <c r="BQ5" s="559"/>
      <c r="BR5" s="559"/>
      <c r="BS5" s="559"/>
      <c r="BT5" s="559"/>
      <c r="BU5" s="559"/>
      <c r="BV5" s="559"/>
      <c r="BW5" s="559"/>
      <c r="BX5" s="559"/>
      <c r="BY5" s="559"/>
      <c r="BZ5" s="559"/>
      <c r="CA5" s="559"/>
      <c r="CB5" s="559"/>
      <c r="CC5" s="559"/>
      <c r="CD5" s="559"/>
      <c r="CE5" s="559"/>
      <c r="CF5" s="559"/>
      <c r="CG5" s="559"/>
      <c r="CH5" s="559"/>
      <c r="CI5" s="559"/>
      <c r="CJ5" s="559"/>
      <c r="CK5" s="559"/>
      <c r="CL5" s="559"/>
      <c r="CM5" s="559"/>
      <c r="CN5" s="559"/>
      <c r="CO5" s="559"/>
      <c r="CP5" s="559"/>
      <c r="CQ5" s="559"/>
      <c r="CR5" s="559"/>
      <c r="CS5" s="559"/>
      <c r="CT5" s="559"/>
      <c r="CU5" s="559"/>
      <c r="CV5" s="559"/>
      <c r="CW5" s="559"/>
      <c r="CX5" s="559"/>
      <c r="CY5" s="559"/>
      <c r="CZ5" s="559"/>
      <c r="DA5" s="559"/>
      <c r="DB5" s="559"/>
      <c r="DC5" s="559"/>
      <c r="DD5" s="559"/>
      <c r="DE5" s="559"/>
      <c r="DF5" s="559"/>
      <c r="DG5" s="559"/>
      <c r="DH5" s="559"/>
      <c r="DI5" s="559"/>
      <c r="DJ5" s="559"/>
      <c r="DK5" s="559"/>
      <c r="DL5" s="559"/>
      <c r="DM5" s="559"/>
      <c r="DN5" s="559"/>
      <c r="DO5" s="559"/>
      <c r="DP5" s="559"/>
      <c r="DQ5" s="559"/>
      <c r="DR5" s="559"/>
      <c r="DS5" s="559"/>
      <c r="DT5" s="559"/>
      <c r="DU5" s="559"/>
      <c r="DV5" s="559"/>
      <c r="DW5" s="559"/>
      <c r="DX5" s="559"/>
      <c r="DY5" s="559"/>
      <c r="DZ5" s="559"/>
      <c r="EA5" s="559"/>
      <c r="EB5" s="559"/>
      <c r="EC5" s="559"/>
      <c r="ED5" s="559"/>
      <c r="EE5" s="559"/>
      <c r="EF5" s="559"/>
      <c r="EG5" s="559"/>
      <c r="EH5" s="559"/>
      <c r="EI5" s="559"/>
      <c r="EJ5" s="559"/>
      <c r="EK5" s="559"/>
      <c r="EL5" s="559"/>
      <c r="EM5" s="559"/>
      <c r="EN5" s="559"/>
      <c r="EO5" s="559"/>
      <c r="EP5" s="559"/>
      <c r="EQ5" s="559"/>
      <c r="ER5" s="559"/>
      <c r="ES5" s="559"/>
      <c r="ET5" s="559"/>
      <c r="EU5" s="559"/>
      <c r="EV5" s="559"/>
      <c r="EW5" s="559"/>
      <c r="EX5" s="559"/>
      <c r="EY5" s="559"/>
      <c r="EZ5" s="559"/>
      <c r="FA5" s="559"/>
      <c r="FB5" s="559"/>
      <c r="FC5" s="559"/>
      <c r="FD5" s="559"/>
      <c r="FE5" s="559"/>
      <c r="FF5" s="559"/>
      <c r="FG5" s="559"/>
      <c r="FH5" s="559"/>
      <c r="FI5" s="559"/>
      <c r="FJ5" s="559"/>
      <c r="FK5" s="559"/>
      <c r="FL5" s="559"/>
      <c r="FM5" s="559"/>
      <c r="FN5" s="559"/>
      <c r="FO5" s="559"/>
      <c r="FP5" s="559"/>
      <c r="FQ5" s="559"/>
      <c r="FR5" s="559"/>
      <c r="FS5" s="559"/>
    </row>
    <row r="6" spans="1:175" x14ac:dyDescent="0.3">
      <c r="A6" s="66"/>
      <c r="B6" s="37" t="s">
        <v>66</v>
      </c>
      <c r="C6" s="234">
        <v>0.503</v>
      </c>
      <c r="D6" s="86">
        <v>1.18</v>
      </c>
      <c r="E6" s="86"/>
      <c r="F6" s="86"/>
      <c r="G6" s="86"/>
      <c r="H6" s="86"/>
      <c r="I6" s="86"/>
      <c r="J6" s="86"/>
      <c r="K6" s="86"/>
      <c r="L6" s="86"/>
      <c r="M6" s="86"/>
      <c r="N6" s="86"/>
      <c r="O6" s="86"/>
      <c r="P6" s="86"/>
      <c r="Q6" s="86"/>
      <c r="R6" s="86"/>
      <c r="S6" s="86"/>
      <c r="T6" s="86"/>
      <c r="U6" s="86"/>
      <c r="V6" s="86"/>
      <c r="W6" s="86"/>
      <c r="X6" s="86"/>
      <c r="Y6" s="86"/>
      <c r="Z6" s="86"/>
      <c r="AA6" s="86"/>
      <c r="AB6" s="163"/>
      <c r="AF6" s="566"/>
      <c r="AG6" s="566"/>
    </row>
    <row r="7" spans="1:175" x14ac:dyDescent="0.3">
      <c r="A7" s="66"/>
      <c r="B7" s="37" t="s">
        <v>67</v>
      </c>
      <c r="C7" s="234">
        <v>0.19700000000000001</v>
      </c>
      <c r="D7" s="86">
        <v>1.18</v>
      </c>
      <c r="E7" s="86"/>
      <c r="F7" s="86"/>
      <c r="G7" s="86"/>
      <c r="H7" s="86"/>
      <c r="I7" s="86"/>
      <c r="J7" s="86"/>
      <c r="K7" s="86"/>
      <c r="L7" s="86"/>
      <c r="M7" s="86"/>
      <c r="N7" s="86"/>
      <c r="O7" s="86"/>
      <c r="P7" s="86"/>
      <c r="Q7" s="86"/>
      <c r="R7" s="86"/>
      <c r="S7" s="86"/>
      <c r="T7" s="86"/>
      <c r="U7" s="86"/>
      <c r="V7" s="86"/>
      <c r="W7" s="86"/>
      <c r="X7" s="86"/>
      <c r="Y7" s="86"/>
      <c r="Z7" s="86"/>
      <c r="AA7" s="86"/>
      <c r="AB7" s="163"/>
      <c r="AF7" s="566"/>
      <c r="AG7" s="566"/>
    </row>
    <row r="8" spans="1:175" s="567" customFormat="1" x14ac:dyDescent="0.3">
      <c r="A8" s="375" t="s">
        <v>117</v>
      </c>
      <c r="B8" s="372" t="s">
        <v>1</v>
      </c>
      <c r="C8" s="374">
        <v>1</v>
      </c>
      <c r="D8" s="373">
        <v>0.39900000000000002</v>
      </c>
      <c r="E8" s="395"/>
      <c r="F8" s="395"/>
      <c r="G8" s="373">
        <v>1.7999999999999999E-2</v>
      </c>
      <c r="H8" s="395"/>
      <c r="I8" s="395"/>
      <c r="J8" s="373">
        <v>1.7000000000000001E-2</v>
      </c>
      <c r="K8" s="373">
        <v>3.5000000000000003E-2</v>
      </c>
      <c r="L8" s="395"/>
      <c r="M8" s="395"/>
      <c r="N8" s="395"/>
      <c r="O8" s="395"/>
      <c r="P8" s="395"/>
      <c r="Q8" s="395"/>
      <c r="R8" s="395"/>
      <c r="S8" s="395"/>
      <c r="T8" s="395"/>
      <c r="U8" s="395"/>
      <c r="V8" s="395"/>
      <c r="W8" s="395"/>
      <c r="X8" s="395"/>
      <c r="Y8" s="395"/>
      <c r="Z8" s="395"/>
      <c r="AA8" s="395"/>
      <c r="AB8" s="568"/>
      <c r="AC8" s="583" t="s">
        <v>1257</v>
      </c>
      <c r="AD8" s="583" t="s">
        <v>527</v>
      </c>
      <c r="AE8" s="559"/>
      <c r="AF8" s="566"/>
      <c r="AG8" s="566"/>
      <c r="AH8" s="559"/>
      <c r="AI8" s="559"/>
      <c r="AJ8" s="559"/>
      <c r="AK8" s="559"/>
      <c r="AL8" s="559"/>
      <c r="AM8" s="559"/>
      <c r="AN8" s="559"/>
      <c r="AO8" s="559"/>
      <c r="AP8" s="559"/>
      <c r="AQ8" s="559"/>
      <c r="AR8" s="559"/>
      <c r="AS8" s="559"/>
      <c r="AT8" s="559"/>
      <c r="AU8" s="559"/>
      <c r="AV8" s="559"/>
      <c r="AW8" s="559"/>
      <c r="AX8" s="559"/>
      <c r="AY8" s="559"/>
      <c r="AZ8" s="559"/>
      <c r="BA8" s="559"/>
      <c r="BB8" s="559"/>
      <c r="BC8" s="559"/>
      <c r="BD8" s="559"/>
      <c r="BE8" s="559"/>
      <c r="BF8" s="559"/>
      <c r="BG8" s="559"/>
      <c r="BH8" s="559"/>
      <c r="BI8" s="559"/>
      <c r="BJ8" s="559"/>
      <c r="BK8" s="559"/>
      <c r="BL8" s="559"/>
      <c r="BM8" s="559"/>
      <c r="BN8" s="559"/>
      <c r="BO8" s="559"/>
      <c r="BP8" s="559"/>
      <c r="BQ8" s="559"/>
      <c r="BR8" s="559"/>
      <c r="BS8" s="559"/>
      <c r="BT8" s="559"/>
      <c r="BU8" s="559"/>
      <c r="BV8" s="559"/>
      <c r="BW8" s="559"/>
      <c r="BX8" s="559"/>
      <c r="BY8" s="559"/>
      <c r="BZ8" s="559"/>
      <c r="CA8" s="559"/>
      <c r="CB8" s="559"/>
      <c r="CC8" s="559"/>
      <c r="CD8" s="559"/>
      <c r="CE8" s="559"/>
      <c r="CF8" s="559"/>
      <c r="CG8" s="559"/>
      <c r="CH8" s="559"/>
      <c r="CI8" s="559"/>
      <c r="CJ8" s="559"/>
      <c r="CK8" s="559"/>
      <c r="CL8" s="559"/>
      <c r="CM8" s="559"/>
      <c r="CN8" s="559"/>
      <c r="CO8" s="559"/>
      <c r="CP8" s="559"/>
      <c r="CQ8" s="559"/>
      <c r="CR8" s="559"/>
      <c r="CS8" s="559"/>
      <c r="CT8" s="559"/>
      <c r="CU8" s="559"/>
      <c r="CV8" s="559"/>
      <c r="CW8" s="559"/>
      <c r="CX8" s="559"/>
      <c r="CY8" s="559"/>
      <c r="CZ8" s="559"/>
      <c r="DA8" s="559"/>
      <c r="DB8" s="559"/>
      <c r="DC8" s="559"/>
      <c r="DD8" s="559"/>
      <c r="DE8" s="559"/>
      <c r="DF8" s="559"/>
      <c r="DG8" s="559"/>
      <c r="DH8" s="559"/>
      <c r="DI8" s="559"/>
      <c r="DJ8" s="559"/>
      <c r="DK8" s="559"/>
      <c r="DL8" s="559"/>
      <c r="DM8" s="559"/>
      <c r="DN8" s="559"/>
      <c r="DO8" s="559"/>
      <c r="DP8" s="559"/>
      <c r="DQ8" s="559"/>
      <c r="DR8" s="559"/>
      <c r="DS8" s="559"/>
      <c r="DT8" s="559"/>
      <c r="DU8" s="559"/>
      <c r="DV8" s="559"/>
      <c r="DW8" s="559"/>
      <c r="DX8" s="559"/>
      <c r="DY8" s="559"/>
      <c r="DZ8" s="559"/>
      <c r="EA8" s="559"/>
      <c r="EB8" s="559"/>
      <c r="EC8" s="559"/>
      <c r="ED8" s="559"/>
      <c r="EE8" s="559"/>
      <c r="EF8" s="559"/>
      <c r="EG8" s="559"/>
      <c r="EH8" s="559"/>
      <c r="EI8" s="559"/>
      <c r="EJ8" s="559"/>
      <c r="EK8" s="559"/>
      <c r="EL8" s="559"/>
      <c r="EM8" s="559"/>
      <c r="EN8" s="559"/>
      <c r="EO8" s="559"/>
      <c r="EP8" s="559"/>
      <c r="EQ8" s="559"/>
      <c r="ER8" s="559"/>
      <c r="ES8" s="559"/>
      <c r="ET8" s="559"/>
      <c r="EU8" s="559"/>
      <c r="EV8" s="559"/>
      <c r="EW8" s="559"/>
      <c r="EX8" s="559"/>
      <c r="EY8" s="559"/>
      <c r="EZ8" s="559"/>
      <c r="FA8" s="559"/>
      <c r="FB8" s="559"/>
      <c r="FC8" s="559"/>
      <c r="FD8" s="559"/>
      <c r="FE8" s="559"/>
      <c r="FF8" s="559"/>
      <c r="FG8" s="559"/>
      <c r="FH8" s="559"/>
      <c r="FI8" s="559"/>
      <c r="FJ8" s="559"/>
      <c r="FK8" s="559"/>
      <c r="FL8" s="559"/>
      <c r="FM8" s="559"/>
      <c r="FN8" s="559"/>
      <c r="FO8" s="559"/>
      <c r="FP8" s="559"/>
      <c r="FQ8" s="559"/>
      <c r="FR8" s="559"/>
      <c r="FS8" s="559"/>
    </row>
    <row r="9" spans="1:175" x14ac:dyDescent="0.3">
      <c r="A9" s="66"/>
      <c r="B9" s="37"/>
      <c r="C9" s="234"/>
      <c r="D9" s="127"/>
      <c r="E9" s="86"/>
      <c r="F9" s="86"/>
      <c r="G9" s="127"/>
      <c r="H9" s="86"/>
      <c r="I9" s="86"/>
      <c r="J9" s="127"/>
      <c r="K9" s="127"/>
      <c r="L9" s="86"/>
      <c r="M9" s="86"/>
      <c r="N9" s="86"/>
      <c r="O9" s="86"/>
      <c r="P9" s="86"/>
      <c r="Q9" s="86"/>
      <c r="R9" s="86"/>
      <c r="S9" s="86"/>
      <c r="T9" s="86"/>
      <c r="U9" s="86"/>
      <c r="V9" s="86"/>
      <c r="W9" s="86"/>
      <c r="X9" s="86"/>
      <c r="Y9" s="86"/>
      <c r="Z9" s="86"/>
      <c r="AA9" s="86"/>
      <c r="AB9" s="163"/>
      <c r="AF9" s="566"/>
      <c r="AG9" s="566"/>
    </row>
    <row r="10" spans="1:175" s="567" customFormat="1" x14ac:dyDescent="0.3">
      <c r="A10" s="375" t="s">
        <v>479</v>
      </c>
      <c r="B10" s="372" t="s">
        <v>1</v>
      </c>
      <c r="C10" s="374">
        <v>1</v>
      </c>
      <c r="D10" s="373">
        <v>0.23</v>
      </c>
      <c r="E10" s="373">
        <v>0.23</v>
      </c>
      <c r="F10" s="373"/>
      <c r="G10" s="373">
        <v>4.4999999999999998E-2</v>
      </c>
      <c r="H10" s="395"/>
      <c r="I10" s="395"/>
      <c r="J10" s="373">
        <v>4.4999999999999998E-2</v>
      </c>
      <c r="K10" s="395"/>
      <c r="L10" s="395"/>
      <c r="M10" s="373">
        <v>0.01</v>
      </c>
      <c r="N10" s="395"/>
      <c r="O10" s="395"/>
      <c r="P10" s="395"/>
      <c r="Q10" s="395"/>
      <c r="R10" s="395"/>
      <c r="S10" s="395"/>
      <c r="T10" s="395"/>
      <c r="U10" s="395"/>
      <c r="V10" s="395"/>
      <c r="W10" s="395"/>
      <c r="X10" s="395"/>
      <c r="Y10" s="395"/>
      <c r="Z10" s="395"/>
      <c r="AA10" s="395"/>
      <c r="AB10" s="568"/>
      <c r="AC10" s="583" t="s">
        <v>1257</v>
      </c>
      <c r="AD10" s="583" t="s">
        <v>527</v>
      </c>
      <c r="AE10" s="559"/>
      <c r="AF10" s="566"/>
      <c r="AG10" s="566"/>
      <c r="AH10" s="559"/>
      <c r="AI10" s="559"/>
      <c r="AJ10" s="559"/>
      <c r="AK10" s="559"/>
      <c r="AL10" s="559"/>
      <c r="AM10" s="559"/>
      <c r="AN10" s="559"/>
      <c r="AO10" s="559"/>
      <c r="AP10" s="559"/>
      <c r="AQ10" s="559"/>
      <c r="AR10" s="559"/>
      <c r="AS10" s="559"/>
      <c r="AT10" s="559"/>
      <c r="AU10" s="559"/>
      <c r="AV10" s="559"/>
      <c r="AW10" s="559"/>
      <c r="AX10" s="559"/>
      <c r="AY10" s="559"/>
      <c r="AZ10" s="559"/>
      <c r="BA10" s="559"/>
      <c r="BB10" s="559"/>
      <c r="BC10" s="559"/>
      <c r="BD10" s="559"/>
      <c r="BE10" s="559"/>
      <c r="BF10" s="559"/>
      <c r="BG10" s="559"/>
      <c r="BH10" s="559"/>
      <c r="BI10" s="559"/>
      <c r="BJ10" s="559"/>
      <c r="BK10" s="559"/>
      <c r="BL10" s="559"/>
      <c r="BM10" s="559"/>
      <c r="BN10" s="559"/>
      <c r="BO10" s="559"/>
      <c r="BP10" s="559"/>
      <c r="BQ10" s="559"/>
      <c r="BR10" s="559"/>
      <c r="BS10" s="559"/>
      <c r="BT10" s="559"/>
      <c r="BU10" s="559"/>
      <c r="BV10" s="559"/>
      <c r="BW10" s="559"/>
      <c r="BX10" s="559"/>
      <c r="BY10" s="559"/>
      <c r="BZ10" s="559"/>
      <c r="CA10" s="559"/>
      <c r="CB10" s="559"/>
      <c r="CC10" s="559"/>
      <c r="CD10" s="559"/>
      <c r="CE10" s="559"/>
      <c r="CF10" s="559"/>
      <c r="CG10" s="559"/>
      <c r="CH10" s="559"/>
      <c r="CI10" s="559"/>
      <c r="CJ10" s="559"/>
      <c r="CK10" s="559"/>
      <c r="CL10" s="559"/>
      <c r="CM10" s="559"/>
      <c r="CN10" s="559"/>
      <c r="CO10" s="559"/>
      <c r="CP10" s="559"/>
      <c r="CQ10" s="559"/>
      <c r="CR10" s="559"/>
      <c r="CS10" s="559"/>
      <c r="CT10" s="559"/>
      <c r="CU10" s="559"/>
      <c r="CV10" s="559"/>
      <c r="CW10" s="559"/>
      <c r="CX10" s="559"/>
      <c r="CY10" s="559"/>
      <c r="CZ10" s="559"/>
      <c r="DA10" s="559"/>
      <c r="DB10" s="559"/>
      <c r="DC10" s="559"/>
      <c r="DD10" s="559"/>
      <c r="DE10" s="559"/>
      <c r="DF10" s="559"/>
      <c r="DG10" s="559"/>
      <c r="DH10" s="559"/>
      <c r="DI10" s="559"/>
      <c r="DJ10" s="559"/>
      <c r="DK10" s="559"/>
      <c r="DL10" s="559"/>
      <c r="DM10" s="559"/>
      <c r="DN10" s="559"/>
      <c r="DO10" s="559"/>
      <c r="DP10" s="559"/>
      <c r="DQ10" s="559"/>
      <c r="DR10" s="559"/>
      <c r="DS10" s="559"/>
      <c r="DT10" s="559"/>
      <c r="DU10" s="559"/>
      <c r="DV10" s="559"/>
      <c r="DW10" s="559"/>
      <c r="DX10" s="559"/>
      <c r="DY10" s="559"/>
      <c r="DZ10" s="559"/>
      <c r="EA10" s="559"/>
      <c r="EB10" s="559"/>
      <c r="EC10" s="559"/>
      <c r="ED10" s="559"/>
      <c r="EE10" s="559"/>
      <c r="EF10" s="559"/>
      <c r="EG10" s="559"/>
      <c r="EH10" s="559"/>
      <c r="EI10" s="559"/>
      <c r="EJ10" s="559"/>
      <c r="EK10" s="559"/>
      <c r="EL10" s="559"/>
      <c r="EM10" s="559"/>
      <c r="EN10" s="559"/>
      <c r="EO10" s="559"/>
      <c r="EP10" s="559"/>
      <c r="EQ10" s="559"/>
      <c r="ER10" s="559"/>
      <c r="ES10" s="559"/>
      <c r="ET10" s="559"/>
      <c r="EU10" s="559"/>
      <c r="EV10" s="559"/>
      <c r="EW10" s="559"/>
      <c r="EX10" s="559"/>
      <c r="EY10" s="559"/>
      <c r="EZ10" s="559"/>
      <c r="FA10" s="559"/>
      <c r="FB10" s="559"/>
      <c r="FC10" s="559"/>
      <c r="FD10" s="559"/>
      <c r="FE10" s="559"/>
      <c r="FF10" s="559"/>
      <c r="FG10" s="559"/>
      <c r="FH10" s="559"/>
      <c r="FI10" s="559"/>
      <c r="FJ10" s="559"/>
      <c r="FK10" s="559"/>
      <c r="FL10" s="559"/>
      <c r="FM10" s="559"/>
      <c r="FN10" s="559"/>
      <c r="FO10" s="559"/>
      <c r="FP10" s="559"/>
      <c r="FQ10" s="559"/>
      <c r="FR10" s="559"/>
      <c r="FS10" s="559"/>
    </row>
    <row r="11" spans="1:175" x14ac:dyDescent="0.3">
      <c r="A11" s="66"/>
      <c r="B11" s="37"/>
      <c r="C11" s="234"/>
      <c r="D11" s="127"/>
      <c r="E11" s="127"/>
      <c r="F11" s="127"/>
      <c r="G11" s="127"/>
      <c r="H11" s="86"/>
      <c r="I11" s="86"/>
      <c r="J11" s="127"/>
      <c r="K11" s="86"/>
      <c r="L11" s="86"/>
      <c r="M11" s="127"/>
      <c r="N11" s="86"/>
      <c r="O11" s="86"/>
      <c r="P11" s="86"/>
      <c r="Q11" s="86"/>
      <c r="R11" s="86"/>
      <c r="S11" s="86"/>
      <c r="T11" s="86"/>
      <c r="U11" s="86"/>
      <c r="V11" s="86"/>
      <c r="W11" s="86"/>
      <c r="X11" s="86"/>
      <c r="Y11" s="86"/>
      <c r="Z11" s="86"/>
      <c r="AA11" s="86"/>
      <c r="AB11" s="163"/>
      <c r="AF11" s="566"/>
      <c r="AG11" s="566"/>
    </row>
    <row r="12" spans="1:175" s="567" customFormat="1" x14ac:dyDescent="0.3">
      <c r="A12" s="375" t="s">
        <v>647</v>
      </c>
      <c r="B12" s="372" t="s">
        <v>1</v>
      </c>
      <c r="C12" s="374">
        <v>1</v>
      </c>
      <c r="D12" s="373">
        <v>0.51200000000000001</v>
      </c>
      <c r="E12" s="373">
        <v>4.7E-2</v>
      </c>
      <c r="F12" s="373"/>
      <c r="G12" s="373">
        <v>2.7E-2</v>
      </c>
      <c r="H12" s="395"/>
      <c r="I12" s="395"/>
      <c r="J12" s="373">
        <v>0.11</v>
      </c>
      <c r="K12" s="395"/>
      <c r="L12" s="395"/>
      <c r="M12" s="395"/>
      <c r="N12" s="373">
        <v>0.216</v>
      </c>
      <c r="O12" s="395"/>
      <c r="P12" s="395"/>
      <c r="Q12" s="395"/>
      <c r="R12" s="395"/>
      <c r="S12" s="395"/>
      <c r="T12" s="395"/>
      <c r="U12" s="395"/>
      <c r="V12" s="395"/>
      <c r="W12" s="395"/>
      <c r="X12" s="395"/>
      <c r="Y12" s="395"/>
      <c r="Z12" s="395"/>
      <c r="AA12" s="395"/>
      <c r="AB12" s="568"/>
      <c r="AC12" s="583" t="s">
        <v>1257</v>
      </c>
      <c r="AD12" s="583" t="s">
        <v>527</v>
      </c>
      <c r="AE12" s="559"/>
      <c r="AF12" s="566"/>
      <c r="AG12" s="566"/>
      <c r="AH12" s="559"/>
      <c r="AI12" s="559"/>
      <c r="AJ12" s="559"/>
      <c r="AK12" s="559"/>
      <c r="AL12" s="559"/>
      <c r="AM12" s="559"/>
      <c r="AN12" s="559"/>
      <c r="AO12" s="559"/>
      <c r="AP12" s="559"/>
      <c r="AQ12" s="559"/>
      <c r="AR12" s="559"/>
      <c r="AS12" s="559"/>
      <c r="AT12" s="559"/>
      <c r="AU12" s="559"/>
      <c r="AV12" s="559"/>
      <c r="AW12" s="559"/>
      <c r="AX12" s="559"/>
      <c r="AY12" s="559"/>
      <c r="AZ12" s="559"/>
      <c r="BA12" s="559"/>
      <c r="BB12" s="559"/>
      <c r="BC12" s="559"/>
      <c r="BD12" s="559"/>
      <c r="BE12" s="559"/>
      <c r="BF12" s="559"/>
      <c r="BG12" s="559"/>
      <c r="BH12" s="559"/>
      <c r="BI12" s="559"/>
      <c r="BJ12" s="559"/>
      <c r="BK12" s="559"/>
      <c r="BL12" s="559"/>
      <c r="BM12" s="559"/>
      <c r="BN12" s="559"/>
      <c r="BO12" s="559"/>
      <c r="BP12" s="559"/>
      <c r="BQ12" s="559"/>
      <c r="BR12" s="559"/>
      <c r="BS12" s="559"/>
      <c r="BT12" s="559"/>
      <c r="BU12" s="559"/>
      <c r="BV12" s="559"/>
      <c r="BW12" s="559"/>
      <c r="BX12" s="559"/>
      <c r="BY12" s="559"/>
      <c r="BZ12" s="559"/>
      <c r="CA12" s="559"/>
      <c r="CB12" s="559"/>
      <c r="CC12" s="559"/>
      <c r="CD12" s="559"/>
      <c r="CE12" s="559"/>
      <c r="CF12" s="559"/>
      <c r="CG12" s="559"/>
      <c r="CH12" s="559"/>
      <c r="CI12" s="559"/>
      <c r="CJ12" s="559"/>
      <c r="CK12" s="559"/>
      <c r="CL12" s="559"/>
      <c r="CM12" s="559"/>
      <c r="CN12" s="559"/>
      <c r="CO12" s="559"/>
      <c r="CP12" s="559"/>
      <c r="CQ12" s="559"/>
      <c r="CR12" s="559"/>
      <c r="CS12" s="559"/>
      <c r="CT12" s="559"/>
      <c r="CU12" s="559"/>
      <c r="CV12" s="559"/>
      <c r="CW12" s="559"/>
      <c r="CX12" s="559"/>
      <c r="CY12" s="559"/>
      <c r="CZ12" s="559"/>
      <c r="DA12" s="559"/>
      <c r="DB12" s="559"/>
      <c r="DC12" s="559"/>
      <c r="DD12" s="559"/>
      <c r="DE12" s="559"/>
      <c r="DF12" s="559"/>
      <c r="DG12" s="559"/>
      <c r="DH12" s="559"/>
      <c r="DI12" s="559"/>
      <c r="DJ12" s="559"/>
      <c r="DK12" s="559"/>
      <c r="DL12" s="559"/>
      <c r="DM12" s="559"/>
      <c r="DN12" s="559"/>
      <c r="DO12" s="559"/>
      <c r="DP12" s="559"/>
      <c r="DQ12" s="559"/>
      <c r="DR12" s="559"/>
      <c r="DS12" s="559"/>
      <c r="DT12" s="559"/>
      <c r="DU12" s="559"/>
      <c r="DV12" s="559"/>
      <c r="DW12" s="559"/>
      <c r="DX12" s="559"/>
      <c r="DY12" s="559"/>
      <c r="DZ12" s="559"/>
      <c r="EA12" s="559"/>
      <c r="EB12" s="559"/>
      <c r="EC12" s="559"/>
      <c r="ED12" s="559"/>
      <c r="EE12" s="559"/>
      <c r="EF12" s="559"/>
      <c r="EG12" s="559"/>
      <c r="EH12" s="559"/>
      <c r="EI12" s="559"/>
      <c r="EJ12" s="559"/>
      <c r="EK12" s="559"/>
      <c r="EL12" s="559"/>
      <c r="EM12" s="559"/>
      <c r="EN12" s="559"/>
      <c r="EO12" s="559"/>
      <c r="EP12" s="559"/>
      <c r="EQ12" s="559"/>
      <c r="ER12" s="559"/>
      <c r="ES12" s="559"/>
      <c r="ET12" s="559"/>
      <c r="EU12" s="559"/>
      <c r="EV12" s="559"/>
      <c r="EW12" s="559"/>
      <c r="EX12" s="559"/>
      <c r="EY12" s="559"/>
      <c r="EZ12" s="559"/>
      <c r="FA12" s="559"/>
      <c r="FB12" s="559"/>
      <c r="FC12" s="559"/>
      <c r="FD12" s="559"/>
      <c r="FE12" s="559"/>
      <c r="FF12" s="559"/>
      <c r="FG12" s="559"/>
      <c r="FH12" s="559"/>
      <c r="FI12" s="559"/>
      <c r="FJ12" s="559"/>
      <c r="FK12" s="559"/>
      <c r="FL12" s="559"/>
      <c r="FM12" s="559"/>
      <c r="FN12" s="559"/>
      <c r="FO12" s="559"/>
      <c r="FP12" s="559"/>
      <c r="FQ12" s="559"/>
      <c r="FR12" s="559"/>
      <c r="FS12" s="559"/>
    </row>
    <row r="13" spans="1:175" x14ac:dyDescent="0.3">
      <c r="A13" s="66"/>
      <c r="B13" s="37"/>
      <c r="C13" s="234"/>
      <c r="D13" s="127"/>
      <c r="E13" s="127"/>
      <c r="F13" s="127"/>
      <c r="G13" s="127"/>
      <c r="H13" s="86"/>
      <c r="I13" s="86"/>
      <c r="J13" s="127"/>
      <c r="K13" s="86"/>
      <c r="L13" s="86"/>
      <c r="M13" s="86"/>
      <c r="N13" s="127"/>
      <c r="O13" s="86"/>
      <c r="P13" s="86"/>
      <c r="Q13" s="86"/>
      <c r="R13" s="86"/>
      <c r="S13" s="86"/>
      <c r="T13" s="86"/>
      <c r="U13" s="86"/>
      <c r="V13" s="86"/>
      <c r="W13" s="86"/>
      <c r="X13" s="86"/>
      <c r="Y13" s="86"/>
      <c r="Z13" s="86"/>
      <c r="AA13" s="86"/>
      <c r="AB13" s="163"/>
      <c r="AF13" s="566"/>
      <c r="AG13" s="566"/>
    </row>
    <row r="14" spans="1:175" s="567" customFormat="1" x14ac:dyDescent="0.3">
      <c r="A14" s="375" t="s">
        <v>116</v>
      </c>
      <c r="B14" s="372" t="s">
        <v>1</v>
      </c>
      <c r="C14" s="374">
        <v>1</v>
      </c>
      <c r="D14" s="373">
        <v>0.86099999999999999</v>
      </c>
      <c r="E14" s="395"/>
      <c r="F14" s="395"/>
      <c r="G14" s="373">
        <v>0.04</v>
      </c>
      <c r="H14" s="395"/>
      <c r="I14" s="395"/>
      <c r="J14" s="395"/>
      <c r="K14" s="395"/>
      <c r="L14" s="395"/>
      <c r="M14" s="395"/>
      <c r="N14" s="395"/>
      <c r="O14" s="395"/>
      <c r="P14" s="395"/>
      <c r="Q14" s="395"/>
      <c r="R14" s="395"/>
      <c r="S14" s="395"/>
      <c r="T14" s="395"/>
      <c r="U14" s="395"/>
      <c r="V14" s="395"/>
      <c r="W14" s="395"/>
      <c r="X14" s="395"/>
      <c r="Y14" s="395"/>
      <c r="Z14" s="395"/>
      <c r="AA14" s="395"/>
      <c r="AB14" s="568"/>
      <c r="AC14" s="583" t="s">
        <v>1258</v>
      </c>
      <c r="AD14" s="583" t="s">
        <v>527</v>
      </c>
      <c r="AE14" s="559"/>
      <c r="AF14" s="566"/>
      <c r="AG14" s="566"/>
      <c r="AH14" s="559"/>
      <c r="AI14" s="559"/>
      <c r="AJ14" s="559"/>
      <c r="AK14" s="559"/>
      <c r="AL14" s="559"/>
      <c r="AM14" s="559"/>
      <c r="AN14" s="559"/>
      <c r="AO14" s="559"/>
      <c r="AP14" s="559"/>
      <c r="AQ14" s="559"/>
      <c r="AR14" s="559"/>
      <c r="AS14" s="559"/>
      <c r="AT14" s="559"/>
      <c r="AU14" s="559"/>
      <c r="AV14" s="559"/>
      <c r="AW14" s="559"/>
      <c r="AX14" s="559"/>
      <c r="AY14" s="559"/>
      <c r="AZ14" s="559"/>
      <c r="BA14" s="559"/>
      <c r="BB14" s="559"/>
      <c r="BC14" s="559"/>
      <c r="BD14" s="559"/>
      <c r="BE14" s="559"/>
      <c r="BF14" s="559"/>
      <c r="BG14" s="559"/>
      <c r="BH14" s="559"/>
      <c r="BI14" s="559"/>
      <c r="BJ14" s="559"/>
      <c r="BK14" s="559"/>
      <c r="BL14" s="559"/>
      <c r="BM14" s="559"/>
      <c r="BN14" s="559"/>
      <c r="BO14" s="559"/>
      <c r="BP14" s="559"/>
      <c r="BQ14" s="559"/>
      <c r="BR14" s="559"/>
      <c r="BS14" s="559"/>
      <c r="BT14" s="559"/>
      <c r="BU14" s="559"/>
      <c r="BV14" s="559"/>
      <c r="BW14" s="559"/>
      <c r="BX14" s="559"/>
      <c r="BY14" s="559"/>
      <c r="BZ14" s="559"/>
      <c r="CA14" s="559"/>
      <c r="CB14" s="559"/>
      <c r="CC14" s="559"/>
      <c r="CD14" s="559"/>
      <c r="CE14" s="559"/>
      <c r="CF14" s="559"/>
      <c r="CG14" s="559"/>
      <c r="CH14" s="559"/>
      <c r="CI14" s="559"/>
      <c r="CJ14" s="559"/>
      <c r="CK14" s="559"/>
      <c r="CL14" s="559"/>
      <c r="CM14" s="559"/>
      <c r="CN14" s="559"/>
      <c r="CO14" s="559"/>
      <c r="CP14" s="559"/>
      <c r="CQ14" s="559"/>
      <c r="CR14" s="559"/>
      <c r="CS14" s="559"/>
      <c r="CT14" s="559"/>
      <c r="CU14" s="559"/>
      <c r="CV14" s="559"/>
      <c r="CW14" s="559"/>
      <c r="CX14" s="559"/>
      <c r="CY14" s="559"/>
      <c r="CZ14" s="559"/>
      <c r="DA14" s="559"/>
      <c r="DB14" s="559"/>
      <c r="DC14" s="559"/>
      <c r="DD14" s="559"/>
      <c r="DE14" s="559"/>
      <c r="DF14" s="559"/>
      <c r="DG14" s="559"/>
      <c r="DH14" s="559"/>
      <c r="DI14" s="559"/>
      <c r="DJ14" s="559"/>
      <c r="DK14" s="559"/>
      <c r="DL14" s="559"/>
      <c r="DM14" s="559"/>
      <c r="DN14" s="559"/>
      <c r="DO14" s="559"/>
      <c r="DP14" s="559"/>
      <c r="DQ14" s="559"/>
      <c r="DR14" s="559"/>
      <c r="DS14" s="559"/>
      <c r="DT14" s="559"/>
      <c r="DU14" s="559"/>
      <c r="DV14" s="559"/>
      <c r="DW14" s="559"/>
      <c r="DX14" s="559"/>
      <c r="DY14" s="559"/>
      <c r="DZ14" s="559"/>
      <c r="EA14" s="559"/>
      <c r="EB14" s="559"/>
      <c r="EC14" s="559"/>
      <c r="ED14" s="559"/>
      <c r="EE14" s="559"/>
      <c r="EF14" s="559"/>
      <c r="EG14" s="559"/>
      <c r="EH14" s="559"/>
      <c r="EI14" s="559"/>
      <c r="EJ14" s="559"/>
      <c r="EK14" s="559"/>
      <c r="EL14" s="559"/>
      <c r="EM14" s="559"/>
      <c r="EN14" s="559"/>
      <c r="EO14" s="559"/>
      <c r="EP14" s="559"/>
      <c r="EQ14" s="559"/>
      <c r="ER14" s="559"/>
      <c r="ES14" s="559"/>
      <c r="ET14" s="559"/>
      <c r="EU14" s="559"/>
      <c r="EV14" s="559"/>
      <c r="EW14" s="559"/>
      <c r="EX14" s="559"/>
      <c r="EY14" s="559"/>
      <c r="EZ14" s="559"/>
      <c r="FA14" s="559"/>
      <c r="FB14" s="559"/>
      <c r="FC14" s="559"/>
      <c r="FD14" s="559"/>
      <c r="FE14" s="559"/>
      <c r="FF14" s="559"/>
      <c r="FG14" s="559"/>
      <c r="FH14" s="559"/>
      <c r="FI14" s="559"/>
      <c r="FJ14" s="559"/>
      <c r="FK14" s="559"/>
      <c r="FL14" s="559"/>
      <c r="FM14" s="559"/>
      <c r="FN14" s="559"/>
      <c r="FO14" s="559"/>
      <c r="FP14" s="559"/>
      <c r="FQ14" s="559"/>
      <c r="FR14" s="559"/>
      <c r="FS14" s="559"/>
    </row>
    <row r="15" spans="1:175" x14ac:dyDescent="0.3">
      <c r="A15" s="66"/>
      <c r="B15" s="37"/>
      <c r="C15" s="234"/>
      <c r="D15" s="127"/>
      <c r="E15" s="86"/>
      <c r="F15" s="86"/>
      <c r="G15" s="127"/>
      <c r="H15" s="86"/>
      <c r="I15" s="86"/>
      <c r="J15" s="86"/>
      <c r="K15" s="86"/>
      <c r="L15" s="86"/>
      <c r="M15" s="86"/>
      <c r="N15" s="86"/>
      <c r="O15" s="86"/>
      <c r="P15" s="86"/>
      <c r="Q15" s="86"/>
      <c r="R15" s="86"/>
      <c r="S15" s="86"/>
      <c r="T15" s="86"/>
      <c r="U15" s="86"/>
      <c r="V15" s="86"/>
      <c r="W15" s="86"/>
      <c r="X15" s="86"/>
      <c r="Y15" s="86"/>
      <c r="Z15" s="86"/>
      <c r="AA15" s="86"/>
      <c r="AB15" s="163"/>
      <c r="AF15" s="566"/>
      <c r="AG15" s="566"/>
    </row>
    <row r="16" spans="1:175" s="567" customFormat="1" x14ac:dyDescent="0.3">
      <c r="A16" s="375" t="s">
        <v>118</v>
      </c>
      <c r="B16" s="372" t="s">
        <v>1</v>
      </c>
      <c r="C16" s="374">
        <v>1</v>
      </c>
      <c r="D16" s="373">
        <v>0.54100000000000004</v>
      </c>
      <c r="E16" s="395"/>
      <c r="F16" s="395"/>
      <c r="G16" s="373">
        <v>1.4E-2</v>
      </c>
      <c r="H16" s="395"/>
      <c r="I16" s="395"/>
      <c r="J16" s="395"/>
      <c r="K16" s="395"/>
      <c r="L16" s="395"/>
      <c r="M16" s="395"/>
      <c r="N16" s="395"/>
      <c r="O16" s="395"/>
      <c r="P16" s="395"/>
      <c r="Q16" s="395"/>
      <c r="R16" s="395"/>
      <c r="S16" s="395"/>
      <c r="T16" s="395"/>
      <c r="U16" s="395"/>
      <c r="V16" s="395"/>
      <c r="W16" s="395"/>
      <c r="X16" s="395"/>
      <c r="Y16" s="395"/>
      <c r="Z16" s="395"/>
      <c r="AA16" s="395"/>
      <c r="AB16" s="568"/>
      <c r="AC16" s="583" t="s">
        <v>1258</v>
      </c>
      <c r="AD16" s="583" t="s">
        <v>527</v>
      </c>
      <c r="AE16" s="559"/>
      <c r="AF16" s="566"/>
      <c r="AG16" s="566"/>
      <c r="AH16" s="559"/>
      <c r="AI16" s="559"/>
      <c r="AJ16" s="559"/>
      <c r="AK16" s="559"/>
      <c r="AL16" s="559"/>
      <c r="AM16" s="559"/>
      <c r="AN16" s="559"/>
      <c r="AO16" s="559"/>
      <c r="AP16" s="559"/>
      <c r="AQ16" s="559"/>
      <c r="AR16" s="559"/>
      <c r="AS16" s="559"/>
      <c r="AT16" s="559"/>
      <c r="AU16" s="559"/>
      <c r="AV16" s="559"/>
      <c r="AW16" s="559"/>
      <c r="AX16" s="559"/>
      <c r="AY16" s="559"/>
      <c r="AZ16" s="559"/>
      <c r="BA16" s="559"/>
      <c r="BB16" s="559"/>
      <c r="BC16" s="559"/>
      <c r="BD16" s="559"/>
      <c r="BE16" s="559"/>
      <c r="BF16" s="559"/>
      <c r="BG16" s="559"/>
      <c r="BH16" s="559"/>
      <c r="BI16" s="559"/>
      <c r="BJ16" s="559"/>
      <c r="BK16" s="559"/>
      <c r="BL16" s="559"/>
      <c r="BM16" s="559"/>
      <c r="BN16" s="559"/>
      <c r="BO16" s="559"/>
      <c r="BP16" s="559"/>
      <c r="BQ16" s="559"/>
      <c r="BR16" s="559"/>
      <c r="BS16" s="559"/>
      <c r="BT16" s="559"/>
      <c r="BU16" s="559"/>
      <c r="BV16" s="559"/>
      <c r="BW16" s="559"/>
      <c r="BX16" s="559"/>
      <c r="BY16" s="559"/>
      <c r="BZ16" s="559"/>
      <c r="CA16" s="559"/>
      <c r="CB16" s="559"/>
      <c r="CC16" s="559"/>
      <c r="CD16" s="559"/>
      <c r="CE16" s="559"/>
      <c r="CF16" s="559"/>
      <c r="CG16" s="559"/>
      <c r="CH16" s="559"/>
      <c r="CI16" s="559"/>
      <c r="CJ16" s="559"/>
      <c r="CK16" s="559"/>
      <c r="CL16" s="559"/>
      <c r="CM16" s="559"/>
      <c r="CN16" s="559"/>
      <c r="CO16" s="559"/>
      <c r="CP16" s="559"/>
      <c r="CQ16" s="559"/>
      <c r="CR16" s="559"/>
      <c r="CS16" s="559"/>
      <c r="CT16" s="559"/>
      <c r="CU16" s="559"/>
      <c r="CV16" s="559"/>
      <c r="CW16" s="559"/>
      <c r="CX16" s="559"/>
      <c r="CY16" s="559"/>
      <c r="CZ16" s="559"/>
      <c r="DA16" s="559"/>
      <c r="DB16" s="559"/>
      <c r="DC16" s="559"/>
      <c r="DD16" s="559"/>
      <c r="DE16" s="559"/>
      <c r="DF16" s="559"/>
      <c r="DG16" s="559"/>
      <c r="DH16" s="559"/>
      <c r="DI16" s="559"/>
      <c r="DJ16" s="559"/>
      <c r="DK16" s="559"/>
      <c r="DL16" s="559"/>
      <c r="DM16" s="559"/>
      <c r="DN16" s="559"/>
      <c r="DO16" s="559"/>
      <c r="DP16" s="559"/>
      <c r="DQ16" s="559"/>
      <c r="DR16" s="559"/>
      <c r="DS16" s="559"/>
      <c r="DT16" s="559"/>
      <c r="DU16" s="559"/>
      <c r="DV16" s="559"/>
      <c r="DW16" s="559"/>
      <c r="DX16" s="559"/>
      <c r="DY16" s="559"/>
      <c r="DZ16" s="559"/>
      <c r="EA16" s="559"/>
      <c r="EB16" s="559"/>
      <c r="EC16" s="559"/>
      <c r="ED16" s="559"/>
      <c r="EE16" s="559"/>
      <c r="EF16" s="559"/>
      <c r="EG16" s="559"/>
      <c r="EH16" s="559"/>
      <c r="EI16" s="559"/>
      <c r="EJ16" s="559"/>
      <c r="EK16" s="559"/>
      <c r="EL16" s="559"/>
      <c r="EM16" s="559"/>
      <c r="EN16" s="559"/>
      <c r="EO16" s="559"/>
      <c r="EP16" s="559"/>
      <c r="EQ16" s="559"/>
      <c r="ER16" s="559"/>
      <c r="ES16" s="559"/>
      <c r="ET16" s="559"/>
      <c r="EU16" s="559"/>
      <c r="EV16" s="559"/>
      <c r="EW16" s="559"/>
      <c r="EX16" s="559"/>
      <c r="EY16" s="559"/>
      <c r="EZ16" s="559"/>
      <c r="FA16" s="559"/>
      <c r="FB16" s="559"/>
      <c r="FC16" s="559"/>
      <c r="FD16" s="559"/>
      <c r="FE16" s="559"/>
      <c r="FF16" s="559"/>
      <c r="FG16" s="559"/>
      <c r="FH16" s="559"/>
      <c r="FI16" s="559"/>
      <c r="FJ16" s="559"/>
      <c r="FK16" s="559"/>
      <c r="FL16" s="559"/>
      <c r="FM16" s="559"/>
      <c r="FN16" s="559"/>
      <c r="FO16" s="559"/>
      <c r="FP16" s="559"/>
      <c r="FQ16" s="559"/>
      <c r="FR16" s="559"/>
      <c r="FS16" s="559"/>
    </row>
    <row r="17" spans="1:175" x14ac:dyDescent="0.3">
      <c r="A17" s="66"/>
      <c r="B17" s="37"/>
      <c r="C17" s="234"/>
      <c r="D17" s="127"/>
      <c r="E17" s="86"/>
      <c r="F17" s="86"/>
      <c r="G17" s="127"/>
      <c r="H17" s="86"/>
      <c r="I17" s="86"/>
      <c r="J17" s="86"/>
      <c r="K17" s="86"/>
      <c r="L17" s="86"/>
      <c r="M17" s="86"/>
      <c r="N17" s="86"/>
      <c r="O17" s="86"/>
      <c r="P17" s="86"/>
      <c r="Q17" s="86"/>
      <c r="R17" s="86"/>
      <c r="S17" s="86"/>
      <c r="T17" s="86"/>
      <c r="U17" s="86"/>
      <c r="V17" s="86"/>
      <c r="W17" s="86"/>
      <c r="X17" s="86"/>
      <c r="Y17" s="86"/>
      <c r="Z17" s="86"/>
      <c r="AA17" s="86"/>
      <c r="AB17" s="163"/>
      <c r="AF17" s="566"/>
      <c r="AG17" s="566"/>
    </row>
    <row r="18" spans="1:175" s="567" customFormat="1" x14ac:dyDescent="0.3">
      <c r="A18" s="375" t="s">
        <v>114</v>
      </c>
      <c r="B18" s="372" t="s">
        <v>1</v>
      </c>
      <c r="C18" s="374">
        <v>1</v>
      </c>
      <c r="D18" s="373">
        <v>0.3</v>
      </c>
      <c r="E18" s="373">
        <v>0.3</v>
      </c>
      <c r="F18" s="373"/>
      <c r="G18" s="373">
        <v>9.0000000000000011E-3</v>
      </c>
      <c r="H18" s="395"/>
      <c r="I18" s="395"/>
      <c r="J18" s="395"/>
      <c r="K18" s="395"/>
      <c r="L18" s="395"/>
      <c r="M18" s="395"/>
      <c r="N18" s="395"/>
      <c r="O18" s="395"/>
      <c r="P18" s="395"/>
      <c r="Q18" s="395"/>
      <c r="R18" s="395"/>
      <c r="S18" s="395"/>
      <c r="T18" s="395"/>
      <c r="U18" s="395"/>
      <c r="V18" s="395"/>
      <c r="W18" s="395"/>
      <c r="X18" s="395"/>
      <c r="Y18" s="395"/>
      <c r="Z18" s="395"/>
      <c r="AA18" s="395"/>
      <c r="AB18" s="568"/>
      <c r="AC18" s="583" t="s">
        <v>1258</v>
      </c>
      <c r="AD18" s="583" t="s">
        <v>527</v>
      </c>
      <c r="AE18" s="559"/>
      <c r="AF18" s="566"/>
      <c r="AG18" s="566"/>
      <c r="AH18" s="559"/>
      <c r="AI18" s="559"/>
      <c r="AJ18" s="559"/>
      <c r="AK18" s="559"/>
      <c r="AL18" s="559"/>
      <c r="AM18" s="559"/>
      <c r="AN18" s="559"/>
      <c r="AO18" s="559"/>
      <c r="AP18" s="559"/>
      <c r="AQ18" s="559"/>
      <c r="AR18" s="559"/>
      <c r="AS18" s="559"/>
      <c r="AT18" s="559"/>
      <c r="AU18" s="559"/>
      <c r="AV18" s="559"/>
      <c r="AW18" s="559"/>
      <c r="AX18" s="559"/>
      <c r="AY18" s="559"/>
      <c r="AZ18" s="559"/>
      <c r="BA18" s="559"/>
      <c r="BB18" s="559"/>
      <c r="BC18" s="559"/>
      <c r="BD18" s="559"/>
      <c r="BE18" s="559"/>
      <c r="BF18" s="559"/>
      <c r="BG18" s="559"/>
      <c r="BH18" s="559"/>
      <c r="BI18" s="559"/>
      <c r="BJ18" s="559"/>
      <c r="BK18" s="559"/>
      <c r="BL18" s="559"/>
      <c r="BM18" s="559"/>
      <c r="BN18" s="559"/>
      <c r="BO18" s="559"/>
      <c r="BP18" s="559"/>
      <c r="BQ18" s="559"/>
      <c r="BR18" s="559"/>
      <c r="BS18" s="559"/>
      <c r="BT18" s="559"/>
      <c r="BU18" s="559"/>
      <c r="BV18" s="559"/>
      <c r="BW18" s="559"/>
      <c r="BX18" s="559"/>
      <c r="BY18" s="559"/>
      <c r="BZ18" s="559"/>
      <c r="CA18" s="559"/>
      <c r="CB18" s="559"/>
      <c r="CC18" s="559"/>
      <c r="CD18" s="559"/>
      <c r="CE18" s="559"/>
      <c r="CF18" s="559"/>
      <c r="CG18" s="559"/>
      <c r="CH18" s="559"/>
      <c r="CI18" s="559"/>
      <c r="CJ18" s="559"/>
      <c r="CK18" s="559"/>
      <c r="CL18" s="559"/>
      <c r="CM18" s="559"/>
      <c r="CN18" s="559"/>
      <c r="CO18" s="559"/>
      <c r="CP18" s="559"/>
      <c r="CQ18" s="559"/>
      <c r="CR18" s="559"/>
      <c r="CS18" s="559"/>
      <c r="CT18" s="559"/>
      <c r="CU18" s="559"/>
      <c r="CV18" s="559"/>
      <c r="CW18" s="559"/>
      <c r="CX18" s="559"/>
      <c r="CY18" s="559"/>
      <c r="CZ18" s="559"/>
      <c r="DA18" s="559"/>
      <c r="DB18" s="559"/>
      <c r="DC18" s="559"/>
      <c r="DD18" s="559"/>
      <c r="DE18" s="559"/>
      <c r="DF18" s="559"/>
      <c r="DG18" s="559"/>
      <c r="DH18" s="559"/>
      <c r="DI18" s="559"/>
      <c r="DJ18" s="559"/>
      <c r="DK18" s="559"/>
      <c r="DL18" s="559"/>
      <c r="DM18" s="559"/>
      <c r="DN18" s="559"/>
      <c r="DO18" s="559"/>
      <c r="DP18" s="559"/>
      <c r="DQ18" s="559"/>
      <c r="DR18" s="559"/>
      <c r="DS18" s="559"/>
      <c r="DT18" s="559"/>
      <c r="DU18" s="559"/>
      <c r="DV18" s="559"/>
      <c r="DW18" s="559"/>
      <c r="DX18" s="559"/>
      <c r="DY18" s="559"/>
      <c r="DZ18" s="559"/>
      <c r="EA18" s="559"/>
      <c r="EB18" s="559"/>
      <c r="EC18" s="559"/>
      <c r="ED18" s="559"/>
      <c r="EE18" s="559"/>
      <c r="EF18" s="559"/>
      <c r="EG18" s="559"/>
      <c r="EH18" s="559"/>
      <c r="EI18" s="559"/>
      <c r="EJ18" s="559"/>
      <c r="EK18" s="559"/>
      <c r="EL18" s="559"/>
      <c r="EM18" s="559"/>
      <c r="EN18" s="559"/>
      <c r="EO18" s="559"/>
      <c r="EP18" s="559"/>
      <c r="EQ18" s="559"/>
      <c r="ER18" s="559"/>
      <c r="ES18" s="559"/>
      <c r="ET18" s="559"/>
      <c r="EU18" s="559"/>
      <c r="EV18" s="559"/>
      <c r="EW18" s="559"/>
      <c r="EX18" s="559"/>
      <c r="EY18" s="559"/>
      <c r="EZ18" s="559"/>
      <c r="FA18" s="559"/>
      <c r="FB18" s="559"/>
      <c r="FC18" s="559"/>
      <c r="FD18" s="559"/>
      <c r="FE18" s="559"/>
      <c r="FF18" s="559"/>
      <c r="FG18" s="559"/>
      <c r="FH18" s="559"/>
      <c r="FI18" s="559"/>
      <c r="FJ18" s="559"/>
      <c r="FK18" s="559"/>
      <c r="FL18" s="559"/>
      <c r="FM18" s="559"/>
      <c r="FN18" s="559"/>
      <c r="FO18" s="559"/>
      <c r="FP18" s="559"/>
      <c r="FQ18" s="559"/>
      <c r="FR18" s="559"/>
      <c r="FS18" s="559"/>
    </row>
    <row r="19" spans="1:175" x14ac:dyDescent="0.3">
      <c r="A19" s="66"/>
      <c r="B19" s="37"/>
      <c r="C19" s="234"/>
      <c r="D19" s="127"/>
      <c r="E19" s="127"/>
      <c r="F19" s="127"/>
      <c r="G19" s="127"/>
      <c r="H19" s="86"/>
      <c r="I19" s="86"/>
      <c r="J19" s="86"/>
      <c r="K19" s="86"/>
      <c r="L19" s="86"/>
      <c r="M19" s="86"/>
      <c r="N19" s="86"/>
      <c r="O19" s="86"/>
      <c r="P19" s="86"/>
      <c r="Q19" s="86"/>
      <c r="R19" s="86"/>
      <c r="S19" s="86"/>
      <c r="T19" s="86"/>
      <c r="U19" s="86"/>
      <c r="V19" s="86"/>
      <c r="W19" s="86"/>
      <c r="X19" s="86"/>
      <c r="Y19" s="86"/>
      <c r="Z19" s="86"/>
      <c r="AA19" s="86"/>
      <c r="AB19" s="163"/>
      <c r="AF19" s="566"/>
      <c r="AG19" s="566"/>
    </row>
    <row r="20" spans="1:175" s="567" customFormat="1" x14ac:dyDescent="0.3">
      <c r="A20" s="375" t="s">
        <v>115</v>
      </c>
      <c r="B20" s="372" t="s">
        <v>1</v>
      </c>
      <c r="C20" s="374">
        <v>1</v>
      </c>
      <c r="D20" s="395"/>
      <c r="E20" s="373">
        <v>0.72399999999999998</v>
      </c>
      <c r="F20" s="373"/>
      <c r="G20" s="395"/>
      <c r="H20" s="395"/>
      <c r="I20" s="395"/>
      <c r="J20" s="395"/>
      <c r="K20" s="395"/>
      <c r="L20" s="395"/>
      <c r="M20" s="395"/>
      <c r="N20" s="395"/>
      <c r="O20" s="395"/>
      <c r="P20" s="395"/>
      <c r="Q20" s="395"/>
      <c r="R20" s="395"/>
      <c r="S20" s="395"/>
      <c r="T20" s="395"/>
      <c r="U20" s="395"/>
      <c r="V20" s="395"/>
      <c r="W20" s="395"/>
      <c r="X20" s="395"/>
      <c r="Y20" s="395"/>
      <c r="Z20" s="395"/>
      <c r="AA20" s="395"/>
      <c r="AB20" s="568"/>
      <c r="AC20" s="583" t="s">
        <v>1258</v>
      </c>
      <c r="AD20" s="583" t="s">
        <v>527</v>
      </c>
      <c r="AE20" s="559"/>
      <c r="AF20" s="566"/>
      <c r="AG20" s="566"/>
      <c r="AH20" s="559"/>
      <c r="AI20" s="559"/>
      <c r="AJ20" s="559"/>
      <c r="AK20" s="559"/>
      <c r="AL20" s="559"/>
      <c r="AM20" s="559"/>
      <c r="AN20" s="559"/>
      <c r="AO20" s="559"/>
      <c r="AP20" s="559"/>
      <c r="AQ20" s="559"/>
      <c r="AR20" s="559"/>
      <c r="AS20" s="559"/>
      <c r="AT20" s="559"/>
      <c r="AU20" s="559"/>
      <c r="AV20" s="559"/>
      <c r="AW20" s="559"/>
      <c r="AX20" s="559"/>
      <c r="AY20" s="559"/>
      <c r="AZ20" s="559"/>
      <c r="BA20" s="559"/>
      <c r="BB20" s="559"/>
      <c r="BC20" s="559"/>
      <c r="BD20" s="559"/>
      <c r="BE20" s="559"/>
      <c r="BF20" s="559"/>
      <c r="BG20" s="559"/>
      <c r="BH20" s="559"/>
      <c r="BI20" s="559"/>
      <c r="BJ20" s="559"/>
      <c r="BK20" s="559"/>
      <c r="BL20" s="559"/>
      <c r="BM20" s="559"/>
      <c r="BN20" s="559"/>
      <c r="BO20" s="559"/>
      <c r="BP20" s="559"/>
      <c r="BQ20" s="559"/>
      <c r="BR20" s="559"/>
      <c r="BS20" s="559"/>
      <c r="BT20" s="559"/>
      <c r="BU20" s="559"/>
      <c r="BV20" s="559"/>
      <c r="BW20" s="559"/>
      <c r="BX20" s="559"/>
      <c r="BY20" s="559"/>
      <c r="BZ20" s="559"/>
      <c r="CA20" s="559"/>
      <c r="CB20" s="559"/>
      <c r="CC20" s="559"/>
      <c r="CD20" s="559"/>
      <c r="CE20" s="559"/>
      <c r="CF20" s="559"/>
      <c r="CG20" s="559"/>
      <c r="CH20" s="559"/>
      <c r="CI20" s="559"/>
      <c r="CJ20" s="559"/>
      <c r="CK20" s="559"/>
      <c r="CL20" s="559"/>
      <c r="CM20" s="559"/>
      <c r="CN20" s="559"/>
      <c r="CO20" s="559"/>
      <c r="CP20" s="559"/>
      <c r="CQ20" s="559"/>
      <c r="CR20" s="559"/>
      <c r="CS20" s="559"/>
      <c r="CT20" s="559"/>
      <c r="CU20" s="559"/>
      <c r="CV20" s="559"/>
      <c r="CW20" s="559"/>
      <c r="CX20" s="559"/>
      <c r="CY20" s="559"/>
      <c r="CZ20" s="559"/>
      <c r="DA20" s="559"/>
      <c r="DB20" s="559"/>
      <c r="DC20" s="559"/>
      <c r="DD20" s="559"/>
      <c r="DE20" s="559"/>
      <c r="DF20" s="559"/>
      <c r="DG20" s="559"/>
      <c r="DH20" s="559"/>
      <c r="DI20" s="559"/>
      <c r="DJ20" s="559"/>
      <c r="DK20" s="559"/>
      <c r="DL20" s="559"/>
      <c r="DM20" s="559"/>
      <c r="DN20" s="559"/>
      <c r="DO20" s="559"/>
      <c r="DP20" s="559"/>
      <c r="DQ20" s="559"/>
      <c r="DR20" s="559"/>
      <c r="DS20" s="559"/>
      <c r="DT20" s="559"/>
      <c r="DU20" s="559"/>
      <c r="DV20" s="559"/>
      <c r="DW20" s="559"/>
      <c r="DX20" s="559"/>
      <c r="DY20" s="559"/>
      <c r="DZ20" s="559"/>
      <c r="EA20" s="559"/>
      <c r="EB20" s="559"/>
      <c r="EC20" s="559"/>
      <c r="ED20" s="559"/>
      <c r="EE20" s="559"/>
      <c r="EF20" s="559"/>
      <c r="EG20" s="559"/>
      <c r="EH20" s="559"/>
      <c r="EI20" s="559"/>
      <c r="EJ20" s="559"/>
      <c r="EK20" s="559"/>
      <c r="EL20" s="559"/>
      <c r="EM20" s="559"/>
      <c r="EN20" s="559"/>
      <c r="EO20" s="559"/>
      <c r="EP20" s="559"/>
      <c r="EQ20" s="559"/>
      <c r="ER20" s="559"/>
      <c r="ES20" s="559"/>
      <c r="ET20" s="559"/>
      <c r="EU20" s="559"/>
      <c r="EV20" s="559"/>
      <c r="EW20" s="559"/>
      <c r="EX20" s="559"/>
      <c r="EY20" s="559"/>
      <c r="EZ20" s="559"/>
      <c r="FA20" s="559"/>
      <c r="FB20" s="559"/>
      <c r="FC20" s="559"/>
      <c r="FD20" s="559"/>
      <c r="FE20" s="559"/>
      <c r="FF20" s="559"/>
      <c r="FG20" s="559"/>
      <c r="FH20" s="559"/>
      <c r="FI20" s="559"/>
      <c r="FJ20" s="559"/>
      <c r="FK20" s="559"/>
      <c r="FL20" s="559"/>
      <c r="FM20" s="559"/>
      <c r="FN20" s="559"/>
      <c r="FO20" s="559"/>
      <c r="FP20" s="559"/>
      <c r="FQ20" s="559"/>
      <c r="FR20" s="559"/>
      <c r="FS20" s="559"/>
    </row>
    <row r="21" spans="1:175" x14ac:dyDescent="0.3">
      <c r="A21" s="66"/>
      <c r="B21" s="37"/>
      <c r="C21" s="234"/>
      <c r="D21" s="86"/>
      <c r="E21" s="127"/>
      <c r="F21" s="127"/>
      <c r="G21" s="86"/>
      <c r="H21" s="86"/>
      <c r="I21" s="86"/>
      <c r="J21" s="86"/>
      <c r="K21" s="86"/>
      <c r="L21" s="86"/>
      <c r="M21" s="86"/>
      <c r="N21" s="86"/>
      <c r="O21" s="86"/>
      <c r="P21" s="86"/>
      <c r="Q21" s="86"/>
      <c r="R21" s="86"/>
      <c r="S21" s="86"/>
      <c r="T21" s="86"/>
      <c r="U21" s="86"/>
      <c r="V21" s="86"/>
      <c r="W21" s="86"/>
      <c r="X21" s="86"/>
      <c r="Y21" s="86"/>
      <c r="Z21" s="86"/>
      <c r="AA21" s="86"/>
      <c r="AB21" s="163"/>
      <c r="AF21" s="566"/>
      <c r="AG21" s="566"/>
    </row>
    <row r="22" spans="1:175" s="567" customFormat="1" x14ac:dyDescent="0.3">
      <c r="A22" s="375" t="s">
        <v>120</v>
      </c>
      <c r="B22" s="372" t="s">
        <v>1</v>
      </c>
      <c r="C22" s="374">
        <v>1</v>
      </c>
      <c r="D22" s="395"/>
      <c r="E22" s="395"/>
      <c r="F22" s="395"/>
      <c r="G22" s="395"/>
      <c r="H22" s="395">
        <v>0.09</v>
      </c>
      <c r="I22" s="395">
        <v>0.09</v>
      </c>
      <c r="J22" s="395"/>
      <c r="K22" s="395"/>
      <c r="L22" s="395"/>
      <c r="M22" s="395"/>
      <c r="N22" s="395"/>
      <c r="O22" s="395"/>
      <c r="P22" s="395"/>
      <c r="Q22" s="395"/>
      <c r="R22" s="395"/>
      <c r="S22" s="395"/>
      <c r="T22" s="395">
        <v>0.34</v>
      </c>
      <c r="U22" s="395"/>
      <c r="V22" s="395">
        <v>0.34</v>
      </c>
      <c r="W22" s="395">
        <v>0.15</v>
      </c>
      <c r="X22" s="395"/>
      <c r="Y22" s="395"/>
      <c r="Z22" s="395"/>
      <c r="AA22" s="395"/>
      <c r="AB22" s="568"/>
      <c r="AC22" s="583" t="s">
        <v>1259</v>
      </c>
      <c r="AD22" s="118" t="s">
        <v>778</v>
      </c>
      <c r="AE22" s="559"/>
      <c r="AF22" s="566"/>
      <c r="AG22" s="566"/>
      <c r="AH22" s="559"/>
      <c r="AI22" s="559"/>
      <c r="AJ22" s="559"/>
      <c r="AK22" s="559"/>
      <c r="AL22" s="559"/>
      <c r="AM22" s="559"/>
      <c r="AN22" s="559"/>
      <c r="AO22" s="559"/>
      <c r="AP22" s="559"/>
      <c r="AQ22" s="559"/>
      <c r="AR22" s="559"/>
      <c r="AS22" s="559"/>
      <c r="AT22" s="559"/>
      <c r="AU22" s="559"/>
      <c r="AV22" s="559"/>
      <c r="AW22" s="559"/>
      <c r="AX22" s="559"/>
      <c r="AY22" s="559"/>
      <c r="AZ22" s="559"/>
      <c r="BA22" s="559"/>
      <c r="BB22" s="559"/>
      <c r="BC22" s="559"/>
      <c r="BD22" s="559"/>
      <c r="BE22" s="559"/>
      <c r="BF22" s="559"/>
      <c r="BG22" s="559"/>
      <c r="BH22" s="559"/>
      <c r="BI22" s="559"/>
      <c r="BJ22" s="559"/>
      <c r="BK22" s="559"/>
      <c r="BL22" s="559"/>
      <c r="BM22" s="559"/>
      <c r="BN22" s="559"/>
      <c r="BO22" s="559"/>
      <c r="BP22" s="559"/>
      <c r="BQ22" s="559"/>
      <c r="BR22" s="559"/>
      <c r="BS22" s="559"/>
      <c r="BT22" s="559"/>
      <c r="BU22" s="559"/>
      <c r="BV22" s="559"/>
      <c r="BW22" s="559"/>
      <c r="BX22" s="559"/>
      <c r="BY22" s="559"/>
      <c r="BZ22" s="559"/>
      <c r="CA22" s="559"/>
      <c r="CB22" s="559"/>
      <c r="CC22" s="559"/>
      <c r="CD22" s="559"/>
      <c r="CE22" s="559"/>
      <c r="CF22" s="559"/>
      <c r="CG22" s="559"/>
      <c r="CH22" s="559"/>
      <c r="CI22" s="559"/>
      <c r="CJ22" s="559"/>
      <c r="CK22" s="559"/>
      <c r="CL22" s="559"/>
      <c r="CM22" s="559"/>
      <c r="CN22" s="559"/>
      <c r="CO22" s="559"/>
      <c r="CP22" s="559"/>
      <c r="CQ22" s="559"/>
      <c r="CR22" s="559"/>
      <c r="CS22" s="559"/>
      <c r="CT22" s="559"/>
      <c r="CU22" s="559"/>
      <c r="CV22" s="559"/>
      <c r="CW22" s="559"/>
      <c r="CX22" s="559"/>
      <c r="CY22" s="559"/>
      <c r="CZ22" s="559"/>
      <c r="DA22" s="559"/>
      <c r="DB22" s="559"/>
      <c r="DC22" s="559"/>
      <c r="DD22" s="559"/>
      <c r="DE22" s="559"/>
      <c r="DF22" s="559"/>
      <c r="DG22" s="559"/>
      <c r="DH22" s="559"/>
      <c r="DI22" s="559"/>
      <c r="DJ22" s="559"/>
      <c r="DK22" s="559"/>
      <c r="DL22" s="559"/>
      <c r="DM22" s="559"/>
      <c r="DN22" s="559"/>
      <c r="DO22" s="559"/>
      <c r="DP22" s="559"/>
      <c r="DQ22" s="559"/>
      <c r="DR22" s="559"/>
      <c r="DS22" s="559"/>
      <c r="DT22" s="559"/>
      <c r="DU22" s="559"/>
      <c r="DV22" s="559"/>
      <c r="DW22" s="559"/>
      <c r="DX22" s="559"/>
      <c r="DY22" s="559"/>
      <c r="DZ22" s="559"/>
      <c r="EA22" s="559"/>
      <c r="EB22" s="559"/>
      <c r="EC22" s="559"/>
      <c r="ED22" s="559"/>
      <c r="EE22" s="559"/>
      <c r="EF22" s="559"/>
      <c r="EG22" s="559"/>
      <c r="EH22" s="559"/>
      <c r="EI22" s="559"/>
      <c r="EJ22" s="559"/>
      <c r="EK22" s="559"/>
      <c r="EL22" s="559"/>
      <c r="EM22" s="559"/>
      <c r="EN22" s="559"/>
      <c r="EO22" s="559"/>
      <c r="EP22" s="559"/>
      <c r="EQ22" s="559"/>
      <c r="ER22" s="559"/>
      <c r="ES22" s="559"/>
      <c r="ET22" s="559"/>
      <c r="EU22" s="559"/>
      <c r="EV22" s="559"/>
      <c r="EW22" s="559"/>
      <c r="EX22" s="559"/>
      <c r="EY22" s="559"/>
      <c r="EZ22" s="559"/>
      <c r="FA22" s="559"/>
      <c r="FB22" s="559"/>
      <c r="FC22" s="559"/>
      <c r="FD22" s="559"/>
      <c r="FE22" s="559"/>
      <c r="FF22" s="559"/>
      <c r="FG22" s="559"/>
      <c r="FH22" s="559"/>
      <c r="FI22" s="559"/>
      <c r="FJ22" s="559"/>
      <c r="FK22" s="559"/>
      <c r="FL22" s="559"/>
      <c r="FM22" s="559"/>
      <c r="FN22" s="559"/>
      <c r="FO22" s="559"/>
      <c r="FP22" s="559"/>
      <c r="FQ22" s="559"/>
      <c r="FR22" s="559"/>
      <c r="FS22" s="559"/>
    </row>
    <row r="23" spans="1:175" x14ac:dyDescent="0.3">
      <c r="A23" s="66"/>
      <c r="B23" s="37"/>
      <c r="C23" s="234"/>
      <c r="D23" s="86"/>
      <c r="E23" s="86"/>
      <c r="F23" s="86"/>
      <c r="G23" s="86"/>
      <c r="H23" s="86"/>
      <c r="I23" s="86"/>
      <c r="J23" s="86"/>
      <c r="K23" s="86"/>
      <c r="L23" s="86"/>
      <c r="M23" s="86"/>
      <c r="N23" s="86"/>
      <c r="O23" s="86"/>
      <c r="P23" s="86"/>
      <c r="Q23" s="86"/>
      <c r="R23" s="86"/>
      <c r="S23" s="86"/>
      <c r="T23" s="86"/>
      <c r="U23" s="86"/>
      <c r="V23" s="86"/>
      <c r="W23" s="86"/>
      <c r="X23" s="86"/>
      <c r="Y23" s="86"/>
      <c r="Z23" s="86"/>
      <c r="AA23" s="86"/>
      <c r="AB23" s="163"/>
      <c r="AF23" s="566"/>
      <c r="AG23" s="566"/>
    </row>
    <row r="24" spans="1:175" s="567" customFormat="1" x14ac:dyDescent="0.3">
      <c r="A24" s="375" t="s">
        <v>112</v>
      </c>
      <c r="B24" s="372" t="s">
        <v>1</v>
      </c>
      <c r="C24" s="374">
        <v>1</v>
      </c>
      <c r="D24" s="395"/>
      <c r="E24" s="395"/>
      <c r="F24" s="395"/>
      <c r="G24" s="395">
        <v>0.41</v>
      </c>
      <c r="H24" s="395">
        <v>0.41</v>
      </c>
      <c r="I24" s="395"/>
      <c r="J24" s="395"/>
      <c r="K24" s="395"/>
      <c r="L24" s="395"/>
      <c r="M24" s="395"/>
      <c r="N24" s="395"/>
      <c r="O24" s="395"/>
      <c r="P24" s="395"/>
      <c r="Q24" s="395"/>
      <c r="R24" s="395"/>
      <c r="S24" s="395"/>
      <c r="T24" s="395"/>
      <c r="U24" s="395"/>
      <c r="V24" s="395"/>
      <c r="W24" s="395"/>
      <c r="X24" s="395"/>
      <c r="Y24" s="395"/>
      <c r="Z24" s="395"/>
      <c r="AA24" s="395"/>
      <c r="AB24" s="568"/>
      <c r="AC24" s="582" t="s">
        <v>1260</v>
      </c>
      <c r="AD24" s="583" t="s">
        <v>527</v>
      </c>
      <c r="AE24" s="559"/>
      <c r="AF24" s="566"/>
      <c r="AG24" s="566"/>
      <c r="AH24" s="559"/>
      <c r="AI24" s="559"/>
      <c r="AJ24" s="559"/>
      <c r="AK24" s="559"/>
      <c r="AL24" s="559"/>
      <c r="AM24" s="559"/>
      <c r="AN24" s="559"/>
      <c r="AO24" s="559"/>
      <c r="AP24" s="559"/>
      <c r="AQ24" s="559"/>
      <c r="AR24" s="559"/>
      <c r="AS24" s="559"/>
      <c r="AT24" s="559"/>
      <c r="AU24" s="559"/>
      <c r="AV24" s="559"/>
      <c r="AW24" s="559"/>
      <c r="AX24" s="559"/>
      <c r="AY24" s="559"/>
      <c r="AZ24" s="559"/>
      <c r="BA24" s="559"/>
      <c r="BB24" s="559"/>
      <c r="BC24" s="559"/>
      <c r="BD24" s="559"/>
      <c r="BE24" s="559"/>
      <c r="BF24" s="559"/>
      <c r="BG24" s="559"/>
      <c r="BH24" s="559"/>
      <c r="BI24" s="559"/>
      <c r="BJ24" s="559"/>
      <c r="BK24" s="559"/>
      <c r="BL24" s="559"/>
      <c r="BM24" s="559"/>
      <c r="BN24" s="559"/>
      <c r="BO24" s="559"/>
      <c r="BP24" s="559"/>
      <c r="BQ24" s="559"/>
      <c r="BR24" s="559"/>
      <c r="BS24" s="559"/>
      <c r="BT24" s="559"/>
      <c r="BU24" s="559"/>
      <c r="BV24" s="559"/>
      <c r="BW24" s="559"/>
      <c r="BX24" s="559"/>
      <c r="BY24" s="559"/>
      <c r="BZ24" s="559"/>
      <c r="CA24" s="559"/>
      <c r="CB24" s="559"/>
      <c r="CC24" s="559"/>
      <c r="CD24" s="559"/>
      <c r="CE24" s="559"/>
      <c r="CF24" s="559"/>
      <c r="CG24" s="559"/>
      <c r="CH24" s="559"/>
      <c r="CI24" s="559"/>
      <c r="CJ24" s="559"/>
      <c r="CK24" s="559"/>
      <c r="CL24" s="559"/>
      <c r="CM24" s="559"/>
      <c r="CN24" s="559"/>
      <c r="CO24" s="559"/>
      <c r="CP24" s="559"/>
      <c r="CQ24" s="559"/>
      <c r="CR24" s="559"/>
      <c r="CS24" s="559"/>
      <c r="CT24" s="559"/>
      <c r="CU24" s="559"/>
      <c r="CV24" s="559"/>
      <c r="CW24" s="559"/>
      <c r="CX24" s="559"/>
      <c r="CY24" s="559"/>
      <c r="CZ24" s="559"/>
      <c r="DA24" s="559"/>
      <c r="DB24" s="559"/>
      <c r="DC24" s="559"/>
      <c r="DD24" s="559"/>
      <c r="DE24" s="559"/>
      <c r="DF24" s="559"/>
      <c r="DG24" s="559"/>
      <c r="DH24" s="559"/>
      <c r="DI24" s="559"/>
      <c r="DJ24" s="559"/>
      <c r="DK24" s="559"/>
      <c r="DL24" s="559"/>
      <c r="DM24" s="559"/>
      <c r="DN24" s="559"/>
      <c r="DO24" s="559"/>
      <c r="DP24" s="559"/>
      <c r="DQ24" s="559"/>
      <c r="DR24" s="559"/>
      <c r="DS24" s="559"/>
      <c r="DT24" s="559"/>
      <c r="DU24" s="559"/>
      <c r="DV24" s="559"/>
      <c r="DW24" s="559"/>
      <c r="DX24" s="559"/>
      <c r="DY24" s="559"/>
      <c r="DZ24" s="559"/>
      <c r="EA24" s="559"/>
      <c r="EB24" s="559"/>
      <c r="EC24" s="559"/>
      <c r="ED24" s="559"/>
      <c r="EE24" s="559"/>
      <c r="EF24" s="559"/>
      <c r="EG24" s="559"/>
      <c r="EH24" s="559"/>
      <c r="EI24" s="559"/>
      <c r="EJ24" s="559"/>
      <c r="EK24" s="559"/>
      <c r="EL24" s="559"/>
      <c r="EM24" s="559"/>
      <c r="EN24" s="559"/>
      <c r="EO24" s="559"/>
      <c r="EP24" s="559"/>
      <c r="EQ24" s="559"/>
      <c r="ER24" s="559"/>
      <c r="ES24" s="559"/>
      <c r="ET24" s="559"/>
      <c r="EU24" s="559"/>
      <c r="EV24" s="559"/>
      <c r="EW24" s="559"/>
      <c r="EX24" s="559"/>
      <c r="EY24" s="559"/>
      <c r="EZ24" s="559"/>
      <c r="FA24" s="559"/>
      <c r="FB24" s="559"/>
      <c r="FC24" s="559"/>
      <c r="FD24" s="559"/>
      <c r="FE24" s="559"/>
      <c r="FF24" s="559"/>
      <c r="FG24" s="559"/>
      <c r="FH24" s="559"/>
      <c r="FI24" s="559"/>
      <c r="FJ24" s="559"/>
      <c r="FK24" s="559"/>
      <c r="FL24" s="559"/>
      <c r="FM24" s="559"/>
      <c r="FN24" s="559"/>
      <c r="FO24" s="559"/>
      <c r="FP24" s="559"/>
      <c r="FQ24" s="559"/>
      <c r="FR24" s="559"/>
      <c r="FS24" s="559"/>
    </row>
    <row r="25" spans="1:175" x14ac:dyDescent="0.3">
      <c r="A25" s="66"/>
      <c r="B25" s="37"/>
      <c r="C25" s="234"/>
      <c r="D25" s="86"/>
      <c r="E25" s="86"/>
      <c r="F25" s="86"/>
      <c r="G25" s="86"/>
      <c r="H25" s="86"/>
      <c r="I25" s="86"/>
      <c r="J25" s="86"/>
      <c r="K25" s="86"/>
      <c r="L25" s="86"/>
      <c r="M25" s="86"/>
      <c r="N25" s="86"/>
      <c r="O25" s="86"/>
      <c r="P25" s="86"/>
      <c r="Q25" s="86"/>
      <c r="R25" s="86"/>
      <c r="S25" s="86"/>
      <c r="T25" s="86"/>
      <c r="U25" s="86"/>
      <c r="V25" s="86"/>
      <c r="W25" s="86"/>
      <c r="X25" s="86"/>
      <c r="Y25" s="86"/>
      <c r="Z25" s="86"/>
      <c r="AA25" s="86"/>
      <c r="AB25" s="163"/>
      <c r="AF25" s="566"/>
      <c r="AG25" s="566"/>
    </row>
    <row r="26" spans="1:175" s="567" customFormat="1" x14ac:dyDescent="0.3">
      <c r="A26" s="375" t="s">
        <v>458</v>
      </c>
      <c r="B26" s="372" t="s">
        <v>1</v>
      </c>
      <c r="C26" s="374">
        <v>1</v>
      </c>
      <c r="D26" s="395"/>
      <c r="E26" s="395"/>
      <c r="F26" s="395"/>
      <c r="G26" s="395">
        <v>0.2</v>
      </c>
      <c r="H26" s="395">
        <v>0.2</v>
      </c>
      <c r="I26" s="395"/>
      <c r="J26" s="395"/>
      <c r="K26" s="395"/>
      <c r="L26" s="395"/>
      <c r="M26" s="569"/>
      <c r="N26" s="395"/>
      <c r="O26" s="395"/>
      <c r="P26" s="395"/>
      <c r="Q26" s="395"/>
      <c r="R26" s="395"/>
      <c r="S26" s="395"/>
      <c r="T26" s="395"/>
      <c r="U26" s="395"/>
      <c r="V26" s="395"/>
      <c r="W26" s="395"/>
      <c r="X26" s="395"/>
      <c r="Y26" s="395"/>
      <c r="Z26" s="395"/>
      <c r="AA26" s="395"/>
      <c r="AB26" s="568"/>
      <c r="AC26" s="582" t="s">
        <v>1260</v>
      </c>
      <c r="AD26" s="583" t="s">
        <v>527</v>
      </c>
      <c r="AE26" s="559"/>
      <c r="AF26" s="566"/>
      <c r="AG26" s="566"/>
      <c r="AH26" s="559"/>
      <c r="AI26" s="559"/>
      <c r="AJ26" s="559"/>
      <c r="AK26" s="559"/>
      <c r="AL26" s="559"/>
      <c r="AM26" s="559"/>
      <c r="AN26" s="559"/>
      <c r="AO26" s="559"/>
      <c r="AP26" s="559"/>
      <c r="AQ26" s="559"/>
      <c r="AR26" s="559"/>
      <c r="AS26" s="559"/>
      <c r="AT26" s="559"/>
      <c r="AU26" s="559"/>
      <c r="AV26" s="559"/>
      <c r="AW26" s="559"/>
      <c r="AX26" s="559"/>
      <c r="AY26" s="559"/>
      <c r="AZ26" s="559"/>
      <c r="BA26" s="559"/>
      <c r="BB26" s="559"/>
      <c r="BC26" s="559"/>
      <c r="BD26" s="559"/>
      <c r="BE26" s="559"/>
      <c r="BF26" s="559"/>
      <c r="BG26" s="559"/>
      <c r="BH26" s="559"/>
      <c r="BI26" s="559"/>
      <c r="BJ26" s="559"/>
      <c r="BK26" s="559"/>
      <c r="BL26" s="559"/>
      <c r="BM26" s="559"/>
      <c r="BN26" s="559"/>
      <c r="BO26" s="559"/>
      <c r="BP26" s="559"/>
      <c r="BQ26" s="559"/>
      <c r="BR26" s="559"/>
      <c r="BS26" s="559"/>
      <c r="BT26" s="559"/>
      <c r="BU26" s="559"/>
      <c r="BV26" s="559"/>
      <c r="BW26" s="559"/>
      <c r="BX26" s="559"/>
      <c r="BY26" s="559"/>
      <c r="BZ26" s="559"/>
      <c r="CA26" s="559"/>
      <c r="CB26" s="559"/>
      <c r="CC26" s="559"/>
      <c r="CD26" s="559"/>
      <c r="CE26" s="559"/>
      <c r="CF26" s="559"/>
      <c r="CG26" s="559"/>
      <c r="CH26" s="559"/>
      <c r="CI26" s="559"/>
      <c r="CJ26" s="559"/>
      <c r="CK26" s="559"/>
      <c r="CL26" s="559"/>
      <c r="CM26" s="559"/>
      <c r="CN26" s="559"/>
      <c r="CO26" s="559"/>
      <c r="CP26" s="559"/>
      <c r="CQ26" s="559"/>
      <c r="CR26" s="559"/>
      <c r="CS26" s="559"/>
      <c r="CT26" s="559"/>
      <c r="CU26" s="559"/>
      <c r="CV26" s="559"/>
      <c r="CW26" s="559"/>
      <c r="CX26" s="559"/>
      <c r="CY26" s="559"/>
      <c r="CZ26" s="559"/>
      <c r="DA26" s="559"/>
      <c r="DB26" s="559"/>
      <c r="DC26" s="559"/>
      <c r="DD26" s="559"/>
      <c r="DE26" s="559"/>
      <c r="DF26" s="559"/>
      <c r="DG26" s="559"/>
      <c r="DH26" s="559"/>
      <c r="DI26" s="559"/>
      <c r="DJ26" s="559"/>
      <c r="DK26" s="559"/>
      <c r="DL26" s="559"/>
      <c r="DM26" s="559"/>
      <c r="DN26" s="559"/>
      <c r="DO26" s="559"/>
      <c r="DP26" s="559"/>
      <c r="DQ26" s="559"/>
      <c r="DR26" s="559"/>
      <c r="DS26" s="559"/>
      <c r="DT26" s="559"/>
      <c r="DU26" s="559"/>
      <c r="DV26" s="559"/>
      <c r="DW26" s="559"/>
      <c r="DX26" s="559"/>
      <c r="DY26" s="559"/>
      <c r="DZ26" s="559"/>
      <c r="EA26" s="559"/>
      <c r="EB26" s="559"/>
      <c r="EC26" s="559"/>
      <c r="ED26" s="559"/>
      <c r="EE26" s="559"/>
      <c r="EF26" s="559"/>
      <c r="EG26" s="559"/>
      <c r="EH26" s="559"/>
      <c r="EI26" s="559"/>
      <c r="EJ26" s="559"/>
      <c r="EK26" s="559"/>
      <c r="EL26" s="559"/>
      <c r="EM26" s="559"/>
      <c r="EN26" s="559"/>
      <c r="EO26" s="559"/>
      <c r="EP26" s="559"/>
      <c r="EQ26" s="559"/>
      <c r="ER26" s="559"/>
      <c r="ES26" s="559"/>
      <c r="ET26" s="559"/>
      <c r="EU26" s="559"/>
      <c r="EV26" s="559"/>
      <c r="EW26" s="559"/>
      <c r="EX26" s="559"/>
      <c r="EY26" s="559"/>
      <c r="EZ26" s="559"/>
      <c r="FA26" s="559"/>
      <c r="FB26" s="559"/>
      <c r="FC26" s="559"/>
      <c r="FD26" s="559"/>
      <c r="FE26" s="559"/>
      <c r="FF26" s="559"/>
      <c r="FG26" s="559"/>
      <c r="FH26" s="559"/>
      <c r="FI26" s="559"/>
      <c r="FJ26" s="559"/>
      <c r="FK26" s="559"/>
      <c r="FL26" s="559"/>
      <c r="FM26" s="559"/>
      <c r="FN26" s="559"/>
      <c r="FO26" s="559"/>
      <c r="FP26" s="559"/>
      <c r="FQ26" s="559"/>
      <c r="FR26" s="559"/>
      <c r="FS26" s="559"/>
    </row>
    <row r="27" spans="1:175" x14ac:dyDescent="0.3">
      <c r="A27" s="66"/>
      <c r="B27" s="37"/>
      <c r="C27" s="234"/>
      <c r="D27" s="86"/>
      <c r="E27" s="86"/>
      <c r="F27" s="86"/>
      <c r="G27" s="86"/>
      <c r="H27" s="86"/>
      <c r="I27" s="86"/>
      <c r="J27" s="86"/>
      <c r="K27" s="86"/>
      <c r="L27" s="86"/>
      <c r="M27" s="204"/>
      <c r="N27" s="86"/>
      <c r="O27" s="86"/>
      <c r="P27" s="86"/>
      <c r="Q27" s="86"/>
      <c r="R27" s="86"/>
      <c r="S27" s="86"/>
      <c r="T27" s="86"/>
      <c r="U27" s="86"/>
      <c r="V27" s="86"/>
      <c r="W27" s="86"/>
      <c r="X27" s="86"/>
      <c r="Y27" s="86"/>
      <c r="Z27" s="86"/>
      <c r="AA27" s="86"/>
      <c r="AB27" s="163"/>
      <c r="AF27" s="566"/>
      <c r="AG27" s="566"/>
    </row>
    <row r="28" spans="1:175" s="567" customFormat="1" x14ac:dyDescent="0.3">
      <c r="A28" s="375" t="s">
        <v>513</v>
      </c>
      <c r="B28" s="372" t="s">
        <v>1</v>
      </c>
      <c r="C28" s="374">
        <v>1</v>
      </c>
      <c r="D28" s="396"/>
      <c r="E28" s="395"/>
      <c r="F28" s="395"/>
      <c r="G28" s="395"/>
      <c r="H28" s="395"/>
      <c r="I28" s="395"/>
      <c r="J28" s="395"/>
      <c r="K28" s="395"/>
      <c r="L28" s="395"/>
      <c r="M28" s="395">
        <v>0.27</v>
      </c>
      <c r="N28" s="395"/>
      <c r="O28" s="395"/>
      <c r="P28" s="395"/>
      <c r="Q28" s="395"/>
      <c r="R28" s="395"/>
      <c r="S28" s="395"/>
      <c r="T28" s="395">
        <v>0.73</v>
      </c>
      <c r="U28" s="395"/>
      <c r="V28" s="395"/>
      <c r="W28" s="395"/>
      <c r="X28" s="395"/>
      <c r="Y28" s="395"/>
      <c r="Z28" s="395"/>
      <c r="AA28" s="395"/>
      <c r="AB28" s="568"/>
      <c r="AC28" s="582" t="s">
        <v>1260</v>
      </c>
      <c r="AD28" s="116" t="s">
        <v>780</v>
      </c>
      <c r="AE28" s="559"/>
      <c r="AF28" s="566"/>
      <c r="AG28" s="566"/>
      <c r="AH28" s="559"/>
      <c r="AI28" s="559"/>
      <c r="AJ28" s="559"/>
      <c r="AK28" s="559"/>
      <c r="AL28" s="559"/>
      <c r="AM28" s="559"/>
      <c r="AN28" s="559"/>
      <c r="AO28" s="559"/>
      <c r="AP28" s="559"/>
      <c r="AQ28" s="559"/>
      <c r="AR28" s="559"/>
      <c r="AS28" s="559"/>
      <c r="AT28" s="559"/>
      <c r="AU28" s="559"/>
      <c r="AV28" s="559"/>
      <c r="AW28" s="559"/>
      <c r="AX28" s="559"/>
      <c r="AY28" s="559"/>
      <c r="AZ28" s="559"/>
      <c r="BA28" s="559"/>
      <c r="BB28" s="559"/>
      <c r="BC28" s="559"/>
      <c r="BD28" s="559"/>
      <c r="BE28" s="559"/>
      <c r="BF28" s="559"/>
      <c r="BG28" s="559"/>
      <c r="BH28" s="559"/>
      <c r="BI28" s="559"/>
      <c r="BJ28" s="559"/>
      <c r="BK28" s="559"/>
      <c r="BL28" s="559"/>
      <c r="BM28" s="559"/>
      <c r="BN28" s="559"/>
      <c r="BO28" s="559"/>
      <c r="BP28" s="559"/>
      <c r="BQ28" s="559"/>
      <c r="BR28" s="559"/>
      <c r="BS28" s="559"/>
      <c r="BT28" s="559"/>
      <c r="BU28" s="559"/>
      <c r="BV28" s="559"/>
      <c r="BW28" s="559"/>
      <c r="BX28" s="559"/>
      <c r="BY28" s="559"/>
      <c r="BZ28" s="559"/>
      <c r="CA28" s="559"/>
      <c r="CB28" s="559"/>
      <c r="CC28" s="559"/>
      <c r="CD28" s="559"/>
      <c r="CE28" s="559"/>
      <c r="CF28" s="559"/>
      <c r="CG28" s="559"/>
      <c r="CH28" s="559"/>
      <c r="CI28" s="559"/>
      <c r="CJ28" s="559"/>
      <c r="CK28" s="559"/>
      <c r="CL28" s="559"/>
      <c r="CM28" s="559"/>
      <c r="CN28" s="559"/>
      <c r="CO28" s="559"/>
      <c r="CP28" s="559"/>
      <c r="CQ28" s="559"/>
      <c r="CR28" s="559"/>
      <c r="CS28" s="559"/>
      <c r="CT28" s="559"/>
      <c r="CU28" s="559"/>
      <c r="CV28" s="559"/>
      <c r="CW28" s="559"/>
      <c r="CX28" s="559"/>
      <c r="CY28" s="559"/>
      <c r="CZ28" s="559"/>
      <c r="DA28" s="559"/>
      <c r="DB28" s="559"/>
      <c r="DC28" s="559"/>
      <c r="DD28" s="559"/>
      <c r="DE28" s="559"/>
      <c r="DF28" s="559"/>
      <c r="DG28" s="559"/>
      <c r="DH28" s="559"/>
      <c r="DI28" s="559"/>
      <c r="DJ28" s="559"/>
      <c r="DK28" s="559"/>
      <c r="DL28" s="559"/>
      <c r="DM28" s="559"/>
      <c r="DN28" s="559"/>
      <c r="DO28" s="559"/>
      <c r="DP28" s="559"/>
      <c r="DQ28" s="559"/>
      <c r="DR28" s="559"/>
      <c r="DS28" s="559"/>
      <c r="DT28" s="559"/>
      <c r="DU28" s="559"/>
      <c r="DV28" s="559"/>
      <c r="DW28" s="559"/>
      <c r="DX28" s="559"/>
      <c r="DY28" s="559"/>
      <c r="DZ28" s="559"/>
      <c r="EA28" s="559"/>
      <c r="EB28" s="559"/>
      <c r="EC28" s="559"/>
      <c r="ED28" s="559"/>
      <c r="EE28" s="559"/>
      <c r="EF28" s="559"/>
      <c r="EG28" s="559"/>
      <c r="EH28" s="559"/>
      <c r="EI28" s="559"/>
      <c r="EJ28" s="559"/>
      <c r="EK28" s="559"/>
      <c r="EL28" s="559"/>
      <c r="EM28" s="559"/>
      <c r="EN28" s="559"/>
      <c r="EO28" s="559"/>
      <c r="EP28" s="559"/>
      <c r="EQ28" s="559"/>
      <c r="ER28" s="559"/>
      <c r="ES28" s="559"/>
      <c r="ET28" s="559"/>
      <c r="EU28" s="559"/>
      <c r="EV28" s="559"/>
      <c r="EW28" s="559"/>
      <c r="EX28" s="559"/>
      <c r="EY28" s="559"/>
      <c r="EZ28" s="559"/>
      <c r="FA28" s="559"/>
      <c r="FB28" s="559"/>
      <c r="FC28" s="559"/>
      <c r="FD28" s="559"/>
      <c r="FE28" s="559"/>
      <c r="FF28" s="559"/>
      <c r="FG28" s="559"/>
      <c r="FH28" s="559"/>
      <c r="FI28" s="559"/>
      <c r="FJ28" s="559"/>
      <c r="FK28" s="559"/>
      <c r="FL28" s="559"/>
      <c r="FM28" s="559"/>
      <c r="FN28" s="559"/>
      <c r="FO28" s="559"/>
      <c r="FP28" s="559"/>
      <c r="FQ28" s="559"/>
      <c r="FR28" s="559"/>
      <c r="FS28" s="559"/>
    </row>
    <row r="29" spans="1:175" x14ac:dyDescent="0.3">
      <c r="A29" s="66"/>
      <c r="B29" s="37"/>
      <c r="C29" s="234"/>
      <c r="D29" s="250"/>
      <c r="E29" s="86"/>
      <c r="F29" s="86"/>
      <c r="G29" s="86"/>
      <c r="H29" s="86"/>
      <c r="I29" s="86"/>
      <c r="J29" s="86"/>
      <c r="K29" s="86"/>
      <c r="L29" s="86"/>
      <c r="M29" s="86"/>
      <c r="N29" s="86"/>
      <c r="O29" s="86"/>
      <c r="P29" s="86"/>
      <c r="Q29" s="86"/>
      <c r="R29" s="86"/>
      <c r="S29" s="86"/>
      <c r="T29" s="86"/>
      <c r="U29" s="86"/>
      <c r="V29" s="86"/>
      <c r="W29" s="86"/>
      <c r="X29" s="86"/>
      <c r="Y29" s="86"/>
      <c r="Z29" s="86"/>
      <c r="AA29" s="86"/>
      <c r="AB29" s="163"/>
      <c r="AF29" s="566"/>
      <c r="AG29" s="566"/>
    </row>
    <row r="30" spans="1:175" s="567" customFormat="1" x14ac:dyDescent="0.3">
      <c r="A30" s="375" t="s">
        <v>121</v>
      </c>
      <c r="B30" s="372" t="s">
        <v>1</v>
      </c>
      <c r="C30" s="374">
        <v>1</v>
      </c>
      <c r="D30" s="396"/>
      <c r="E30" s="373"/>
      <c r="F30" s="373"/>
      <c r="G30" s="373"/>
      <c r="H30" s="373"/>
      <c r="I30" s="373"/>
      <c r="J30" s="373"/>
      <c r="K30" s="373"/>
      <c r="L30" s="395"/>
      <c r="M30" s="395"/>
      <c r="N30" s="395"/>
      <c r="O30" s="395"/>
      <c r="P30" s="395"/>
      <c r="Q30" s="395"/>
      <c r="R30" s="395"/>
      <c r="S30" s="395"/>
      <c r="T30" s="395">
        <v>0.1</v>
      </c>
      <c r="U30" s="395"/>
      <c r="V30" s="395"/>
      <c r="W30" s="395"/>
      <c r="X30" s="395"/>
      <c r="Y30" s="395"/>
      <c r="Z30" s="395"/>
      <c r="AA30" s="395"/>
      <c r="AB30" s="568"/>
      <c r="AC30" s="582" t="s">
        <v>1260</v>
      </c>
      <c r="AD30" s="586" t="s">
        <v>781</v>
      </c>
      <c r="AE30" s="559"/>
      <c r="AF30" s="566"/>
      <c r="AG30" s="566"/>
      <c r="AH30" s="559"/>
      <c r="AI30" s="559"/>
      <c r="AJ30" s="559"/>
      <c r="AK30" s="559"/>
      <c r="AL30" s="559"/>
      <c r="AM30" s="559"/>
      <c r="AN30" s="559"/>
      <c r="AO30" s="559"/>
      <c r="AP30" s="559"/>
      <c r="AQ30" s="559"/>
      <c r="AR30" s="559"/>
      <c r="AS30" s="559"/>
      <c r="AT30" s="559"/>
      <c r="AU30" s="559"/>
      <c r="AV30" s="559"/>
      <c r="AW30" s="559"/>
      <c r="AX30" s="559"/>
      <c r="AY30" s="559"/>
      <c r="AZ30" s="559"/>
      <c r="BA30" s="559"/>
      <c r="BB30" s="559"/>
      <c r="BC30" s="559"/>
      <c r="BD30" s="559"/>
      <c r="BE30" s="559"/>
      <c r="BF30" s="559"/>
      <c r="BG30" s="559"/>
      <c r="BH30" s="559"/>
      <c r="BI30" s="559"/>
      <c r="BJ30" s="559"/>
      <c r="BK30" s="559"/>
      <c r="BL30" s="559"/>
      <c r="BM30" s="559"/>
      <c r="BN30" s="559"/>
      <c r="BO30" s="559"/>
      <c r="BP30" s="559"/>
      <c r="BQ30" s="559"/>
      <c r="BR30" s="559"/>
      <c r="BS30" s="559"/>
      <c r="BT30" s="559"/>
      <c r="BU30" s="559"/>
      <c r="BV30" s="559"/>
      <c r="BW30" s="559"/>
      <c r="BX30" s="559"/>
      <c r="BY30" s="559"/>
      <c r="BZ30" s="559"/>
      <c r="CA30" s="559"/>
      <c r="CB30" s="559"/>
      <c r="CC30" s="559"/>
      <c r="CD30" s="559"/>
      <c r="CE30" s="559"/>
      <c r="CF30" s="559"/>
      <c r="CG30" s="559"/>
      <c r="CH30" s="559"/>
      <c r="CI30" s="559"/>
      <c r="CJ30" s="559"/>
      <c r="CK30" s="559"/>
      <c r="CL30" s="559"/>
      <c r="CM30" s="559"/>
      <c r="CN30" s="559"/>
      <c r="CO30" s="559"/>
      <c r="CP30" s="559"/>
      <c r="CQ30" s="559"/>
      <c r="CR30" s="559"/>
      <c r="CS30" s="559"/>
      <c r="CT30" s="559"/>
      <c r="CU30" s="559"/>
      <c r="CV30" s="559"/>
      <c r="CW30" s="559"/>
      <c r="CX30" s="559"/>
      <c r="CY30" s="559"/>
      <c r="CZ30" s="559"/>
      <c r="DA30" s="559"/>
      <c r="DB30" s="559"/>
      <c r="DC30" s="559"/>
      <c r="DD30" s="559"/>
      <c r="DE30" s="559"/>
      <c r="DF30" s="559"/>
      <c r="DG30" s="559"/>
      <c r="DH30" s="559"/>
      <c r="DI30" s="559"/>
      <c r="DJ30" s="559"/>
      <c r="DK30" s="559"/>
      <c r="DL30" s="559"/>
      <c r="DM30" s="559"/>
      <c r="DN30" s="559"/>
      <c r="DO30" s="559"/>
      <c r="DP30" s="559"/>
      <c r="DQ30" s="559"/>
      <c r="DR30" s="559"/>
      <c r="DS30" s="559"/>
      <c r="DT30" s="559"/>
      <c r="DU30" s="559"/>
      <c r="DV30" s="559"/>
      <c r="DW30" s="559"/>
      <c r="DX30" s="559"/>
      <c r="DY30" s="559"/>
      <c r="DZ30" s="559"/>
      <c r="EA30" s="559"/>
      <c r="EB30" s="559"/>
      <c r="EC30" s="559"/>
      <c r="ED30" s="559"/>
      <c r="EE30" s="559"/>
      <c r="EF30" s="559"/>
      <c r="EG30" s="559"/>
      <c r="EH30" s="559"/>
      <c r="EI30" s="559"/>
      <c r="EJ30" s="559"/>
      <c r="EK30" s="559"/>
      <c r="EL30" s="559"/>
      <c r="EM30" s="559"/>
      <c r="EN30" s="559"/>
      <c r="EO30" s="559"/>
      <c r="EP30" s="559"/>
      <c r="EQ30" s="559"/>
      <c r="ER30" s="559"/>
      <c r="ES30" s="559"/>
      <c r="ET30" s="559"/>
      <c r="EU30" s="559"/>
      <c r="EV30" s="559"/>
      <c r="EW30" s="559"/>
      <c r="EX30" s="559"/>
      <c r="EY30" s="559"/>
      <c r="EZ30" s="559"/>
      <c r="FA30" s="559"/>
      <c r="FB30" s="559"/>
      <c r="FC30" s="559"/>
      <c r="FD30" s="559"/>
      <c r="FE30" s="559"/>
      <c r="FF30" s="559"/>
      <c r="FG30" s="559"/>
      <c r="FH30" s="559"/>
      <c r="FI30" s="559"/>
      <c r="FJ30" s="559"/>
      <c r="FK30" s="559"/>
      <c r="FL30" s="559"/>
      <c r="FM30" s="559"/>
      <c r="FN30" s="559"/>
      <c r="FO30" s="559"/>
      <c r="FP30" s="559"/>
      <c r="FQ30" s="559"/>
      <c r="FR30" s="559"/>
      <c r="FS30" s="559"/>
    </row>
    <row r="31" spans="1:175" x14ac:dyDescent="0.3">
      <c r="A31" s="66"/>
      <c r="B31" s="37"/>
      <c r="C31" s="234"/>
      <c r="D31" s="250"/>
      <c r="E31" s="127"/>
      <c r="F31" s="127"/>
      <c r="G31" s="127"/>
      <c r="H31" s="127"/>
      <c r="I31" s="127"/>
      <c r="J31" s="127"/>
      <c r="K31" s="127"/>
      <c r="L31" s="86"/>
      <c r="M31" s="86"/>
      <c r="N31" s="86"/>
      <c r="O31" s="86"/>
      <c r="P31" s="86"/>
      <c r="Q31" s="86"/>
      <c r="R31" s="86"/>
      <c r="S31" s="86"/>
      <c r="T31" s="86"/>
      <c r="U31" s="86"/>
      <c r="V31" s="86"/>
      <c r="W31" s="86"/>
      <c r="X31" s="86"/>
      <c r="Y31" s="86"/>
      <c r="Z31" s="86"/>
      <c r="AA31" s="86"/>
      <c r="AB31" s="163"/>
      <c r="AC31" s="582"/>
      <c r="AD31" s="586"/>
      <c r="AF31" s="566"/>
      <c r="AG31" s="566"/>
    </row>
    <row r="32" spans="1:175" s="567" customFormat="1" x14ac:dyDescent="0.3">
      <c r="A32" s="375" t="s">
        <v>519</v>
      </c>
      <c r="B32" s="372" t="s">
        <v>1</v>
      </c>
      <c r="C32" s="374">
        <v>1</v>
      </c>
      <c r="D32" s="373"/>
      <c r="E32" s="395"/>
      <c r="F32" s="395"/>
      <c r="G32" s="395"/>
      <c r="H32" s="395"/>
      <c r="I32" s="395"/>
      <c r="J32" s="395"/>
      <c r="K32" s="395"/>
      <c r="L32" s="395"/>
      <c r="M32" s="395"/>
      <c r="N32" s="395"/>
      <c r="O32" s="395"/>
      <c r="P32" s="395"/>
      <c r="Q32" s="395">
        <v>0.15</v>
      </c>
      <c r="R32" s="395"/>
      <c r="S32" s="395"/>
      <c r="T32" s="395">
        <v>0.1</v>
      </c>
      <c r="U32" s="395"/>
      <c r="V32" s="395"/>
      <c r="W32" s="395"/>
      <c r="X32" s="395"/>
      <c r="Y32" s="395"/>
      <c r="Z32" s="395"/>
      <c r="AA32" s="395"/>
      <c r="AB32" s="568"/>
      <c r="AC32" s="582" t="s">
        <v>1260</v>
      </c>
      <c r="AD32" s="586" t="s">
        <v>782</v>
      </c>
      <c r="AE32" s="559"/>
      <c r="AF32" s="566"/>
      <c r="AG32" s="566"/>
      <c r="AH32" s="559"/>
      <c r="AI32" s="559"/>
      <c r="AJ32" s="559"/>
      <c r="AK32" s="559"/>
      <c r="AL32" s="559"/>
      <c r="AM32" s="559"/>
      <c r="AN32" s="559"/>
      <c r="AO32" s="559"/>
      <c r="AP32" s="559"/>
      <c r="AQ32" s="559"/>
      <c r="AR32" s="559"/>
      <c r="AS32" s="559"/>
      <c r="AT32" s="559"/>
      <c r="AU32" s="559"/>
      <c r="AV32" s="559"/>
      <c r="AW32" s="559"/>
      <c r="AX32" s="559"/>
      <c r="AY32" s="559"/>
      <c r="AZ32" s="559"/>
      <c r="BA32" s="559"/>
      <c r="BB32" s="559"/>
      <c r="BC32" s="559"/>
      <c r="BD32" s="559"/>
      <c r="BE32" s="559"/>
      <c r="BF32" s="559"/>
      <c r="BG32" s="559"/>
      <c r="BH32" s="559"/>
      <c r="BI32" s="559"/>
      <c r="BJ32" s="559"/>
      <c r="BK32" s="559"/>
      <c r="BL32" s="559"/>
      <c r="BM32" s="559"/>
      <c r="BN32" s="559"/>
      <c r="BO32" s="559"/>
      <c r="BP32" s="559"/>
      <c r="BQ32" s="559"/>
      <c r="BR32" s="559"/>
      <c r="BS32" s="559"/>
      <c r="BT32" s="559"/>
      <c r="BU32" s="559"/>
      <c r="BV32" s="559"/>
      <c r="BW32" s="559"/>
      <c r="BX32" s="559"/>
      <c r="BY32" s="559"/>
      <c r="BZ32" s="559"/>
      <c r="CA32" s="559"/>
      <c r="CB32" s="559"/>
      <c r="CC32" s="559"/>
      <c r="CD32" s="559"/>
      <c r="CE32" s="559"/>
      <c r="CF32" s="559"/>
      <c r="CG32" s="559"/>
      <c r="CH32" s="559"/>
      <c r="CI32" s="559"/>
      <c r="CJ32" s="559"/>
      <c r="CK32" s="559"/>
      <c r="CL32" s="559"/>
      <c r="CM32" s="559"/>
      <c r="CN32" s="559"/>
      <c r="CO32" s="559"/>
      <c r="CP32" s="559"/>
      <c r="CQ32" s="559"/>
      <c r="CR32" s="559"/>
      <c r="CS32" s="559"/>
      <c r="CT32" s="559"/>
      <c r="CU32" s="559"/>
      <c r="CV32" s="559"/>
      <c r="CW32" s="559"/>
      <c r="CX32" s="559"/>
      <c r="CY32" s="559"/>
      <c r="CZ32" s="559"/>
      <c r="DA32" s="559"/>
      <c r="DB32" s="559"/>
      <c r="DC32" s="559"/>
      <c r="DD32" s="559"/>
      <c r="DE32" s="559"/>
      <c r="DF32" s="559"/>
      <c r="DG32" s="559"/>
      <c r="DH32" s="559"/>
      <c r="DI32" s="559"/>
      <c r="DJ32" s="559"/>
      <c r="DK32" s="559"/>
      <c r="DL32" s="559"/>
      <c r="DM32" s="559"/>
      <c r="DN32" s="559"/>
      <c r="DO32" s="559"/>
      <c r="DP32" s="559"/>
      <c r="DQ32" s="559"/>
      <c r="DR32" s="559"/>
      <c r="DS32" s="559"/>
      <c r="DT32" s="559"/>
      <c r="DU32" s="559"/>
      <c r="DV32" s="559"/>
      <c r="DW32" s="559"/>
      <c r="DX32" s="559"/>
      <c r="DY32" s="559"/>
      <c r="DZ32" s="559"/>
      <c r="EA32" s="559"/>
      <c r="EB32" s="559"/>
      <c r="EC32" s="559"/>
      <c r="ED32" s="559"/>
      <c r="EE32" s="559"/>
      <c r="EF32" s="559"/>
      <c r="EG32" s="559"/>
      <c r="EH32" s="559"/>
      <c r="EI32" s="559"/>
      <c r="EJ32" s="559"/>
      <c r="EK32" s="559"/>
      <c r="EL32" s="559"/>
      <c r="EM32" s="559"/>
      <c r="EN32" s="559"/>
      <c r="EO32" s="559"/>
      <c r="EP32" s="559"/>
      <c r="EQ32" s="559"/>
      <c r="ER32" s="559"/>
      <c r="ES32" s="559"/>
      <c r="ET32" s="559"/>
      <c r="EU32" s="559"/>
      <c r="EV32" s="559"/>
      <c r="EW32" s="559"/>
      <c r="EX32" s="559"/>
      <c r="EY32" s="559"/>
      <c r="EZ32" s="559"/>
      <c r="FA32" s="559"/>
      <c r="FB32" s="559"/>
      <c r="FC32" s="559"/>
      <c r="FD32" s="559"/>
      <c r="FE32" s="559"/>
      <c r="FF32" s="559"/>
      <c r="FG32" s="559"/>
      <c r="FH32" s="559"/>
      <c r="FI32" s="559"/>
      <c r="FJ32" s="559"/>
      <c r="FK32" s="559"/>
      <c r="FL32" s="559"/>
      <c r="FM32" s="559"/>
      <c r="FN32" s="559"/>
      <c r="FO32" s="559"/>
      <c r="FP32" s="559"/>
      <c r="FQ32" s="559"/>
      <c r="FR32" s="559"/>
      <c r="FS32" s="559"/>
    </row>
    <row r="33" spans="1:175" x14ac:dyDescent="0.3">
      <c r="A33" s="66"/>
      <c r="B33" s="37"/>
      <c r="C33" s="234"/>
      <c r="D33" s="127"/>
      <c r="E33" s="86"/>
      <c r="F33" s="86"/>
      <c r="G33" s="86"/>
      <c r="H33" s="86"/>
      <c r="I33" s="86"/>
      <c r="J33" s="86"/>
      <c r="K33" s="86"/>
      <c r="L33" s="86"/>
      <c r="M33" s="86"/>
      <c r="N33" s="86"/>
      <c r="O33" s="86"/>
      <c r="P33" s="86"/>
      <c r="Q33" s="86"/>
      <c r="R33" s="86"/>
      <c r="S33" s="86"/>
      <c r="T33" s="86"/>
      <c r="U33" s="86"/>
      <c r="V33" s="86"/>
      <c r="W33" s="86"/>
      <c r="X33" s="86"/>
      <c r="Y33" s="86"/>
      <c r="Z33" s="86"/>
      <c r="AA33" s="86"/>
      <c r="AB33" s="163"/>
      <c r="AC33" s="582"/>
      <c r="AD33" s="586"/>
      <c r="AF33" s="566"/>
      <c r="AG33" s="566"/>
    </row>
    <row r="34" spans="1:175" s="567" customFormat="1" x14ac:dyDescent="0.3">
      <c r="A34" s="375" t="s">
        <v>1439</v>
      </c>
      <c r="B34" s="372" t="s">
        <v>1</v>
      </c>
      <c r="C34" s="374">
        <v>0.76</v>
      </c>
      <c r="D34" s="373"/>
      <c r="E34" s="395"/>
      <c r="F34" s="395">
        <v>0.19</v>
      </c>
      <c r="G34" s="395"/>
      <c r="H34" s="395"/>
      <c r="I34" s="395"/>
      <c r="J34" s="395"/>
      <c r="K34" s="395"/>
      <c r="L34" s="395"/>
      <c r="M34" s="395"/>
      <c r="N34" s="395"/>
      <c r="O34" s="395"/>
      <c r="P34" s="395"/>
      <c r="Q34" s="395"/>
      <c r="R34" s="395"/>
      <c r="S34" s="395"/>
      <c r="T34" s="395"/>
      <c r="U34" s="395"/>
      <c r="V34" s="395"/>
      <c r="W34" s="395"/>
      <c r="X34" s="395"/>
      <c r="Y34" s="395"/>
      <c r="Z34" s="395"/>
      <c r="AA34" s="395"/>
      <c r="AB34" s="568"/>
      <c r="AC34" s="582" t="s">
        <v>1199</v>
      </c>
      <c r="AD34" s="583" t="s">
        <v>527</v>
      </c>
      <c r="AE34" s="559"/>
      <c r="AF34" s="566"/>
      <c r="AG34" s="566"/>
      <c r="AH34" s="559"/>
      <c r="AI34" s="559"/>
      <c r="AJ34" s="559"/>
      <c r="AK34" s="559"/>
      <c r="AL34" s="559"/>
      <c r="AM34" s="559"/>
      <c r="AN34" s="559"/>
      <c r="AO34" s="559"/>
      <c r="AP34" s="559"/>
      <c r="AQ34" s="559"/>
      <c r="AR34" s="559"/>
      <c r="AS34" s="559"/>
      <c r="AT34" s="559"/>
      <c r="AU34" s="559"/>
      <c r="AV34" s="559"/>
      <c r="AW34" s="559"/>
      <c r="AX34" s="559"/>
      <c r="AY34" s="559"/>
      <c r="AZ34" s="559"/>
      <c r="BA34" s="559"/>
      <c r="BB34" s="559"/>
      <c r="BC34" s="559"/>
      <c r="BD34" s="559"/>
      <c r="BE34" s="559"/>
      <c r="BF34" s="559"/>
      <c r="BG34" s="559"/>
      <c r="BH34" s="559"/>
      <c r="BI34" s="559"/>
      <c r="BJ34" s="559"/>
      <c r="BK34" s="559"/>
      <c r="BL34" s="559"/>
      <c r="BM34" s="559"/>
      <c r="BN34" s="559"/>
      <c r="BO34" s="559"/>
      <c r="BP34" s="559"/>
      <c r="BQ34" s="559"/>
      <c r="BR34" s="559"/>
      <c r="BS34" s="559"/>
      <c r="BT34" s="559"/>
      <c r="BU34" s="559"/>
      <c r="BV34" s="559"/>
      <c r="BW34" s="559"/>
      <c r="BX34" s="559"/>
      <c r="BY34" s="559"/>
      <c r="BZ34" s="559"/>
      <c r="CA34" s="559"/>
      <c r="CB34" s="559"/>
      <c r="CC34" s="559"/>
      <c r="CD34" s="559"/>
      <c r="CE34" s="559"/>
      <c r="CF34" s="559"/>
      <c r="CG34" s="559"/>
      <c r="CH34" s="559"/>
      <c r="CI34" s="559"/>
      <c r="CJ34" s="559"/>
      <c r="CK34" s="559"/>
      <c r="CL34" s="559"/>
      <c r="CM34" s="559"/>
      <c r="CN34" s="559"/>
      <c r="CO34" s="559"/>
      <c r="CP34" s="559"/>
      <c r="CQ34" s="559"/>
      <c r="CR34" s="559"/>
      <c r="CS34" s="559"/>
      <c r="CT34" s="559"/>
      <c r="CU34" s="559"/>
      <c r="CV34" s="559"/>
      <c r="CW34" s="559"/>
      <c r="CX34" s="559"/>
      <c r="CY34" s="559"/>
      <c r="CZ34" s="559"/>
      <c r="DA34" s="559"/>
      <c r="DB34" s="559"/>
      <c r="DC34" s="559"/>
      <c r="DD34" s="559"/>
      <c r="DE34" s="559"/>
      <c r="DF34" s="559"/>
      <c r="DG34" s="559"/>
      <c r="DH34" s="559"/>
      <c r="DI34" s="559"/>
      <c r="DJ34" s="559"/>
      <c r="DK34" s="559"/>
      <c r="DL34" s="559"/>
      <c r="DM34" s="559"/>
      <c r="DN34" s="559"/>
      <c r="DO34" s="559"/>
      <c r="DP34" s="559"/>
      <c r="DQ34" s="559"/>
      <c r="DR34" s="559"/>
      <c r="DS34" s="559"/>
      <c r="DT34" s="559"/>
      <c r="DU34" s="559"/>
      <c r="DV34" s="559"/>
      <c r="DW34" s="559"/>
      <c r="DX34" s="559"/>
      <c r="DY34" s="559"/>
      <c r="DZ34" s="559"/>
      <c r="EA34" s="559"/>
      <c r="EB34" s="559"/>
      <c r="EC34" s="559"/>
      <c r="ED34" s="559"/>
      <c r="EE34" s="559"/>
      <c r="EF34" s="559"/>
      <c r="EG34" s="559"/>
      <c r="EH34" s="559"/>
      <c r="EI34" s="559"/>
      <c r="EJ34" s="559"/>
      <c r="EK34" s="559"/>
      <c r="EL34" s="559"/>
      <c r="EM34" s="559"/>
      <c r="EN34" s="559"/>
      <c r="EO34" s="559"/>
      <c r="EP34" s="559"/>
      <c r="EQ34" s="559"/>
      <c r="ER34" s="559"/>
      <c r="ES34" s="559"/>
      <c r="ET34" s="559"/>
      <c r="EU34" s="559"/>
      <c r="EV34" s="559"/>
      <c r="EW34" s="559"/>
      <c r="EX34" s="559"/>
      <c r="EY34" s="559"/>
      <c r="EZ34" s="559"/>
      <c r="FA34" s="559"/>
      <c r="FB34" s="559"/>
      <c r="FC34" s="559"/>
      <c r="FD34" s="559"/>
      <c r="FE34" s="559"/>
      <c r="FF34" s="559"/>
      <c r="FG34" s="559"/>
      <c r="FH34" s="559"/>
      <c r="FI34" s="559"/>
      <c r="FJ34" s="559"/>
      <c r="FK34" s="559"/>
      <c r="FL34" s="559"/>
      <c r="FM34" s="559"/>
      <c r="FN34" s="559"/>
      <c r="FO34" s="559"/>
      <c r="FP34" s="559"/>
      <c r="FQ34" s="559"/>
      <c r="FR34" s="559"/>
      <c r="FS34" s="559"/>
    </row>
    <row r="35" spans="1:175" x14ac:dyDescent="0.3">
      <c r="A35" s="66"/>
      <c r="B35" s="37" t="s">
        <v>69</v>
      </c>
      <c r="C35" s="234">
        <v>0.09</v>
      </c>
      <c r="D35" s="127"/>
      <c r="E35" s="86"/>
      <c r="F35" s="86">
        <v>0.19</v>
      </c>
      <c r="G35" s="86"/>
      <c r="H35" s="86"/>
      <c r="I35" s="86"/>
      <c r="J35" s="86"/>
      <c r="K35" s="86"/>
      <c r="L35" s="86"/>
      <c r="M35" s="86"/>
      <c r="N35" s="86"/>
      <c r="O35" s="86"/>
      <c r="P35" s="86"/>
      <c r="Q35" s="86"/>
      <c r="R35" s="86"/>
      <c r="S35" s="86"/>
      <c r="T35" s="86"/>
      <c r="U35" s="86"/>
      <c r="V35" s="86"/>
      <c r="W35" s="86"/>
      <c r="X35" s="86"/>
      <c r="Y35" s="86"/>
      <c r="Z35" s="86"/>
      <c r="AA35" s="86"/>
      <c r="AB35" s="163"/>
      <c r="AC35" s="582"/>
      <c r="AD35" s="586"/>
      <c r="AF35" s="566"/>
      <c r="AG35" s="566"/>
    </row>
    <row r="36" spans="1:175" x14ac:dyDescent="0.3">
      <c r="A36" s="66"/>
      <c r="B36" s="37" t="s">
        <v>70</v>
      </c>
      <c r="C36" s="234">
        <v>0.15</v>
      </c>
      <c r="D36" s="127"/>
      <c r="E36" s="86"/>
      <c r="F36" s="86">
        <v>0.19</v>
      </c>
      <c r="G36" s="86"/>
      <c r="H36" s="86"/>
      <c r="I36" s="86"/>
      <c r="J36" s="86"/>
      <c r="K36" s="86"/>
      <c r="L36" s="86"/>
      <c r="M36" s="86"/>
      <c r="N36" s="86"/>
      <c r="O36" s="86"/>
      <c r="P36" s="86"/>
      <c r="Q36" s="86"/>
      <c r="R36" s="86"/>
      <c r="S36" s="86"/>
      <c r="T36" s="86"/>
      <c r="U36" s="86"/>
      <c r="V36" s="86"/>
      <c r="W36" s="86"/>
      <c r="X36" s="86"/>
      <c r="Y36" s="86"/>
      <c r="Z36" s="86"/>
      <c r="AA36" s="86"/>
      <c r="AB36" s="163"/>
      <c r="AC36" s="582"/>
      <c r="AD36" s="586"/>
      <c r="AF36" s="566"/>
      <c r="AG36" s="566"/>
    </row>
    <row r="37" spans="1:175" s="567" customFormat="1" x14ac:dyDescent="0.3">
      <c r="A37" s="375" t="s">
        <v>655</v>
      </c>
      <c r="B37" s="372" t="s">
        <v>1</v>
      </c>
      <c r="C37" s="568">
        <v>0.62424968014597004</v>
      </c>
      <c r="D37" s="373"/>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568"/>
      <c r="AC37" s="582" t="s">
        <v>1195</v>
      </c>
      <c r="AD37" s="586"/>
      <c r="AE37" s="559"/>
      <c r="AF37" s="566"/>
      <c r="AG37" s="566"/>
      <c r="AH37" s="559"/>
      <c r="AI37" s="559"/>
      <c r="AJ37" s="559"/>
      <c r="AK37" s="559"/>
      <c r="AL37" s="559"/>
      <c r="AM37" s="559"/>
      <c r="AN37" s="559"/>
      <c r="AO37" s="559"/>
      <c r="AP37" s="559"/>
      <c r="AQ37" s="559"/>
      <c r="AR37" s="559"/>
      <c r="AS37" s="559"/>
      <c r="AT37" s="559"/>
      <c r="AU37" s="559"/>
      <c r="AV37" s="559"/>
      <c r="AW37" s="559"/>
      <c r="AX37" s="559"/>
      <c r="AY37" s="559"/>
      <c r="AZ37" s="559"/>
      <c r="BA37" s="559"/>
      <c r="BB37" s="559"/>
      <c r="BC37" s="559"/>
      <c r="BD37" s="559"/>
      <c r="BE37" s="559"/>
      <c r="BF37" s="559"/>
      <c r="BG37" s="559"/>
      <c r="BH37" s="559"/>
      <c r="BI37" s="559"/>
      <c r="BJ37" s="559"/>
      <c r="BK37" s="559"/>
      <c r="BL37" s="559"/>
      <c r="BM37" s="559"/>
      <c r="BN37" s="559"/>
      <c r="BO37" s="559"/>
      <c r="BP37" s="559"/>
      <c r="BQ37" s="559"/>
      <c r="BR37" s="559"/>
      <c r="BS37" s="559"/>
      <c r="BT37" s="559"/>
      <c r="BU37" s="559"/>
      <c r="BV37" s="559"/>
      <c r="BW37" s="559"/>
      <c r="BX37" s="559"/>
      <c r="BY37" s="559"/>
      <c r="BZ37" s="559"/>
      <c r="CA37" s="559"/>
      <c r="CB37" s="559"/>
      <c r="CC37" s="559"/>
      <c r="CD37" s="559"/>
      <c r="CE37" s="559"/>
      <c r="CF37" s="559"/>
      <c r="CG37" s="559"/>
      <c r="CH37" s="559"/>
      <c r="CI37" s="559"/>
      <c r="CJ37" s="559"/>
      <c r="CK37" s="559"/>
      <c r="CL37" s="559"/>
      <c r="CM37" s="559"/>
      <c r="CN37" s="559"/>
      <c r="CO37" s="559"/>
      <c r="CP37" s="559"/>
      <c r="CQ37" s="559"/>
      <c r="CR37" s="559"/>
      <c r="CS37" s="559"/>
      <c r="CT37" s="559"/>
      <c r="CU37" s="559"/>
      <c r="CV37" s="559"/>
      <c r="CW37" s="559"/>
      <c r="CX37" s="559"/>
      <c r="CY37" s="559"/>
      <c r="CZ37" s="559"/>
      <c r="DA37" s="559"/>
      <c r="DB37" s="559"/>
      <c r="DC37" s="559"/>
      <c r="DD37" s="559"/>
      <c r="DE37" s="559"/>
      <c r="DF37" s="559"/>
      <c r="DG37" s="559"/>
      <c r="DH37" s="559"/>
      <c r="DI37" s="559"/>
      <c r="DJ37" s="559"/>
      <c r="DK37" s="559"/>
      <c r="DL37" s="559"/>
      <c r="DM37" s="559"/>
      <c r="DN37" s="559"/>
      <c r="DO37" s="559"/>
      <c r="DP37" s="559"/>
      <c r="DQ37" s="559"/>
      <c r="DR37" s="559"/>
      <c r="DS37" s="559"/>
      <c r="DT37" s="559"/>
      <c r="DU37" s="559"/>
      <c r="DV37" s="559"/>
      <c r="DW37" s="559"/>
      <c r="DX37" s="559"/>
      <c r="DY37" s="559"/>
      <c r="DZ37" s="559"/>
      <c r="EA37" s="559"/>
      <c r="EB37" s="559"/>
      <c r="EC37" s="559"/>
      <c r="ED37" s="559"/>
      <c r="EE37" s="559"/>
      <c r="EF37" s="559"/>
      <c r="EG37" s="559"/>
      <c r="EH37" s="559"/>
      <c r="EI37" s="559"/>
      <c r="EJ37" s="559"/>
      <c r="EK37" s="559"/>
      <c r="EL37" s="559"/>
      <c r="EM37" s="559"/>
      <c r="EN37" s="559"/>
      <c r="EO37" s="559"/>
      <c r="EP37" s="559"/>
      <c r="EQ37" s="559"/>
      <c r="ER37" s="559"/>
      <c r="ES37" s="559"/>
      <c r="ET37" s="559"/>
      <c r="EU37" s="559"/>
      <c r="EV37" s="559"/>
      <c r="EW37" s="559"/>
      <c r="EX37" s="559"/>
      <c r="EY37" s="559"/>
      <c r="EZ37" s="559"/>
      <c r="FA37" s="559"/>
      <c r="FB37" s="559"/>
      <c r="FC37" s="559"/>
      <c r="FD37" s="559"/>
      <c r="FE37" s="559"/>
      <c r="FF37" s="559"/>
      <c r="FG37" s="559"/>
      <c r="FH37" s="559"/>
      <c r="FI37" s="559"/>
      <c r="FJ37" s="559"/>
      <c r="FK37" s="559"/>
      <c r="FL37" s="559"/>
      <c r="FM37" s="559"/>
      <c r="FN37" s="559"/>
      <c r="FO37" s="559"/>
      <c r="FP37" s="559"/>
      <c r="FQ37" s="559"/>
      <c r="FR37" s="559"/>
      <c r="FS37" s="559"/>
    </row>
    <row r="38" spans="1:175" x14ac:dyDescent="0.3">
      <c r="A38" s="66"/>
      <c r="B38" s="37" t="s">
        <v>315</v>
      </c>
      <c r="C38" s="163">
        <v>0.21767775469585898</v>
      </c>
      <c r="D38" s="127"/>
      <c r="E38" s="86"/>
      <c r="F38" s="86"/>
      <c r="G38" s="86"/>
      <c r="H38" s="86"/>
      <c r="I38" s="86"/>
      <c r="J38" s="86"/>
      <c r="K38" s="86"/>
      <c r="L38" s="86"/>
      <c r="M38" s="86"/>
      <c r="N38" s="86"/>
      <c r="O38" s="86"/>
      <c r="P38" s="86"/>
      <c r="Q38" s="86"/>
      <c r="R38" s="86"/>
      <c r="S38" s="86"/>
      <c r="T38" s="86"/>
      <c r="U38" s="86"/>
      <c r="V38" s="86"/>
      <c r="W38" s="86"/>
      <c r="X38" s="86"/>
      <c r="Y38" s="86"/>
      <c r="Z38" s="86"/>
      <c r="AA38" s="86"/>
      <c r="AB38" s="163"/>
      <c r="AC38" s="582"/>
      <c r="AD38" s="586"/>
      <c r="AF38" s="566"/>
      <c r="AG38" s="566"/>
    </row>
    <row r="39" spans="1:175" x14ac:dyDescent="0.3">
      <c r="A39" s="66"/>
      <c r="B39" s="37" t="s">
        <v>70</v>
      </c>
      <c r="C39" s="163">
        <v>0.158072565158171</v>
      </c>
      <c r="D39" s="127"/>
      <c r="E39" s="86"/>
      <c r="F39" s="86"/>
      <c r="G39" s="86"/>
      <c r="H39" s="86"/>
      <c r="I39" s="86"/>
      <c r="J39" s="86"/>
      <c r="K39" s="86"/>
      <c r="L39" s="86"/>
      <c r="M39" s="86"/>
      <c r="N39" s="86"/>
      <c r="O39" s="86"/>
      <c r="P39" s="86"/>
      <c r="Q39" s="86"/>
      <c r="R39" s="86"/>
      <c r="S39" s="86"/>
      <c r="T39" s="86"/>
      <c r="U39" s="86"/>
      <c r="V39" s="86"/>
      <c r="W39" s="86"/>
      <c r="X39" s="86"/>
      <c r="Y39" s="86"/>
      <c r="Z39" s="86"/>
      <c r="AA39" s="86"/>
      <c r="AB39" s="163"/>
      <c r="AC39" s="582"/>
      <c r="AD39" s="586"/>
      <c r="AF39" s="566"/>
      <c r="AG39" s="566"/>
    </row>
    <row r="40" spans="1:175" s="567" customFormat="1" x14ac:dyDescent="0.3">
      <c r="A40" s="375" t="s">
        <v>152</v>
      </c>
      <c r="B40" s="372" t="s">
        <v>1</v>
      </c>
      <c r="C40" s="374">
        <f>SUM(C41:C42)</f>
        <v>1</v>
      </c>
      <c r="D40" s="373"/>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568"/>
      <c r="AC40" s="582"/>
      <c r="AD40" s="586"/>
      <c r="AE40" s="559"/>
      <c r="AF40" s="566"/>
      <c r="AG40" s="566"/>
      <c r="AH40" s="559"/>
      <c r="AI40" s="559"/>
      <c r="AJ40" s="559"/>
      <c r="AK40" s="559"/>
      <c r="AL40" s="559"/>
      <c r="AM40" s="559"/>
      <c r="AN40" s="559"/>
      <c r="AO40" s="559"/>
      <c r="AP40" s="559"/>
      <c r="AQ40" s="559"/>
      <c r="AR40" s="559"/>
      <c r="AS40" s="559"/>
      <c r="AT40" s="559"/>
      <c r="AU40" s="559"/>
      <c r="AV40" s="559"/>
      <c r="AW40" s="559"/>
      <c r="AX40" s="559"/>
      <c r="AY40" s="559"/>
      <c r="AZ40" s="559"/>
      <c r="BA40" s="559"/>
      <c r="BB40" s="559"/>
      <c r="BC40" s="559"/>
      <c r="BD40" s="559"/>
      <c r="BE40" s="559"/>
      <c r="BF40" s="559"/>
      <c r="BG40" s="559"/>
      <c r="BH40" s="559"/>
      <c r="BI40" s="559"/>
      <c r="BJ40" s="559"/>
      <c r="BK40" s="559"/>
      <c r="BL40" s="559"/>
      <c r="BM40" s="559"/>
      <c r="BN40" s="559"/>
      <c r="BO40" s="559"/>
      <c r="BP40" s="559"/>
      <c r="BQ40" s="559"/>
      <c r="BR40" s="559"/>
      <c r="BS40" s="559"/>
      <c r="BT40" s="559"/>
      <c r="BU40" s="559"/>
      <c r="BV40" s="559"/>
      <c r="BW40" s="559"/>
      <c r="BX40" s="559"/>
      <c r="BY40" s="559"/>
      <c r="BZ40" s="559"/>
      <c r="CA40" s="559"/>
      <c r="CB40" s="559"/>
      <c r="CC40" s="559"/>
      <c r="CD40" s="559"/>
      <c r="CE40" s="559"/>
      <c r="CF40" s="559"/>
      <c r="CG40" s="559"/>
      <c r="CH40" s="559"/>
      <c r="CI40" s="559"/>
      <c r="CJ40" s="559"/>
      <c r="CK40" s="559"/>
      <c r="CL40" s="559"/>
      <c r="CM40" s="559"/>
      <c r="CN40" s="559"/>
      <c r="CO40" s="559"/>
      <c r="CP40" s="559"/>
      <c r="CQ40" s="559"/>
      <c r="CR40" s="559"/>
      <c r="CS40" s="559"/>
      <c r="CT40" s="559"/>
      <c r="CU40" s="559"/>
      <c r="CV40" s="559"/>
      <c r="CW40" s="559"/>
      <c r="CX40" s="559"/>
      <c r="CY40" s="559"/>
      <c r="CZ40" s="559"/>
      <c r="DA40" s="559"/>
      <c r="DB40" s="559"/>
      <c r="DC40" s="559"/>
      <c r="DD40" s="559"/>
      <c r="DE40" s="559"/>
      <c r="DF40" s="559"/>
      <c r="DG40" s="559"/>
      <c r="DH40" s="559"/>
      <c r="DI40" s="559"/>
      <c r="DJ40" s="559"/>
      <c r="DK40" s="559"/>
      <c r="DL40" s="559"/>
      <c r="DM40" s="559"/>
      <c r="DN40" s="559"/>
      <c r="DO40" s="559"/>
      <c r="DP40" s="559"/>
      <c r="DQ40" s="559"/>
      <c r="DR40" s="559"/>
      <c r="DS40" s="559"/>
      <c r="DT40" s="559"/>
      <c r="DU40" s="559"/>
      <c r="DV40" s="559"/>
      <c r="DW40" s="559"/>
      <c r="DX40" s="559"/>
      <c r="DY40" s="559"/>
      <c r="DZ40" s="559"/>
      <c r="EA40" s="559"/>
      <c r="EB40" s="559"/>
      <c r="EC40" s="559"/>
      <c r="ED40" s="559"/>
      <c r="EE40" s="559"/>
      <c r="EF40" s="559"/>
      <c r="EG40" s="559"/>
      <c r="EH40" s="559"/>
      <c r="EI40" s="559"/>
      <c r="EJ40" s="559"/>
      <c r="EK40" s="559"/>
      <c r="EL40" s="559"/>
      <c r="EM40" s="559"/>
      <c r="EN40" s="559"/>
      <c r="EO40" s="559"/>
      <c r="EP40" s="559"/>
      <c r="EQ40" s="559"/>
      <c r="ER40" s="559"/>
      <c r="ES40" s="559"/>
      <c r="ET40" s="559"/>
      <c r="EU40" s="559"/>
      <c r="EV40" s="559"/>
      <c r="EW40" s="559"/>
      <c r="EX40" s="559"/>
      <c r="EY40" s="559"/>
      <c r="EZ40" s="559"/>
      <c r="FA40" s="559"/>
      <c r="FB40" s="559"/>
      <c r="FC40" s="559"/>
      <c r="FD40" s="559"/>
      <c r="FE40" s="559"/>
      <c r="FF40" s="559"/>
      <c r="FG40" s="559"/>
      <c r="FH40" s="559"/>
      <c r="FI40" s="559"/>
      <c r="FJ40" s="559"/>
      <c r="FK40" s="559"/>
      <c r="FL40" s="559"/>
      <c r="FM40" s="559"/>
      <c r="FN40" s="559"/>
      <c r="FO40" s="559"/>
      <c r="FP40" s="559"/>
      <c r="FQ40" s="559"/>
      <c r="FR40" s="559"/>
      <c r="FS40" s="559"/>
    </row>
    <row r="41" spans="1:175" x14ac:dyDescent="0.3">
      <c r="A41" s="66" t="s">
        <v>529</v>
      </c>
      <c r="B41" s="37" t="s">
        <v>1</v>
      </c>
      <c r="C41" s="234">
        <v>0.5</v>
      </c>
      <c r="D41" s="127"/>
      <c r="E41" s="86"/>
      <c r="F41" s="86"/>
      <c r="G41" s="86"/>
      <c r="H41" s="86"/>
      <c r="I41" s="86"/>
      <c r="J41" s="86"/>
      <c r="K41" s="86"/>
      <c r="L41" s="86"/>
      <c r="M41" s="86"/>
      <c r="N41" s="86"/>
      <c r="O41" s="86">
        <v>2</v>
      </c>
      <c r="P41" s="86"/>
      <c r="Q41" s="86"/>
      <c r="R41" s="86"/>
      <c r="S41" s="86"/>
      <c r="T41" s="86"/>
      <c r="U41" s="86"/>
      <c r="V41" s="86"/>
      <c r="W41" s="86"/>
      <c r="X41" s="86"/>
      <c r="Y41" s="86"/>
      <c r="Z41" s="86"/>
      <c r="AA41" s="86"/>
      <c r="AB41" s="163"/>
      <c r="AC41" s="582" t="s">
        <v>1260</v>
      </c>
      <c r="AD41" s="586" t="s">
        <v>861</v>
      </c>
      <c r="AF41" s="566"/>
      <c r="AG41" s="566"/>
    </row>
    <row r="42" spans="1:175" x14ac:dyDescent="0.3">
      <c r="A42" s="66" t="s">
        <v>122</v>
      </c>
      <c r="B42" s="37" t="s">
        <v>1</v>
      </c>
      <c r="C42" s="234">
        <v>0.5</v>
      </c>
      <c r="D42" s="127"/>
      <c r="E42" s="86"/>
      <c r="F42" s="86"/>
      <c r="G42" s="86"/>
      <c r="H42" s="86"/>
      <c r="I42" s="86"/>
      <c r="J42" s="86"/>
      <c r="K42" s="86"/>
      <c r="L42" s="86"/>
      <c r="M42" s="86"/>
      <c r="N42" s="86"/>
      <c r="O42" s="86"/>
      <c r="P42" s="86">
        <v>1.3</v>
      </c>
      <c r="Q42" s="86"/>
      <c r="R42" s="86"/>
      <c r="S42" s="86"/>
      <c r="T42" s="86"/>
      <c r="U42" s="86"/>
      <c r="V42" s="86"/>
      <c r="W42" s="86"/>
      <c r="X42" s="86"/>
      <c r="Y42" s="86"/>
      <c r="Z42" s="86"/>
      <c r="AA42" s="86"/>
      <c r="AB42" s="163"/>
      <c r="AC42" s="582" t="s">
        <v>1260</v>
      </c>
      <c r="AD42" s="586" t="s">
        <v>861</v>
      </c>
      <c r="AF42" s="566"/>
      <c r="AG42" s="566"/>
    </row>
    <row r="43" spans="1:175" s="567" customFormat="1" x14ac:dyDescent="0.3">
      <c r="A43" s="375" t="s">
        <v>159</v>
      </c>
      <c r="B43" s="372" t="s">
        <v>1</v>
      </c>
      <c r="C43" s="374">
        <f>SUM(C44:C45)</f>
        <v>1</v>
      </c>
      <c r="D43" s="373"/>
      <c r="E43" s="395"/>
      <c r="F43" s="395"/>
      <c r="G43" s="395"/>
      <c r="H43" s="395"/>
      <c r="I43" s="395"/>
      <c r="J43" s="395"/>
      <c r="K43" s="395"/>
      <c r="L43" s="395"/>
      <c r="M43" s="395"/>
      <c r="N43" s="395"/>
      <c r="O43" s="395"/>
      <c r="P43" s="395"/>
      <c r="Q43" s="395"/>
      <c r="R43" s="395"/>
      <c r="S43" s="395"/>
      <c r="T43" s="395"/>
      <c r="U43" s="395"/>
      <c r="V43" s="395"/>
      <c r="W43" s="395"/>
      <c r="X43" s="395"/>
      <c r="Y43" s="395"/>
      <c r="Z43" s="395"/>
      <c r="AA43" s="395"/>
      <c r="AB43" s="568"/>
      <c r="AC43" s="582"/>
      <c r="AD43" s="586"/>
      <c r="AE43" s="559"/>
      <c r="AF43" s="566"/>
      <c r="AG43" s="566"/>
      <c r="AH43" s="559"/>
      <c r="AI43" s="559"/>
      <c r="AJ43" s="559"/>
      <c r="AK43" s="559"/>
      <c r="AL43" s="559"/>
      <c r="AM43" s="559"/>
      <c r="AN43" s="559"/>
      <c r="AO43" s="559"/>
      <c r="AP43" s="559"/>
      <c r="AQ43" s="559"/>
      <c r="AR43" s="559"/>
      <c r="AS43" s="559"/>
      <c r="AT43" s="559"/>
      <c r="AU43" s="559"/>
      <c r="AV43" s="559"/>
      <c r="AW43" s="559"/>
      <c r="AX43" s="559"/>
      <c r="AY43" s="559"/>
      <c r="AZ43" s="559"/>
      <c r="BA43" s="559"/>
      <c r="BB43" s="559"/>
      <c r="BC43" s="559"/>
      <c r="BD43" s="559"/>
      <c r="BE43" s="559"/>
      <c r="BF43" s="559"/>
      <c r="BG43" s="559"/>
      <c r="BH43" s="559"/>
      <c r="BI43" s="559"/>
      <c r="BJ43" s="559"/>
      <c r="BK43" s="559"/>
      <c r="BL43" s="559"/>
      <c r="BM43" s="559"/>
      <c r="BN43" s="559"/>
      <c r="BO43" s="559"/>
      <c r="BP43" s="559"/>
      <c r="BQ43" s="559"/>
      <c r="BR43" s="559"/>
      <c r="BS43" s="559"/>
      <c r="BT43" s="559"/>
      <c r="BU43" s="559"/>
      <c r="BV43" s="559"/>
      <c r="BW43" s="559"/>
      <c r="BX43" s="559"/>
      <c r="BY43" s="559"/>
      <c r="BZ43" s="559"/>
      <c r="CA43" s="559"/>
      <c r="CB43" s="559"/>
      <c r="CC43" s="559"/>
      <c r="CD43" s="559"/>
      <c r="CE43" s="559"/>
      <c r="CF43" s="559"/>
      <c r="CG43" s="559"/>
      <c r="CH43" s="559"/>
      <c r="CI43" s="559"/>
      <c r="CJ43" s="559"/>
      <c r="CK43" s="559"/>
      <c r="CL43" s="559"/>
      <c r="CM43" s="559"/>
      <c r="CN43" s="559"/>
      <c r="CO43" s="559"/>
      <c r="CP43" s="559"/>
      <c r="CQ43" s="559"/>
      <c r="CR43" s="559"/>
      <c r="CS43" s="559"/>
      <c r="CT43" s="559"/>
      <c r="CU43" s="559"/>
      <c r="CV43" s="559"/>
      <c r="CW43" s="559"/>
      <c r="CX43" s="559"/>
      <c r="CY43" s="559"/>
      <c r="CZ43" s="559"/>
      <c r="DA43" s="559"/>
      <c r="DB43" s="559"/>
      <c r="DC43" s="559"/>
      <c r="DD43" s="559"/>
      <c r="DE43" s="559"/>
      <c r="DF43" s="559"/>
      <c r="DG43" s="559"/>
      <c r="DH43" s="559"/>
      <c r="DI43" s="559"/>
      <c r="DJ43" s="559"/>
      <c r="DK43" s="559"/>
      <c r="DL43" s="559"/>
      <c r="DM43" s="559"/>
      <c r="DN43" s="559"/>
      <c r="DO43" s="559"/>
      <c r="DP43" s="559"/>
      <c r="DQ43" s="559"/>
      <c r="DR43" s="559"/>
      <c r="DS43" s="559"/>
      <c r="DT43" s="559"/>
      <c r="DU43" s="559"/>
      <c r="DV43" s="559"/>
      <c r="DW43" s="559"/>
      <c r="DX43" s="559"/>
      <c r="DY43" s="559"/>
      <c r="DZ43" s="559"/>
      <c r="EA43" s="559"/>
      <c r="EB43" s="559"/>
      <c r="EC43" s="559"/>
      <c r="ED43" s="559"/>
      <c r="EE43" s="559"/>
      <c r="EF43" s="559"/>
      <c r="EG43" s="559"/>
      <c r="EH43" s="559"/>
      <c r="EI43" s="559"/>
      <c r="EJ43" s="559"/>
      <c r="EK43" s="559"/>
      <c r="EL43" s="559"/>
      <c r="EM43" s="559"/>
      <c r="EN43" s="559"/>
      <c r="EO43" s="559"/>
      <c r="EP43" s="559"/>
      <c r="EQ43" s="559"/>
      <c r="ER43" s="559"/>
      <c r="ES43" s="559"/>
      <c r="ET43" s="559"/>
      <c r="EU43" s="559"/>
      <c r="EV43" s="559"/>
      <c r="EW43" s="559"/>
      <c r="EX43" s="559"/>
      <c r="EY43" s="559"/>
      <c r="EZ43" s="559"/>
      <c r="FA43" s="559"/>
      <c r="FB43" s="559"/>
      <c r="FC43" s="559"/>
      <c r="FD43" s="559"/>
      <c r="FE43" s="559"/>
      <c r="FF43" s="559"/>
      <c r="FG43" s="559"/>
      <c r="FH43" s="559"/>
      <c r="FI43" s="559"/>
      <c r="FJ43" s="559"/>
      <c r="FK43" s="559"/>
      <c r="FL43" s="559"/>
      <c r="FM43" s="559"/>
      <c r="FN43" s="559"/>
      <c r="FO43" s="559"/>
      <c r="FP43" s="559"/>
      <c r="FQ43" s="559"/>
      <c r="FR43" s="559"/>
      <c r="FS43" s="559"/>
    </row>
    <row r="44" spans="1:175" x14ac:dyDescent="0.3">
      <c r="A44" s="66" t="s">
        <v>536</v>
      </c>
      <c r="B44" s="37" t="s">
        <v>1</v>
      </c>
      <c r="C44" s="234">
        <v>0.5</v>
      </c>
      <c r="D44" s="127"/>
      <c r="E44" s="86"/>
      <c r="F44" s="86"/>
      <c r="G44" s="86"/>
      <c r="H44" s="86"/>
      <c r="I44" s="86"/>
      <c r="J44" s="86"/>
      <c r="K44" s="86"/>
      <c r="L44" s="86"/>
      <c r="M44" s="86"/>
      <c r="N44" s="86"/>
      <c r="O44" s="86"/>
      <c r="P44" s="86"/>
      <c r="Q44" s="86"/>
      <c r="R44" s="86">
        <v>1.3</v>
      </c>
      <c r="S44" s="86"/>
      <c r="T44" s="86">
        <v>0.06</v>
      </c>
      <c r="U44" s="86"/>
      <c r="V44" s="86"/>
      <c r="W44" s="86"/>
      <c r="X44" s="86"/>
      <c r="Y44" s="86"/>
      <c r="Z44" s="86"/>
      <c r="AA44" s="86"/>
      <c r="AB44" s="163"/>
      <c r="AC44" s="582" t="s">
        <v>1260</v>
      </c>
      <c r="AD44" s="586" t="s">
        <v>862</v>
      </c>
      <c r="AF44" s="566"/>
      <c r="AG44" s="566"/>
    </row>
    <row r="45" spans="1:175" x14ac:dyDescent="0.3">
      <c r="A45" s="66" t="s">
        <v>537</v>
      </c>
      <c r="B45" s="37" t="s">
        <v>1</v>
      </c>
      <c r="C45" s="234">
        <v>0.5</v>
      </c>
      <c r="D45" s="127"/>
      <c r="E45" s="86"/>
      <c r="F45" s="86"/>
      <c r="G45" s="86"/>
      <c r="H45" s="86"/>
      <c r="I45" s="86"/>
      <c r="J45" s="86"/>
      <c r="K45" s="86"/>
      <c r="L45" s="86"/>
      <c r="M45" s="86"/>
      <c r="N45" s="86"/>
      <c r="O45" s="86"/>
      <c r="P45" s="86"/>
      <c r="Q45" s="86"/>
      <c r="R45" s="86"/>
      <c r="S45" s="86">
        <v>1.3</v>
      </c>
      <c r="T45" s="86">
        <v>0.06</v>
      </c>
      <c r="U45" s="86"/>
      <c r="V45" s="86"/>
      <c r="W45" s="86"/>
      <c r="X45" s="86"/>
      <c r="Y45" s="86"/>
      <c r="Z45" s="86"/>
      <c r="AA45" s="86"/>
      <c r="AB45" s="163"/>
      <c r="AC45" s="582" t="s">
        <v>1260</v>
      </c>
      <c r="AD45" s="586" t="s">
        <v>862</v>
      </c>
      <c r="AF45" s="566"/>
      <c r="AG45" s="566"/>
    </row>
    <row r="46" spans="1:175" s="567" customFormat="1" x14ac:dyDescent="0.3">
      <c r="A46" s="371" t="s">
        <v>123</v>
      </c>
      <c r="B46" s="372" t="s">
        <v>1</v>
      </c>
      <c r="C46" s="374">
        <v>1</v>
      </c>
      <c r="D46" s="373"/>
      <c r="E46" s="395"/>
      <c r="F46" s="395"/>
      <c r="G46" s="395"/>
      <c r="H46" s="395"/>
      <c r="I46" s="395"/>
      <c r="J46" s="396"/>
      <c r="K46" s="395"/>
      <c r="L46" s="395">
        <v>0.2</v>
      </c>
      <c r="M46" s="395">
        <v>0.1</v>
      </c>
      <c r="N46" s="395"/>
      <c r="O46" s="395"/>
      <c r="P46" s="395"/>
      <c r="Q46" s="395"/>
      <c r="R46" s="395"/>
      <c r="S46" s="395"/>
      <c r="T46" s="395">
        <v>0.45</v>
      </c>
      <c r="U46" s="395"/>
      <c r="V46" s="395"/>
      <c r="W46" s="395">
        <v>0.25</v>
      </c>
      <c r="X46" s="395">
        <v>5.0000000000000001E-3</v>
      </c>
      <c r="Y46" s="395"/>
      <c r="Z46" s="395"/>
      <c r="AA46" s="395"/>
      <c r="AB46" s="568"/>
      <c r="AC46" s="582" t="s">
        <v>1260</v>
      </c>
      <c r="AD46" s="586" t="s">
        <v>783</v>
      </c>
      <c r="AE46" s="559"/>
      <c r="AF46" s="566"/>
      <c r="AG46" s="566"/>
      <c r="AH46" s="559"/>
      <c r="AI46" s="559"/>
      <c r="AJ46" s="559"/>
      <c r="AK46" s="559"/>
      <c r="AL46" s="559"/>
      <c r="AM46" s="559"/>
      <c r="AN46" s="559"/>
      <c r="AO46" s="559"/>
      <c r="AP46" s="559"/>
      <c r="AQ46" s="559"/>
      <c r="AR46" s="559"/>
      <c r="AS46" s="559"/>
      <c r="AT46" s="559"/>
      <c r="AU46" s="559"/>
      <c r="AV46" s="559"/>
      <c r="AW46" s="559"/>
      <c r="AX46" s="559"/>
      <c r="AY46" s="559"/>
      <c r="AZ46" s="559"/>
      <c r="BA46" s="559"/>
      <c r="BB46" s="559"/>
      <c r="BC46" s="559"/>
      <c r="BD46" s="559"/>
      <c r="BE46" s="559"/>
      <c r="BF46" s="559"/>
      <c r="BG46" s="559"/>
      <c r="BH46" s="559"/>
      <c r="BI46" s="559"/>
      <c r="BJ46" s="559"/>
      <c r="BK46" s="559"/>
      <c r="BL46" s="559"/>
      <c r="BM46" s="559"/>
      <c r="BN46" s="559"/>
      <c r="BO46" s="559"/>
      <c r="BP46" s="559"/>
      <c r="BQ46" s="559"/>
      <c r="BR46" s="559"/>
      <c r="BS46" s="559"/>
      <c r="BT46" s="559"/>
      <c r="BU46" s="559"/>
      <c r="BV46" s="559"/>
      <c r="BW46" s="559"/>
      <c r="BX46" s="559"/>
      <c r="BY46" s="559"/>
      <c r="BZ46" s="559"/>
      <c r="CA46" s="559"/>
      <c r="CB46" s="559"/>
      <c r="CC46" s="559"/>
      <c r="CD46" s="559"/>
      <c r="CE46" s="559"/>
      <c r="CF46" s="559"/>
      <c r="CG46" s="559"/>
      <c r="CH46" s="559"/>
      <c r="CI46" s="559"/>
      <c r="CJ46" s="559"/>
      <c r="CK46" s="559"/>
      <c r="CL46" s="559"/>
      <c r="CM46" s="559"/>
      <c r="CN46" s="559"/>
      <c r="CO46" s="559"/>
      <c r="CP46" s="559"/>
      <c r="CQ46" s="559"/>
      <c r="CR46" s="559"/>
      <c r="CS46" s="559"/>
      <c r="CT46" s="559"/>
      <c r="CU46" s="559"/>
      <c r="CV46" s="559"/>
      <c r="CW46" s="559"/>
      <c r="CX46" s="559"/>
      <c r="CY46" s="559"/>
      <c r="CZ46" s="559"/>
      <c r="DA46" s="559"/>
      <c r="DB46" s="559"/>
      <c r="DC46" s="559"/>
      <c r="DD46" s="559"/>
      <c r="DE46" s="559"/>
      <c r="DF46" s="559"/>
      <c r="DG46" s="559"/>
      <c r="DH46" s="559"/>
      <c r="DI46" s="559"/>
      <c r="DJ46" s="559"/>
      <c r="DK46" s="559"/>
      <c r="DL46" s="559"/>
      <c r="DM46" s="559"/>
      <c r="DN46" s="559"/>
      <c r="DO46" s="559"/>
      <c r="DP46" s="559"/>
      <c r="DQ46" s="559"/>
      <c r="DR46" s="559"/>
      <c r="DS46" s="559"/>
      <c r="DT46" s="559"/>
      <c r="DU46" s="559"/>
      <c r="DV46" s="559"/>
      <c r="DW46" s="559"/>
      <c r="DX46" s="559"/>
      <c r="DY46" s="559"/>
      <c r="DZ46" s="559"/>
      <c r="EA46" s="559"/>
      <c r="EB46" s="559"/>
      <c r="EC46" s="559"/>
      <c r="ED46" s="559"/>
      <c r="EE46" s="559"/>
      <c r="EF46" s="559"/>
      <c r="EG46" s="559"/>
      <c r="EH46" s="559"/>
      <c r="EI46" s="559"/>
      <c r="EJ46" s="559"/>
      <c r="EK46" s="559"/>
      <c r="EL46" s="559"/>
      <c r="EM46" s="559"/>
      <c r="EN46" s="559"/>
      <c r="EO46" s="559"/>
      <c r="EP46" s="559"/>
      <c r="EQ46" s="559"/>
      <c r="ER46" s="559"/>
      <c r="ES46" s="559"/>
      <c r="ET46" s="559"/>
      <c r="EU46" s="559"/>
      <c r="EV46" s="559"/>
      <c r="EW46" s="559"/>
      <c r="EX46" s="559"/>
      <c r="EY46" s="559"/>
      <c r="EZ46" s="559"/>
      <c r="FA46" s="559"/>
      <c r="FB46" s="559"/>
      <c r="FC46" s="559"/>
      <c r="FD46" s="559"/>
      <c r="FE46" s="559"/>
      <c r="FF46" s="559"/>
      <c r="FG46" s="559"/>
      <c r="FH46" s="559"/>
      <c r="FI46" s="559"/>
      <c r="FJ46" s="559"/>
      <c r="FK46" s="559"/>
      <c r="FL46" s="559"/>
      <c r="FM46" s="559"/>
      <c r="FN46" s="559"/>
      <c r="FO46" s="559"/>
      <c r="FP46" s="559"/>
      <c r="FQ46" s="559"/>
      <c r="FR46" s="559"/>
      <c r="FS46" s="559"/>
    </row>
    <row r="47" spans="1:175" x14ac:dyDescent="0.3">
      <c r="A47" s="54"/>
      <c r="B47" s="37"/>
      <c r="C47" s="234"/>
      <c r="D47" s="127"/>
      <c r="E47" s="86"/>
      <c r="F47" s="86"/>
      <c r="G47" s="86"/>
      <c r="H47" s="86"/>
      <c r="I47" s="86"/>
      <c r="J47" s="250"/>
      <c r="K47" s="86"/>
      <c r="L47" s="86"/>
      <c r="M47" s="86"/>
      <c r="N47" s="86"/>
      <c r="O47" s="86"/>
      <c r="P47" s="86"/>
      <c r="Q47" s="86"/>
      <c r="R47" s="86"/>
      <c r="S47" s="86"/>
      <c r="T47" s="86"/>
      <c r="U47" s="86"/>
      <c r="V47" s="86"/>
      <c r="W47" s="86"/>
      <c r="X47" s="86"/>
      <c r="Y47" s="86"/>
      <c r="Z47" s="86"/>
      <c r="AA47" s="86"/>
      <c r="AB47" s="163"/>
      <c r="AC47" s="582"/>
      <c r="AD47" s="586"/>
      <c r="AF47" s="566"/>
      <c r="AG47" s="566"/>
    </row>
    <row r="48" spans="1:175" s="567" customFormat="1" x14ac:dyDescent="0.3">
      <c r="A48" s="375" t="s">
        <v>160</v>
      </c>
      <c r="B48" s="372" t="s">
        <v>1</v>
      </c>
      <c r="C48" s="374">
        <v>1</v>
      </c>
      <c r="D48" s="373"/>
      <c r="E48" s="395"/>
      <c r="F48" s="395"/>
      <c r="G48" s="395"/>
      <c r="H48" s="395">
        <v>0.28000000000000003</v>
      </c>
      <c r="I48" s="395"/>
      <c r="J48" s="373"/>
      <c r="K48" s="395"/>
      <c r="L48" s="395"/>
      <c r="M48" s="395"/>
      <c r="N48" s="395"/>
      <c r="O48" s="395"/>
      <c r="P48" s="395"/>
      <c r="Q48" s="395"/>
      <c r="R48" s="395"/>
      <c r="S48" s="395"/>
      <c r="T48" s="395"/>
      <c r="U48" s="373">
        <v>3</v>
      </c>
      <c r="V48" s="395"/>
      <c r="W48" s="395"/>
      <c r="X48" s="395"/>
      <c r="Y48" s="395"/>
      <c r="Z48" s="395"/>
      <c r="AA48" s="395"/>
      <c r="AB48" s="568"/>
      <c r="AC48" s="582" t="s">
        <v>1261</v>
      </c>
      <c r="AD48" s="586" t="s">
        <v>784</v>
      </c>
      <c r="AE48" s="559"/>
      <c r="AF48" s="566"/>
      <c r="AG48" s="566"/>
      <c r="AH48" s="559"/>
      <c r="AI48" s="559"/>
      <c r="AJ48" s="559"/>
      <c r="AK48" s="575"/>
      <c r="AL48" s="50"/>
      <c r="AM48" s="791"/>
      <c r="AN48" s="559"/>
      <c r="AO48" s="559"/>
      <c r="AP48" s="559"/>
      <c r="AQ48" s="559"/>
      <c r="AR48" s="559"/>
      <c r="AS48" s="559"/>
      <c r="AT48" s="559"/>
      <c r="AU48" s="559"/>
      <c r="AV48" s="559"/>
      <c r="AW48" s="559"/>
      <c r="AX48" s="559"/>
      <c r="AY48" s="559"/>
      <c r="AZ48" s="559"/>
      <c r="BA48" s="559"/>
      <c r="BB48" s="559"/>
      <c r="BC48" s="559"/>
      <c r="BD48" s="559"/>
      <c r="BE48" s="559"/>
      <c r="BF48" s="559"/>
      <c r="BG48" s="559"/>
      <c r="BH48" s="559"/>
      <c r="BI48" s="559"/>
      <c r="BJ48" s="559"/>
      <c r="BK48" s="559"/>
      <c r="BL48" s="559"/>
      <c r="BM48" s="559"/>
      <c r="BN48" s="559"/>
      <c r="BO48" s="559"/>
      <c r="BP48" s="559"/>
      <c r="BQ48" s="559"/>
      <c r="BR48" s="559"/>
      <c r="BS48" s="559"/>
      <c r="BT48" s="559"/>
      <c r="BU48" s="559"/>
      <c r="BV48" s="559"/>
      <c r="BW48" s="559"/>
      <c r="BX48" s="559"/>
      <c r="BY48" s="559"/>
      <c r="BZ48" s="559"/>
      <c r="CA48" s="559"/>
      <c r="CB48" s="559"/>
      <c r="CC48" s="559"/>
      <c r="CD48" s="559"/>
      <c r="CE48" s="559"/>
      <c r="CF48" s="559"/>
      <c r="CG48" s="559"/>
      <c r="CH48" s="559"/>
      <c r="CI48" s="559"/>
      <c r="CJ48" s="559"/>
      <c r="CK48" s="559"/>
      <c r="CL48" s="559"/>
      <c r="CM48" s="559"/>
      <c r="CN48" s="559"/>
      <c r="CO48" s="559"/>
      <c r="CP48" s="559"/>
      <c r="CQ48" s="559"/>
      <c r="CR48" s="559"/>
      <c r="CS48" s="559"/>
      <c r="CT48" s="559"/>
      <c r="CU48" s="559"/>
      <c r="CV48" s="559"/>
      <c r="CW48" s="559"/>
      <c r="CX48" s="559"/>
      <c r="CY48" s="559"/>
      <c r="CZ48" s="559"/>
      <c r="DA48" s="559"/>
      <c r="DB48" s="559"/>
      <c r="DC48" s="559"/>
      <c r="DD48" s="559"/>
      <c r="DE48" s="559"/>
      <c r="DF48" s="559"/>
      <c r="DG48" s="559"/>
      <c r="DH48" s="559"/>
      <c r="DI48" s="559"/>
      <c r="DJ48" s="559"/>
      <c r="DK48" s="559"/>
      <c r="DL48" s="559"/>
      <c r="DM48" s="559"/>
      <c r="DN48" s="559"/>
      <c r="DO48" s="559"/>
      <c r="DP48" s="559"/>
      <c r="DQ48" s="559"/>
      <c r="DR48" s="559"/>
      <c r="DS48" s="559"/>
      <c r="DT48" s="559"/>
      <c r="DU48" s="559"/>
      <c r="DV48" s="559"/>
      <c r="DW48" s="559"/>
      <c r="DX48" s="559"/>
      <c r="DY48" s="559"/>
      <c r="DZ48" s="559"/>
      <c r="EA48" s="559"/>
      <c r="EB48" s="559"/>
      <c r="EC48" s="559"/>
      <c r="ED48" s="559"/>
      <c r="EE48" s="559"/>
      <c r="EF48" s="559"/>
      <c r="EG48" s="559"/>
      <c r="EH48" s="559"/>
      <c r="EI48" s="559"/>
      <c r="EJ48" s="559"/>
      <c r="EK48" s="559"/>
      <c r="EL48" s="559"/>
      <c r="EM48" s="559"/>
      <c r="EN48" s="559"/>
      <c r="EO48" s="559"/>
      <c r="EP48" s="559"/>
      <c r="EQ48" s="559"/>
      <c r="ER48" s="559"/>
      <c r="ES48" s="559"/>
      <c r="ET48" s="559"/>
      <c r="EU48" s="559"/>
      <c r="EV48" s="559"/>
      <c r="EW48" s="559"/>
      <c r="EX48" s="559"/>
      <c r="EY48" s="559"/>
      <c r="EZ48" s="559"/>
      <c r="FA48" s="559"/>
      <c r="FB48" s="559"/>
      <c r="FC48" s="559"/>
      <c r="FD48" s="559"/>
      <c r="FE48" s="559"/>
      <c r="FF48" s="559"/>
      <c r="FG48" s="559"/>
      <c r="FH48" s="559"/>
      <c r="FI48" s="559"/>
      <c r="FJ48" s="559"/>
      <c r="FK48" s="559"/>
      <c r="FL48" s="559"/>
      <c r="FM48" s="559"/>
      <c r="FN48" s="559"/>
      <c r="FO48" s="559"/>
      <c r="FP48" s="559"/>
      <c r="FQ48" s="559"/>
      <c r="FR48" s="559"/>
      <c r="FS48" s="559"/>
    </row>
    <row r="49" spans="1:175" x14ac:dyDescent="0.3">
      <c r="A49" s="66"/>
      <c r="B49" s="37"/>
      <c r="C49" s="234"/>
      <c r="D49" s="127"/>
      <c r="E49" s="86"/>
      <c r="F49" s="86"/>
      <c r="G49" s="86"/>
      <c r="H49" s="86"/>
      <c r="I49" s="86"/>
      <c r="J49" s="127"/>
      <c r="K49" s="86"/>
      <c r="L49" s="86"/>
      <c r="M49" s="86"/>
      <c r="N49" s="86"/>
      <c r="O49" s="86"/>
      <c r="P49" s="86"/>
      <c r="Q49" s="86"/>
      <c r="R49" s="86"/>
      <c r="S49" s="86"/>
      <c r="T49" s="86"/>
      <c r="U49" s="127"/>
      <c r="V49" s="86"/>
      <c r="W49" s="86"/>
      <c r="X49" s="86"/>
      <c r="Y49" s="86"/>
      <c r="Z49" s="86"/>
      <c r="AA49" s="86"/>
      <c r="AB49" s="163"/>
      <c r="AC49" s="582"/>
      <c r="AD49" s="586"/>
      <c r="AF49" s="566"/>
      <c r="AG49" s="566"/>
      <c r="AK49" s="575"/>
      <c r="AL49" s="50"/>
      <c r="AM49" s="791"/>
    </row>
    <row r="50" spans="1:175" s="567" customFormat="1" x14ac:dyDescent="0.3">
      <c r="A50" s="570" t="s">
        <v>522</v>
      </c>
      <c r="B50" s="397" t="s">
        <v>1</v>
      </c>
      <c r="C50" s="398">
        <v>1</v>
      </c>
      <c r="D50" s="399"/>
      <c r="E50" s="400"/>
      <c r="F50" s="400"/>
      <c r="G50" s="400"/>
      <c r="H50" s="400"/>
      <c r="I50" s="400"/>
      <c r="J50" s="399"/>
      <c r="K50" s="400"/>
      <c r="L50" s="400"/>
      <c r="M50" s="400"/>
      <c r="N50" s="400"/>
      <c r="O50" s="400"/>
      <c r="P50" s="400"/>
      <c r="Q50" s="400"/>
      <c r="R50" s="400"/>
      <c r="S50" s="400"/>
      <c r="T50" s="399">
        <v>0.04</v>
      </c>
      <c r="U50" s="400"/>
      <c r="V50" s="400"/>
      <c r="W50" s="400">
        <v>0.03</v>
      </c>
      <c r="X50" s="400"/>
      <c r="Y50" s="400">
        <v>0.28999999999999998</v>
      </c>
      <c r="Z50" s="400">
        <v>7.0000000000000007E-2</v>
      </c>
      <c r="AA50" s="400">
        <v>0.11</v>
      </c>
      <c r="AB50" s="571">
        <v>0.03</v>
      </c>
      <c r="AC50" s="582" t="s">
        <v>1260</v>
      </c>
      <c r="AD50" s="586" t="s">
        <v>785</v>
      </c>
      <c r="AE50" s="559"/>
      <c r="AF50" s="566"/>
      <c r="AG50" s="566"/>
      <c r="AH50" s="559"/>
      <c r="AI50" s="559"/>
      <c r="AJ50" s="559"/>
      <c r="AK50" s="575"/>
      <c r="AL50" s="50"/>
      <c r="AM50" s="791"/>
      <c r="AN50" s="559"/>
      <c r="AO50" s="559"/>
      <c r="AP50" s="559"/>
      <c r="AQ50" s="559"/>
      <c r="AR50" s="559"/>
      <c r="AS50" s="559"/>
      <c r="AT50" s="559"/>
      <c r="AU50" s="559"/>
      <c r="AV50" s="559"/>
      <c r="AW50" s="559"/>
      <c r="AX50" s="559"/>
      <c r="AY50" s="559"/>
      <c r="AZ50" s="559"/>
      <c r="BA50" s="559"/>
      <c r="BB50" s="559"/>
      <c r="BC50" s="559"/>
      <c r="BD50" s="559"/>
      <c r="BE50" s="559"/>
      <c r="BF50" s="559"/>
      <c r="BG50" s="559"/>
      <c r="BH50" s="559"/>
      <c r="BI50" s="559"/>
      <c r="BJ50" s="559"/>
      <c r="BK50" s="559"/>
      <c r="BL50" s="559"/>
      <c r="BM50" s="559"/>
      <c r="BN50" s="559"/>
      <c r="BO50" s="559"/>
      <c r="BP50" s="559"/>
      <c r="BQ50" s="559"/>
      <c r="BR50" s="559"/>
      <c r="BS50" s="559"/>
      <c r="BT50" s="559"/>
      <c r="BU50" s="559"/>
      <c r="BV50" s="559"/>
      <c r="BW50" s="559"/>
      <c r="BX50" s="559"/>
      <c r="BY50" s="559"/>
      <c r="BZ50" s="559"/>
      <c r="CA50" s="559"/>
      <c r="CB50" s="559"/>
      <c r="CC50" s="559"/>
      <c r="CD50" s="559"/>
      <c r="CE50" s="559"/>
      <c r="CF50" s="559"/>
      <c r="CG50" s="559"/>
      <c r="CH50" s="559"/>
      <c r="CI50" s="559"/>
      <c r="CJ50" s="559"/>
      <c r="CK50" s="559"/>
      <c r="CL50" s="559"/>
      <c r="CM50" s="559"/>
      <c r="CN50" s="559"/>
      <c r="CO50" s="559"/>
      <c r="CP50" s="559"/>
      <c r="CQ50" s="559"/>
      <c r="CR50" s="559"/>
      <c r="CS50" s="559"/>
      <c r="CT50" s="559"/>
      <c r="CU50" s="559"/>
      <c r="CV50" s="559"/>
      <c r="CW50" s="559"/>
      <c r="CX50" s="559"/>
      <c r="CY50" s="559"/>
      <c r="CZ50" s="559"/>
      <c r="DA50" s="559"/>
      <c r="DB50" s="559"/>
      <c r="DC50" s="559"/>
      <c r="DD50" s="559"/>
      <c r="DE50" s="559"/>
      <c r="DF50" s="559"/>
      <c r="DG50" s="559"/>
      <c r="DH50" s="559"/>
      <c r="DI50" s="559"/>
      <c r="DJ50" s="559"/>
      <c r="DK50" s="559"/>
      <c r="DL50" s="559"/>
      <c r="DM50" s="559"/>
      <c r="DN50" s="559"/>
      <c r="DO50" s="559"/>
      <c r="DP50" s="559"/>
      <c r="DQ50" s="559"/>
      <c r="DR50" s="559"/>
      <c r="DS50" s="559"/>
      <c r="DT50" s="559"/>
      <c r="DU50" s="559"/>
      <c r="DV50" s="559"/>
      <c r="DW50" s="559"/>
      <c r="DX50" s="559"/>
      <c r="DY50" s="559"/>
      <c r="DZ50" s="559"/>
      <c r="EA50" s="559"/>
      <c r="EB50" s="559"/>
      <c r="EC50" s="559"/>
      <c r="ED50" s="559"/>
      <c r="EE50" s="559"/>
      <c r="EF50" s="559"/>
      <c r="EG50" s="559"/>
      <c r="EH50" s="559"/>
      <c r="EI50" s="559"/>
      <c r="EJ50" s="559"/>
      <c r="EK50" s="559"/>
      <c r="EL50" s="559"/>
      <c r="EM50" s="559"/>
      <c r="EN50" s="559"/>
      <c r="EO50" s="559"/>
      <c r="EP50" s="559"/>
      <c r="EQ50" s="559"/>
      <c r="ER50" s="559"/>
      <c r="ES50" s="559"/>
      <c r="ET50" s="559"/>
      <c r="EU50" s="559"/>
      <c r="EV50" s="559"/>
      <c r="EW50" s="559"/>
      <c r="EX50" s="559"/>
      <c r="EY50" s="559"/>
      <c r="EZ50" s="559"/>
      <c r="FA50" s="559"/>
      <c r="FB50" s="559"/>
      <c r="FC50" s="559"/>
      <c r="FD50" s="559"/>
      <c r="FE50" s="559"/>
      <c r="FF50" s="559"/>
      <c r="FG50" s="559"/>
      <c r="FH50" s="559"/>
      <c r="FI50" s="559"/>
      <c r="FJ50" s="559"/>
      <c r="FK50" s="559"/>
      <c r="FL50" s="559"/>
      <c r="FM50" s="559"/>
      <c r="FN50" s="559"/>
      <c r="FO50" s="559"/>
      <c r="FP50" s="559"/>
      <c r="FQ50" s="559"/>
      <c r="FR50" s="559"/>
      <c r="FS50" s="559"/>
    </row>
    <row r="51" spans="1:175" x14ac:dyDescent="0.3">
      <c r="A51" s="50" t="s">
        <v>1255</v>
      </c>
      <c r="B51" s="37"/>
      <c r="I51" s="566"/>
      <c r="J51" s="566"/>
      <c r="K51" s="127"/>
      <c r="L51" s="86"/>
      <c r="M51" s="566"/>
      <c r="N51" s="86"/>
      <c r="O51" s="86"/>
      <c r="P51" s="86"/>
      <c r="Q51" s="86"/>
      <c r="R51" s="566"/>
      <c r="S51" s="86"/>
      <c r="T51" s="86"/>
      <c r="U51" s="86"/>
      <c r="V51" s="86"/>
      <c r="W51" s="86"/>
      <c r="X51" s="86"/>
      <c r="Y51" s="86"/>
      <c r="Z51" s="86"/>
      <c r="AA51" s="566"/>
      <c r="AB51" s="566"/>
      <c r="AC51" s="582"/>
      <c r="AD51" s="582"/>
      <c r="AF51" s="566"/>
      <c r="AG51" s="566"/>
      <c r="AK51" s="575"/>
      <c r="AL51" s="50"/>
      <c r="AM51" s="50"/>
    </row>
    <row r="52" spans="1:175" x14ac:dyDescent="0.3">
      <c r="A52" s="50"/>
      <c r="I52" s="566"/>
      <c r="J52" s="566"/>
      <c r="K52" s="566"/>
      <c r="L52" s="86"/>
      <c r="M52" s="86"/>
      <c r="N52" s="86"/>
      <c r="O52" s="86"/>
      <c r="P52" s="86"/>
      <c r="Q52" s="86"/>
      <c r="R52" s="86"/>
      <c r="S52" s="86"/>
      <c r="T52" s="86"/>
      <c r="U52" s="86"/>
      <c r="V52" s="86"/>
      <c r="W52" s="86"/>
      <c r="X52" s="86"/>
      <c r="Y52" s="86"/>
      <c r="Z52" s="86"/>
      <c r="AA52" s="86"/>
      <c r="AB52" s="566"/>
      <c r="AC52" s="582"/>
      <c r="AD52" s="582"/>
      <c r="AF52" s="566"/>
      <c r="AG52" s="566"/>
      <c r="AK52" s="575"/>
      <c r="AL52" s="50"/>
      <c r="AM52" s="50"/>
    </row>
    <row r="53" spans="1:175" x14ac:dyDescent="0.3">
      <c r="A53" s="235" t="s">
        <v>480</v>
      </c>
      <c r="B53" s="514"/>
      <c r="C53" s="50"/>
      <c r="D53" s="50"/>
      <c r="AK53" s="575"/>
      <c r="AL53" s="50"/>
      <c r="AM53" s="50"/>
    </row>
    <row r="54" spans="1:175" ht="27.6" x14ac:dyDescent="0.3">
      <c r="A54" s="46"/>
      <c r="B54" s="121"/>
      <c r="C54" s="121"/>
      <c r="D54" s="73" t="s">
        <v>110</v>
      </c>
      <c r="E54" s="73" t="s">
        <v>111</v>
      </c>
      <c r="F54" s="73" t="s">
        <v>538</v>
      </c>
      <c r="G54" s="73" t="s">
        <v>18</v>
      </c>
      <c r="H54" s="73" t="s">
        <v>481</v>
      </c>
      <c r="I54" s="73" t="s">
        <v>525</v>
      </c>
      <c r="J54" s="73" t="s">
        <v>112</v>
      </c>
      <c r="K54" s="73" t="s">
        <v>27</v>
      </c>
      <c r="L54" s="73" t="s">
        <v>539</v>
      </c>
      <c r="M54" s="73" t="s">
        <v>33</v>
      </c>
      <c r="N54" s="73" t="s">
        <v>769</v>
      </c>
      <c r="O54" s="73" t="s">
        <v>98</v>
      </c>
      <c r="P54" s="73" t="s">
        <v>86</v>
      </c>
      <c r="Q54" s="73" t="s">
        <v>122</v>
      </c>
      <c r="R54" s="73" t="s">
        <v>95</v>
      </c>
      <c r="S54" s="73" t="s">
        <v>96</v>
      </c>
      <c r="T54" s="73" t="s">
        <v>22</v>
      </c>
      <c r="U54" s="73" t="s">
        <v>68</v>
      </c>
      <c r="V54" s="73" t="s">
        <v>770</v>
      </c>
      <c r="W54" s="73" t="s">
        <v>470</v>
      </c>
      <c r="X54" s="73" t="s">
        <v>771</v>
      </c>
      <c r="Y54" s="73" t="s">
        <v>28</v>
      </c>
      <c r="Z54" s="73" t="s">
        <v>772</v>
      </c>
      <c r="AA54" s="69" t="s">
        <v>523</v>
      </c>
      <c r="AB54" s="74" t="s">
        <v>155</v>
      </c>
      <c r="AC54" s="587" t="s">
        <v>188</v>
      </c>
      <c r="AK54" s="575"/>
      <c r="AL54" s="50"/>
      <c r="AM54" s="50"/>
    </row>
    <row r="55" spans="1:175" x14ac:dyDescent="0.3">
      <c r="A55" s="54" t="s">
        <v>256</v>
      </c>
      <c r="B55" s="38"/>
      <c r="C55" s="38"/>
      <c r="D55" s="164">
        <v>0.6290587369940619</v>
      </c>
      <c r="E55" s="164">
        <v>0.60933458033636245</v>
      </c>
      <c r="F55" s="164">
        <v>0.62808651188458531</v>
      </c>
      <c r="G55" s="164">
        <v>0.8966825674756671</v>
      </c>
      <c r="H55" s="164">
        <v>0.9263833992094862</v>
      </c>
      <c r="I55" s="164">
        <v>0.8966825674756671</v>
      </c>
      <c r="J55" s="861">
        <v>0.70549804247034187</v>
      </c>
      <c r="K55" s="164">
        <v>2.7002614086504404</v>
      </c>
      <c r="L55" s="164">
        <v>4.614985525261484</v>
      </c>
      <c r="M55" s="164">
        <v>2.3761325333001833</v>
      </c>
      <c r="N55" s="164">
        <v>0.40643574073395405</v>
      </c>
      <c r="O55" s="164">
        <v>0.51739309385386034</v>
      </c>
      <c r="P55" s="164">
        <v>0.31385521923984405</v>
      </c>
      <c r="Q55" s="862">
        <v>0.4080117850117973</v>
      </c>
      <c r="R55" s="164">
        <v>0.48541467680809391</v>
      </c>
      <c r="S55" s="164">
        <v>0.39428014604678979</v>
      </c>
      <c r="T55" s="164">
        <v>1.0860581467255312</v>
      </c>
      <c r="U55" s="164">
        <v>0.21783562416896596</v>
      </c>
      <c r="V55" s="164">
        <v>0.26620013664646491</v>
      </c>
      <c r="W55" s="164">
        <v>2.6196769611990209</v>
      </c>
      <c r="X55" s="164">
        <v>1.400717167189601</v>
      </c>
      <c r="Y55" s="164">
        <v>1.3748567178704101</v>
      </c>
      <c r="Z55" s="164">
        <v>2.6196769611990209</v>
      </c>
      <c r="AA55" s="164">
        <v>1.1635423400129283</v>
      </c>
      <c r="AB55" s="185">
        <v>1.4272820625761145</v>
      </c>
      <c r="AC55" s="585" t="s">
        <v>1474</v>
      </c>
      <c r="AK55" s="575"/>
      <c r="AL55" s="50"/>
      <c r="AM55" s="50"/>
    </row>
    <row r="56" spans="1:175" x14ac:dyDescent="0.3">
      <c r="A56" s="54" t="s">
        <v>257</v>
      </c>
      <c r="B56" s="38"/>
      <c r="C56" s="38"/>
      <c r="D56" s="164">
        <v>5.1479703329600004E-5</v>
      </c>
      <c r="E56" s="164">
        <v>5.2036840493032893E-5</v>
      </c>
      <c r="F56" s="164">
        <v>5.6852669548753629E-5</v>
      </c>
      <c r="G56" s="164">
        <v>1.9206980584393963E-4</v>
      </c>
      <c r="H56" s="164">
        <v>4.4466403162055336E-2</v>
      </c>
      <c r="I56" s="164">
        <v>1.9206980584393963E-4</v>
      </c>
      <c r="J56" s="861">
        <v>1.5786314208544126E-2</v>
      </c>
      <c r="K56" s="164">
        <v>0.26840001880897479</v>
      </c>
      <c r="L56" s="164">
        <v>3.9928303899082562E-9</v>
      </c>
      <c r="M56" s="164">
        <v>1.8422149782556889E-9</v>
      </c>
      <c r="N56" s="164">
        <v>2.0628629333992892E-4</v>
      </c>
      <c r="O56" s="164">
        <v>1.4467007167667807E-5</v>
      </c>
      <c r="P56" s="164">
        <v>2.8819675552110908E-5</v>
      </c>
      <c r="Q56" s="862">
        <v>3.746557821774418E-5</v>
      </c>
      <c r="R56" s="164">
        <v>1.0900849244746761E-3</v>
      </c>
      <c r="S56" s="164">
        <v>7.7700131428841393E-5</v>
      </c>
      <c r="T56" s="164">
        <v>2.5172793358113952E-4</v>
      </c>
      <c r="U56" s="164">
        <v>7.051868733742311E-6</v>
      </c>
      <c r="V56" s="164">
        <v>2.7276424675708826E-2</v>
      </c>
      <c r="W56" s="164">
        <v>0.2454878220813794</v>
      </c>
      <c r="X56" s="164">
        <v>0</v>
      </c>
      <c r="Y56" s="164">
        <v>0.13638212337854411</v>
      </c>
      <c r="Z56" s="164">
        <v>0.2454878220813794</v>
      </c>
      <c r="AA56" s="164">
        <v>0</v>
      </c>
      <c r="AB56" s="185">
        <v>3.2747265299918663E-3</v>
      </c>
      <c r="AC56" s="583" t="s">
        <v>1236</v>
      </c>
      <c r="AK56" s="575"/>
      <c r="AL56" s="50"/>
      <c r="AM56" s="50"/>
    </row>
    <row r="57" spans="1:175" x14ac:dyDescent="0.3">
      <c r="A57" s="57" t="s">
        <v>258</v>
      </c>
      <c r="B57" s="71"/>
      <c r="C57" s="71"/>
      <c r="D57" s="760">
        <v>1.5617115758762303E-3</v>
      </c>
      <c r="E57" s="760">
        <v>1.2496812731721089E-3</v>
      </c>
      <c r="F57" s="760">
        <v>1.4753078520055218E-3</v>
      </c>
      <c r="G57" s="760">
        <v>3.7919263566987939E-3</v>
      </c>
      <c r="H57" s="760">
        <v>3.1086691248640441E-3</v>
      </c>
      <c r="I57" s="760">
        <v>3.7919263566987939E-3</v>
      </c>
      <c r="J57" s="863">
        <v>2.9240130518311713E-3</v>
      </c>
      <c r="K57" s="760">
        <v>1.102510861595798E-2</v>
      </c>
      <c r="L57" s="760">
        <v>9.8112037563917558E-3</v>
      </c>
      <c r="M57" s="760">
        <v>4.5267002977200507E-3</v>
      </c>
      <c r="N57" s="760">
        <v>2.7164478018952564E-4</v>
      </c>
      <c r="O57" s="760">
        <v>3.4100708617730872E-4</v>
      </c>
      <c r="P57" s="760">
        <v>6.0286027687923404E-5</v>
      </c>
      <c r="Q57" s="760">
        <v>7.8371835994300423E-5</v>
      </c>
      <c r="R57" s="760">
        <v>2.0494509113308553E-4</v>
      </c>
      <c r="S57" s="760">
        <v>7.6303981952709102E-4</v>
      </c>
      <c r="T57" s="760">
        <v>8.6514236429130139E-4</v>
      </c>
      <c r="U57" s="760">
        <v>2.3947281574213092E-4</v>
      </c>
      <c r="V57" s="760">
        <v>1.1204378674754046E-3</v>
      </c>
      <c r="W57" s="760">
        <v>1.0083940807278639E-2</v>
      </c>
      <c r="X57" s="760">
        <v>1.6921415442558941E-3</v>
      </c>
      <c r="Y57" s="760">
        <v>5.6021893373770226E-3</v>
      </c>
      <c r="Z57" s="760">
        <v>1.0083940807278639E-2</v>
      </c>
      <c r="AA57" s="760">
        <v>0</v>
      </c>
      <c r="AB57" s="629">
        <v>3.031168446881088E-3</v>
      </c>
      <c r="AK57" s="575"/>
      <c r="AL57" s="50"/>
      <c r="AM57" s="50"/>
    </row>
    <row r="58" spans="1:175" ht="27.6" x14ac:dyDescent="0.3">
      <c r="A58" s="573" t="s">
        <v>1473</v>
      </c>
      <c r="B58" s="37"/>
      <c r="C58" s="37"/>
      <c r="D58" s="37"/>
      <c r="E58" s="37"/>
      <c r="F58" s="37"/>
      <c r="G58" s="37"/>
      <c r="K58" s="37"/>
      <c r="N58" s="235"/>
      <c r="AC58" s="38"/>
      <c r="AK58" s="575"/>
      <c r="AL58" s="50"/>
      <c r="AM58" s="50"/>
    </row>
    <row r="59" spans="1:175" x14ac:dyDescent="0.3">
      <c r="A59" s="559" t="s">
        <v>524</v>
      </c>
      <c r="J59" s="572"/>
      <c r="N59" s="127"/>
      <c r="AK59" s="575"/>
      <c r="AL59" s="50"/>
      <c r="AM59" s="50"/>
    </row>
    <row r="60" spans="1:175" x14ac:dyDescent="0.3">
      <c r="A60" s="559" t="s">
        <v>776</v>
      </c>
      <c r="J60" s="572"/>
      <c r="N60" s="127"/>
      <c r="AK60" s="575"/>
      <c r="AL60" s="50"/>
      <c r="AM60" s="50"/>
    </row>
    <row r="61" spans="1:175" x14ac:dyDescent="0.3">
      <c r="A61" s="559" t="s">
        <v>773</v>
      </c>
      <c r="C61" s="37"/>
      <c r="D61" s="37"/>
      <c r="E61" s="127"/>
      <c r="F61" s="127"/>
      <c r="G61" s="37"/>
      <c r="J61" s="572"/>
      <c r="N61" s="127"/>
      <c r="Q61" s="574"/>
      <c r="AK61" s="575"/>
      <c r="AL61" s="50"/>
      <c r="AM61" s="50"/>
    </row>
    <row r="62" spans="1:175" x14ac:dyDescent="0.3">
      <c r="A62" s="559" t="s">
        <v>774</v>
      </c>
      <c r="J62" s="572"/>
      <c r="M62" s="572"/>
      <c r="N62" s="127"/>
      <c r="Q62" s="575"/>
      <c r="AK62" s="575"/>
      <c r="AL62" s="50"/>
      <c r="AM62" s="50"/>
    </row>
    <row r="63" spans="1:175" x14ac:dyDescent="0.3">
      <c r="A63" s="573" t="s">
        <v>775</v>
      </c>
      <c r="M63" s="572"/>
      <c r="Q63" s="575"/>
      <c r="AK63" s="575"/>
      <c r="AL63" s="50"/>
      <c r="AM63" s="50"/>
    </row>
    <row r="64" spans="1:175" x14ac:dyDescent="0.3">
      <c r="A64" s="37"/>
      <c r="M64" s="572"/>
    </row>
    <row r="65" spans="1:23" x14ac:dyDescent="0.3">
      <c r="A65" s="77" t="s">
        <v>767</v>
      </c>
    </row>
    <row r="66" spans="1:23" ht="41.4" x14ac:dyDescent="0.3">
      <c r="A66" s="46"/>
      <c r="B66" s="121"/>
      <c r="C66" s="78" t="s">
        <v>104</v>
      </c>
      <c r="D66" s="78" t="s">
        <v>107</v>
      </c>
      <c r="E66" s="78" t="s">
        <v>658</v>
      </c>
      <c r="F66" s="78" t="s">
        <v>656</v>
      </c>
      <c r="G66" s="78" t="s">
        <v>105</v>
      </c>
      <c r="H66" s="78" t="s">
        <v>106</v>
      </c>
      <c r="I66" s="78" t="s">
        <v>109</v>
      </c>
      <c r="J66" s="53" t="s">
        <v>659</v>
      </c>
      <c r="K66" s="580" t="s">
        <v>188</v>
      </c>
      <c r="S66" s="576"/>
    </row>
    <row r="67" spans="1:23" ht="27.6" x14ac:dyDescent="0.3">
      <c r="A67" s="54" t="s">
        <v>108</v>
      </c>
      <c r="B67" s="38" t="s">
        <v>657</v>
      </c>
      <c r="C67" s="864">
        <v>0.06</v>
      </c>
      <c r="D67" s="864">
        <v>0.3</v>
      </c>
      <c r="E67" s="864">
        <v>0.1</v>
      </c>
      <c r="F67" s="864">
        <v>0.05</v>
      </c>
      <c r="G67" s="864">
        <v>0.1</v>
      </c>
      <c r="H67" s="864">
        <v>0.1</v>
      </c>
      <c r="I67" s="864">
        <v>0.8</v>
      </c>
      <c r="J67" s="761">
        <v>0.3</v>
      </c>
      <c r="K67" s="581" t="s">
        <v>788</v>
      </c>
    </row>
    <row r="68" spans="1:23" x14ac:dyDescent="0.3">
      <c r="A68" s="66"/>
      <c r="B68" s="38" t="s">
        <v>66</v>
      </c>
      <c r="C68" s="164">
        <v>0.18</v>
      </c>
      <c r="D68" s="164"/>
      <c r="E68" s="164"/>
      <c r="F68" s="577"/>
      <c r="G68" s="164"/>
      <c r="H68" s="164"/>
      <c r="I68" s="164"/>
      <c r="J68" s="185"/>
      <c r="K68" s="50" t="s">
        <v>786</v>
      </c>
      <c r="S68" s="576"/>
      <c r="T68" s="576"/>
      <c r="U68" s="576"/>
      <c r="V68" s="576"/>
      <c r="W68" s="577"/>
    </row>
    <row r="69" spans="1:23" x14ac:dyDescent="0.3">
      <c r="A69" s="66"/>
      <c r="B69" s="38" t="s">
        <v>70</v>
      </c>
      <c r="C69" s="164"/>
      <c r="D69" s="164"/>
      <c r="E69" s="164"/>
      <c r="F69" s="164">
        <v>0.08</v>
      </c>
      <c r="G69" s="164"/>
      <c r="H69" s="164"/>
      <c r="I69" s="164"/>
      <c r="J69" s="185"/>
      <c r="K69" s="50"/>
      <c r="S69" s="576"/>
      <c r="T69" s="576"/>
      <c r="U69" s="576"/>
      <c r="V69" s="576"/>
      <c r="W69" s="577"/>
    </row>
    <row r="70" spans="1:23" x14ac:dyDescent="0.3">
      <c r="A70" s="70"/>
      <c r="B70" s="71" t="s">
        <v>67</v>
      </c>
      <c r="C70" s="760">
        <v>0.35</v>
      </c>
      <c r="D70" s="760"/>
      <c r="E70" s="760"/>
      <c r="F70" s="760"/>
      <c r="G70" s="760"/>
      <c r="H70" s="760"/>
      <c r="I70" s="760"/>
      <c r="J70" s="629"/>
      <c r="K70" s="50"/>
      <c r="S70" s="576"/>
      <c r="T70" s="578"/>
      <c r="V70" s="578"/>
      <c r="W70" s="577"/>
    </row>
    <row r="71" spans="1:23" x14ac:dyDescent="0.3">
      <c r="K71" s="50"/>
      <c r="S71" s="576"/>
      <c r="T71" s="578"/>
      <c r="V71" s="578"/>
      <c r="W71" s="577"/>
    </row>
    <row r="72" spans="1:23" x14ac:dyDescent="0.3">
      <c r="K72" s="50"/>
      <c r="S72" s="576"/>
      <c r="T72" s="578"/>
      <c r="V72" s="578"/>
      <c r="W72" s="577"/>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X124"/>
  <sheetViews>
    <sheetView zoomScale="70" zoomScaleNormal="70" workbookViewId="0"/>
  </sheetViews>
  <sheetFormatPr defaultRowHeight="14.4" x14ac:dyDescent="0.3"/>
  <cols>
    <col min="1" max="1" width="12.5546875" customWidth="1"/>
    <col min="2" max="2" width="18.6640625" style="603" customWidth="1"/>
    <col min="3" max="3" width="15" customWidth="1"/>
    <col min="4" max="4" width="17.33203125" bestFit="1" customWidth="1"/>
  </cols>
  <sheetData>
    <row r="1" spans="1:24" ht="21" x14ac:dyDescent="0.4">
      <c r="A1" s="606" t="s">
        <v>925</v>
      </c>
    </row>
    <row r="2" spans="1:24" x14ac:dyDescent="0.3">
      <c r="A2" s="4"/>
      <c r="B2" s="118"/>
      <c r="C2" s="117"/>
      <c r="D2" s="117"/>
      <c r="E2" s="117"/>
    </row>
    <row r="3" spans="1:24" x14ac:dyDescent="0.3">
      <c r="A3" s="6" t="s">
        <v>923</v>
      </c>
      <c r="B3" s="9"/>
      <c r="C3" s="117"/>
      <c r="D3" s="117"/>
      <c r="E3" s="117"/>
      <c r="F3" s="117"/>
      <c r="G3" s="117"/>
      <c r="H3" s="117"/>
      <c r="I3" s="117"/>
      <c r="J3" s="117"/>
      <c r="K3" s="117"/>
      <c r="L3" s="117"/>
      <c r="M3" s="117"/>
      <c r="N3" s="117"/>
      <c r="O3" s="117"/>
      <c r="P3" s="117"/>
      <c r="Q3" s="117"/>
      <c r="R3" s="117"/>
      <c r="S3" s="117"/>
      <c r="T3" s="117"/>
      <c r="U3" s="117"/>
      <c r="V3" s="117"/>
      <c r="W3" s="117"/>
      <c r="X3" s="117"/>
    </row>
    <row r="4" spans="1:24" x14ac:dyDescent="0.3">
      <c r="A4" s="9" t="s">
        <v>924</v>
      </c>
      <c r="B4" s="118"/>
      <c r="C4" s="117"/>
      <c r="D4" s="117"/>
      <c r="E4" s="117"/>
      <c r="F4" s="117"/>
      <c r="G4" s="117"/>
      <c r="H4" s="117"/>
      <c r="I4" s="117"/>
      <c r="J4" s="117"/>
      <c r="K4" s="117"/>
      <c r="L4" s="117"/>
      <c r="M4" s="117"/>
      <c r="N4" s="117"/>
      <c r="O4" s="117"/>
      <c r="P4" s="117"/>
      <c r="Q4" s="117"/>
      <c r="R4" s="117"/>
      <c r="S4" s="117"/>
      <c r="T4" s="117"/>
      <c r="U4" s="117"/>
      <c r="V4" s="117"/>
      <c r="W4" s="117"/>
      <c r="X4" s="117"/>
    </row>
    <row r="5" spans="1:24" x14ac:dyDescent="0.3">
      <c r="A5" s="117"/>
      <c r="B5" s="118"/>
      <c r="C5" s="117"/>
      <c r="D5" s="117"/>
      <c r="E5" s="117"/>
      <c r="F5" s="117"/>
      <c r="G5" s="117"/>
      <c r="H5" s="117"/>
      <c r="I5" s="117"/>
      <c r="J5" s="117"/>
      <c r="K5" s="117"/>
      <c r="L5" s="117"/>
      <c r="M5" s="117"/>
      <c r="N5" s="117"/>
      <c r="O5" s="117"/>
      <c r="P5" s="117"/>
      <c r="Q5" s="117"/>
      <c r="R5" s="117"/>
      <c r="S5" s="117"/>
      <c r="T5" s="117"/>
      <c r="U5" s="117"/>
      <c r="V5" s="117"/>
      <c r="W5" s="117"/>
      <c r="X5" s="117"/>
    </row>
    <row r="6" spans="1:24" x14ac:dyDescent="0.3">
      <c r="A6" s="123" t="s">
        <v>971</v>
      </c>
      <c r="B6" s="118"/>
      <c r="C6" s="117"/>
      <c r="D6" s="117"/>
      <c r="E6" s="117"/>
      <c r="F6" s="117"/>
      <c r="G6" s="117"/>
      <c r="H6" s="117"/>
      <c r="I6" s="117"/>
      <c r="J6" s="117"/>
      <c r="K6" s="117"/>
      <c r="L6" s="117"/>
      <c r="M6" s="117"/>
      <c r="N6" s="117"/>
      <c r="O6" s="117"/>
      <c r="P6" s="117"/>
      <c r="Q6" s="117"/>
      <c r="R6" s="117"/>
      <c r="S6" s="117"/>
      <c r="T6" s="117"/>
      <c r="U6" s="117"/>
      <c r="V6" s="117"/>
      <c r="W6" s="117"/>
      <c r="X6" s="117"/>
    </row>
    <row r="7" spans="1:24" x14ac:dyDescent="0.3">
      <c r="A7" s="9" t="s">
        <v>970</v>
      </c>
      <c r="B7" s="118"/>
      <c r="C7" s="117"/>
      <c r="D7" s="117"/>
      <c r="E7" s="117"/>
      <c r="F7" s="117"/>
      <c r="G7" s="117"/>
      <c r="H7" s="117"/>
      <c r="I7" s="117"/>
      <c r="J7" s="117"/>
      <c r="K7" s="117"/>
      <c r="L7" s="117"/>
      <c r="M7" s="117"/>
      <c r="N7" s="117"/>
      <c r="O7" s="117"/>
      <c r="P7" s="117"/>
      <c r="Q7" s="117"/>
      <c r="R7" s="117"/>
      <c r="S7" s="117"/>
      <c r="T7" s="117"/>
      <c r="U7" s="117"/>
      <c r="V7" s="117"/>
      <c r="W7" s="117"/>
      <c r="X7" s="117"/>
    </row>
    <row r="8" spans="1:24" x14ac:dyDescent="0.3">
      <c r="A8" s="9" t="s">
        <v>1531</v>
      </c>
      <c r="B8" s="118"/>
      <c r="C8" s="117"/>
      <c r="D8" s="117"/>
      <c r="E8" s="117"/>
      <c r="F8" s="117"/>
      <c r="G8" s="117"/>
      <c r="H8" s="117"/>
      <c r="I8" s="117"/>
      <c r="J8" s="117"/>
      <c r="K8" s="117"/>
      <c r="L8" s="117"/>
      <c r="M8" s="117"/>
      <c r="N8" s="117"/>
      <c r="O8" s="117"/>
      <c r="P8" s="117"/>
      <c r="Q8" s="117"/>
      <c r="R8" s="117"/>
      <c r="S8" s="117"/>
      <c r="T8" s="117"/>
      <c r="U8" s="117"/>
      <c r="V8" s="117"/>
      <c r="W8" s="117"/>
      <c r="X8" s="117"/>
    </row>
    <row r="9" spans="1:24" x14ac:dyDescent="0.3">
      <c r="A9" s="9"/>
      <c r="B9" s="118"/>
      <c r="C9" s="117"/>
      <c r="D9" s="117"/>
      <c r="E9" s="117"/>
      <c r="F9" s="117"/>
      <c r="G9" s="117"/>
      <c r="H9" s="117"/>
      <c r="I9" s="117"/>
      <c r="J9" s="117"/>
      <c r="K9" s="117"/>
      <c r="L9" s="117"/>
      <c r="M9" s="117"/>
      <c r="N9" s="117"/>
      <c r="O9" s="117"/>
      <c r="P9" s="117"/>
      <c r="Q9" s="117"/>
      <c r="R9" s="117"/>
      <c r="S9" s="117"/>
      <c r="T9" s="117"/>
      <c r="U9" s="117"/>
      <c r="V9" s="117"/>
      <c r="W9" s="117"/>
      <c r="X9" s="117"/>
    </row>
    <row r="10" spans="1:24" x14ac:dyDescent="0.3">
      <c r="A10" s="123" t="s">
        <v>989</v>
      </c>
      <c r="B10" s="118"/>
      <c r="C10" s="117"/>
      <c r="D10" s="117"/>
      <c r="E10" s="117"/>
      <c r="F10" s="117"/>
      <c r="G10" s="117"/>
      <c r="H10" s="117"/>
      <c r="I10" s="117"/>
      <c r="J10" s="117"/>
      <c r="K10" s="117"/>
      <c r="L10" s="117"/>
      <c r="M10" s="117"/>
      <c r="N10" s="117"/>
      <c r="O10" s="117"/>
      <c r="P10" s="117"/>
      <c r="Q10" s="117"/>
      <c r="R10" s="117"/>
      <c r="S10" s="117"/>
      <c r="T10" s="117"/>
      <c r="U10" s="117"/>
      <c r="V10" s="117"/>
      <c r="W10" s="117"/>
      <c r="X10" s="117"/>
    </row>
    <row r="11" spans="1:24" ht="14.4" customHeight="1" x14ac:dyDescent="0.3">
      <c r="A11" s="607"/>
      <c r="B11" s="617" t="s">
        <v>74</v>
      </c>
      <c r="C11" s="608" t="s">
        <v>79</v>
      </c>
      <c r="D11" s="609" t="s">
        <v>67</v>
      </c>
      <c r="E11" s="616" t="s">
        <v>188</v>
      </c>
      <c r="F11" s="50"/>
      <c r="G11" s="117"/>
      <c r="H11" s="117"/>
      <c r="I11" s="117"/>
      <c r="J11" s="117"/>
      <c r="K11" s="117"/>
      <c r="L11" s="117"/>
      <c r="M11" s="117"/>
      <c r="N11" s="117"/>
      <c r="O11" s="117"/>
      <c r="P11" s="117"/>
      <c r="Q11" s="117"/>
      <c r="R11" s="117"/>
      <c r="S11" s="117"/>
      <c r="T11" s="117"/>
      <c r="U11" s="117"/>
      <c r="V11" s="117"/>
      <c r="W11" s="117"/>
      <c r="X11" s="117"/>
    </row>
    <row r="12" spans="1:24" x14ac:dyDescent="0.3">
      <c r="A12" s="610" t="s">
        <v>972</v>
      </c>
      <c r="B12" s="167">
        <v>3.0000000000000001E-3</v>
      </c>
      <c r="C12" s="167">
        <v>7.0000000000000001E-3</v>
      </c>
      <c r="D12" s="860">
        <v>8.0000000000000002E-3</v>
      </c>
      <c r="E12" s="42" t="s">
        <v>1526</v>
      </c>
      <c r="F12" s="50"/>
      <c r="G12" s="117"/>
      <c r="H12" s="117"/>
      <c r="I12" s="117"/>
      <c r="J12" s="117"/>
      <c r="K12" s="117"/>
      <c r="L12" s="117"/>
      <c r="M12" s="117"/>
      <c r="N12" s="117"/>
      <c r="O12" s="117"/>
      <c r="P12" s="117"/>
      <c r="Q12" s="117"/>
      <c r="R12" s="117"/>
      <c r="S12" s="117"/>
      <c r="T12" s="117"/>
      <c r="U12" s="117"/>
      <c r="V12" s="117"/>
      <c r="W12" s="117"/>
      <c r="X12" s="117"/>
    </row>
    <row r="13" spans="1:24" x14ac:dyDescent="0.3">
      <c r="A13" s="117"/>
      <c r="B13" s="118"/>
      <c r="C13" s="117"/>
      <c r="D13" s="117"/>
      <c r="E13" s="117"/>
      <c r="F13" s="117"/>
      <c r="G13" s="117"/>
      <c r="H13" s="117"/>
      <c r="I13" s="117"/>
      <c r="J13" s="117"/>
      <c r="K13" s="117"/>
      <c r="L13" s="117"/>
      <c r="M13" s="117"/>
      <c r="N13" s="117"/>
      <c r="O13" s="117"/>
      <c r="P13" s="117"/>
      <c r="Q13" s="117"/>
      <c r="R13" s="117"/>
      <c r="S13" s="117"/>
      <c r="T13" s="117"/>
      <c r="U13" s="117"/>
      <c r="V13" s="117"/>
      <c r="W13" s="117"/>
      <c r="X13" s="117"/>
    </row>
    <row r="14" spans="1:24" x14ac:dyDescent="0.3">
      <c r="A14" s="43" t="s">
        <v>973</v>
      </c>
      <c r="B14" s="118"/>
      <c r="C14" s="117"/>
      <c r="D14" s="117"/>
      <c r="E14" s="117"/>
      <c r="F14" s="117"/>
      <c r="G14" s="117"/>
      <c r="H14" s="117"/>
      <c r="I14" s="117"/>
      <c r="J14" s="117"/>
      <c r="K14" s="117"/>
      <c r="L14" s="117"/>
      <c r="M14" s="117"/>
      <c r="N14" s="117"/>
      <c r="O14" s="117"/>
      <c r="P14" s="117"/>
      <c r="Q14" s="117"/>
      <c r="R14" s="117"/>
      <c r="S14" s="117"/>
      <c r="T14" s="117"/>
      <c r="U14" s="117"/>
      <c r="V14" s="117"/>
      <c r="W14" s="117"/>
      <c r="X14" s="117"/>
    </row>
    <row r="15" spans="1:24" x14ac:dyDescent="0.3">
      <c r="A15" s="9" t="s">
        <v>986</v>
      </c>
      <c r="B15" s="118"/>
      <c r="C15" s="117"/>
      <c r="D15" s="117"/>
      <c r="E15" s="117"/>
      <c r="F15" s="117"/>
      <c r="G15" s="117"/>
      <c r="H15" s="117"/>
      <c r="I15" s="117"/>
      <c r="J15" s="117"/>
      <c r="K15" s="117"/>
      <c r="L15" s="117"/>
      <c r="M15" s="117"/>
      <c r="N15" s="117"/>
      <c r="O15" s="117"/>
      <c r="P15" s="117"/>
      <c r="Q15" s="117"/>
      <c r="R15" s="117"/>
      <c r="S15" s="117"/>
      <c r="T15" s="117"/>
      <c r="U15" s="117"/>
      <c r="V15" s="117"/>
      <c r="W15" s="117"/>
      <c r="X15" s="117"/>
    </row>
    <row r="16" spans="1:24" x14ac:dyDescent="0.3">
      <c r="A16" s="9" t="s">
        <v>1530</v>
      </c>
      <c r="B16" s="118"/>
      <c r="C16" s="117"/>
      <c r="D16" s="117"/>
      <c r="E16" s="117"/>
      <c r="F16" s="117"/>
      <c r="G16" s="117"/>
      <c r="H16" s="117"/>
      <c r="I16" s="117"/>
      <c r="J16" s="117"/>
      <c r="K16" s="117"/>
      <c r="L16" s="117"/>
      <c r="M16" s="117"/>
      <c r="N16" s="117"/>
      <c r="O16" s="117"/>
      <c r="P16" s="117"/>
      <c r="Q16" s="117"/>
      <c r="R16" s="117"/>
      <c r="S16" s="117"/>
      <c r="T16" s="117"/>
      <c r="U16" s="117"/>
      <c r="V16" s="117"/>
      <c r="W16" s="117"/>
      <c r="X16" s="117"/>
    </row>
    <row r="17" spans="1:24" x14ac:dyDescent="0.3">
      <c r="A17" s="117" t="s">
        <v>987</v>
      </c>
      <c r="B17" s="118"/>
      <c r="C17" s="117"/>
      <c r="D17" s="117"/>
      <c r="E17" s="117"/>
      <c r="F17" s="117"/>
      <c r="G17" s="117"/>
      <c r="H17" s="117"/>
      <c r="I17" s="117"/>
      <c r="J17" s="117"/>
      <c r="K17" s="117"/>
      <c r="L17" s="117"/>
      <c r="M17" s="117"/>
      <c r="N17" s="117"/>
      <c r="O17" s="117"/>
      <c r="P17" s="117"/>
      <c r="Q17" s="117"/>
      <c r="R17" s="117"/>
      <c r="S17" s="117"/>
      <c r="T17" s="117"/>
      <c r="U17" s="117"/>
      <c r="V17" s="117"/>
      <c r="W17" s="117"/>
      <c r="X17" s="117"/>
    </row>
    <row r="18" spans="1:24" x14ac:dyDescent="0.3">
      <c r="A18" s="117"/>
      <c r="B18" s="118"/>
      <c r="C18" s="117"/>
      <c r="D18" s="117"/>
      <c r="E18" s="117"/>
      <c r="F18" s="117"/>
      <c r="G18" s="117"/>
      <c r="H18" s="117"/>
      <c r="I18" s="117"/>
      <c r="J18" s="117"/>
      <c r="K18" s="117"/>
      <c r="L18" s="117"/>
      <c r="M18" s="117"/>
      <c r="N18" s="117"/>
      <c r="O18" s="117"/>
      <c r="P18" s="117"/>
      <c r="Q18" s="117"/>
      <c r="R18" s="117"/>
      <c r="S18" s="117"/>
      <c r="T18" s="117"/>
      <c r="U18" s="117"/>
      <c r="V18" s="117"/>
      <c r="W18" s="117"/>
      <c r="X18" s="117"/>
    </row>
    <row r="19" spans="1:24" x14ac:dyDescent="0.3">
      <c r="A19" s="6" t="s">
        <v>988</v>
      </c>
      <c r="B19" s="618"/>
      <c r="C19" s="96" t="s">
        <v>188</v>
      </c>
      <c r="D19" s="117"/>
      <c r="E19" s="117"/>
      <c r="F19" s="117"/>
      <c r="G19" s="117"/>
      <c r="H19" s="117"/>
      <c r="I19" s="117"/>
      <c r="J19" s="117"/>
      <c r="K19" s="117"/>
      <c r="L19" s="117"/>
      <c r="M19" s="117"/>
      <c r="N19" s="117"/>
      <c r="O19" s="117"/>
      <c r="P19" s="117"/>
      <c r="Q19" s="117"/>
      <c r="R19" s="117"/>
      <c r="S19" s="117"/>
      <c r="T19" s="117"/>
      <c r="U19" s="117"/>
      <c r="V19" s="117"/>
      <c r="W19" s="117"/>
      <c r="X19" s="117"/>
    </row>
    <row r="20" spans="1:24" x14ac:dyDescent="0.3">
      <c r="A20" s="612" t="s">
        <v>974</v>
      </c>
      <c r="B20" s="859">
        <v>3.5</v>
      </c>
      <c r="C20" s="42" t="s">
        <v>1527</v>
      </c>
      <c r="D20" s="117"/>
      <c r="E20" s="117"/>
      <c r="F20" s="117"/>
      <c r="G20" s="117"/>
      <c r="H20" s="117"/>
      <c r="I20" s="117"/>
      <c r="J20" s="117"/>
      <c r="K20" s="117"/>
      <c r="L20" s="117"/>
      <c r="M20" s="117"/>
      <c r="N20" s="117"/>
      <c r="O20" s="117"/>
      <c r="P20" s="117"/>
      <c r="Q20" s="117"/>
      <c r="R20" s="117"/>
      <c r="S20" s="117"/>
      <c r="T20" s="117"/>
      <c r="U20" s="117"/>
      <c r="V20" s="117"/>
      <c r="W20" s="117"/>
      <c r="X20" s="117"/>
    </row>
    <row r="21" spans="1:24" x14ac:dyDescent="0.3">
      <c r="A21" s="117"/>
      <c r="B21" s="118"/>
      <c r="C21" s="117"/>
      <c r="D21" s="117"/>
      <c r="E21" s="117"/>
      <c r="F21" s="117"/>
      <c r="G21" s="117"/>
      <c r="H21" s="117"/>
      <c r="I21" s="117"/>
      <c r="J21" s="117"/>
      <c r="K21" s="117"/>
      <c r="L21" s="117"/>
      <c r="M21" s="117"/>
      <c r="N21" s="117"/>
      <c r="O21" s="117"/>
      <c r="P21" s="117"/>
      <c r="Q21" s="117"/>
      <c r="R21" s="117"/>
      <c r="S21" s="117"/>
      <c r="T21" s="117"/>
      <c r="U21" s="117"/>
      <c r="V21" s="117"/>
      <c r="W21" s="117"/>
      <c r="X21" s="117"/>
    </row>
    <row r="22" spans="1:24" x14ac:dyDescent="0.3">
      <c r="A22" s="615" t="s">
        <v>985</v>
      </c>
      <c r="B22" s="118"/>
      <c r="C22" s="117"/>
      <c r="D22" s="546" t="s">
        <v>188</v>
      </c>
      <c r="E22" s="117"/>
      <c r="F22" s="117"/>
      <c r="G22" s="117"/>
      <c r="H22" s="117"/>
      <c r="I22" s="117"/>
      <c r="J22" s="117"/>
      <c r="K22" s="117"/>
      <c r="L22" s="117"/>
      <c r="M22" s="117"/>
      <c r="N22" s="117"/>
      <c r="O22" s="117"/>
      <c r="P22" s="117"/>
      <c r="Q22" s="117"/>
      <c r="R22" s="117"/>
      <c r="S22" s="117"/>
      <c r="T22" s="117"/>
      <c r="U22" s="117"/>
      <c r="V22" s="117"/>
      <c r="W22" s="117"/>
      <c r="X22" s="117"/>
    </row>
    <row r="23" spans="1:24" ht="41.4" x14ac:dyDescent="0.3">
      <c r="A23" s="613"/>
      <c r="B23" s="69" t="s">
        <v>2</v>
      </c>
      <c r="C23" s="95" t="s">
        <v>975</v>
      </c>
      <c r="D23" s="117"/>
      <c r="E23" s="117"/>
      <c r="F23" s="117"/>
      <c r="G23" s="117"/>
      <c r="H23" s="117"/>
      <c r="I23" s="117"/>
      <c r="J23" s="117"/>
      <c r="K23" s="117"/>
      <c r="L23" s="117"/>
      <c r="M23" s="117"/>
      <c r="N23" s="117"/>
      <c r="O23" s="117"/>
      <c r="P23" s="117"/>
      <c r="Q23" s="117"/>
      <c r="R23" s="117"/>
      <c r="S23" s="117"/>
      <c r="T23" s="117"/>
      <c r="U23" s="117"/>
      <c r="V23" s="117"/>
      <c r="W23" s="117"/>
      <c r="X23" s="117"/>
    </row>
    <row r="24" spans="1:24" x14ac:dyDescent="0.3">
      <c r="A24" s="613" t="s">
        <v>60</v>
      </c>
      <c r="B24" s="38" t="s">
        <v>1</v>
      </c>
      <c r="C24" s="55">
        <v>1.3</v>
      </c>
      <c r="D24" s="117" t="s">
        <v>990</v>
      </c>
      <c r="E24" s="117"/>
      <c r="F24" s="117"/>
      <c r="G24" s="117"/>
      <c r="H24" s="117"/>
      <c r="I24" s="117"/>
      <c r="J24" s="117"/>
      <c r="K24" s="117"/>
      <c r="L24" s="117"/>
      <c r="M24" s="117"/>
      <c r="N24" s="117"/>
      <c r="O24" s="117"/>
      <c r="P24" s="117"/>
      <c r="Q24" s="117"/>
      <c r="R24" s="117"/>
      <c r="S24" s="117"/>
      <c r="T24" s="117"/>
      <c r="U24" s="117"/>
      <c r="V24" s="117"/>
      <c r="W24" s="117"/>
      <c r="X24" s="117"/>
    </row>
    <row r="25" spans="1:24" x14ac:dyDescent="0.3">
      <c r="A25" s="613" t="s">
        <v>61</v>
      </c>
      <c r="B25" s="38" t="s">
        <v>1</v>
      </c>
      <c r="C25" s="55">
        <v>1</v>
      </c>
      <c r="D25" s="117" t="s">
        <v>990</v>
      </c>
      <c r="E25" s="117"/>
      <c r="F25" s="117"/>
      <c r="G25" s="117"/>
      <c r="H25" s="117"/>
      <c r="I25" s="117"/>
      <c r="J25" s="117"/>
      <c r="K25" s="117"/>
      <c r="L25" s="117"/>
      <c r="M25" s="117"/>
      <c r="N25" s="117"/>
      <c r="O25" s="117"/>
      <c r="P25" s="117"/>
      <c r="Q25" s="117"/>
      <c r="R25" s="117"/>
      <c r="S25" s="117"/>
      <c r="T25" s="117"/>
      <c r="U25" s="117"/>
      <c r="V25" s="117"/>
      <c r="W25" s="117"/>
      <c r="X25" s="117"/>
    </row>
    <row r="26" spans="1:24" x14ac:dyDescent="0.3">
      <c r="A26" s="613" t="s">
        <v>62</v>
      </c>
      <c r="B26" s="38" t="s">
        <v>1</v>
      </c>
      <c r="C26" s="55">
        <v>2</v>
      </c>
      <c r="D26" s="117" t="s">
        <v>990</v>
      </c>
      <c r="E26" s="117"/>
      <c r="F26" s="117"/>
      <c r="G26" s="117"/>
      <c r="H26" s="117"/>
      <c r="I26" s="117"/>
      <c r="J26" s="117"/>
      <c r="K26" s="117"/>
      <c r="L26" s="117"/>
      <c r="M26" s="117"/>
      <c r="N26" s="117"/>
      <c r="O26" s="117"/>
      <c r="P26" s="117"/>
      <c r="Q26" s="117"/>
      <c r="R26" s="117"/>
      <c r="S26" s="117"/>
      <c r="T26" s="117"/>
      <c r="U26" s="117"/>
      <c r="V26" s="117"/>
      <c r="W26" s="117"/>
      <c r="X26" s="117"/>
    </row>
    <row r="27" spans="1:24" x14ac:dyDescent="0.3">
      <c r="A27" s="613" t="s">
        <v>63</v>
      </c>
      <c r="B27" s="38" t="s">
        <v>1</v>
      </c>
      <c r="C27" s="55">
        <v>1.6</v>
      </c>
      <c r="D27" s="117" t="s">
        <v>990</v>
      </c>
      <c r="E27" s="117"/>
      <c r="F27" s="117"/>
      <c r="G27" s="117"/>
      <c r="H27" s="117"/>
      <c r="I27" s="117"/>
      <c r="J27" s="117"/>
      <c r="K27" s="117"/>
      <c r="L27" s="117"/>
      <c r="M27" s="117"/>
      <c r="N27" s="117"/>
      <c r="O27" s="117"/>
      <c r="P27" s="117"/>
      <c r="Q27" s="117"/>
      <c r="R27" s="117"/>
      <c r="S27" s="117"/>
      <c r="T27" s="117"/>
      <c r="U27" s="117"/>
      <c r="V27" s="117"/>
      <c r="W27" s="117"/>
      <c r="X27" s="117"/>
    </row>
    <row r="28" spans="1:24" x14ac:dyDescent="0.3">
      <c r="A28" s="613" t="s">
        <v>64</v>
      </c>
      <c r="B28" s="38" t="s">
        <v>1</v>
      </c>
      <c r="C28" s="55">
        <v>1.1000000000000001</v>
      </c>
      <c r="D28" s="117" t="s">
        <v>990</v>
      </c>
      <c r="E28" s="117"/>
      <c r="F28" s="117"/>
      <c r="G28" s="117"/>
      <c r="H28" s="117"/>
      <c r="I28" s="117"/>
      <c r="J28" s="117"/>
      <c r="K28" s="117"/>
      <c r="L28" s="117"/>
      <c r="M28" s="117"/>
      <c r="N28" s="117"/>
      <c r="O28" s="117"/>
      <c r="P28" s="117"/>
      <c r="Q28" s="117"/>
      <c r="R28" s="117"/>
      <c r="S28" s="117"/>
      <c r="T28" s="117"/>
      <c r="U28" s="117"/>
      <c r="V28" s="117"/>
      <c r="W28" s="117"/>
      <c r="X28" s="117"/>
    </row>
    <row r="29" spans="1:24" x14ac:dyDescent="0.3">
      <c r="A29" s="613" t="s">
        <v>65</v>
      </c>
      <c r="B29" s="38" t="s">
        <v>1</v>
      </c>
      <c r="C29" s="55">
        <v>0.8</v>
      </c>
      <c r="D29" s="117" t="s">
        <v>990</v>
      </c>
      <c r="E29" s="117"/>
      <c r="F29" s="117"/>
      <c r="G29" s="117"/>
      <c r="H29" s="117"/>
      <c r="I29" s="117"/>
      <c r="J29" s="117"/>
      <c r="K29" s="117"/>
      <c r="L29" s="117"/>
      <c r="M29" s="117"/>
      <c r="N29" s="117"/>
      <c r="O29" s="117"/>
      <c r="P29" s="117"/>
      <c r="Q29" s="117"/>
      <c r="R29" s="117"/>
      <c r="S29" s="117"/>
      <c r="T29" s="117"/>
      <c r="U29" s="117"/>
      <c r="V29" s="117"/>
      <c r="W29" s="117"/>
      <c r="X29" s="117"/>
    </row>
    <row r="30" spans="1:24" x14ac:dyDescent="0.3">
      <c r="A30" s="613" t="s">
        <v>20</v>
      </c>
      <c r="B30" s="38" t="s">
        <v>10</v>
      </c>
      <c r="C30" s="55">
        <v>1.6</v>
      </c>
      <c r="D30" s="117" t="s">
        <v>1528</v>
      </c>
      <c r="E30" s="117"/>
      <c r="F30" s="117"/>
      <c r="G30" s="117"/>
      <c r="H30" s="117"/>
      <c r="I30" s="117"/>
      <c r="J30" s="117"/>
      <c r="K30" s="117"/>
      <c r="L30" s="117"/>
      <c r="M30" s="117"/>
      <c r="N30" s="117"/>
      <c r="O30" s="117"/>
      <c r="P30" s="117"/>
      <c r="Q30" s="117"/>
      <c r="R30" s="117"/>
      <c r="S30" s="117"/>
      <c r="T30" s="117"/>
      <c r="U30" s="117"/>
      <c r="V30" s="117"/>
      <c r="W30" s="117"/>
      <c r="X30" s="117"/>
    </row>
    <row r="31" spans="1:24" x14ac:dyDescent="0.3">
      <c r="A31" s="613"/>
      <c r="B31" s="38" t="s">
        <v>66</v>
      </c>
      <c r="C31" s="55">
        <v>3.2</v>
      </c>
      <c r="D31" s="117" t="s">
        <v>1528</v>
      </c>
      <c r="E31" s="117"/>
      <c r="F31" s="117"/>
      <c r="G31" s="117"/>
      <c r="H31" s="117"/>
      <c r="I31" s="117"/>
      <c r="J31" s="117"/>
      <c r="K31" s="117"/>
      <c r="L31" s="117"/>
      <c r="M31" s="117"/>
      <c r="N31" s="117"/>
      <c r="O31" s="117"/>
      <c r="P31" s="117"/>
      <c r="Q31" s="117"/>
      <c r="R31" s="117"/>
      <c r="S31" s="117"/>
      <c r="T31" s="117"/>
      <c r="U31" s="117"/>
      <c r="V31" s="117"/>
      <c r="W31" s="117"/>
      <c r="X31" s="117"/>
    </row>
    <row r="32" spans="1:24" x14ac:dyDescent="0.3">
      <c r="A32" s="613"/>
      <c r="B32" s="38" t="s">
        <v>67</v>
      </c>
      <c r="C32" s="55">
        <v>2.2999999999999998</v>
      </c>
      <c r="D32" s="117" t="s">
        <v>1528</v>
      </c>
      <c r="E32" s="117"/>
      <c r="F32" s="117"/>
      <c r="G32" s="117"/>
      <c r="H32" s="117"/>
      <c r="I32" s="117"/>
      <c r="J32" s="117"/>
      <c r="K32" s="117"/>
      <c r="L32" s="117"/>
      <c r="M32" s="117"/>
      <c r="N32" s="117"/>
      <c r="O32" s="117"/>
      <c r="P32" s="117"/>
      <c r="Q32" s="117"/>
      <c r="R32" s="117"/>
      <c r="S32" s="117"/>
      <c r="T32" s="117"/>
      <c r="U32" s="117"/>
      <c r="V32" s="117"/>
      <c r="W32" s="117"/>
      <c r="X32" s="117"/>
    </row>
    <row r="33" spans="1:24" x14ac:dyDescent="0.3">
      <c r="A33" s="613" t="s">
        <v>68</v>
      </c>
      <c r="B33" s="38" t="s">
        <v>1</v>
      </c>
      <c r="C33" s="55">
        <v>7</v>
      </c>
      <c r="D33" s="117" t="s">
        <v>990</v>
      </c>
      <c r="E33" s="117"/>
      <c r="F33" s="117"/>
      <c r="G33" s="117"/>
      <c r="H33" s="117"/>
      <c r="I33" s="117"/>
      <c r="J33" s="117"/>
      <c r="K33" s="117"/>
      <c r="L33" s="117"/>
      <c r="M33" s="117"/>
      <c r="N33" s="117"/>
      <c r="O33" s="117"/>
      <c r="P33" s="117"/>
      <c r="Q33" s="117"/>
      <c r="R33" s="117"/>
      <c r="S33" s="117"/>
      <c r="T33" s="117"/>
      <c r="U33" s="117"/>
      <c r="V33" s="117"/>
      <c r="W33" s="117"/>
      <c r="X33" s="117"/>
    </row>
    <row r="34" spans="1:24" x14ac:dyDescent="0.3">
      <c r="A34" s="613"/>
      <c r="B34" s="38" t="s">
        <v>69</v>
      </c>
      <c r="C34" s="55">
        <v>2.1</v>
      </c>
      <c r="D34" s="559" t="s">
        <v>994</v>
      </c>
      <c r="E34" s="117"/>
      <c r="F34" s="117"/>
      <c r="G34" s="117"/>
      <c r="H34" s="117"/>
      <c r="I34" s="117"/>
      <c r="J34" s="117"/>
      <c r="K34" s="117"/>
      <c r="L34" s="117"/>
      <c r="M34" s="117"/>
      <c r="N34" s="117"/>
      <c r="O34" s="117"/>
      <c r="P34" s="117"/>
      <c r="Q34" s="117"/>
      <c r="R34" s="117"/>
      <c r="S34" s="117"/>
      <c r="T34" s="117"/>
      <c r="U34" s="117"/>
      <c r="V34" s="117"/>
      <c r="W34" s="117"/>
      <c r="X34" s="117"/>
    </row>
    <row r="35" spans="1:24" x14ac:dyDescent="0.3">
      <c r="A35" s="613"/>
      <c r="B35" s="38" t="s">
        <v>70</v>
      </c>
      <c r="C35" s="55">
        <v>37.5</v>
      </c>
      <c r="D35" s="117" t="s">
        <v>1528</v>
      </c>
      <c r="E35" s="117"/>
      <c r="F35" s="117"/>
      <c r="G35" s="117"/>
      <c r="H35" s="117"/>
      <c r="I35" s="117"/>
      <c r="J35" s="117"/>
      <c r="K35" s="117"/>
      <c r="L35" s="117"/>
      <c r="M35" s="117"/>
      <c r="N35" s="117"/>
      <c r="O35" s="117"/>
      <c r="P35" s="117"/>
      <c r="Q35" s="117"/>
      <c r="R35" s="117"/>
      <c r="S35" s="117"/>
      <c r="T35" s="117"/>
      <c r="U35" s="117"/>
      <c r="V35" s="117"/>
      <c r="W35" s="117"/>
      <c r="X35" s="117"/>
    </row>
    <row r="36" spans="1:24" ht="27.6" x14ac:dyDescent="0.3">
      <c r="A36" s="613" t="s">
        <v>71</v>
      </c>
      <c r="B36" s="38" t="s">
        <v>1</v>
      </c>
      <c r="C36" s="55">
        <v>2.2000000000000002</v>
      </c>
      <c r="D36" s="117" t="s">
        <v>990</v>
      </c>
      <c r="E36" s="117"/>
      <c r="F36" s="117"/>
      <c r="G36" s="117"/>
      <c r="H36" s="117"/>
      <c r="I36" s="117"/>
      <c r="J36" s="117"/>
      <c r="K36" s="117"/>
      <c r="L36" s="117"/>
      <c r="M36" s="117"/>
      <c r="N36" s="117"/>
      <c r="O36" s="117"/>
      <c r="P36" s="117"/>
      <c r="Q36" s="117"/>
      <c r="R36" s="117"/>
      <c r="S36" s="117"/>
      <c r="T36" s="117"/>
      <c r="U36" s="117"/>
      <c r="V36" s="117"/>
      <c r="W36" s="117"/>
      <c r="X36" s="117"/>
    </row>
    <row r="37" spans="1:24" ht="27.6" x14ac:dyDescent="0.3">
      <c r="A37" s="613" t="s">
        <v>72</v>
      </c>
      <c r="B37" s="38" t="s">
        <v>1</v>
      </c>
      <c r="C37" s="55">
        <v>0.9</v>
      </c>
      <c r="D37" s="117" t="s">
        <v>990</v>
      </c>
      <c r="E37" s="117"/>
      <c r="F37" s="117"/>
      <c r="G37" s="117"/>
      <c r="H37" s="117"/>
      <c r="I37" s="117"/>
      <c r="J37" s="117"/>
      <c r="K37" s="117"/>
      <c r="L37" s="117"/>
      <c r="M37" s="117"/>
      <c r="N37" s="117"/>
      <c r="O37" s="117"/>
      <c r="P37" s="117"/>
      <c r="Q37" s="117"/>
      <c r="R37" s="117"/>
      <c r="S37" s="117"/>
      <c r="T37" s="117"/>
      <c r="U37" s="117"/>
      <c r="V37" s="117"/>
      <c r="W37" s="117"/>
      <c r="X37" s="117"/>
    </row>
    <row r="38" spans="1:24" x14ac:dyDescent="0.3">
      <c r="A38" s="613" t="s">
        <v>976</v>
      </c>
      <c r="B38" s="38" t="s">
        <v>1</v>
      </c>
      <c r="C38" s="55">
        <v>7.7</v>
      </c>
      <c r="D38" s="117" t="s">
        <v>990</v>
      </c>
      <c r="E38" s="117"/>
      <c r="F38" s="117"/>
      <c r="G38" s="117"/>
      <c r="H38" s="117"/>
      <c r="I38" s="117"/>
      <c r="J38" s="117"/>
      <c r="K38" s="117"/>
      <c r="L38" s="117"/>
      <c r="M38" s="117"/>
      <c r="N38" s="117"/>
      <c r="O38" s="117"/>
      <c r="P38" s="117"/>
      <c r="Q38" s="117"/>
      <c r="R38" s="117"/>
      <c r="S38" s="117"/>
      <c r="T38" s="117"/>
      <c r="U38" s="117"/>
      <c r="V38" s="117"/>
      <c r="W38" s="117"/>
      <c r="X38" s="117"/>
    </row>
    <row r="39" spans="1:24" x14ac:dyDescent="0.3">
      <c r="A39" s="613" t="s">
        <v>37</v>
      </c>
      <c r="B39" s="38" t="s">
        <v>977</v>
      </c>
      <c r="C39" s="55">
        <v>7.5</v>
      </c>
      <c r="D39" s="117" t="s">
        <v>990</v>
      </c>
      <c r="E39" s="117"/>
      <c r="F39" s="117"/>
      <c r="G39" s="117"/>
      <c r="H39" s="117"/>
      <c r="I39" s="117"/>
      <c r="J39" s="117"/>
      <c r="K39" s="117"/>
      <c r="L39" s="117"/>
      <c r="M39" s="117"/>
      <c r="N39" s="117"/>
      <c r="O39" s="117"/>
      <c r="P39" s="117"/>
      <c r="Q39" s="117"/>
      <c r="R39" s="117"/>
      <c r="S39" s="117"/>
      <c r="T39" s="117"/>
      <c r="U39" s="117"/>
      <c r="V39" s="117"/>
      <c r="W39" s="117"/>
      <c r="X39" s="117"/>
    </row>
    <row r="40" spans="1:24" x14ac:dyDescent="0.3">
      <c r="A40" s="613"/>
      <c r="B40" s="38" t="s">
        <v>978</v>
      </c>
      <c r="C40" s="55">
        <v>46</v>
      </c>
      <c r="D40" s="117" t="s">
        <v>1528</v>
      </c>
      <c r="E40" s="117"/>
      <c r="F40" s="117"/>
      <c r="G40" s="117"/>
      <c r="H40" s="117"/>
      <c r="I40" s="117"/>
      <c r="J40" s="117"/>
      <c r="K40" s="117"/>
      <c r="L40" s="117"/>
      <c r="M40" s="117"/>
      <c r="N40" s="117"/>
      <c r="O40" s="117"/>
      <c r="P40" s="117"/>
      <c r="Q40" s="117"/>
      <c r="R40" s="117"/>
      <c r="S40" s="117"/>
      <c r="T40" s="117"/>
      <c r="U40" s="117"/>
      <c r="V40" s="117"/>
      <c r="W40" s="117"/>
      <c r="X40" s="117"/>
    </row>
    <row r="41" spans="1:24" x14ac:dyDescent="0.3">
      <c r="A41" s="613"/>
      <c r="B41" s="38" t="s">
        <v>979</v>
      </c>
      <c r="C41" s="55">
        <v>19.2</v>
      </c>
      <c r="D41" s="117" t="s">
        <v>1528</v>
      </c>
      <c r="E41" s="117"/>
      <c r="F41" s="117"/>
      <c r="G41" s="117"/>
      <c r="H41" s="117"/>
      <c r="I41" s="117"/>
      <c r="J41" s="117"/>
      <c r="K41" s="117"/>
      <c r="L41" s="117"/>
      <c r="M41" s="117"/>
      <c r="N41" s="117"/>
      <c r="O41" s="117"/>
      <c r="P41" s="117"/>
      <c r="Q41" s="117"/>
      <c r="R41" s="117"/>
      <c r="S41" s="117"/>
      <c r="T41" s="117"/>
      <c r="U41" s="117"/>
      <c r="V41" s="117"/>
      <c r="W41" s="117"/>
      <c r="X41" s="117"/>
    </row>
    <row r="42" spans="1:24" x14ac:dyDescent="0.3">
      <c r="A42" s="613"/>
      <c r="B42" s="38" t="s">
        <v>980</v>
      </c>
      <c r="C42" s="55">
        <v>8.4</v>
      </c>
      <c r="D42" s="117" t="s">
        <v>1528</v>
      </c>
      <c r="E42" s="117"/>
      <c r="F42" s="117"/>
      <c r="G42" s="117"/>
      <c r="H42" s="117"/>
      <c r="I42" s="117"/>
      <c r="J42" s="117"/>
      <c r="K42" s="117"/>
      <c r="L42" s="117"/>
      <c r="M42" s="117"/>
      <c r="N42" s="117"/>
      <c r="O42" s="117"/>
      <c r="P42" s="117"/>
      <c r="Q42" s="117"/>
      <c r="R42" s="117"/>
      <c r="S42" s="117"/>
      <c r="T42" s="117"/>
      <c r="U42" s="117"/>
      <c r="V42" s="117"/>
      <c r="W42" s="117"/>
      <c r="X42" s="117"/>
    </row>
    <row r="43" spans="1:24" x14ac:dyDescent="0.3">
      <c r="A43" s="613" t="s">
        <v>38</v>
      </c>
      <c r="B43" s="38" t="s">
        <v>981</v>
      </c>
      <c r="C43" s="55">
        <v>7.5</v>
      </c>
      <c r="D43" s="117" t="s">
        <v>990</v>
      </c>
      <c r="E43" s="117"/>
      <c r="F43" s="117"/>
      <c r="G43" s="117"/>
      <c r="H43" s="117"/>
      <c r="I43" s="117"/>
      <c r="J43" s="117"/>
      <c r="K43" s="117"/>
      <c r="L43" s="117"/>
      <c r="M43" s="117"/>
      <c r="N43" s="117"/>
      <c r="O43" s="117"/>
      <c r="P43" s="117"/>
      <c r="Q43" s="117"/>
      <c r="R43" s="117"/>
      <c r="S43" s="117"/>
      <c r="T43" s="117"/>
      <c r="U43" s="117"/>
      <c r="V43" s="117"/>
      <c r="W43" s="117"/>
      <c r="X43" s="117"/>
    </row>
    <row r="44" spans="1:24" x14ac:dyDescent="0.3">
      <c r="A44" s="613"/>
      <c r="B44" s="38" t="s">
        <v>978</v>
      </c>
      <c r="C44" s="55">
        <v>5.3</v>
      </c>
      <c r="D44" s="117" t="s">
        <v>1528</v>
      </c>
      <c r="E44" s="117"/>
      <c r="F44" s="117"/>
      <c r="G44" s="117"/>
      <c r="H44" s="117"/>
      <c r="I44" s="117"/>
      <c r="J44" s="117"/>
      <c r="K44" s="117"/>
      <c r="L44" s="117"/>
      <c r="M44" s="117"/>
      <c r="N44" s="117"/>
      <c r="O44" s="117"/>
      <c r="P44" s="117"/>
      <c r="Q44" s="117"/>
      <c r="R44" s="117"/>
      <c r="S44" s="117"/>
      <c r="T44" s="117"/>
      <c r="U44" s="117"/>
      <c r="V44" s="117"/>
      <c r="W44" s="117"/>
      <c r="X44" s="117"/>
    </row>
    <row r="45" spans="1:24" x14ac:dyDescent="0.3">
      <c r="A45" s="613"/>
      <c r="B45" s="38" t="s">
        <v>979</v>
      </c>
      <c r="C45" s="55">
        <v>0.7</v>
      </c>
      <c r="D45" s="117" t="s">
        <v>1528</v>
      </c>
      <c r="E45" s="117"/>
      <c r="F45" s="117"/>
      <c r="G45" s="117"/>
      <c r="H45" s="117"/>
      <c r="I45" s="117"/>
      <c r="J45" s="117"/>
      <c r="K45" s="117"/>
      <c r="L45" s="117"/>
      <c r="M45" s="117"/>
      <c r="N45" s="117"/>
      <c r="O45" s="117"/>
      <c r="P45" s="117"/>
      <c r="Q45" s="117"/>
      <c r="R45" s="117"/>
      <c r="S45" s="117"/>
      <c r="T45" s="117"/>
      <c r="U45" s="117"/>
      <c r="V45" s="117"/>
      <c r="W45" s="117"/>
      <c r="X45" s="117"/>
    </row>
    <row r="46" spans="1:24" x14ac:dyDescent="0.3">
      <c r="A46" s="613"/>
      <c r="B46" s="38" t="s">
        <v>980</v>
      </c>
      <c r="C46" s="55">
        <v>0.2</v>
      </c>
      <c r="D46" s="117" t="s">
        <v>1528</v>
      </c>
      <c r="E46" s="117"/>
      <c r="F46" s="117"/>
      <c r="G46" s="117"/>
      <c r="H46" s="117"/>
      <c r="I46" s="117"/>
      <c r="J46" s="117"/>
      <c r="K46" s="117"/>
      <c r="L46" s="117"/>
      <c r="M46" s="117"/>
      <c r="N46" s="117"/>
      <c r="O46" s="117"/>
      <c r="P46" s="117"/>
      <c r="Q46" s="117"/>
      <c r="R46" s="117"/>
      <c r="S46" s="117"/>
      <c r="T46" s="117"/>
      <c r="U46" s="117"/>
      <c r="V46" s="117"/>
      <c r="W46" s="117"/>
      <c r="X46" s="117"/>
    </row>
    <row r="47" spans="1:24" ht="27.6" x14ac:dyDescent="0.3">
      <c r="A47" s="613" t="s">
        <v>73</v>
      </c>
      <c r="B47" s="38" t="s">
        <v>1</v>
      </c>
      <c r="C47" s="55">
        <v>7.5</v>
      </c>
      <c r="D47" s="117" t="s">
        <v>990</v>
      </c>
      <c r="E47" s="117"/>
      <c r="F47" s="117"/>
      <c r="G47" s="117"/>
      <c r="H47" s="117"/>
      <c r="I47" s="117"/>
      <c r="J47" s="117"/>
      <c r="K47" s="117"/>
      <c r="L47" s="117"/>
      <c r="M47" s="117"/>
      <c r="N47" s="117"/>
      <c r="O47" s="117"/>
      <c r="P47" s="117"/>
      <c r="Q47" s="117"/>
      <c r="R47" s="117"/>
      <c r="S47" s="117"/>
      <c r="T47" s="117"/>
      <c r="U47" s="117"/>
      <c r="V47" s="117"/>
      <c r="W47" s="117"/>
      <c r="X47" s="117"/>
    </row>
    <row r="48" spans="1:24" x14ac:dyDescent="0.3">
      <c r="A48" s="613"/>
      <c r="B48" s="38" t="s">
        <v>74</v>
      </c>
      <c r="C48" s="55">
        <v>0.8</v>
      </c>
      <c r="D48" s="117" t="s">
        <v>1528</v>
      </c>
      <c r="E48" s="117"/>
      <c r="F48" s="117"/>
      <c r="G48" s="117"/>
      <c r="H48" s="117"/>
      <c r="I48" s="117"/>
      <c r="J48" s="117"/>
      <c r="K48" s="117"/>
      <c r="L48" s="117"/>
      <c r="M48" s="117"/>
      <c r="N48" s="117"/>
      <c r="O48" s="117"/>
      <c r="P48" s="117"/>
      <c r="Q48" s="117"/>
      <c r="R48" s="117"/>
      <c r="S48" s="117"/>
      <c r="T48" s="117"/>
      <c r="U48" s="117"/>
      <c r="V48" s="117"/>
      <c r="W48" s="117"/>
      <c r="X48" s="117"/>
    </row>
    <row r="49" spans="1:24" x14ac:dyDescent="0.3">
      <c r="A49" s="613"/>
      <c r="B49" s="38" t="s">
        <v>70</v>
      </c>
      <c r="C49" s="55">
        <v>0.7</v>
      </c>
      <c r="D49" s="117" t="s">
        <v>1528</v>
      </c>
      <c r="E49" s="117"/>
      <c r="F49" s="117"/>
      <c r="G49" s="117"/>
      <c r="H49" s="117"/>
      <c r="I49" s="117"/>
      <c r="J49" s="117"/>
      <c r="K49" s="117"/>
      <c r="L49" s="117"/>
      <c r="M49" s="117"/>
      <c r="N49" s="117"/>
      <c r="O49" s="117"/>
      <c r="P49" s="117"/>
      <c r="Q49" s="117"/>
      <c r="R49" s="117"/>
      <c r="S49" s="117"/>
      <c r="T49" s="117"/>
      <c r="U49" s="117"/>
      <c r="V49" s="117"/>
      <c r="W49" s="117"/>
      <c r="X49" s="117"/>
    </row>
    <row r="50" spans="1:24" x14ac:dyDescent="0.3">
      <c r="A50" s="613" t="s">
        <v>75</v>
      </c>
      <c r="B50" s="38" t="s">
        <v>1</v>
      </c>
      <c r="C50" s="55">
        <v>1.8</v>
      </c>
      <c r="D50" s="117" t="s">
        <v>990</v>
      </c>
      <c r="E50" s="117"/>
      <c r="F50" s="117"/>
      <c r="G50" s="117"/>
      <c r="H50" s="117"/>
      <c r="I50" s="117"/>
      <c r="J50" s="117"/>
      <c r="K50" s="117"/>
      <c r="L50" s="117"/>
      <c r="M50" s="117"/>
      <c r="N50" s="117"/>
      <c r="O50" s="117"/>
      <c r="P50" s="117"/>
      <c r="Q50" s="117"/>
      <c r="R50" s="117"/>
      <c r="S50" s="117"/>
      <c r="T50" s="117"/>
      <c r="U50" s="117"/>
      <c r="V50" s="117"/>
      <c r="W50" s="117"/>
      <c r="X50" s="117"/>
    </row>
    <row r="51" spans="1:24" x14ac:dyDescent="0.3">
      <c r="A51" s="613" t="s">
        <v>76</v>
      </c>
      <c r="B51" s="38" t="s">
        <v>1</v>
      </c>
      <c r="C51" s="55">
        <v>7.5</v>
      </c>
      <c r="D51" s="117" t="s">
        <v>990</v>
      </c>
      <c r="E51" s="117"/>
      <c r="F51" s="117"/>
      <c r="G51" s="117"/>
      <c r="H51" s="117"/>
      <c r="I51" s="117"/>
      <c r="J51" s="117"/>
      <c r="K51" s="117"/>
      <c r="L51" s="117"/>
      <c r="M51" s="117"/>
      <c r="N51" s="117"/>
      <c r="O51" s="117"/>
      <c r="P51" s="117"/>
      <c r="Q51" s="117"/>
      <c r="R51" s="117"/>
      <c r="S51" s="117"/>
      <c r="T51" s="117"/>
      <c r="U51" s="117"/>
      <c r="V51" s="117"/>
      <c r="W51" s="117"/>
      <c r="X51" s="117"/>
    </row>
    <row r="52" spans="1:24" x14ac:dyDescent="0.3">
      <c r="A52" s="613"/>
      <c r="B52" s="38" t="s">
        <v>48</v>
      </c>
      <c r="C52" s="55">
        <v>0.8</v>
      </c>
      <c r="D52" s="50" t="s">
        <v>890</v>
      </c>
      <c r="E52" s="117"/>
      <c r="F52" s="117"/>
      <c r="G52" s="117"/>
      <c r="H52" s="117"/>
      <c r="I52" s="117"/>
      <c r="J52" s="117"/>
      <c r="K52" s="117"/>
      <c r="L52" s="117"/>
      <c r="M52" s="117"/>
      <c r="N52" s="117"/>
      <c r="O52" s="117"/>
      <c r="P52" s="117"/>
      <c r="Q52" s="117"/>
      <c r="R52" s="117"/>
      <c r="S52" s="117"/>
      <c r="T52" s="117"/>
      <c r="U52" s="117"/>
      <c r="V52" s="117"/>
      <c r="W52" s="117"/>
      <c r="X52" s="117"/>
    </row>
    <row r="53" spans="1:24" x14ac:dyDescent="0.3">
      <c r="A53" s="613"/>
      <c r="B53" s="38" t="s">
        <v>67</v>
      </c>
      <c r="C53" s="55">
        <v>3.7</v>
      </c>
      <c r="D53" s="559" t="s">
        <v>993</v>
      </c>
      <c r="E53" s="117"/>
      <c r="F53" s="117"/>
      <c r="G53" s="117"/>
      <c r="H53" s="117"/>
      <c r="I53" s="117"/>
      <c r="J53" s="117"/>
      <c r="K53" s="117"/>
      <c r="L53" s="117"/>
      <c r="M53" s="117"/>
      <c r="N53" s="117"/>
      <c r="O53" s="117"/>
      <c r="P53" s="117"/>
      <c r="Q53" s="117"/>
      <c r="R53" s="117"/>
      <c r="S53" s="117"/>
      <c r="T53" s="117"/>
      <c r="U53" s="117"/>
      <c r="V53" s="117"/>
      <c r="W53" s="117"/>
      <c r="X53" s="117"/>
    </row>
    <row r="54" spans="1:24" x14ac:dyDescent="0.3">
      <c r="A54" s="613" t="s">
        <v>77</v>
      </c>
      <c r="B54" s="38" t="s">
        <v>1</v>
      </c>
      <c r="C54" s="55">
        <v>5</v>
      </c>
      <c r="D54" s="117" t="s">
        <v>990</v>
      </c>
      <c r="E54" s="117"/>
      <c r="F54" s="117"/>
      <c r="G54" s="117"/>
      <c r="H54" s="117"/>
      <c r="I54" s="117"/>
      <c r="J54" s="117"/>
      <c r="K54" s="117"/>
      <c r="L54" s="117"/>
      <c r="M54" s="117"/>
      <c r="N54" s="117"/>
      <c r="O54" s="117"/>
      <c r="P54" s="117"/>
      <c r="Q54" s="117"/>
      <c r="R54" s="117"/>
      <c r="S54" s="117"/>
      <c r="T54" s="117"/>
      <c r="U54" s="117"/>
      <c r="V54" s="117"/>
      <c r="W54" s="117"/>
      <c r="X54" s="117"/>
    </row>
    <row r="55" spans="1:24" x14ac:dyDescent="0.3">
      <c r="A55" s="613"/>
      <c r="B55" s="38" t="s">
        <v>70</v>
      </c>
      <c r="C55" s="55">
        <v>3.9</v>
      </c>
      <c r="D55" s="117" t="s">
        <v>1528</v>
      </c>
      <c r="E55" s="117"/>
      <c r="F55" s="117"/>
      <c r="G55" s="117"/>
      <c r="H55" s="117"/>
      <c r="I55" s="117"/>
      <c r="J55" s="117"/>
      <c r="K55" s="117"/>
      <c r="L55" s="117"/>
      <c r="M55" s="117"/>
      <c r="N55" s="117"/>
      <c r="O55" s="117"/>
      <c r="P55" s="117"/>
      <c r="Q55" s="117"/>
      <c r="R55" s="117"/>
      <c r="S55" s="117"/>
      <c r="T55" s="117"/>
      <c r="U55" s="117"/>
      <c r="V55" s="117"/>
      <c r="W55" s="117"/>
      <c r="X55" s="117"/>
    </row>
    <row r="56" spans="1:24" x14ac:dyDescent="0.3">
      <c r="A56" s="613" t="s">
        <v>78</v>
      </c>
      <c r="B56" s="38" t="s">
        <v>1</v>
      </c>
      <c r="C56" s="55">
        <v>11.7</v>
      </c>
      <c r="D56" s="117" t="s">
        <v>990</v>
      </c>
      <c r="E56" s="117"/>
      <c r="F56" s="117"/>
      <c r="G56" s="117"/>
      <c r="H56" s="117"/>
      <c r="I56" s="117"/>
      <c r="J56" s="117"/>
      <c r="K56" s="117"/>
      <c r="L56" s="117"/>
      <c r="M56" s="117"/>
      <c r="N56" s="117"/>
      <c r="O56" s="117"/>
      <c r="P56" s="117"/>
      <c r="Q56" s="117"/>
      <c r="R56" s="117"/>
      <c r="S56" s="117"/>
      <c r="T56" s="117"/>
      <c r="U56" s="117"/>
      <c r="V56" s="117"/>
      <c r="W56" s="117"/>
      <c r="X56" s="117"/>
    </row>
    <row r="57" spans="1:24" x14ac:dyDescent="0.3">
      <c r="A57" s="613"/>
      <c r="B57" s="38" t="s">
        <v>79</v>
      </c>
      <c r="C57" s="55">
        <v>37.700000000000003</v>
      </c>
      <c r="D57" s="559" t="s">
        <v>891</v>
      </c>
      <c r="E57" s="117"/>
      <c r="F57" s="117"/>
      <c r="G57" s="117"/>
      <c r="H57" s="117"/>
      <c r="I57" s="117"/>
      <c r="J57" s="117"/>
      <c r="K57" s="117"/>
      <c r="L57" s="117"/>
      <c r="M57" s="117"/>
      <c r="N57" s="117"/>
      <c r="O57" s="117"/>
      <c r="P57" s="117"/>
      <c r="Q57" s="117"/>
      <c r="R57" s="117"/>
      <c r="S57" s="117"/>
      <c r="T57" s="117"/>
      <c r="U57" s="117"/>
      <c r="V57" s="117"/>
      <c r="W57" s="117"/>
      <c r="X57" s="117"/>
    </row>
    <row r="58" spans="1:24" x14ac:dyDescent="0.3">
      <c r="A58" s="613"/>
      <c r="B58" s="38" t="s">
        <v>70</v>
      </c>
      <c r="C58" s="55">
        <v>4.3</v>
      </c>
      <c r="D58" s="559" t="s">
        <v>1528</v>
      </c>
      <c r="E58" s="117"/>
      <c r="F58" s="117"/>
      <c r="G58" s="117"/>
      <c r="H58" s="117"/>
      <c r="I58" s="117"/>
      <c r="J58" s="117"/>
      <c r="K58" s="117"/>
      <c r="L58" s="117"/>
      <c r="M58" s="117"/>
      <c r="N58" s="117"/>
      <c r="O58" s="117"/>
      <c r="P58" s="117"/>
      <c r="Q58" s="117"/>
      <c r="R58" s="117"/>
      <c r="S58" s="117"/>
      <c r="T58" s="117"/>
      <c r="U58" s="117"/>
      <c r="V58" s="117"/>
      <c r="W58" s="117"/>
      <c r="X58" s="117"/>
    </row>
    <row r="59" spans="1:24" x14ac:dyDescent="0.3">
      <c r="A59" s="613" t="s">
        <v>80</v>
      </c>
      <c r="B59" s="38" t="s">
        <v>1</v>
      </c>
      <c r="C59" s="55">
        <v>7.5</v>
      </c>
      <c r="D59" s="559" t="s">
        <v>990</v>
      </c>
      <c r="E59" s="117"/>
      <c r="F59" s="117"/>
      <c r="G59" s="117"/>
      <c r="H59" s="117"/>
      <c r="I59" s="117"/>
      <c r="J59" s="117"/>
      <c r="K59" s="117"/>
      <c r="L59" s="117"/>
      <c r="M59" s="117"/>
      <c r="N59" s="117"/>
      <c r="O59" s="117"/>
      <c r="P59" s="117"/>
      <c r="Q59" s="117"/>
      <c r="R59" s="117"/>
      <c r="S59" s="117"/>
      <c r="T59" s="117"/>
      <c r="U59" s="117"/>
      <c r="V59" s="117"/>
      <c r="W59" s="117"/>
      <c r="X59" s="117"/>
    </row>
    <row r="60" spans="1:24" x14ac:dyDescent="0.3">
      <c r="A60" s="613"/>
      <c r="B60" s="38" t="s">
        <v>79</v>
      </c>
      <c r="C60" s="55">
        <v>10.9</v>
      </c>
      <c r="D60" s="559" t="s">
        <v>891</v>
      </c>
      <c r="E60" s="117"/>
      <c r="F60" s="117"/>
      <c r="G60" s="117"/>
      <c r="H60" s="117"/>
      <c r="I60" s="117"/>
      <c r="J60" s="117"/>
      <c r="K60" s="117"/>
      <c r="L60" s="117"/>
      <c r="M60" s="117"/>
      <c r="N60" s="117"/>
      <c r="O60" s="117"/>
      <c r="P60" s="117"/>
      <c r="Q60" s="117"/>
      <c r="R60" s="117"/>
      <c r="S60" s="117"/>
      <c r="T60" s="117"/>
      <c r="U60" s="117"/>
      <c r="V60" s="117"/>
      <c r="W60" s="117"/>
      <c r="X60" s="117"/>
    </row>
    <row r="61" spans="1:24" x14ac:dyDescent="0.3">
      <c r="A61" s="613"/>
      <c r="B61" s="38" t="s">
        <v>70</v>
      </c>
      <c r="C61" s="55">
        <v>8.1</v>
      </c>
      <c r="D61" s="559" t="s">
        <v>992</v>
      </c>
      <c r="E61" s="117"/>
      <c r="F61" s="117"/>
      <c r="G61" s="117"/>
      <c r="H61" s="117"/>
      <c r="I61" s="117"/>
      <c r="J61" s="117"/>
      <c r="K61" s="117"/>
      <c r="L61" s="117"/>
      <c r="M61" s="117"/>
      <c r="N61" s="117"/>
      <c r="O61" s="117"/>
      <c r="P61" s="117"/>
      <c r="Q61" s="117"/>
      <c r="R61" s="117"/>
      <c r="S61" s="117"/>
      <c r="T61" s="117"/>
      <c r="U61" s="117"/>
      <c r="V61" s="117"/>
      <c r="W61" s="117"/>
      <c r="X61" s="117"/>
    </row>
    <row r="62" spans="1:24" ht="27.6" x14ac:dyDescent="0.3">
      <c r="A62" s="613" t="s">
        <v>81</v>
      </c>
      <c r="B62" s="38" t="s">
        <v>1</v>
      </c>
      <c r="C62" s="55">
        <v>7.5</v>
      </c>
      <c r="D62" s="559" t="s">
        <v>990</v>
      </c>
      <c r="E62" s="117"/>
      <c r="F62" s="117"/>
      <c r="G62" s="117"/>
      <c r="H62" s="117"/>
      <c r="I62" s="117"/>
      <c r="J62" s="117"/>
      <c r="K62" s="117"/>
      <c r="L62" s="117"/>
      <c r="M62" s="117"/>
      <c r="N62" s="117"/>
      <c r="O62" s="117"/>
      <c r="P62" s="117"/>
      <c r="Q62" s="117"/>
      <c r="R62" s="117"/>
      <c r="S62" s="117"/>
      <c r="T62" s="117"/>
      <c r="U62" s="117"/>
      <c r="V62" s="117"/>
      <c r="W62" s="117"/>
      <c r="X62" s="117"/>
    </row>
    <row r="63" spans="1:24" x14ac:dyDescent="0.3">
      <c r="A63" s="613"/>
      <c r="B63" s="38" t="s">
        <v>82</v>
      </c>
      <c r="C63" s="55">
        <v>7.1</v>
      </c>
      <c r="D63" s="117" t="s">
        <v>1528</v>
      </c>
      <c r="E63" s="117"/>
      <c r="F63" s="117"/>
      <c r="G63" s="117"/>
      <c r="H63" s="117"/>
      <c r="I63" s="117"/>
      <c r="J63" s="117"/>
      <c r="K63" s="117"/>
      <c r="L63" s="117"/>
      <c r="M63" s="117"/>
      <c r="N63" s="117"/>
      <c r="O63" s="117"/>
      <c r="P63" s="117"/>
      <c r="Q63" s="117"/>
      <c r="R63" s="117"/>
      <c r="S63" s="117"/>
      <c r="T63" s="117"/>
      <c r="U63" s="117"/>
      <c r="V63" s="117"/>
      <c r="W63" s="117"/>
      <c r="X63" s="117"/>
    </row>
    <row r="64" spans="1:24" x14ac:dyDescent="0.3">
      <c r="A64" s="613"/>
      <c r="B64" s="38" t="s">
        <v>70</v>
      </c>
      <c r="C64" s="55">
        <v>3.6</v>
      </c>
      <c r="D64" s="117" t="s">
        <v>1528</v>
      </c>
      <c r="E64" s="117"/>
      <c r="F64" s="117"/>
      <c r="G64" s="117"/>
      <c r="H64" s="117"/>
      <c r="I64" s="117"/>
      <c r="J64" s="117"/>
      <c r="K64" s="117"/>
      <c r="L64" s="117"/>
      <c r="M64" s="117"/>
      <c r="N64" s="117"/>
      <c r="O64" s="117"/>
      <c r="P64" s="117"/>
      <c r="Q64" s="117"/>
      <c r="R64" s="117"/>
      <c r="S64" s="117"/>
      <c r="T64" s="117"/>
      <c r="U64" s="117"/>
      <c r="V64" s="117"/>
      <c r="W64" s="117"/>
      <c r="X64" s="117"/>
    </row>
    <row r="65" spans="1:24" x14ac:dyDescent="0.3">
      <c r="A65" s="613" t="s">
        <v>83</v>
      </c>
      <c r="B65" s="38" t="s">
        <v>1</v>
      </c>
      <c r="C65" s="55">
        <v>7.5</v>
      </c>
      <c r="D65" s="117" t="s">
        <v>990</v>
      </c>
      <c r="E65" s="117"/>
      <c r="F65" s="117"/>
      <c r="G65" s="117"/>
      <c r="H65" s="117"/>
      <c r="I65" s="117"/>
      <c r="J65" s="117"/>
      <c r="K65" s="117"/>
      <c r="L65" s="117"/>
      <c r="M65" s="117"/>
      <c r="N65" s="117"/>
      <c r="O65" s="117"/>
      <c r="P65" s="117"/>
      <c r="Q65" s="117"/>
      <c r="R65" s="117"/>
      <c r="S65" s="117"/>
      <c r="T65" s="117"/>
      <c r="U65" s="117"/>
      <c r="V65" s="117"/>
      <c r="W65" s="117"/>
      <c r="X65" s="117"/>
    </row>
    <row r="66" spans="1:24" x14ac:dyDescent="0.3">
      <c r="A66" s="613"/>
      <c r="B66" s="38" t="s">
        <v>74</v>
      </c>
      <c r="C66" s="55">
        <v>2</v>
      </c>
      <c r="D66" s="117" t="s">
        <v>1528</v>
      </c>
      <c r="E66" s="117"/>
      <c r="F66" s="117"/>
      <c r="G66" s="117"/>
      <c r="H66" s="117"/>
      <c r="I66" s="117"/>
      <c r="J66" s="117"/>
      <c r="K66" s="117"/>
      <c r="L66" s="117"/>
      <c r="M66" s="117"/>
      <c r="N66" s="117"/>
      <c r="O66" s="117"/>
      <c r="P66" s="117"/>
      <c r="Q66" s="117"/>
      <c r="R66" s="117"/>
      <c r="S66" s="117"/>
      <c r="T66" s="117"/>
      <c r="U66" s="117"/>
      <c r="V66" s="117"/>
      <c r="W66" s="117"/>
      <c r="X66" s="117"/>
    </row>
    <row r="67" spans="1:24" x14ac:dyDescent="0.3">
      <c r="A67" s="613"/>
      <c r="B67" s="38" t="s">
        <v>84</v>
      </c>
      <c r="C67" s="55">
        <v>2</v>
      </c>
      <c r="D67" s="117" t="s">
        <v>1528</v>
      </c>
      <c r="E67" s="117"/>
      <c r="F67" s="117"/>
      <c r="G67" s="117"/>
      <c r="H67" s="117"/>
      <c r="I67" s="117"/>
      <c r="J67" s="117"/>
      <c r="K67" s="117"/>
      <c r="L67" s="117"/>
      <c r="M67" s="117"/>
      <c r="N67" s="117"/>
      <c r="O67" s="117"/>
      <c r="P67" s="117"/>
      <c r="Q67" s="117"/>
      <c r="R67" s="117"/>
      <c r="S67" s="117"/>
      <c r="T67" s="117"/>
      <c r="U67" s="117"/>
      <c r="V67" s="117"/>
      <c r="W67" s="117"/>
      <c r="X67" s="117"/>
    </row>
    <row r="68" spans="1:24" x14ac:dyDescent="0.3">
      <c r="A68" s="613"/>
      <c r="B68" s="38" t="s">
        <v>70</v>
      </c>
      <c r="C68" s="55">
        <v>2</v>
      </c>
      <c r="D68" s="117" t="s">
        <v>1528</v>
      </c>
      <c r="E68" s="117"/>
      <c r="F68" s="117"/>
      <c r="G68" s="117"/>
      <c r="H68" s="117"/>
      <c r="I68" s="117"/>
      <c r="J68" s="117"/>
      <c r="K68" s="117"/>
      <c r="L68" s="117"/>
      <c r="M68" s="117"/>
      <c r="N68" s="117"/>
      <c r="O68" s="117"/>
      <c r="P68" s="117"/>
      <c r="Q68" s="117"/>
      <c r="R68" s="117"/>
      <c r="S68" s="117"/>
      <c r="T68" s="117"/>
      <c r="U68" s="117"/>
      <c r="V68" s="117"/>
      <c r="W68" s="117"/>
      <c r="X68" s="117"/>
    </row>
    <row r="69" spans="1:24" x14ac:dyDescent="0.3">
      <c r="A69" s="613" t="s">
        <v>85</v>
      </c>
      <c r="B69" s="38" t="s">
        <v>1</v>
      </c>
      <c r="C69" s="55">
        <v>7.5</v>
      </c>
      <c r="D69" s="117" t="s">
        <v>990</v>
      </c>
      <c r="E69" s="117"/>
      <c r="F69" s="117"/>
      <c r="G69" s="117"/>
      <c r="H69" s="117"/>
      <c r="I69" s="117"/>
      <c r="J69" s="117"/>
      <c r="K69" s="117"/>
      <c r="L69" s="117"/>
      <c r="M69" s="117"/>
      <c r="N69" s="117"/>
      <c r="O69" s="117"/>
      <c r="P69" s="117"/>
      <c r="Q69" s="117"/>
      <c r="R69" s="117"/>
      <c r="S69" s="117"/>
      <c r="T69" s="117"/>
      <c r="U69" s="117"/>
      <c r="V69" s="117"/>
      <c r="W69" s="117"/>
      <c r="X69" s="117"/>
    </row>
    <row r="70" spans="1:24" x14ac:dyDescent="0.3">
      <c r="A70" s="613"/>
      <c r="B70" s="38" t="s">
        <v>74</v>
      </c>
      <c r="C70" s="55">
        <v>2.7</v>
      </c>
      <c r="D70" s="117" t="s">
        <v>1528</v>
      </c>
      <c r="E70" s="117"/>
      <c r="F70" s="117"/>
      <c r="G70" s="117"/>
      <c r="H70" s="117"/>
      <c r="I70" s="117"/>
      <c r="J70" s="117"/>
      <c r="K70" s="117"/>
      <c r="L70" s="117"/>
      <c r="M70" s="117"/>
      <c r="N70" s="117"/>
      <c r="O70" s="117"/>
      <c r="P70" s="117"/>
      <c r="Q70" s="117"/>
      <c r="R70" s="117"/>
      <c r="S70" s="117"/>
      <c r="T70" s="117"/>
      <c r="U70" s="117"/>
      <c r="V70" s="117"/>
      <c r="W70" s="117"/>
      <c r="X70" s="117"/>
    </row>
    <row r="71" spans="1:24" x14ac:dyDescent="0.3">
      <c r="A71" s="613"/>
      <c r="B71" s="38" t="s">
        <v>70</v>
      </c>
      <c r="C71" s="55">
        <v>2.8</v>
      </c>
      <c r="D71" s="117" t="s">
        <v>1528</v>
      </c>
      <c r="E71" s="117"/>
      <c r="F71" s="117"/>
      <c r="G71" s="117"/>
      <c r="H71" s="117"/>
      <c r="I71" s="117"/>
      <c r="J71" s="117"/>
      <c r="K71" s="117"/>
      <c r="L71" s="117"/>
      <c r="M71" s="117"/>
      <c r="N71" s="117"/>
      <c r="O71" s="117"/>
      <c r="P71" s="117"/>
      <c r="Q71" s="117"/>
      <c r="R71" s="117"/>
      <c r="S71" s="117"/>
      <c r="T71" s="117"/>
      <c r="U71" s="117"/>
      <c r="V71" s="117"/>
      <c r="W71" s="117"/>
      <c r="X71" s="117"/>
    </row>
    <row r="72" spans="1:24" x14ac:dyDescent="0.3">
      <c r="A72" s="613" t="s">
        <v>39</v>
      </c>
      <c r="B72" s="38" t="s">
        <v>978</v>
      </c>
      <c r="C72" s="55">
        <v>53.4</v>
      </c>
      <c r="D72" s="559" t="s">
        <v>1529</v>
      </c>
      <c r="E72" s="117"/>
      <c r="F72" s="117"/>
      <c r="G72" s="117"/>
      <c r="H72" s="117"/>
      <c r="I72" s="117"/>
      <c r="J72" s="117"/>
      <c r="K72" s="117"/>
      <c r="L72" s="117"/>
      <c r="M72" s="117"/>
      <c r="N72" s="117"/>
      <c r="O72" s="117"/>
      <c r="P72" s="117"/>
      <c r="Q72" s="117"/>
      <c r="R72" s="117"/>
      <c r="S72" s="117"/>
      <c r="T72" s="117"/>
      <c r="U72" s="117"/>
      <c r="V72" s="117"/>
      <c r="W72" s="117"/>
      <c r="X72" s="117"/>
    </row>
    <row r="73" spans="1:24" x14ac:dyDescent="0.3">
      <c r="A73" s="613"/>
      <c r="B73" s="38" t="s">
        <v>979</v>
      </c>
      <c r="C73" s="55">
        <v>12.7</v>
      </c>
      <c r="D73" s="559" t="s">
        <v>1529</v>
      </c>
      <c r="E73" s="117"/>
      <c r="F73" s="117"/>
      <c r="G73" s="117"/>
      <c r="H73" s="117"/>
      <c r="I73" s="117"/>
      <c r="J73" s="117"/>
      <c r="K73" s="117"/>
      <c r="L73" s="117"/>
      <c r="M73" s="117"/>
      <c r="N73" s="117"/>
      <c r="O73" s="117"/>
      <c r="P73" s="117"/>
      <c r="Q73" s="117"/>
      <c r="R73" s="117"/>
      <c r="S73" s="117"/>
      <c r="T73" s="117"/>
      <c r="U73" s="117"/>
      <c r="V73" s="117"/>
      <c r="W73" s="117"/>
      <c r="X73" s="117"/>
    </row>
    <row r="74" spans="1:24" x14ac:dyDescent="0.3">
      <c r="A74" s="613"/>
      <c r="B74" s="38" t="s">
        <v>982</v>
      </c>
      <c r="C74" s="55">
        <v>7.8</v>
      </c>
      <c r="D74" s="559" t="s">
        <v>1529</v>
      </c>
      <c r="E74" s="117"/>
      <c r="F74" s="117"/>
      <c r="G74" s="117"/>
      <c r="H74" s="117"/>
      <c r="I74" s="117"/>
      <c r="J74" s="117"/>
      <c r="K74" s="117"/>
      <c r="L74" s="117"/>
      <c r="M74" s="117"/>
      <c r="N74" s="117"/>
      <c r="O74" s="117"/>
      <c r="P74" s="117"/>
      <c r="Q74" s="117"/>
      <c r="R74" s="117"/>
      <c r="S74" s="117"/>
      <c r="T74" s="117"/>
      <c r="U74" s="117"/>
      <c r="V74" s="117"/>
      <c r="W74" s="117"/>
      <c r="X74" s="117"/>
    </row>
    <row r="75" spans="1:24" x14ac:dyDescent="0.3">
      <c r="A75" s="613" t="s">
        <v>86</v>
      </c>
      <c r="B75" s="38" t="s">
        <v>1</v>
      </c>
      <c r="C75" s="55">
        <v>13.3</v>
      </c>
      <c r="D75" s="117" t="s">
        <v>990</v>
      </c>
      <c r="E75" s="117"/>
      <c r="F75" s="117"/>
      <c r="G75" s="117"/>
      <c r="H75" s="117"/>
      <c r="I75" s="117"/>
      <c r="J75" s="117"/>
      <c r="K75" s="117"/>
      <c r="L75" s="117"/>
      <c r="M75" s="117"/>
      <c r="N75" s="117"/>
      <c r="O75" s="117"/>
      <c r="P75" s="117"/>
      <c r="Q75" s="117"/>
      <c r="R75" s="117"/>
      <c r="S75" s="117"/>
      <c r="T75" s="117"/>
      <c r="U75" s="117"/>
      <c r="V75" s="117"/>
      <c r="W75" s="117"/>
      <c r="X75" s="117"/>
    </row>
    <row r="76" spans="1:24" x14ac:dyDescent="0.3">
      <c r="A76" s="613"/>
      <c r="B76" s="38" t="s">
        <v>66</v>
      </c>
      <c r="C76" s="55">
        <v>15.7</v>
      </c>
      <c r="D76" s="117" t="s">
        <v>1528</v>
      </c>
      <c r="E76" s="117"/>
      <c r="F76" s="117"/>
      <c r="G76" s="117"/>
      <c r="H76" s="117"/>
      <c r="I76" s="117"/>
      <c r="J76" s="117"/>
      <c r="K76" s="117"/>
      <c r="L76" s="117"/>
      <c r="M76" s="117"/>
      <c r="N76" s="117"/>
      <c r="O76" s="117"/>
      <c r="P76" s="117"/>
      <c r="Q76" s="117"/>
      <c r="R76" s="117"/>
      <c r="S76" s="117"/>
      <c r="T76" s="117"/>
      <c r="U76" s="117"/>
      <c r="V76" s="117"/>
      <c r="W76" s="117"/>
      <c r="X76" s="117"/>
    </row>
    <row r="77" spans="1:24" x14ac:dyDescent="0.3">
      <c r="A77" s="613"/>
      <c r="B77" s="38" t="s">
        <v>70</v>
      </c>
      <c r="C77" s="55">
        <v>11.2</v>
      </c>
      <c r="D77" s="117" t="s">
        <v>1528</v>
      </c>
      <c r="E77" s="117"/>
      <c r="F77" s="117"/>
      <c r="G77" s="117"/>
      <c r="H77" s="117"/>
      <c r="I77" s="117"/>
      <c r="J77" s="117"/>
      <c r="K77" s="117"/>
      <c r="L77" s="117"/>
      <c r="M77" s="117"/>
      <c r="N77" s="117"/>
      <c r="O77" s="117"/>
      <c r="P77" s="117"/>
      <c r="Q77" s="117"/>
      <c r="R77" s="117"/>
      <c r="S77" s="117"/>
      <c r="T77" s="117"/>
      <c r="U77" s="117"/>
      <c r="V77" s="117"/>
      <c r="W77" s="117"/>
      <c r="X77" s="117"/>
    </row>
    <row r="78" spans="1:24" x14ac:dyDescent="0.3">
      <c r="A78" s="613" t="s">
        <v>87</v>
      </c>
      <c r="B78" s="38" t="s">
        <v>88</v>
      </c>
      <c r="C78" s="55">
        <v>63.6</v>
      </c>
      <c r="D78" s="117" t="s">
        <v>1528</v>
      </c>
      <c r="E78" s="117"/>
      <c r="F78" s="117"/>
      <c r="G78" s="117"/>
      <c r="H78" s="117"/>
      <c r="I78" s="117"/>
      <c r="J78" s="117"/>
      <c r="K78" s="117"/>
      <c r="L78" s="117"/>
      <c r="M78" s="117"/>
      <c r="N78" s="117"/>
      <c r="O78" s="117"/>
      <c r="P78" s="117"/>
      <c r="Q78" s="117"/>
      <c r="R78" s="117"/>
      <c r="S78" s="117"/>
      <c r="T78" s="117"/>
      <c r="U78" s="117"/>
      <c r="V78" s="117"/>
      <c r="W78" s="117"/>
      <c r="X78" s="117"/>
    </row>
    <row r="79" spans="1:24" x14ac:dyDescent="0.3">
      <c r="A79" s="613"/>
      <c r="B79" s="38" t="s">
        <v>89</v>
      </c>
      <c r="C79" s="55">
        <v>16.399999999999999</v>
      </c>
      <c r="D79" s="117" t="s">
        <v>1528</v>
      </c>
      <c r="E79" s="117"/>
      <c r="F79" s="117"/>
      <c r="G79" s="117"/>
      <c r="H79" s="117"/>
      <c r="I79" s="117"/>
      <c r="J79" s="117"/>
      <c r="K79" s="117"/>
      <c r="L79" s="117"/>
      <c r="M79" s="117"/>
      <c r="N79" s="117"/>
      <c r="O79" s="117"/>
      <c r="P79" s="117"/>
      <c r="Q79" s="117"/>
      <c r="R79" s="117"/>
      <c r="S79" s="117"/>
      <c r="T79" s="117"/>
      <c r="U79" s="117"/>
      <c r="V79" s="117"/>
      <c r="W79" s="117"/>
      <c r="X79" s="117"/>
    </row>
    <row r="80" spans="1:24" x14ac:dyDescent="0.3">
      <c r="A80" s="613"/>
      <c r="B80" s="38" t="s">
        <v>90</v>
      </c>
      <c r="C80" s="55">
        <v>4.4000000000000004</v>
      </c>
      <c r="D80" s="117" t="s">
        <v>1528</v>
      </c>
      <c r="E80" s="117"/>
      <c r="F80" s="117"/>
      <c r="G80" s="117"/>
      <c r="H80" s="117"/>
      <c r="I80" s="117"/>
      <c r="J80" s="117"/>
      <c r="K80" s="117"/>
      <c r="L80" s="117"/>
      <c r="M80" s="117"/>
      <c r="N80" s="117"/>
      <c r="O80" s="117"/>
      <c r="P80" s="117"/>
      <c r="Q80" s="117"/>
      <c r="R80" s="117"/>
      <c r="S80" s="117"/>
      <c r="T80" s="117"/>
      <c r="U80" s="117"/>
      <c r="V80" s="117"/>
      <c r="W80" s="117"/>
      <c r="X80" s="117"/>
    </row>
    <row r="81" spans="1:24" x14ac:dyDescent="0.3">
      <c r="A81" s="613"/>
      <c r="B81" s="38" t="s">
        <v>67</v>
      </c>
      <c r="C81" s="55">
        <v>2.5</v>
      </c>
      <c r="D81" s="117" t="s">
        <v>1528</v>
      </c>
      <c r="E81" s="117"/>
      <c r="F81" s="117"/>
      <c r="G81" s="117"/>
      <c r="H81" s="117"/>
      <c r="I81" s="117"/>
      <c r="J81" s="117"/>
      <c r="K81" s="117"/>
      <c r="L81" s="117"/>
      <c r="M81" s="117"/>
      <c r="N81" s="117"/>
      <c r="O81" s="117"/>
      <c r="P81" s="117"/>
      <c r="Q81" s="117"/>
      <c r="R81" s="117"/>
      <c r="S81" s="117"/>
      <c r="T81" s="117"/>
      <c r="U81" s="117"/>
      <c r="V81" s="117"/>
      <c r="W81" s="117"/>
      <c r="X81" s="117"/>
    </row>
    <row r="82" spans="1:24" x14ac:dyDescent="0.3">
      <c r="A82" s="613" t="s">
        <v>91</v>
      </c>
      <c r="B82" s="38" t="s">
        <v>977</v>
      </c>
      <c r="C82" s="55">
        <v>7.5</v>
      </c>
      <c r="D82" s="117" t="s">
        <v>990</v>
      </c>
      <c r="E82" s="117"/>
      <c r="F82" s="117"/>
      <c r="G82" s="117"/>
      <c r="H82" s="117"/>
      <c r="I82" s="117"/>
      <c r="J82" s="117"/>
      <c r="K82" s="117"/>
      <c r="L82" s="117"/>
      <c r="M82" s="117"/>
      <c r="N82" s="117"/>
      <c r="O82" s="117"/>
      <c r="P82" s="117"/>
      <c r="Q82" s="117"/>
      <c r="R82" s="117"/>
      <c r="S82" s="117"/>
      <c r="T82" s="117"/>
      <c r="U82" s="117"/>
      <c r="V82" s="117"/>
      <c r="W82" s="117"/>
      <c r="X82" s="117"/>
    </row>
    <row r="83" spans="1:24" x14ac:dyDescent="0.3">
      <c r="A83" s="613"/>
      <c r="B83" s="38" t="s">
        <v>74</v>
      </c>
      <c r="C83" s="55">
        <v>7.2</v>
      </c>
      <c r="D83" s="117" t="s">
        <v>1528</v>
      </c>
      <c r="E83" s="117"/>
      <c r="F83" s="117"/>
      <c r="G83" s="117"/>
      <c r="H83" s="117"/>
      <c r="I83" s="117"/>
      <c r="J83" s="117"/>
      <c r="K83" s="117"/>
      <c r="L83" s="117"/>
      <c r="M83" s="117"/>
      <c r="N83" s="117"/>
      <c r="O83" s="117"/>
      <c r="P83" s="117"/>
      <c r="Q83" s="117"/>
      <c r="R83" s="117"/>
      <c r="S83" s="117"/>
      <c r="T83" s="117"/>
      <c r="U83" s="117"/>
      <c r="V83" s="117"/>
      <c r="W83" s="117"/>
      <c r="X83" s="117"/>
    </row>
    <row r="84" spans="1:24" x14ac:dyDescent="0.3">
      <c r="A84" s="613"/>
      <c r="B84" s="38" t="s">
        <v>79</v>
      </c>
      <c r="C84" s="55">
        <v>6.8</v>
      </c>
      <c r="D84" s="117" t="s">
        <v>1528</v>
      </c>
      <c r="E84" s="117"/>
      <c r="F84" s="117"/>
      <c r="G84" s="117"/>
      <c r="H84" s="117"/>
      <c r="I84" s="117"/>
      <c r="J84" s="117"/>
      <c r="K84" s="117"/>
      <c r="L84" s="117"/>
      <c r="M84" s="117"/>
      <c r="N84" s="117"/>
      <c r="O84" s="117"/>
      <c r="P84" s="117"/>
      <c r="Q84" s="117"/>
      <c r="R84" s="117"/>
      <c r="S84" s="117"/>
      <c r="T84" s="117"/>
      <c r="U84" s="117"/>
      <c r="V84" s="117"/>
      <c r="W84" s="117"/>
      <c r="X84" s="117"/>
    </row>
    <row r="85" spans="1:24" x14ac:dyDescent="0.3">
      <c r="A85" s="613"/>
      <c r="B85" s="38" t="s">
        <v>70</v>
      </c>
      <c r="C85" s="55">
        <v>4.7</v>
      </c>
      <c r="D85" s="117" t="s">
        <v>1528</v>
      </c>
      <c r="E85" s="117"/>
      <c r="F85" s="117"/>
      <c r="G85" s="117"/>
      <c r="H85" s="117"/>
      <c r="I85" s="117"/>
      <c r="J85" s="117"/>
      <c r="K85" s="117"/>
      <c r="L85" s="117"/>
      <c r="M85" s="117"/>
      <c r="N85" s="117"/>
      <c r="O85" s="117"/>
      <c r="P85" s="117"/>
      <c r="Q85" s="117"/>
      <c r="R85" s="117"/>
      <c r="S85" s="117"/>
      <c r="T85" s="117"/>
      <c r="U85" s="117"/>
      <c r="V85" s="117"/>
      <c r="W85" s="117"/>
      <c r="X85" s="117"/>
    </row>
    <row r="86" spans="1:24" x14ac:dyDescent="0.3">
      <c r="A86" s="613" t="s">
        <v>92</v>
      </c>
      <c r="B86" s="38" t="s">
        <v>1</v>
      </c>
      <c r="C86" s="55">
        <v>7.5</v>
      </c>
      <c r="D86" s="117" t="s">
        <v>990</v>
      </c>
      <c r="E86" s="117"/>
      <c r="F86" s="117"/>
      <c r="G86" s="117"/>
      <c r="H86" s="117"/>
      <c r="I86" s="117"/>
      <c r="J86" s="117"/>
      <c r="K86" s="117"/>
      <c r="L86" s="117"/>
      <c r="M86" s="117"/>
      <c r="N86" s="117"/>
      <c r="O86" s="117"/>
      <c r="P86" s="117"/>
      <c r="Q86" s="117"/>
      <c r="R86" s="117"/>
      <c r="S86" s="117"/>
      <c r="T86" s="117"/>
      <c r="U86" s="117"/>
      <c r="V86" s="117"/>
      <c r="W86" s="117"/>
      <c r="X86" s="117"/>
    </row>
    <row r="87" spans="1:24" x14ac:dyDescent="0.3">
      <c r="A87" s="613"/>
      <c r="B87" s="38" t="s">
        <v>93</v>
      </c>
      <c r="C87" s="55">
        <v>18.7</v>
      </c>
      <c r="D87" s="117" t="s">
        <v>1528</v>
      </c>
      <c r="E87" s="117"/>
      <c r="F87" s="117"/>
      <c r="G87" s="117"/>
      <c r="H87" s="117"/>
      <c r="I87" s="117"/>
      <c r="J87" s="117"/>
      <c r="K87" s="117"/>
      <c r="L87" s="117"/>
      <c r="M87" s="117"/>
      <c r="N87" s="117"/>
      <c r="O87" s="117"/>
      <c r="P87" s="117"/>
      <c r="Q87" s="117"/>
      <c r="R87" s="117"/>
      <c r="S87" s="117"/>
      <c r="T87" s="117"/>
      <c r="U87" s="117"/>
      <c r="V87" s="117"/>
      <c r="W87" s="117"/>
      <c r="X87" s="117"/>
    </row>
    <row r="88" spans="1:24" x14ac:dyDescent="0.3">
      <c r="A88" s="613"/>
      <c r="B88" s="38" t="s">
        <v>79</v>
      </c>
      <c r="C88" s="55">
        <v>15.2</v>
      </c>
      <c r="D88" s="117" t="s">
        <v>1528</v>
      </c>
      <c r="E88" s="117"/>
      <c r="F88" s="117"/>
      <c r="G88" s="117"/>
      <c r="H88" s="117"/>
      <c r="I88" s="117"/>
      <c r="J88" s="117"/>
      <c r="K88" s="117"/>
      <c r="L88" s="117"/>
      <c r="M88" s="117"/>
      <c r="N88" s="117"/>
      <c r="O88" s="117"/>
      <c r="P88" s="117"/>
      <c r="Q88" s="117"/>
      <c r="R88" s="117"/>
      <c r="S88" s="117"/>
      <c r="T88" s="117"/>
      <c r="U88" s="117"/>
      <c r="V88" s="117"/>
      <c r="W88" s="117"/>
      <c r="X88" s="117"/>
    </row>
    <row r="89" spans="1:24" x14ac:dyDescent="0.3">
      <c r="A89" s="613"/>
      <c r="B89" s="38" t="s">
        <v>70</v>
      </c>
      <c r="C89" s="55">
        <v>6.6</v>
      </c>
      <c r="D89" s="117" t="s">
        <v>1528</v>
      </c>
      <c r="E89" s="117"/>
      <c r="F89" s="117"/>
      <c r="G89" s="117"/>
      <c r="H89" s="117"/>
      <c r="I89" s="117"/>
      <c r="J89" s="117"/>
      <c r="K89" s="117"/>
      <c r="L89" s="117"/>
      <c r="M89" s="117"/>
      <c r="N89" s="117"/>
      <c r="O89" s="117"/>
      <c r="P89" s="117"/>
      <c r="Q89" s="117"/>
      <c r="R89" s="117"/>
      <c r="S89" s="117"/>
      <c r="T89" s="117"/>
      <c r="U89" s="117"/>
      <c r="V89" s="117"/>
      <c r="W89" s="117"/>
      <c r="X89" s="117"/>
    </row>
    <row r="90" spans="1:24" x14ac:dyDescent="0.3">
      <c r="A90" s="613" t="s">
        <v>94</v>
      </c>
      <c r="B90" s="38" t="s">
        <v>74</v>
      </c>
      <c r="C90" s="55">
        <v>8.1</v>
      </c>
      <c r="D90" s="117" t="s">
        <v>1528</v>
      </c>
      <c r="E90" s="117"/>
      <c r="F90" s="117"/>
      <c r="G90" s="117"/>
      <c r="H90" s="117"/>
      <c r="I90" s="117"/>
      <c r="J90" s="117"/>
      <c r="K90" s="117"/>
      <c r="L90" s="117"/>
      <c r="M90" s="117"/>
      <c r="N90" s="117"/>
      <c r="O90" s="117"/>
      <c r="P90" s="117"/>
      <c r="Q90" s="117"/>
      <c r="R90" s="117"/>
      <c r="S90" s="117"/>
      <c r="T90" s="117"/>
      <c r="U90" s="117"/>
      <c r="V90" s="117"/>
      <c r="W90" s="117"/>
      <c r="X90" s="117"/>
    </row>
    <row r="91" spans="1:24" x14ac:dyDescent="0.3">
      <c r="A91" s="613"/>
      <c r="B91" s="38" t="s">
        <v>70</v>
      </c>
      <c r="C91" s="55">
        <v>31.9</v>
      </c>
      <c r="D91" s="117" t="s">
        <v>1528</v>
      </c>
      <c r="E91" s="117"/>
      <c r="F91" s="117"/>
      <c r="G91" s="117"/>
      <c r="H91" s="117"/>
      <c r="I91" s="117"/>
      <c r="J91" s="117"/>
      <c r="K91" s="117"/>
      <c r="L91" s="117"/>
      <c r="M91" s="117"/>
      <c r="N91" s="117"/>
      <c r="O91" s="117"/>
      <c r="P91" s="117"/>
      <c r="Q91" s="117"/>
      <c r="R91" s="117"/>
      <c r="S91" s="117"/>
      <c r="T91" s="117"/>
      <c r="U91" s="117"/>
      <c r="V91" s="117"/>
      <c r="W91" s="117"/>
      <c r="X91" s="117"/>
    </row>
    <row r="92" spans="1:24" x14ac:dyDescent="0.3">
      <c r="A92" s="613" t="s">
        <v>95</v>
      </c>
      <c r="B92" s="38" t="s">
        <v>1</v>
      </c>
      <c r="C92" s="55">
        <v>12</v>
      </c>
      <c r="D92" s="117" t="s">
        <v>990</v>
      </c>
      <c r="E92" s="117"/>
      <c r="F92" s="117"/>
      <c r="G92" s="117"/>
      <c r="H92" s="117"/>
      <c r="I92" s="117"/>
      <c r="J92" s="117"/>
      <c r="K92" s="117"/>
      <c r="L92" s="117"/>
      <c r="M92" s="117"/>
      <c r="N92" s="117"/>
      <c r="O92" s="117"/>
      <c r="P92" s="117"/>
      <c r="Q92" s="117"/>
      <c r="R92" s="117"/>
      <c r="S92" s="117"/>
      <c r="T92" s="117"/>
      <c r="U92" s="117"/>
      <c r="V92" s="117"/>
      <c r="W92" s="117"/>
      <c r="X92" s="117"/>
    </row>
    <row r="93" spans="1:24" x14ac:dyDescent="0.3">
      <c r="A93" s="613"/>
      <c r="B93" s="38" t="s">
        <v>983</v>
      </c>
      <c r="C93" s="55">
        <v>10.9</v>
      </c>
      <c r="D93" s="117" t="s">
        <v>1528</v>
      </c>
      <c r="E93" s="117"/>
      <c r="F93" s="117"/>
      <c r="G93" s="117"/>
      <c r="H93" s="117"/>
      <c r="I93" s="117"/>
      <c r="J93" s="117"/>
      <c r="K93" s="117"/>
      <c r="L93" s="117"/>
      <c r="M93" s="117"/>
      <c r="N93" s="117"/>
      <c r="O93" s="117"/>
      <c r="P93" s="117"/>
      <c r="Q93" s="117"/>
      <c r="R93" s="117"/>
      <c r="S93" s="117"/>
      <c r="T93" s="117"/>
      <c r="U93" s="117"/>
      <c r="V93" s="117"/>
      <c r="W93" s="117"/>
      <c r="X93" s="117"/>
    </row>
    <row r="94" spans="1:24" x14ac:dyDescent="0.3">
      <c r="A94" s="613"/>
      <c r="B94" s="38" t="s">
        <v>980</v>
      </c>
      <c r="C94" s="55">
        <v>4.3</v>
      </c>
      <c r="D94" s="117" t="s">
        <v>1528</v>
      </c>
      <c r="E94" s="117"/>
      <c r="F94" s="117"/>
      <c r="G94" s="117"/>
      <c r="H94" s="117"/>
      <c r="I94" s="117"/>
      <c r="J94" s="117"/>
      <c r="K94" s="117"/>
      <c r="L94" s="117"/>
      <c r="M94" s="117"/>
      <c r="N94" s="117"/>
      <c r="O94" s="117"/>
      <c r="P94" s="117"/>
      <c r="Q94" s="117"/>
      <c r="R94" s="117"/>
      <c r="S94" s="117"/>
      <c r="T94" s="117"/>
      <c r="U94" s="117"/>
      <c r="V94" s="117"/>
      <c r="W94" s="117"/>
      <c r="X94" s="117"/>
    </row>
    <row r="95" spans="1:24" x14ac:dyDescent="0.3">
      <c r="A95" s="613" t="s">
        <v>96</v>
      </c>
      <c r="B95" s="38" t="s">
        <v>1</v>
      </c>
      <c r="C95" s="55">
        <v>7.5</v>
      </c>
      <c r="D95" s="117" t="s">
        <v>990</v>
      </c>
      <c r="E95" s="117"/>
      <c r="F95" s="117"/>
      <c r="G95" s="117"/>
      <c r="H95" s="117"/>
      <c r="I95" s="117"/>
      <c r="J95" s="117"/>
      <c r="K95" s="117"/>
      <c r="L95" s="117"/>
      <c r="M95" s="117"/>
      <c r="N95" s="117"/>
      <c r="O95" s="117"/>
      <c r="P95" s="117"/>
      <c r="Q95" s="117"/>
      <c r="R95" s="117"/>
      <c r="S95" s="117"/>
      <c r="T95" s="117"/>
      <c r="U95" s="117"/>
      <c r="V95" s="117"/>
      <c r="W95" s="117"/>
      <c r="X95" s="117"/>
    </row>
    <row r="96" spans="1:24" x14ac:dyDescent="0.3">
      <c r="A96" s="613"/>
      <c r="B96" s="38" t="s">
        <v>983</v>
      </c>
      <c r="C96" s="55">
        <v>7.5</v>
      </c>
      <c r="D96" s="117" t="s">
        <v>990</v>
      </c>
      <c r="E96" s="117"/>
      <c r="F96" s="117"/>
      <c r="G96" s="117"/>
      <c r="H96" s="117"/>
      <c r="I96" s="117"/>
      <c r="J96" s="117"/>
      <c r="K96" s="117"/>
      <c r="L96" s="117"/>
      <c r="M96" s="117"/>
      <c r="N96" s="117"/>
      <c r="O96" s="117"/>
      <c r="P96" s="117"/>
      <c r="Q96" s="117"/>
      <c r="R96" s="117"/>
      <c r="S96" s="117"/>
      <c r="T96" s="117"/>
      <c r="U96" s="117"/>
      <c r="V96" s="117"/>
      <c r="W96" s="117"/>
      <c r="X96" s="117"/>
    </row>
    <row r="97" spans="1:24" x14ac:dyDescent="0.3">
      <c r="A97" s="613"/>
      <c r="B97" s="38" t="s">
        <v>79</v>
      </c>
      <c r="C97" s="55">
        <v>7.5</v>
      </c>
      <c r="D97" s="117" t="s">
        <v>990</v>
      </c>
      <c r="E97" s="117"/>
      <c r="F97" s="117"/>
      <c r="G97" s="117"/>
      <c r="H97" s="117"/>
      <c r="I97" s="117"/>
      <c r="J97" s="117"/>
      <c r="K97" s="117"/>
      <c r="L97" s="117"/>
      <c r="M97" s="117"/>
      <c r="N97" s="117"/>
      <c r="O97" s="117"/>
      <c r="P97" s="117"/>
      <c r="Q97" s="117"/>
      <c r="R97" s="117"/>
      <c r="S97" s="117"/>
      <c r="T97" s="117"/>
      <c r="U97" s="117"/>
      <c r="V97" s="117"/>
      <c r="W97" s="117"/>
      <c r="X97" s="117"/>
    </row>
    <row r="98" spans="1:24" x14ac:dyDescent="0.3">
      <c r="A98" s="613"/>
      <c r="B98" s="38" t="s">
        <v>980</v>
      </c>
      <c r="C98" s="55">
        <v>7.5</v>
      </c>
      <c r="D98" s="117" t="s">
        <v>990</v>
      </c>
      <c r="E98" s="117"/>
      <c r="F98" s="117"/>
      <c r="G98" s="117"/>
      <c r="H98" s="117"/>
      <c r="I98" s="117"/>
      <c r="J98" s="117"/>
      <c r="K98" s="117"/>
      <c r="L98" s="117"/>
      <c r="M98" s="117"/>
      <c r="N98" s="117"/>
      <c r="O98" s="117"/>
      <c r="P98" s="117"/>
      <c r="Q98" s="117"/>
      <c r="R98" s="117"/>
      <c r="S98" s="117"/>
      <c r="T98" s="117"/>
      <c r="U98" s="117"/>
      <c r="V98" s="117"/>
      <c r="W98" s="117"/>
      <c r="X98" s="117"/>
    </row>
    <row r="99" spans="1:24" x14ac:dyDescent="0.3">
      <c r="A99" s="613" t="s">
        <v>97</v>
      </c>
      <c r="B99" s="38" t="s">
        <v>12</v>
      </c>
      <c r="C99" s="55">
        <v>7.7</v>
      </c>
      <c r="D99" s="117" t="s">
        <v>1528</v>
      </c>
      <c r="E99" s="117"/>
      <c r="F99" s="117"/>
      <c r="G99" s="117"/>
      <c r="H99" s="117"/>
      <c r="I99" s="117"/>
      <c r="J99" s="117"/>
      <c r="K99" s="117"/>
      <c r="L99" s="117"/>
      <c r="M99" s="117"/>
      <c r="N99" s="117"/>
      <c r="O99" s="117"/>
      <c r="P99" s="117"/>
      <c r="Q99" s="117"/>
      <c r="R99" s="117"/>
      <c r="S99" s="117"/>
      <c r="T99" s="117"/>
      <c r="U99" s="117"/>
      <c r="V99" s="117"/>
      <c r="W99" s="117"/>
      <c r="X99" s="117"/>
    </row>
    <row r="100" spans="1:24" x14ac:dyDescent="0.3">
      <c r="A100" s="613" t="s">
        <v>984</v>
      </c>
      <c r="B100" s="38" t="s">
        <v>66</v>
      </c>
      <c r="C100" s="55">
        <v>1.6</v>
      </c>
      <c r="D100" s="117" t="s">
        <v>1528</v>
      </c>
      <c r="E100" s="117"/>
      <c r="F100" s="117"/>
      <c r="G100" s="117"/>
      <c r="H100" s="117"/>
      <c r="I100" s="117"/>
      <c r="J100" s="117"/>
      <c r="K100" s="117"/>
      <c r="L100" s="117"/>
      <c r="M100" s="117"/>
      <c r="N100" s="117"/>
      <c r="O100" s="117"/>
      <c r="P100" s="117"/>
      <c r="Q100" s="117"/>
      <c r="R100" s="117"/>
      <c r="S100" s="117"/>
      <c r="T100" s="117"/>
      <c r="U100" s="117"/>
      <c r="V100" s="117"/>
      <c r="W100" s="117"/>
      <c r="X100" s="117"/>
    </row>
    <row r="101" spans="1:24" x14ac:dyDescent="0.3">
      <c r="A101" s="613"/>
      <c r="B101" s="38" t="s">
        <v>67</v>
      </c>
      <c r="C101" s="55">
        <v>1.4</v>
      </c>
      <c r="D101" s="117" t="s">
        <v>1528</v>
      </c>
      <c r="E101" s="117"/>
      <c r="F101" s="117"/>
      <c r="G101" s="117"/>
      <c r="H101" s="117"/>
      <c r="I101" s="117"/>
      <c r="J101" s="117"/>
      <c r="K101" s="117"/>
      <c r="L101" s="117"/>
      <c r="M101" s="117"/>
      <c r="N101" s="117"/>
      <c r="O101" s="117"/>
      <c r="P101" s="117"/>
      <c r="Q101" s="117"/>
      <c r="R101" s="117"/>
      <c r="S101" s="117"/>
      <c r="T101" s="117"/>
      <c r="U101" s="117"/>
      <c r="V101" s="117"/>
      <c r="W101" s="117"/>
      <c r="X101" s="117"/>
    </row>
    <row r="102" spans="1:24" x14ac:dyDescent="0.3">
      <c r="A102" s="613" t="s">
        <v>98</v>
      </c>
      <c r="B102" s="38" t="s">
        <v>74</v>
      </c>
      <c r="C102" s="55">
        <v>10</v>
      </c>
      <c r="D102" s="117" t="s">
        <v>1528</v>
      </c>
      <c r="E102" s="117"/>
      <c r="F102" s="117"/>
      <c r="G102" s="117"/>
      <c r="H102" s="117"/>
      <c r="I102" s="117"/>
      <c r="J102" s="117"/>
      <c r="K102" s="117"/>
      <c r="L102" s="117"/>
      <c r="M102" s="117"/>
      <c r="N102" s="117"/>
      <c r="O102" s="117"/>
      <c r="P102" s="117"/>
      <c r="Q102" s="117"/>
      <c r="R102" s="117"/>
      <c r="S102" s="117"/>
      <c r="T102" s="117"/>
      <c r="U102" s="117"/>
      <c r="V102" s="117"/>
      <c r="W102" s="117"/>
      <c r="X102" s="117"/>
    </row>
    <row r="103" spans="1:24" x14ac:dyDescent="0.3">
      <c r="A103" s="613"/>
      <c r="B103" s="38" t="s">
        <v>67</v>
      </c>
      <c r="C103" s="55">
        <v>8.3000000000000007</v>
      </c>
      <c r="D103" s="117" t="s">
        <v>1528</v>
      </c>
      <c r="E103" s="117"/>
      <c r="F103" s="117"/>
      <c r="G103" s="117"/>
      <c r="H103" s="117"/>
      <c r="I103" s="117"/>
      <c r="J103" s="117"/>
      <c r="K103" s="117"/>
      <c r="L103" s="117"/>
      <c r="M103" s="117"/>
      <c r="N103" s="117"/>
      <c r="O103" s="117"/>
      <c r="P103" s="117"/>
      <c r="Q103" s="117"/>
      <c r="R103" s="117"/>
      <c r="S103" s="117"/>
      <c r="T103" s="117"/>
      <c r="U103" s="117"/>
      <c r="V103" s="117"/>
      <c r="W103" s="117"/>
      <c r="X103" s="117"/>
    </row>
    <row r="104" spans="1:24" x14ac:dyDescent="0.3">
      <c r="A104" s="613" t="s">
        <v>32</v>
      </c>
      <c r="B104" s="38" t="s">
        <v>486</v>
      </c>
      <c r="C104" s="55">
        <v>8.5</v>
      </c>
      <c r="D104" s="117" t="s">
        <v>1528</v>
      </c>
      <c r="E104" s="117"/>
      <c r="F104" s="117"/>
      <c r="G104" s="117"/>
      <c r="H104" s="117"/>
      <c r="I104" s="117"/>
      <c r="J104" s="117"/>
      <c r="K104" s="117"/>
      <c r="L104" s="117"/>
      <c r="M104" s="117"/>
      <c r="N104" s="117"/>
      <c r="O104" s="117"/>
      <c r="P104" s="117"/>
      <c r="Q104" s="117"/>
      <c r="R104" s="117"/>
      <c r="S104" s="117"/>
      <c r="T104" s="117"/>
      <c r="U104" s="117"/>
      <c r="V104" s="117"/>
      <c r="W104" s="117"/>
      <c r="X104" s="117"/>
    </row>
    <row r="105" spans="1:24" x14ac:dyDescent="0.3">
      <c r="A105" s="613" t="s">
        <v>99</v>
      </c>
      <c r="B105" s="38" t="s">
        <v>47</v>
      </c>
      <c r="C105" s="55">
        <v>5.9</v>
      </c>
      <c r="D105" s="117" t="s">
        <v>1528</v>
      </c>
      <c r="E105" s="117"/>
      <c r="F105" s="117"/>
      <c r="G105" s="117"/>
      <c r="H105" s="117"/>
      <c r="I105" s="117"/>
      <c r="J105" s="117"/>
      <c r="K105" s="117"/>
      <c r="L105" s="117"/>
      <c r="M105" s="117"/>
      <c r="N105" s="117"/>
      <c r="O105" s="117"/>
      <c r="P105" s="117"/>
      <c r="Q105" s="117"/>
      <c r="R105" s="117"/>
      <c r="S105" s="117"/>
      <c r="T105" s="117"/>
      <c r="U105" s="117"/>
      <c r="V105" s="117"/>
      <c r="W105" s="117"/>
      <c r="X105" s="117"/>
    </row>
    <row r="106" spans="1:24" x14ac:dyDescent="0.3">
      <c r="A106" s="613"/>
      <c r="B106" s="38" t="s">
        <v>67</v>
      </c>
      <c r="C106" s="55">
        <v>3.6</v>
      </c>
      <c r="D106" s="117" t="s">
        <v>1528</v>
      </c>
      <c r="E106" s="117"/>
      <c r="F106" s="117"/>
      <c r="G106" s="117"/>
      <c r="H106" s="117"/>
      <c r="I106" s="117"/>
      <c r="J106" s="117"/>
      <c r="K106" s="117"/>
      <c r="L106" s="117"/>
      <c r="M106" s="117"/>
      <c r="N106" s="117"/>
      <c r="O106" s="117"/>
      <c r="P106" s="117"/>
      <c r="Q106" s="117"/>
      <c r="R106" s="117"/>
      <c r="S106" s="117"/>
      <c r="T106" s="117"/>
      <c r="U106" s="117"/>
      <c r="V106" s="117"/>
      <c r="W106" s="117"/>
      <c r="X106" s="117"/>
    </row>
    <row r="107" spans="1:24" x14ac:dyDescent="0.3">
      <c r="A107" s="613" t="s">
        <v>100</v>
      </c>
      <c r="B107" s="38" t="s">
        <v>101</v>
      </c>
      <c r="C107" s="55">
        <v>1.2</v>
      </c>
      <c r="D107" s="117" t="s">
        <v>1528</v>
      </c>
      <c r="E107" s="117"/>
      <c r="F107" s="117"/>
      <c r="G107" s="117"/>
      <c r="H107" s="117"/>
      <c r="I107" s="117"/>
      <c r="J107" s="117"/>
      <c r="K107" s="117"/>
      <c r="L107" s="117"/>
      <c r="M107" s="117"/>
      <c r="N107" s="117"/>
      <c r="O107" s="117"/>
      <c r="P107" s="117"/>
      <c r="Q107" s="117"/>
      <c r="R107" s="117"/>
      <c r="S107" s="117"/>
      <c r="T107" s="117"/>
      <c r="U107" s="117"/>
      <c r="V107" s="117"/>
      <c r="W107" s="117"/>
      <c r="X107" s="117"/>
    </row>
    <row r="108" spans="1:24" x14ac:dyDescent="0.3">
      <c r="A108" s="613"/>
      <c r="B108" s="38" t="s">
        <v>66</v>
      </c>
      <c r="C108" s="55">
        <v>9</v>
      </c>
      <c r="D108" s="117" t="s">
        <v>1528</v>
      </c>
      <c r="E108" s="117"/>
      <c r="F108" s="117"/>
      <c r="G108" s="117"/>
      <c r="H108" s="117"/>
      <c r="I108" s="117"/>
      <c r="J108" s="117"/>
      <c r="K108" s="117"/>
      <c r="L108" s="117"/>
      <c r="M108" s="117"/>
      <c r="N108" s="117"/>
      <c r="O108" s="117"/>
      <c r="P108" s="117"/>
      <c r="Q108" s="117"/>
      <c r="R108" s="117"/>
      <c r="S108" s="117"/>
      <c r="T108" s="117"/>
      <c r="U108" s="117"/>
      <c r="V108" s="117"/>
      <c r="W108" s="117"/>
      <c r="X108" s="117"/>
    </row>
    <row r="109" spans="1:24" x14ac:dyDescent="0.3">
      <c r="A109" s="613"/>
      <c r="B109" s="38" t="s">
        <v>74</v>
      </c>
      <c r="C109" s="55">
        <v>1.2</v>
      </c>
      <c r="D109" s="117" t="s">
        <v>1528</v>
      </c>
      <c r="E109" s="117"/>
      <c r="F109" s="117"/>
      <c r="G109" s="117"/>
      <c r="H109" s="117"/>
      <c r="I109" s="117"/>
      <c r="J109" s="117"/>
      <c r="K109" s="117"/>
      <c r="L109" s="117"/>
      <c r="M109" s="117"/>
      <c r="N109" s="117"/>
      <c r="O109" s="117"/>
      <c r="P109" s="117"/>
      <c r="Q109" s="117"/>
      <c r="R109" s="117"/>
      <c r="S109" s="117"/>
      <c r="T109" s="117"/>
      <c r="U109" s="117"/>
      <c r="V109" s="117"/>
      <c r="W109" s="117"/>
      <c r="X109" s="117"/>
    </row>
    <row r="110" spans="1:24" x14ac:dyDescent="0.3">
      <c r="A110" s="614"/>
      <c r="B110" s="71" t="s">
        <v>70</v>
      </c>
      <c r="C110" s="59">
        <v>1.1000000000000001</v>
      </c>
      <c r="D110" s="117" t="s">
        <v>1528</v>
      </c>
      <c r="E110" s="117"/>
      <c r="F110" s="117"/>
      <c r="G110" s="117"/>
      <c r="H110" s="117"/>
      <c r="I110" s="117"/>
      <c r="J110" s="117"/>
      <c r="K110" s="117"/>
      <c r="L110" s="117"/>
      <c r="M110" s="117"/>
      <c r="N110" s="117"/>
      <c r="O110" s="117"/>
      <c r="P110" s="117"/>
      <c r="Q110" s="117"/>
      <c r="R110" s="117"/>
      <c r="S110" s="117"/>
      <c r="T110" s="117"/>
      <c r="U110" s="117"/>
      <c r="V110" s="117"/>
      <c r="W110" s="117"/>
      <c r="X110" s="117"/>
    </row>
    <row r="111" spans="1:24" x14ac:dyDescent="0.3">
      <c r="A111" s="9" t="s">
        <v>991</v>
      </c>
      <c r="B111" s="118"/>
      <c r="C111" s="117"/>
      <c r="D111" s="117"/>
      <c r="E111" s="117"/>
      <c r="F111" s="117"/>
      <c r="G111" s="117"/>
      <c r="H111" s="117"/>
      <c r="I111" s="117"/>
      <c r="J111" s="117"/>
      <c r="K111" s="117"/>
      <c r="L111" s="117"/>
      <c r="M111" s="117"/>
      <c r="N111" s="117"/>
      <c r="O111" s="117"/>
      <c r="P111" s="117"/>
      <c r="Q111" s="117"/>
      <c r="R111" s="117"/>
      <c r="S111" s="117"/>
      <c r="T111" s="117"/>
      <c r="U111" s="117"/>
      <c r="V111" s="117"/>
      <c r="W111" s="117"/>
      <c r="X111" s="117"/>
    </row>
    <row r="112" spans="1:24" x14ac:dyDescent="0.3">
      <c r="A112" s="9"/>
      <c r="B112" s="118"/>
      <c r="C112" s="117"/>
      <c r="D112" s="117"/>
      <c r="E112" s="117"/>
      <c r="F112" s="117"/>
      <c r="G112" s="117"/>
      <c r="H112" s="117"/>
      <c r="I112" s="117"/>
      <c r="J112" s="117"/>
      <c r="K112" s="117"/>
      <c r="L112" s="117"/>
      <c r="M112" s="117"/>
      <c r="N112" s="117"/>
      <c r="O112" s="117"/>
      <c r="P112" s="117"/>
      <c r="Q112" s="117"/>
      <c r="R112" s="117"/>
      <c r="S112" s="117"/>
      <c r="T112" s="117"/>
      <c r="U112" s="117"/>
      <c r="V112" s="117"/>
      <c r="W112" s="117"/>
      <c r="X112" s="117"/>
    </row>
    <row r="113" spans="1:24" x14ac:dyDescent="0.3">
      <c r="A113" s="123" t="s">
        <v>995</v>
      </c>
      <c r="B113" s="118"/>
      <c r="C113" s="117"/>
      <c r="D113" s="117"/>
      <c r="E113" s="117"/>
      <c r="F113" s="117"/>
      <c r="G113" s="117"/>
      <c r="H113" s="117"/>
      <c r="I113" s="117"/>
      <c r="J113" s="117"/>
      <c r="K113" s="117"/>
      <c r="L113" s="117"/>
      <c r="M113" s="117"/>
      <c r="N113" s="117"/>
      <c r="O113" s="117"/>
      <c r="P113" s="117"/>
      <c r="Q113" s="117"/>
      <c r="R113" s="117"/>
      <c r="S113" s="117"/>
      <c r="T113" s="117"/>
      <c r="U113" s="117"/>
      <c r="V113" s="117"/>
      <c r="W113" s="117"/>
      <c r="X113" s="117"/>
    </row>
    <row r="114" spans="1:24" x14ac:dyDescent="0.3">
      <c r="A114" s="9" t="s">
        <v>996</v>
      </c>
      <c r="B114" s="117"/>
      <c r="C114" s="117"/>
      <c r="D114" s="117"/>
      <c r="E114" s="117"/>
      <c r="F114" s="117"/>
      <c r="G114" s="117"/>
      <c r="H114" s="117"/>
      <c r="I114" s="117"/>
      <c r="J114" s="117"/>
      <c r="K114" s="117"/>
      <c r="L114" s="117"/>
      <c r="M114" s="117"/>
      <c r="N114" s="117"/>
      <c r="O114" s="117"/>
      <c r="P114" s="117"/>
      <c r="Q114" s="117"/>
      <c r="R114" s="117"/>
      <c r="S114" s="117"/>
      <c r="T114" s="117"/>
      <c r="U114" s="117"/>
      <c r="V114" s="117"/>
      <c r="W114" s="117"/>
      <c r="X114" s="117"/>
    </row>
    <row r="115" spans="1:24" x14ac:dyDescent="0.3">
      <c r="A115" s="9" t="s">
        <v>1004</v>
      </c>
      <c r="B115" s="117"/>
      <c r="C115" s="117"/>
      <c r="D115" s="117"/>
      <c r="E115" s="117"/>
      <c r="F115" s="117"/>
      <c r="G115" s="117"/>
      <c r="H115" s="117"/>
      <c r="I115" s="117"/>
      <c r="J115" s="117"/>
      <c r="K115" s="117"/>
      <c r="L115" s="117"/>
      <c r="M115" s="117"/>
      <c r="N115" s="117"/>
      <c r="O115" s="117"/>
      <c r="P115" s="117"/>
      <c r="Q115" s="117"/>
      <c r="R115" s="117"/>
      <c r="S115" s="117"/>
      <c r="T115" s="117"/>
      <c r="U115" s="117"/>
      <c r="V115" s="117"/>
      <c r="W115" s="117"/>
      <c r="X115" s="117"/>
    </row>
    <row r="116" spans="1:24" x14ac:dyDescent="0.3">
      <c r="A116" s="9"/>
      <c r="B116" s="117"/>
      <c r="C116" s="117"/>
      <c r="D116" s="117"/>
      <c r="E116" s="117"/>
      <c r="F116" s="117"/>
      <c r="G116" s="117"/>
      <c r="H116" s="117"/>
      <c r="I116" s="117"/>
      <c r="J116" s="117"/>
      <c r="K116" s="117"/>
      <c r="L116" s="117"/>
      <c r="M116" s="117"/>
      <c r="N116" s="117"/>
      <c r="O116" s="117"/>
      <c r="P116" s="117"/>
      <c r="Q116" s="117"/>
      <c r="R116" s="117"/>
      <c r="S116" s="117"/>
      <c r="T116" s="117"/>
      <c r="U116" s="117"/>
      <c r="V116" s="117"/>
      <c r="W116" s="117"/>
      <c r="X116" s="117"/>
    </row>
    <row r="117" spans="1:24" x14ac:dyDescent="0.3">
      <c r="A117" s="123" t="s">
        <v>998</v>
      </c>
      <c r="B117" s="117"/>
      <c r="C117" s="117"/>
      <c r="D117" s="117"/>
      <c r="E117" s="117"/>
      <c r="F117" s="117"/>
      <c r="G117" s="117"/>
      <c r="H117" s="117"/>
      <c r="I117" s="117"/>
      <c r="J117" s="117"/>
      <c r="K117" s="117"/>
      <c r="L117" s="117"/>
      <c r="M117" s="117"/>
      <c r="N117" s="117"/>
      <c r="O117" s="117"/>
      <c r="P117" s="117"/>
      <c r="Q117" s="117"/>
      <c r="R117" s="117"/>
      <c r="S117" s="117"/>
      <c r="T117" s="117"/>
      <c r="U117" s="117"/>
      <c r="V117" s="117"/>
      <c r="W117" s="117"/>
      <c r="X117" s="117"/>
    </row>
    <row r="118" spans="1:24" ht="45" x14ac:dyDescent="0.3">
      <c r="A118" s="619"/>
      <c r="B118" s="620" t="s">
        <v>1003</v>
      </c>
      <c r="C118" s="546" t="s">
        <v>188</v>
      </c>
      <c r="D118" s="117"/>
      <c r="E118" s="117"/>
      <c r="F118" s="117"/>
      <c r="G118" s="117"/>
      <c r="H118" s="117"/>
      <c r="I118" s="117"/>
      <c r="J118" s="117"/>
      <c r="K118" s="117"/>
      <c r="L118" s="117"/>
      <c r="M118" s="117"/>
      <c r="N118" s="117"/>
      <c r="O118" s="117"/>
      <c r="P118" s="117"/>
      <c r="Q118" s="117"/>
      <c r="R118" s="117"/>
      <c r="S118" s="117"/>
      <c r="T118" s="117"/>
      <c r="U118" s="117"/>
      <c r="V118" s="117"/>
      <c r="W118" s="117"/>
      <c r="X118" s="117"/>
    </row>
    <row r="119" spans="1:24" x14ac:dyDescent="0.3">
      <c r="A119" s="621" t="s">
        <v>972</v>
      </c>
      <c r="B119" s="26">
        <v>0.01</v>
      </c>
      <c r="C119" s="117" t="s">
        <v>997</v>
      </c>
      <c r="D119" s="117"/>
      <c r="E119" s="117"/>
      <c r="F119" s="117"/>
      <c r="G119" s="117"/>
      <c r="H119" s="117"/>
      <c r="I119" s="117"/>
      <c r="J119" s="117"/>
      <c r="K119" s="117"/>
      <c r="L119" s="117"/>
      <c r="M119" s="117"/>
      <c r="N119" s="117"/>
      <c r="O119" s="117"/>
      <c r="P119" s="117"/>
      <c r="Q119" s="117"/>
      <c r="R119" s="117"/>
      <c r="S119" s="117"/>
      <c r="T119" s="117"/>
      <c r="U119" s="117"/>
      <c r="V119" s="117"/>
      <c r="W119" s="117"/>
      <c r="X119" s="117"/>
    </row>
    <row r="120" spans="1:24" ht="15" x14ac:dyDescent="0.3">
      <c r="A120" s="72" t="s">
        <v>999</v>
      </c>
      <c r="B120" s="117"/>
      <c r="C120" s="117"/>
      <c r="D120" s="117"/>
      <c r="E120" s="117"/>
      <c r="F120" s="117"/>
      <c r="G120" s="117"/>
      <c r="H120" s="117"/>
      <c r="I120" s="117"/>
      <c r="J120" s="117"/>
      <c r="K120" s="117"/>
      <c r="L120" s="117"/>
      <c r="M120" s="117"/>
      <c r="N120" s="117"/>
      <c r="O120" s="117"/>
      <c r="P120" s="117"/>
      <c r="Q120" s="117"/>
      <c r="R120" s="117"/>
      <c r="S120" s="117"/>
      <c r="T120" s="117"/>
      <c r="U120" s="117"/>
      <c r="V120" s="117"/>
      <c r="W120" s="117"/>
      <c r="X120" s="117"/>
    </row>
    <row r="121" spans="1:24" ht="15" x14ac:dyDescent="0.3">
      <c r="A121" s="72" t="s">
        <v>1000</v>
      </c>
      <c r="B121" s="117"/>
      <c r="C121" s="117"/>
      <c r="D121" s="117"/>
      <c r="E121" s="117"/>
      <c r="F121" s="117"/>
      <c r="G121" s="117"/>
      <c r="H121" s="117"/>
      <c r="I121" s="117"/>
      <c r="J121" s="117"/>
      <c r="K121" s="117"/>
      <c r="L121" s="117"/>
      <c r="M121" s="117"/>
      <c r="N121" s="117"/>
      <c r="O121" s="117"/>
      <c r="P121" s="117"/>
      <c r="Q121" s="117"/>
      <c r="R121" s="117"/>
      <c r="S121" s="117"/>
      <c r="T121" s="117"/>
      <c r="U121" s="117"/>
      <c r="V121" s="117"/>
      <c r="W121" s="117"/>
      <c r="X121" s="117"/>
    </row>
    <row r="122" spans="1:24" ht="15" x14ac:dyDescent="0.3">
      <c r="A122" s="72" t="s">
        <v>1001</v>
      </c>
      <c r="B122" s="117"/>
      <c r="C122" s="117"/>
      <c r="D122" s="117"/>
      <c r="E122" s="117"/>
      <c r="F122" s="117"/>
      <c r="G122" s="117"/>
      <c r="H122" s="117"/>
      <c r="I122" s="117"/>
      <c r="J122" s="117"/>
      <c r="K122" s="117"/>
      <c r="L122" s="117"/>
      <c r="M122" s="117"/>
      <c r="N122" s="117"/>
      <c r="O122" s="117"/>
      <c r="P122" s="117"/>
      <c r="Q122" s="117"/>
      <c r="R122" s="117"/>
      <c r="S122" s="117"/>
      <c r="T122" s="117"/>
      <c r="U122" s="117"/>
      <c r="V122" s="117"/>
      <c r="W122" s="117"/>
      <c r="X122" s="117"/>
    </row>
    <row r="123" spans="1:24" ht="15" x14ac:dyDescent="0.3">
      <c r="A123" s="72" t="s">
        <v>1002</v>
      </c>
      <c r="B123" s="117"/>
      <c r="C123" s="117"/>
      <c r="D123" s="117"/>
      <c r="E123" s="117"/>
      <c r="F123" s="117"/>
      <c r="G123" s="117"/>
      <c r="H123" s="117"/>
      <c r="I123" s="117"/>
      <c r="J123" s="117"/>
      <c r="K123" s="117"/>
      <c r="L123" s="117"/>
      <c r="M123" s="117"/>
      <c r="N123" s="117"/>
      <c r="O123" s="117"/>
      <c r="P123" s="117"/>
      <c r="Q123" s="117"/>
      <c r="R123" s="117"/>
      <c r="S123" s="117"/>
      <c r="T123" s="117"/>
      <c r="U123" s="117"/>
      <c r="V123" s="117"/>
      <c r="W123" s="117"/>
      <c r="X123" s="117"/>
    </row>
    <row r="124" spans="1:24" x14ac:dyDescent="0.3">
      <c r="A124" s="622"/>
      <c r="B124" s="117"/>
      <c r="C124" s="117"/>
      <c r="D124" s="117"/>
      <c r="E124" s="117"/>
      <c r="F124" s="117"/>
      <c r="G124" s="117"/>
      <c r="H124" s="117"/>
      <c r="I124" s="117"/>
      <c r="J124" s="117"/>
      <c r="K124" s="117"/>
      <c r="L124" s="117"/>
      <c r="M124" s="117"/>
      <c r="N124" s="117"/>
      <c r="O124" s="117"/>
      <c r="P124" s="117"/>
      <c r="Q124" s="117"/>
      <c r="R124" s="117"/>
      <c r="S124" s="117"/>
      <c r="T124" s="117"/>
      <c r="U124" s="117"/>
      <c r="V124" s="117"/>
      <c r="W124" s="117"/>
      <c r="X124" s="117"/>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D76"/>
  <sheetViews>
    <sheetView zoomScaleNormal="100" workbookViewId="0"/>
  </sheetViews>
  <sheetFormatPr defaultRowHeight="13.8" x14ac:dyDescent="0.3"/>
  <cols>
    <col min="1" max="1" width="25.44140625" style="637" customWidth="1"/>
    <col min="2" max="2" width="23.6640625" style="117" customWidth="1"/>
    <col min="3" max="3" width="28.88671875" style="117" customWidth="1"/>
    <col min="4" max="4" width="22.5546875" style="117" customWidth="1"/>
    <col min="5" max="16384" width="8.88671875" style="117"/>
  </cols>
  <sheetData>
    <row r="1" spans="1:4" ht="21" x14ac:dyDescent="0.4">
      <c r="A1" s="795" t="s">
        <v>1262</v>
      </c>
    </row>
    <row r="3" spans="1:4" x14ac:dyDescent="0.3">
      <c r="A3" s="602" t="s">
        <v>1346</v>
      </c>
    </row>
    <row r="4" spans="1:4" x14ac:dyDescent="0.3">
      <c r="A4" s="9" t="s">
        <v>1347</v>
      </c>
    </row>
    <row r="6" spans="1:4" x14ac:dyDescent="0.3">
      <c r="A6" s="9"/>
    </row>
    <row r="7" spans="1:4" ht="14.4" thickBot="1" x14ac:dyDescent="0.35">
      <c r="A7" s="9" t="s">
        <v>1264</v>
      </c>
    </row>
    <row r="8" spans="1:4" ht="28.2" thickBot="1" x14ac:dyDescent="0.35">
      <c r="A8" s="798"/>
      <c r="B8" s="799" t="s">
        <v>1265</v>
      </c>
      <c r="C8" s="799" t="s">
        <v>1266</v>
      </c>
      <c r="D8" s="799" t="s">
        <v>1267</v>
      </c>
    </row>
    <row r="9" spans="1:4" ht="28.2" thickBot="1" x14ac:dyDescent="0.35">
      <c r="A9" s="800" t="s">
        <v>1268</v>
      </c>
      <c r="B9" s="792"/>
      <c r="C9" s="792"/>
      <c r="D9" s="792"/>
    </row>
    <row r="10" spans="1:4" ht="55.8" thickBot="1" x14ac:dyDescent="0.35">
      <c r="A10" s="796" t="s">
        <v>1269</v>
      </c>
      <c r="B10" s="793" t="s">
        <v>1270</v>
      </c>
      <c r="C10" s="793" t="s">
        <v>1271</v>
      </c>
      <c r="D10" s="793" t="s">
        <v>1272</v>
      </c>
    </row>
    <row r="11" spans="1:4" ht="14.4" thickBot="1" x14ac:dyDescent="0.35">
      <c r="A11" s="796" t="s">
        <v>1273</v>
      </c>
      <c r="B11" s="793" t="s">
        <v>1274</v>
      </c>
      <c r="C11" s="793" t="s">
        <v>1275</v>
      </c>
      <c r="D11" s="793"/>
    </row>
    <row r="12" spans="1:4" ht="42" thickBot="1" x14ac:dyDescent="0.35">
      <c r="A12" s="796" t="s">
        <v>1276</v>
      </c>
      <c r="B12" s="793" t="s">
        <v>1277</v>
      </c>
      <c r="C12" s="793" t="s">
        <v>1348</v>
      </c>
      <c r="D12" s="793" t="s">
        <v>1278</v>
      </c>
    </row>
    <row r="13" spans="1:4" ht="83.4" thickBot="1" x14ac:dyDescent="0.35">
      <c r="A13" s="796" t="s">
        <v>1279</v>
      </c>
      <c r="B13" s="793" t="s">
        <v>1280</v>
      </c>
      <c r="C13" s="793" t="s">
        <v>1348</v>
      </c>
      <c r="D13" s="793" t="s">
        <v>1349</v>
      </c>
    </row>
    <row r="14" spans="1:4" ht="83.4" thickBot="1" x14ac:dyDescent="0.35">
      <c r="A14" s="796" t="s">
        <v>1350</v>
      </c>
      <c r="B14" s="793" t="s">
        <v>1281</v>
      </c>
      <c r="C14" s="793" t="s">
        <v>1348</v>
      </c>
      <c r="D14" s="793" t="s">
        <v>1351</v>
      </c>
    </row>
    <row r="15" spans="1:4" ht="42" thickBot="1" x14ac:dyDescent="0.35">
      <c r="A15" s="796" t="s">
        <v>1352</v>
      </c>
      <c r="B15" s="793" t="s">
        <v>1282</v>
      </c>
      <c r="C15" s="793" t="s">
        <v>1348</v>
      </c>
      <c r="D15" s="793"/>
    </row>
    <row r="16" spans="1:4" ht="28.2" thickBot="1" x14ac:dyDescent="0.35">
      <c r="A16" s="796" t="s">
        <v>1353</v>
      </c>
      <c r="B16" s="793" t="s">
        <v>1283</v>
      </c>
      <c r="C16" s="793" t="s">
        <v>1271</v>
      </c>
      <c r="D16" s="793" t="s">
        <v>1354</v>
      </c>
    </row>
    <row r="17" spans="1:4" ht="28.2" thickBot="1" x14ac:dyDescent="0.35">
      <c r="A17" s="796" t="s">
        <v>1355</v>
      </c>
      <c r="B17" s="793" t="s">
        <v>1284</v>
      </c>
      <c r="C17" s="793" t="s">
        <v>1348</v>
      </c>
      <c r="D17" s="793"/>
    </row>
    <row r="18" spans="1:4" ht="28.2" thickBot="1" x14ac:dyDescent="0.35">
      <c r="A18" s="796" t="s">
        <v>1356</v>
      </c>
      <c r="B18" s="793" t="s">
        <v>1285</v>
      </c>
      <c r="C18" s="793" t="s">
        <v>1348</v>
      </c>
      <c r="D18" s="793"/>
    </row>
    <row r="19" spans="1:4" ht="55.8" thickBot="1" x14ac:dyDescent="0.35">
      <c r="A19" s="796" t="s">
        <v>1357</v>
      </c>
      <c r="B19" s="793" t="s">
        <v>1286</v>
      </c>
      <c r="C19" s="793" t="s">
        <v>1348</v>
      </c>
      <c r="D19" s="793"/>
    </row>
    <row r="20" spans="1:4" ht="55.8" thickBot="1" x14ac:dyDescent="0.35">
      <c r="A20" s="796" t="s">
        <v>1287</v>
      </c>
      <c r="B20" s="793" t="s">
        <v>1288</v>
      </c>
      <c r="C20" s="793" t="s">
        <v>1348</v>
      </c>
      <c r="D20" s="793" t="s">
        <v>1358</v>
      </c>
    </row>
    <row r="21" spans="1:4" ht="28.2" thickBot="1" x14ac:dyDescent="0.35">
      <c r="A21" s="796" t="s">
        <v>1359</v>
      </c>
      <c r="B21" s="793" t="s">
        <v>1289</v>
      </c>
      <c r="C21" s="793" t="s">
        <v>1290</v>
      </c>
      <c r="D21" s="793" t="s">
        <v>1291</v>
      </c>
    </row>
    <row r="22" spans="1:4" ht="14.4" thickBot="1" x14ac:dyDescent="0.35">
      <c r="A22" s="800" t="s">
        <v>1292</v>
      </c>
      <c r="B22" s="792"/>
      <c r="C22" s="792"/>
      <c r="D22" s="792"/>
    </row>
    <row r="23" spans="1:4" ht="32.4" customHeight="1" x14ac:dyDescent="0.3">
      <c r="A23" s="883" t="s">
        <v>1293</v>
      </c>
      <c r="B23" s="883" t="s">
        <v>1294</v>
      </c>
      <c r="C23" s="883" t="s">
        <v>1271</v>
      </c>
      <c r="D23" s="883"/>
    </row>
    <row r="24" spans="1:4" ht="14.4" thickBot="1" x14ac:dyDescent="0.35">
      <c r="A24" s="884"/>
      <c r="B24" s="884"/>
      <c r="C24" s="884"/>
      <c r="D24" s="884"/>
    </row>
    <row r="25" spans="1:4" ht="55.8" thickBot="1" x14ac:dyDescent="0.35">
      <c r="A25" s="796" t="s">
        <v>1295</v>
      </c>
      <c r="B25" s="793" t="s">
        <v>1296</v>
      </c>
      <c r="C25" s="793" t="s">
        <v>1271</v>
      </c>
      <c r="D25" s="793" t="s">
        <v>1297</v>
      </c>
    </row>
    <row r="26" spans="1:4" ht="55.2" x14ac:dyDescent="0.3">
      <c r="A26" s="883" t="s">
        <v>1360</v>
      </c>
      <c r="B26" s="883" t="s">
        <v>1298</v>
      </c>
      <c r="C26" s="883" t="s">
        <v>1348</v>
      </c>
      <c r="D26" s="794" t="s">
        <v>1299</v>
      </c>
    </row>
    <row r="27" spans="1:4" ht="28.2" thickBot="1" x14ac:dyDescent="0.35">
      <c r="A27" s="884"/>
      <c r="B27" s="884"/>
      <c r="C27" s="884"/>
      <c r="D27" s="793" t="s">
        <v>1300</v>
      </c>
    </row>
    <row r="28" spans="1:4" ht="55.8" thickBot="1" x14ac:dyDescent="0.35">
      <c r="A28" s="796" t="s">
        <v>316</v>
      </c>
      <c r="B28" s="793" t="s">
        <v>1301</v>
      </c>
      <c r="C28" s="793" t="s">
        <v>1348</v>
      </c>
      <c r="D28" s="793" t="s">
        <v>1361</v>
      </c>
    </row>
    <row r="29" spans="1:4" ht="55.8" thickBot="1" x14ac:dyDescent="0.35">
      <c r="A29" s="796" t="s">
        <v>1302</v>
      </c>
      <c r="B29" s="793" t="s">
        <v>1303</v>
      </c>
      <c r="C29" s="793" t="s">
        <v>1348</v>
      </c>
      <c r="D29" s="793" t="s">
        <v>1361</v>
      </c>
    </row>
    <row r="30" spans="1:4" ht="63.6" customHeight="1" x14ac:dyDescent="0.3">
      <c r="A30" s="883" t="s">
        <v>1362</v>
      </c>
      <c r="B30" s="883" t="s">
        <v>1304</v>
      </c>
      <c r="C30" s="883" t="s">
        <v>1348</v>
      </c>
      <c r="D30" s="883" t="s">
        <v>1361</v>
      </c>
    </row>
    <row r="31" spans="1:4" ht="14.4" thickBot="1" x14ac:dyDescent="0.35">
      <c r="A31" s="884"/>
      <c r="B31" s="884"/>
      <c r="C31" s="884"/>
      <c r="D31" s="884"/>
    </row>
    <row r="32" spans="1:4" ht="79.2" customHeight="1" x14ac:dyDescent="0.3">
      <c r="A32" s="883" t="s">
        <v>1363</v>
      </c>
      <c r="B32" s="883" t="s">
        <v>1305</v>
      </c>
      <c r="C32" s="883" t="s">
        <v>1271</v>
      </c>
      <c r="D32" s="883" t="s">
        <v>1364</v>
      </c>
    </row>
    <row r="33" spans="1:4" ht="14.4" thickBot="1" x14ac:dyDescent="0.35">
      <c r="A33" s="884"/>
      <c r="B33" s="884"/>
      <c r="C33" s="884"/>
      <c r="D33" s="884"/>
    </row>
    <row r="34" spans="1:4" x14ac:dyDescent="0.3">
      <c r="A34" s="883" t="s">
        <v>371</v>
      </c>
      <c r="B34" s="883" t="s">
        <v>1306</v>
      </c>
      <c r="C34" s="883" t="s">
        <v>1307</v>
      </c>
      <c r="D34" s="883"/>
    </row>
    <row r="35" spans="1:4" ht="14.4" thickBot="1" x14ac:dyDescent="0.35">
      <c r="A35" s="884"/>
      <c r="B35" s="884"/>
      <c r="C35" s="884"/>
      <c r="D35" s="884"/>
    </row>
    <row r="36" spans="1:4" ht="16.8" customHeight="1" x14ac:dyDescent="0.3">
      <c r="A36" s="883" t="s">
        <v>364</v>
      </c>
      <c r="B36" s="883" t="s">
        <v>1306</v>
      </c>
      <c r="C36" s="883" t="s">
        <v>1307</v>
      </c>
      <c r="D36" s="883"/>
    </row>
    <row r="37" spans="1:4" ht="14.4" thickBot="1" x14ac:dyDescent="0.35">
      <c r="A37" s="884"/>
      <c r="B37" s="884"/>
      <c r="C37" s="884"/>
      <c r="D37" s="884"/>
    </row>
    <row r="38" spans="1:4" x14ac:dyDescent="0.3">
      <c r="A38" s="883" t="s">
        <v>1308</v>
      </c>
      <c r="B38" s="883" t="s">
        <v>1306</v>
      </c>
      <c r="C38" s="883" t="s">
        <v>1307</v>
      </c>
      <c r="D38" s="883"/>
    </row>
    <row r="39" spans="1:4" ht="14.4" thickBot="1" x14ac:dyDescent="0.35">
      <c r="A39" s="884"/>
      <c r="B39" s="884"/>
      <c r="C39" s="884"/>
      <c r="D39" s="884"/>
    </row>
    <row r="40" spans="1:4" ht="16.8" customHeight="1" x14ac:dyDescent="0.3">
      <c r="A40" s="883" t="s">
        <v>1365</v>
      </c>
      <c r="B40" s="883" t="s">
        <v>1306</v>
      </c>
      <c r="C40" s="883" t="s">
        <v>1307</v>
      </c>
      <c r="D40" s="883"/>
    </row>
    <row r="41" spans="1:4" ht="14.4" thickBot="1" x14ac:dyDescent="0.35">
      <c r="A41" s="884"/>
      <c r="B41" s="884"/>
      <c r="C41" s="884"/>
      <c r="D41" s="884"/>
    </row>
    <row r="42" spans="1:4" ht="16.8" customHeight="1" x14ac:dyDescent="0.3">
      <c r="A42" s="883" t="s">
        <v>1366</v>
      </c>
      <c r="B42" s="883" t="s">
        <v>1306</v>
      </c>
      <c r="C42" s="883" t="s">
        <v>1307</v>
      </c>
      <c r="D42" s="883"/>
    </row>
    <row r="43" spans="1:4" ht="14.4" thickBot="1" x14ac:dyDescent="0.35">
      <c r="A43" s="884"/>
      <c r="B43" s="884"/>
      <c r="C43" s="884"/>
      <c r="D43" s="884"/>
    </row>
    <row r="44" spans="1:4" ht="42" thickBot="1" x14ac:dyDescent="0.35">
      <c r="A44" s="800" t="s">
        <v>1309</v>
      </c>
      <c r="B44" s="792"/>
      <c r="C44" s="792"/>
      <c r="D44" s="792"/>
    </row>
    <row r="45" spans="1:4" ht="48" customHeight="1" x14ac:dyDescent="0.3">
      <c r="A45" s="883" t="s">
        <v>1310</v>
      </c>
      <c r="B45" s="883" t="s">
        <v>1367</v>
      </c>
      <c r="C45" s="883" t="s">
        <v>1348</v>
      </c>
      <c r="D45" s="883" t="s">
        <v>1311</v>
      </c>
    </row>
    <row r="46" spans="1:4" ht="14.4" thickBot="1" x14ac:dyDescent="0.35">
      <c r="A46" s="884"/>
      <c r="B46" s="884"/>
      <c r="C46" s="884"/>
      <c r="D46" s="884"/>
    </row>
    <row r="47" spans="1:4" ht="55.8" thickBot="1" x14ac:dyDescent="0.35">
      <c r="A47" s="796" t="s">
        <v>1312</v>
      </c>
      <c r="B47" s="793" t="s">
        <v>1313</v>
      </c>
      <c r="C47" s="793" t="s">
        <v>1348</v>
      </c>
      <c r="D47" s="793" t="s">
        <v>1368</v>
      </c>
    </row>
    <row r="48" spans="1:4" ht="14.4" thickBot="1" x14ac:dyDescent="0.35">
      <c r="A48" s="800" t="s">
        <v>1314</v>
      </c>
      <c r="B48" s="792"/>
      <c r="C48" s="792"/>
      <c r="D48" s="792"/>
    </row>
    <row r="49" spans="1:4" ht="55.8" thickBot="1" x14ac:dyDescent="0.35">
      <c r="A49" s="796" t="s">
        <v>1315</v>
      </c>
      <c r="B49" s="793" t="s">
        <v>1316</v>
      </c>
      <c r="C49" s="793" t="s">
        <v>1348</v>
      </c>
      <c r="D49" s="793" t="s">
        <v>1317</v>
      </c>
    </row>
    <row r="50" spans="1:4" ht="42" thickBot="1" x14ac:dyDescent="0.35">
      <c r="A50" s="796" t="s">
        <v>1318</v>
      </c>
      <c r="B50" s="793" t="s">
        <v>1316</v>
      </c>
      <c r="C50" s="793" t="s">
        <v>1348</v>
      </c>
      <c r="D50" s="793" t="s">
        <v>1369</v>
      </c>
    </row>
    <row r="51" spans="1:4" ht="42" thickBot="1" x14ac:dyDescent="0.35">
      <c r="A51" s="796" t="s">
        <v>1319</v>
      </c>
      <c r="B51" s="793" t="s">
        <v>1320</v>
      </c>
      <c r="C51" s="793" t="s">
        <v>1348</v>
      </c>
      <c r="D51" s="793" t="s">
        <v>1369</v>
      </c>
    </row>
    <row r="52" spans="1:4" ht="55.8" thickBot="1" x14ac:dyDescent="0.35">
      <c r="A52" s="796" t="s">
        <v>1321</v>
      </c>
      <c r="B52" s="793" t="s">
        <v>1322</v>
      </c>
      <c r="C52" s="793" t="s">
        <v>1348</v>
      </c>
      <c r="D52" s="793" t="s">
        <v>1317</v>
      </c>
    </row>
    <row r="53" spans="1:4" ht="42" thickBot="1" x14ac:dyDescent="0.35">
      <c r="A53" s="796" t="s">
        <v>1323</v>
      </c>
      <c r="B53" s="793" t="s">
        <v>1324</v>
      </c>
      <c r="C53" s="793" t="s">
        <v>1348</v>
      </c>
      <c r="D53" s="793" t="s">
        <v>1369</v>
      </c>
    </row>
    <row r="54" spans="1:4" ht="42" thickBot="1" x14ac:dyDescent="0.35">
      <c r="A54" s="796" t="s">
        <v>1370</v>
      </c>
      <c r="B54" s="793" t="s">
        <v>1325</v>
      </c>
      <c r="C54" s="793" t="s">
        <v>1348</v>
      </c>
      <c r="D54" s="793" t="s">
        <v>1369</v>
      </c>
    </row>
    <row r="55" spans="1:4" ht="42" thickBot="1" x14ac:dyDescent="0.35">
      <c r="A55" s="796" t="s">
        <v>1371</v>
      </c>
      <c r="B55" s="793" t="s">
        <v>1324</v>
      </c>
      <c r="C55" s="793" t="s">
        <v>1348</v>
      </c>
      <c r="D55" s="793" t="s">
        <v>1369</v>
      </c>
    </row>
    <row r="56" spans="1:4" ht="14.4" thickBot="1" x14ac:dyDescent="0.35">
      <c r="A56" s="800" t="s">
        <v>1326</v>
      </c>
      <c r="B56" s="792"/>
      <c r="C56" s="792"/>
      <c r="D56" s="792"/>
    </row>
    <row r="57" spans="1:4" ht="69.599999999999994" thickBot="1" x14ac:dyDescent="0.35">
      <c r="A57" s="796" t="s">
        <v>1295</v>
      </c>
      <c r="B57" s="793" t="s">
        <v>1294</v>
      </c>
      <c r="C57" s="793" t="s">
        <v>1271</v>
      </c>
      <c r="D57" s="793" t="s">
        <v>1364</v>
      </c>
    </row>
    <row r="58" spans="1:4" ht="28.2" thickBot="1" x14ac:dyDescent="0.35">
      <c r="A58" s="796" t="s">
        <v>877</v>
      </c>
      <c r="B58" s="793" t="s">
        <v>1327</v>
      </c>
      <c r="C58" s="793" t="s">
        <v>1271</v>
      </c>
      <c r="D58" s="793"/>
    </row>
    <row r="59" spans="1:4" ht="69.599999999999994" thickBot="1" x14ac:dyDescent="0.35">
      <c r="A59" s="796" t="s">
        <v>1372</v>
      </c>
      <c r="B59" s="793" t="s">
        <v>1328</v>
      </c>
      <c r="C59" s="793" t="s">
        <v>1271</v>
      </c>
      <c r="D59" s="793" t="s">
        <v>1373</v>
      </c>
    </row>
    <row r="60" spans="1:4" ht="79.2" customHeight="1" x14ac:dyDescent="0.3">
      <c r="A60" s="883" t="s">
        <v>878</v>
      </c>
      <c r="B60" s="883" t="s">
        <v>1329</v>
      </c>
      <c r="C60" s="883" t="s">
        <v>1271</v>
      </c>
      <c r="D60" s="883" t="s">
        <v>1374</v>
      </c>
    </row>
    <row r="61" spans="1:4" ht="14.4" thickBot="1" x14ac:dyDescent="0.35">
      <c r="A61" s="884"/>
      <c r="B61" s="884"/>
      <c r="C61" s="884"/>
      <c r="D61" s="884"/>
    </row>
    <row r="62" spans="1:4" ht="63.6" customHeight="1" x14ac:dyDescent="0.3">
      <c r="A62" s="883" t="s">
        <v>1330</v>
      </c>
      <c r="B62" s="883" t="s">
        <v>1375</v>
      </c>
      <c r="C62" s="883" t="s">
        <v>1348</v>
      </c>
      <c r="D62" s="883" t="s">
        <v>1376</v>
      </c>
    </row>
    <row r="63" spans="1:4" ht="14.4" thickBot="1" x14ac:dyDescent="0.35">
      <c r="A63" s="884"/>
      <c r="B63" s="884"/>
      <c r="C63" s="884"/>
      <c r="D63" s="884"/>
    </row>
    <row r="64" spans="1:4" ht="16.8" customHeight="1" x14ac:dyDescent="0.3">
      <c r="A64" s="883" t="s">
        <v>1377</v>
      </c>
      <c r="B64" s="883" t="s">
        <v>1331</v>
      </c>
      <c r="C64" s="883" t="s">
        <v>1275</v>
      </c>
      <c r="D64" s="883"/>
    </row>
    <row r="65" spans="1:4" ht="14.4" thickBot="1" x14ac:dyDescent="0.35">
      <c r="A65" s="884"/>
      <c r="B65" s="884"/>
      <c r="C65" s="884"/>
      <c r="D65" s="884"/>
    </row>
    <row r="66" spans="1:4" ht="48" customHeight="1" x14ac:dyDescent="0.3">
      <c r="A66" s="883" t="s">
        <v>1332</v>
      </c>
      <c r="B66" s="883" t="s">
        <v>1333</v>
      </c>
      <c r="C66" s="883" t="s">
        <v>1271</v>
      </c>
      <c r="D66" s="883" t="s">
        <v>1376</v>
      </c>
    </row>
    <row r="67" spans="1:4" ht="14.4" thickBot="1" x14ac:dyDescent="0.35">
      <c r="A67" s="884"/>
      <c r="B67" s="884"/>
      <c r="C67" s="884"/>
      <c r="D67" s="884"/>
    </row>
    <row r="68" spans="1:4" ht="48" customHeight="1" x14ac:dyDescent="0.3">
      <c r="A68" s="883" t="s">
        <v>1334</v>
      </c>
      <c r="B68" s="883" t="s">
        <v>1335</v>
      </c>
      <c r="C68" s="883" t="s">
        <v>1348</v>
      </c>
      <c r="D68" s="883" t="s">
        <v>1376</v>
      </c>
    </row>
    <row r="69" spans="1:4" ht="14.4" thickBot="1" x14ac:dyDescent="0.35">
      <c r="A69" s="884"/>
      <c r="B69" s="884"/>
      <c r="C69" s="884"/>
      <c r="D69" s="884"/>
    </row>
    <row r="70" spans="1:4" ht="55.8" thickBot="1" x14ac:dyDescent="0.35">
      <c r="A70" s="796" t="s">
        <v>1336</v>
      </c>
      <c r="B70" s="793" t="s">
        <v>1337</v>
      </c>
      <c r="C70" s="793" t="s">
        <v>1348</v>
      </c>
      <c r="D70" s="793" t="s">
        <v>1376</v>
      </c>
    </row>
    <row r="71" spans="1:4" ht="48" customHeight="1" x14ac:dyDescent="0.3">
      <c r="A71" s="883" t="s">
        <v>1378</v>
      </c>
      <c r="B71" s="883" t="s">
        <v>1338</v>
      </c>
      <c r="C71" s="883" t="s">
        <v>1348</v>
      </c>
      <c r="D71" s="883" t="s">
        <v>1379</v>
      </c>
    </row>
    <row r="72" spans="1:4" ht="14.4" thickBot="1" x14ac:dyDescent="0.35">
      <c r="A72" s="884"/>
      <c r="B72" s="884"/>
      <c r="C72" s="884"/>
      <c r="D72" s="884"/>
    </row>
    <row r="73" spans="1:4" x14ac:dyDescent="0.3">
      <c r="A73" s="9"/>
    </row>
    <row r="74" spans="1:4" x14ac:dyDescent="0.3">
      <c r="A74" s="9"/>
    </row>
    <row r="75" spans="1:4" x14ac:dyDescent="0.3">
      <c r="A75" s="9"/>
    </row>
    <row r="76" spans="1:4" x14ac:dyDescent="0.3">
      <c r="A76" s="9"/>
    </row>
  </sheetData>
  <mergeCells count="63">
    <mergeCell ref="A71:A72"/>
    <mergeCell ref="B71:B72"/>
    <mergeCell ref="C71:C72"/>
    <mergeCell ref="D71:D72"/>
    <mergeCell ref="A42:A43"/>
    <mergeCell ref="B42:B43"/>
    <mergeCell ref="C42:C43"/>
    <mergeCell ref="D42:D43"/>
    <mergeCell ref="A45:A46"/>
    <mergeCell ref="B45:B46"/>
    <mergeCell ref="C45:C46"/>
    <mergeCell ref="D45:D46"/>
    <mergeCell ref="A60:A61"/>
    <mergeCell ref="B60:B61"/>
    <mergeCell ref="C60:C61"/>
    <mergeCell ref="D60:D61"/>
    <mergeCell ref="A38:A39"/>
    <mergeCell ref="B38:B39"/>
    <mergeCell ref="C38:C39"/>
    <mergeCell ref="D38:D39"/>
    <mergeCell ref="A40:A41"/>
    <mergeCell ref="B40:B41"/>
    <mergeCell ref="C40:C41"/>
    <mergeCell ref="D40:D41"/>
    <mergeCell ref="A32:A33"/>
    <mergeCell ref="B32:B33"/>
    <mergeCell ref="C32:C33"/>
    <mergeCell ref="D32:D33"/>
    <mergeCell ref="A23:A24"/>
    <mergeCell ref="B23:B24"/>
    <mergeCell ref="A30:A31"/>
    <mergeCell ref="B30:B31"/>
    <mergeCell ref="C30:C31"/>
    <mergeCell ref="D30:D31"/>
    <mergeCell ref="C23:C24"/>
    <mergeCell ref="D23:D24"/>
    <mergeCell ref="A26:A27"/>
    <mergeCell ref="B26:B27"/>
    <mergeCell ref="C26:C27"/>
    <mergeCell ref="A34:A35"/>
    <mergeCell ref="B34:B35"/>
    <mergeCell ref="C34:C35"/>
    <mergeCell ref="D34:D35"/>
    <mergeCell ref="A36:A37"/>
    <mergeCell ref="B36:B37"/>
    <mergeCell ref="C36:C37"/>
    <mergeCell ref="D36:D37"/>
    <mergeCell ref="A62:A63"/>
    <mergeCell ref="B62:B63"/>
    <mergeCell ref="C62:C63"/>
    <mergeCell ref="D62:D63"/>
    <mergeCell ref="A64:A65"/>
    <mergeCell ref="B64:B65"/>
    <mergeCell ref="C64:C65"/>
    <mergeCell ref="D64:D65"/>
    <mergeCell ref="A66:A67"/>
    <mergeCell ref="B66:B67"/>
    <mergeCell ref="C66:C67"/>
    <mergeCell ref="D66:D67"/>
    <mergeCell ref="A68:A69"/>
    <mergeCell ref="B68:B69"/>
    <mergeCell ref="C68:C69"/>
    <mergeCell ref="D68:D6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200"/>
  <sheetViews>
    <sheetView zoomScaleNormal="100" workbookViewId="0"/>
  </sheetViews>
  <sheetFormatPr defaultColWidth="8.88671875" defaultRowHeight="13.8" x14ac:dyDescent="0.3"/>
  <cols>
    <col min="1" max="1" width="5.109375" style="739" customWidth="1"/>
    <col min="2" max="2" width="8.88671875" style="739" customWidth="1"/>
    <col min="3" max="16384" width="8.88671875" style="739"/>
  </cols>
  <sheetData>
    <row r="1" spans="1:1" ht="23.4" x14ac:dyDescent="0.45">
      <c r="A1" s="745" t="s">
        <v>643</v>
      </c>
    </row>
    <row r="2" spans="1:1" x14ac:dyDescent="0.3">
      <c r="A2" s="742"/>
    </row>
    <row r="3" spans="1:1" x14ac:dyDescent="0.3">
      <c r="A3" s="743" t="s">
        <v>1175</v>
      </c>
    </row>
    <row r="4" spans="1:1" x14ac:dyDescent="0.3">
      <c r="A4" s="743" t="s">
        <v>1083</v>
      </c>
    </row>
    <row r="5" spans="1:1" x14ac:dyDescent="0.3">
      <c r="A5" s="743" t="s">
        <v>1084</v>
      </c>
    </row>
    <row r="6" spans="1:1" x14ac:dyDescent="0.3">
      <c r="A6" s="743" t="s">
        <v>205</v>
      </c>
    </row>
    <row r="7" spans="1:1" x14ac:dyDescent="0.3">
      <c r="A7" s="743" t="s">
        <v>1085</v>
      </c>
    </row>
    <row r="8" spans="1:1" x14ac:dyDescent="0.3">
      <c r="A8" s="743" t="s">
        <v>1086</v>
      </c>
    </row>
    <row r="9" spans="1:1" x14ac:dyDescent="0.3">
      <c r="A9" s="741" t="s">
        <v>1144</v>
      </c>
    </row>
    <row r="10" spans="1:1" x14ac:dyDescent="0.3">
      <c r="A10" s="743" t="s">
        <v>1087</v>
      </c>
    </row>
    <row r="11" spans="1:1" x14ac:dyDescent="0.3">
      <c r="A11" s="741" t="s">
        <v>1145</v>
      </c>
    </row>
    <row r="12" spans="1:1" x14ac:dyDescent="0.3">
      <c r="A12" s="741" t="s">
        <v>1146</v>
      </c>
    </row>
    <row r="13" spans="1:1" x14ac:dyDescent="0.3">
      <c r="A13" s="743" t="s">
        <v>1088</v>
      </c>
    </row>
    <row r="14" spans="1:1" x14ac:dyDescent="0.3">
      <c r="A14" s="741" t="s">
        <v>1174</v>
      </c>
    </row>
    <row r="15" spans="1:1" x14ac:dyDescent="0.3">
      <c r="A15" s="748" t="s">
        <v>1173</v>
      </c>
    </row>
    <row r="16" spans="1:1" x14ac:dyDescent="0.3">
      <c r="A16" s="743" t="s">
        <v>1089</v>
      </c>
    </row>
    <row r="17" spans="1:1" x14ac:dyDescent="0.3">
      <c r="A17" s="743" t="s">
        <v>1090</v>
      </c>
    </row>
    <row r="18" spans="1:1" x14ac:dyDescent="0.3">
      <c r="A18" s="743" t="s">
        <v>1091</v>
      </c>
    </row>
    <row r="19" spans="1:1" x14ac:dyDescent="0.3">
      <c r="A19" s="743" t="s">
        <v>895</v>
      </c>
    </row>
    <row r="20" spans="1:1" x14ac:dyDescent="0.3">
      <c r="A20" s="743" t="s">
        <v>1092</v>
      </c>
    </row>
    <row r="21" spans="1:1" x14ac:dyDescent="0.3">
      <c r="A21" s="741" t="s">
        <v>1147</v>
      </c>
    </row>
    <row r="22" spans="1:1" x14ac:dyDescent="0.3">
      <c r="A22" s="743" t="s">
        <v>1093</v>
      </c>
    </row>
    <row r="23" spans="1:1" x14ac:dyDescent="0.3">
      <c r="A23" s="748" t="s">
        <v>1205</v>
      </c>
    </row>
    <row r="24" spans="1:1" x14ac:dyDescent="0.3">
      <c r="A24" s="748" t="s">
        <v>1345</v>
      </c>
    </row>
    <row r="25" spans="1:1" x14ac:dyDescent="0.3">
      <c r="A25" s="738" t="s">
        <v>1229</v>
      </c>
    </row>
    <row r="26" spans="1:1" x14ac:dyDescent="0.3">
      <c r="A26" s="738" t="s">
        <v>898</v>
      </c>
    </row>
    <row r="27" spans="1:1" x14ac:dyDescent="0.3">
      <c r="A27" s="743" t="s">
        <v>779</v>
      </c>
    </row>
    <row r="28" spans="1:1" x14ac:dyDescent="0.3">
      <c r="A28" s="743" t="s">
        <v>206</v>
      </c>
    </row>
    <row r="29" spans="1:1" x14ac:dyDescent="0.3">
      <c r="A29" s="743" t="s">
        <v>1041</v>
      </c>
    </row>
    <row r="30" spans="1:1" ht="15.6" x14ac:dyDescent="0.3">
      <c r="A30" s="873" t="s">
        <v>1547</v>
      </c>
    </row>
    <row r="31" spans="1:1" x14ac:dyDescent="0.3">
      <c r="A31" s="743" t="s">
        <v>1094</v>
      </c>
    </row>
    <row r="32" spans="1:1" x14ac:dyDescent="0.3">
      <c r="A32" s="743" t="s">
        <v>1095</v>
      </c>
    </row>
    <row r="33" spans="1:1" x14ac:dyDescent="0.3">
      <c r="A33" s="741" t="s">
        <v>1416</v>
      </c>
    </row>
    <row r="34" spans="1:1" x14ac:dyDescent="0.3">
      <c r="A34" s="743" t="s">
        <v>1532</v>
      </c>
    </row>
    <row r="35" spans="1:1" x14ac:dyDescent="0.3">
      <c r="A35" s="743" t="s">
        <v>1489</v>
      </c>
    </row>
    <row r="36" spans="1:1" x14ac:dyDescent="0.3">
      <c r="A36" s="741" t="s">
        <v>1415</v>
      </c>
    </row>
    <row r="37" spans="1:1" x14ac:dyDescent="0.3">
      <c r="A37" s="743" t="s">
        <v>1096</v>
      </c>
    </row>
    <row r="38" spans="1:1" x14ac:dyDescent="0.3">
      <c r="A38" s="828" t="s">
        <v>1414</v>
      </c>
    </row>
    <row r="39" spans="1:1" x14ac:dyDescent="0.3">
      <c r="A39" s="748" t="s">
        <v>1208</v>
      </c>
    </row>
    <row r="40" spans="1:1" x14ac:dyDescent="0.3">
      <c r="A40" s="743" t="s">
        <v>207</v>
      </c>
    </row>
    <row r="41" spans="1:1" x14ac:dyDescent="0.3">
      <c r="A41" s="743" t="s">
        <v>216</v>
      </c>
    </row>
    <row r="42" spans="1:1" x14ac:dyDescent="0.3">
      <c r="A42" s="743" t="s">
        <v>1129</v>
      </c>
    </row>
    <row r="43" spans="1:1" x14ac:dyDescent="0.3">
      <c r="A43" s="743" t="s">
        <v>1097</v>
      </c>
    </row>
    <row r="44" spans="1:1" x14ac:dyDescent="0.3">
      <c r="A44" s="743" t="s">
        <v>1098</v>
      </c>
    </row>
    <row r="45" spans="1:1" x14ac:dyDescent="0.3">
      <c r="A45" s="743" t="s">
        <v>1099</v>
      </c>
    </row>
    <row r="46" spans="1:1" x14ac:dyDescent="0.3">
      <c r="A46" s="743" t="s">
        <v>1100</v>
      </c>
    </row>
    <row r="47" spans="1:1" x14ac:dyDescent="0.3">
      <c r="A47" s="743" t="s">
        <v>1101</v>
      </c>
    </row>
    <row r="48" spans="1:1" x14ac:dyDescent="0.3">
      <c r="A48" s="743" t="s">
        <v>1102</v>
      </c>
    </row>
    <row r="49" spans="1:1" ht="14.4" x14ac:dyDescent="0.3">
      <c r="A49" s="750" t="s">
        <v>1207</v>
      </c>
    </row>
    <row r="50" spans="1:1" x14ac:dyDescent="0.3">
      <c r="A50" s="743" t="s">
        <v>1130</v>
      </c>
    </row>
    <row r="51" spans="1:1" x14ac:dyDescent="0.3">
      <c r="A51" s="743" t="s">
        <v>1036</v>
      </c>
    </row>
    <row r="52" spans="1:1" x14ac:dyDescent="0.3">
      <c r="A52" s="743" t="s">
        <v>1035</v>
      </c>
    </row>
    <row r="53" spans="1:1" x14ac:dyDescent="0.3">
      <c r="A53" s="743" t="s">
        <v>1034</v>
      </c>
    </row>
    <row r="54" spans="1:1" x14ac:dyDescent="0.3">
      <c r="A54" s="743" t="s">
        <v>1033</v>
      </c>
    </row>
    <row r="55" spans="1:1" x14ac:dyDescent="0.3">
      <c r="A55" s="743" t="s">
        <v>1032</v>
      </c>
    </row>
    <row r="56" spans="1:1" x14ac:dyDescent="0.3">
      <c r="A56" s="743" t="s">
        <v>1103</v>
      </c>
    </row>
    <row r="57" spans="1:1" x14ac:dyDescent="0.3">
      <c r="A57" s="743" t="s">
        <v>1104</v>
      </c>
    </row>
    <row r="58" spans="1:1" x14ac:dyDescent="0.3">
      <c r="A58" s="743" t="s">
        <v>1105</v>
      </c>
    </row>
    <row r="59" spans="1:1" x14ac:dyDescent="0.3">
      <c r="A59" s="743" t="s">
        <v>766</v>
      </c>
    </row>
    <row r="60" spans="1:1" x14ac:dyDescent="0.3">
      <c r="A60" s="743" t="s">
        <v>1069</v>
      </c>
    </row>
    <row r="61" spans="1:1" x14ac:dyDescent="0.3">
      <c r="A61" s="743" t="s">
        <v>1070</v>
      </c>
    </row>
    <row r="62" spans="1:1" x14ac:dyDescent="0.3">
      <c r="A62" s="743" t="s">
        <v>1071</v>
      </c>
    </row>
    <row r="63" spans="1:1" x14ac:dyDescent="0.3">
      <c r="A63" s="743" t="s">
        <v>1072</v>
      </c>
    </row>
    <row r="64" spans="1:1" x14ac:dyDescent="0.3">
      <c r="A64" s="743" t="s">
        <v>1073</v>
      </c>
    </row>
    <row r="65" spans="1:1" x14ac:dyDescent="0.3">
      <c r="A65" s="743" t="s">
        <v>1131</v>
      </c>
    </row>
    <row r="66" spans="1:1" x14ac:dyDescent="0.3">
      <c r="A66" s="743" t="s">
        <v>1106</v>
      </c>
    </row>
    <row r="67" spans="1:1" x14ac:dyDescent="0.3">
      <c r="A67" s="743" t="s">
        <v>208</v>
      </c>
    </row>
    <row r="68" spans="1:1" x14ac:dyDescent="0.3">
      <c r="A68" s="741" t="s">
        <v>1148</v>
      </c>
    </row>
    <row r="69" spans="1:1" x14ac:dyDescent="0.3">
      <c r="A69" s="741" t="s">
        <v>1149</v>
      </c>
    </row>
    <row r="70" spans="1:1" ht="15.6" x14ac:dyDescent="0.3">
      <c r="A70" s="873" t="s">
        <v>1548</v>
      </c>
    </row>
    <row r="71" spans="1:1" x14ac:dyDescent="0.3">
      <c r="A71" s="602" t="s">
        <v>1263</v>
      </c>
    </row>
    <row r="72" spans="1:1" x14ac:dyDescent="0.3">
      <c r="A72" s="9" t="s">
        <v>1204</v>
      </c>
    </row>
    <row r="73" spans="1:1" x14ac:dyDescent="0.3">
      <c r="A73" s="743" t="s">
        <v>1107</v>
      </c>
    </row>
    <row r="74" spans="1:1" x14ac:dyDescent="0.3">
      <c r="A74" s="743" t="s">
        <v>1009</v>
      </c>
    </row>
    <row r="75" spans="1:1" x14ac:dyDescent="0.3">
      <c r="A75" s="738" t="s">
        <v>1230</v>
      </c>
    </row>
    <row r="76" spans="1:1" x14ac:dyDescent="0.3">
      <c r="A76" s="738" t="s">
        <v>1231</v>
      </c>
    </row>
    <row r="77" spans="1:1" x14ac:dyDescent="0.3">
      <c r="A77" s="802" t="s">
        <v>1381</v>
      </c>
    </row>
    <row r="78" spans="1:1" x14ac:dyDescent="0.3">
      <c r="A78" s="743" t="s">
        <v>1038</v>
      </c>
    </row>
    <row r="79" spans="1:1" x14ac:dyDescent="0.3">
      <c r="A79" s="741" t="s">
        <v>1150</v>
      </c>
    </row>
    <row r="80" spans="1:1" x14ac:dyDescent="0.3">
      <c r="A80" s="741" t="s">
        <v>1151</v>
      </c>
    </row>
    <row r="81" spans="1:1" x14ac:dyDescent="0.3">
      <c r="A81" s="743" t="s">
        <v>1062</v>
      </c>
    </row>
    <row r="82" spans="1:1" x14ac:dyDescent="0.3">
      <c r="A82" s="743" t="s">
        <v>1108</v>
      </c>
    </row>
    <row r="83" spans="1:1" x14ac:dyDescent="0.3">
      <c r="A83" s="743" t="s">
        <v>1109</v>
      </c>
    </row>
    <row r="84" spans="1:1" x14ac:dyDescent="0.3">
      <c r="A84" s="743" t="s">
        <v>1132</v>
      </c>
    </row>
    <row r="85" spans="1:1" x14ac:dyDescent="0.3">
      <c r="A85" s="743" t="s">
        <v>1133</v>
      </c>
    </row>
    <row r="86" spans="1:1" x14ac:dyDescent="0.3">
      <c r="A86" s="743" t="s">
        <v>1134</v>
      </c>
    </row>
    <row r="87" spans="1:1" x14ac:dyDescent="0.3">
      <c r="A87" s="743" t="s">
        <v>1135</v>
      </c>
    </row>
    <row r="88" spans="1:1" x14ac:dyDescent="0.3">
      <c r="A88" s="743" t="s">
        <v>1136</v>
      </c>
    </row>
    <row r="89" spans="1:1" x14ac:dyDescent="0.3">
      <c r="A89" s="743" t="s">
        <v>1137</v>
      </c>
    </row>
    <row r="90" spans="1:1" x14ac:dyDescent="0.3">
      <c r="A90" s="743" t="s">
        <v>1141</v>
      </c>
    </row>
    <row r="91" spans="1:1" x14ac:dyDescent="0.3">
      <c r="A91" s="741" t="s">
        <v>1153</v>
      </c>
    </row>
    <row r="92" spans="1:1" x14ac:dyDescent="0.3">
      <c r="A92" s="743" t="s">
        <v>1110</v>
      </c>
    </row>
    <row r="93" spans="1:1" x14ac:dyDescent="0.3">
      <c r="A93" s="743" t="s">
        <v>1545</v>
      </c>
    </row>
    <row r="94" spans="1:1" x14ac:dyDescent="0.3">
      <c r="A94" s="743" t="s">
        <v>1546</v>
      </c>
    </row>
    <row r="95" spans="1:1" x14ac:dyDescent="0.3">
      <c r="A95" s="743" t="s">
        <v>1543</v>
      </c>
    </row>
    <row r="96" spans="1:1" x14ac:dyDescent="0.3">
      <c r="A96" s="743" t="s">
        <v>1544</v>
      </c>
    </row>
    <row r="97" spans="1:1" x14ac:dyDescent="0.3">
      <c r="A97" s="741" t="s">
        <v>1176</v>
      </c>
    </row>
    <row r="98" spans="1:1" x14ac:dyDescent="0.3">
      <c r="A98" s="741" t="s">
        <v>1152</v>
      </c>
    </row>
    <row r="99" spans="1:1" x14ac:dyDescent="0.3">
      <c r="A99" s="743" t="s">
        <v>959</v>
      </c>
    </row>
    <row r="100" spans="1:1" x14ac:dyDescent="0.3">
      <c r="A100" s="741" t="s">
        <v>1177</v>
      </c>
    </row>
    <row r="101" spans="1:1" x14ac:dyDescent="0.3">
      <c r="A101" s="743" t="s">
        <v>1111</v>
      </c>
    </row>
    <row r="102" spans="1:1" x14ac:dyDescent="0.3">
      <c r="A102" s="743" t="s">
        <v>735</v>
      </c>
    </row>
    <row r="103" spans="1:1" x14ac:dyDescent="0.3">
      <c r="A103" s="738" t="s">
        <v>1232</v>
      </c>
    </row>
    <row r="104" spans="1:1" x14ac:dyDescent="0.3">
      <c r="A104" s="743" t="s">
        <v>736</v>
      </c>
    </row>
    <row r="105" spans="1:1" x14ac:dyDescent="0.3">
      <c r="A105" s="738" t="s">
        <v>1233</v>
      </c>
    </row>
    <row r="106" spans="1:1" x14ac:dyDescent="0.3">
      <c r="A106" s="743" t="s">
        <v>1112</v>
      </c>
    </row>
    <row r="107" spans="1:1" x14ac:dyDescent="0.3">
      <c r="A107" s="743" t="s">
        <v>209</v>
      </c>
    </row>
    <row r="108" spans="1:1" x14ac:dyDescent="0.3">
      <c r="A108" s="743" t="s">
        <v>1113</v>
      </c>
    </row>
    <row r="109" spans="1:1" x14ac:dyDescent="0.3">
      <c r="A109" s="743" t="s">
        <v>1114</v>
      </c>
    </row>
    <row r="110" spans="1:1" x14ac:dyDescent="0.3">
      <c r="A110" s="741" t="s">
        <v>1154</v>
      </c>
    </row>
    <row r="111" spans="1:1" x14ac:dyDescent="0.3">
      <c r="A111" s="743" t="s">
        <v>1178</v>
      </c>
    </row>
    <row r="112" spans="1:1" x14ac:dyDescent="0.3">
      <c r="A112" s="740" t="s">
        <v>1234</v>
      </c>
    </row>
    <row r="113" spans="1:1" x14ac:dyDescent="0.3">
      <c r="A113" s="741" t="s">
        <v>1160</v>
      </c>
    </row>
    <row r="114" spans="1:1" x14ac:dyDescent="0.3">
      <c r="A114" s="743" t="s">
        <v>1115</v>
      </c>
    </row>
    <row r="115" spans="1:1" x14ac:dyDescent="0.3">
      <c r="A115" s="743" t="s">
        <v>1116</v>
      </c>
    </row>
    <row r="116" spans="1:1" x14ac:dyDescent="0.3">
      <c r="A116" s="743" t="s">
        <v>1117</v>
      </c>
    </row>
    <row r="117" spans="1:1" x14ac:dyDescent="0.3">
      <c r="A117" s="743" t="s">
        <v>1118</v>
      </c>
    </row>
    <row r="118" spans="1:1" x14ac:dyDescent="0.3">
      <c r="A118" s="741" t="s">
        <v>1159</v>
      </c>
    </row>
    <row r="119" spans="1:1" ht="15.6" x14ac:dyDescent="0.3">
      <c r="A119" s="873" t="s">
        <v>1549</v>
      </c>
    </row>
    <row r="120" spans="1:1" x14ac:dyDescent="0.3">
      <c r="A120" s="743" t="s">
        <v>1119</v>
      </c>
    </row>
    <row r="121" spans="1:1" x14ac:dyDescent="0.3">
      <c r="A121" s="743" t="s">
        <v>1138</v>
      </c>
    </row>
    <row r="122" spans="1:1" x14ac:dyDescent="0.3">
      <c r="A122" s="743" t="s">
        <v>867</v>
      </c>
    </row>
    <row r="123" spans="1:1" x14ac:dyDescent="0.3">
      <c r="A123" s="741" t="s">
        <v>1155</v>
      </c>
    </row>
    <row r="124" spans="1:1" x14ac:dyDescent="0.3">
      <c r="A124" s="741" t="s">
        <v>1156</v>
      </c>
    </row>
    <row r="125" spans="1:1" x14ac:dyDescent="0.3">
      <c r="A125" s="741" t="s">
        <v>1158</v>
      </c>
    </row>
    <row r="126" spans="1:1" x14ac:dyDescent="0.3">
      <c r="A126" s="743" t="s">
        <v>1053</v>
      </c>
    </row>
    <row r="127" spans="1:1" x14ac:dyDescent="0.3">
      <c r="A127" s="741" t="s">
        <v>1157</v>
      </c>
    </row>
    <row r="128" spans="1:1" x14ac:dyDescent="0.3">
      <c r="A128" s="743" t="s">
        <v>938</v>
      </c>
    </row>
    <row r="129" spans="1:1" x14ac:dyDescent="0.3">
      <c r="A129" s="743" t="s">
        <v>937</v>
      </c>
    </row>
    <row r="130" spans="1:1" x14ac:dyDescent="0.3">
      <c r="A130" s="743" t="s">
        <v>1052</v>
      </c>
    </row>
    <row r="131" spans="1:1" x14ac:dyDescent="0.3">
      <c r="A131" s="743" t="s">
        <v>1139</v>
      </c>
    </row>
    <row r="132" spans="1:1" x14ac:dyDescent="0.3">
      <c r="A132" s="743" t="s">
        <v>1140</v>
      </c>
    </row>
    <row r="133" spans="1:1" x14ac:dyDescent="0.3">
      <c r="A133" s="743" t="s">
        <v>1051</v>
      </c>
    </row>
    <row r="134" spans="1:1" x14ac:dyDescent="0.3">
      <c r="A134" s="743" t="s">
        <v>1050</v>
      </c>
    </row>
    <row r="135" spans="1:1" x14ac:dyDescent="0.3">
      <c r="A135" s="743" t="s">
        <v>1049</v>
      </c>
    </row>
    <row r="136" spans="1:1" x14ac:dyDescent="0.3">
      <c r="A136" s="741" t="s">
        <v>1161</v>
      </c>
    </row>
    <row r="137" spans="1:1" x14ac:dyDescent="0.3">
      <c r="A137" s="741" t="s">
        <v>1418</v>
      </c>
    </row>
    <row r="138" spans="1:1" x14ac:dyDescent="0.3">
      <c r="A138" s="741" t="s">
        <v>1419</v>
      </c>
    </row>
    <row r="139" spans="1:1" x14ac:dyDescent="0.3">
      <c r="A139" s="741" t="s">
        <v>1162</v>
      </c>
    </row>
    <row r="140" spans="1:1" x14ac:dyDescent="0.3">
      <c r="A140" s="741" t="s">
        <v>1420</v>
      </c>
    </row>
    <row r="141" spans="1:1" x14ac:dyDescent="0.3">
      <c r="A141" s="743" t="s">
        <v>210</v>
      </c>
    </row>
    <row r="142" spans="1:1" x14ac:dyDescent="0.3">
      <c r="A142" s="741" t="s">
        <v>1163</v>
      </c>
    </row>
    <row r="143" spans="1:1" x14ac:dyDescent="0.3">
      <c r="A143" s="743" t="s">
        <v>768</v>
      </c>
    </row>
    <row r="144" spans="1:1" x14ac:dyDescent="0.3">
      <c r="A144" s="802" t="s">
        <v>1382</v>
      </c>
    </row>
    <row r="145" spans="1:1" x14ac:dyDescent="0.3">
      <c r="A145" s="743" t="s">
        <v>787</v>
      </c>
    </row>
    <row r="146" spans="1:1" x14ac:dyDescent="0.3">
      <c r="A146" s="741" t="s">
        <v>1165</v>
      </c>
    </row>
    <row r="147" spans="1:1" x14ac:dyDescent="0.3">
      <c r="A147" s="743" t="s">
        <v>1192</v>
      </c>
    </row>
    <row r="148" spans="1:1" x14ac:dyDescent="0.3">
      <c r="A148" s="9" t="s">
        <v>1191</v>
      </c>
    </row>
    <row r="149" spans="1:1" x14ac:dyDescent="0.3">
      <c r="A149" s="741" t="s">
        <v>1164</v>
      </c>
    </row>
    <row r="150" spans="1:1" x14ac:dyDescent="0.3">
      <c r="A150" s="743" t="s">
        <v>1120</v>
      </c>
    </row>
    <row r="151" spans="1:1" ht="15.6" x14ac:dyDescent="0.3">
      <c r="A151" s="873" t="s">
        <v>1550</v>
      </c>
    </row>
    <row r="152" spans="1:1" x14ac:dyDescent="0.3">
      <c r="A152" s="743" t="s">
        <v>738</v>
      </c>
    </row>
    <row r="153" spans="1:1" x14ac:dyDescent="0.3">
      <c r="A153" s="743" t="s">
        <v>1142</v>
      </c>
    </row>
    <row r="154" spans="1:1" x14ac:dyDescent="0.3">
      <c r="A154" s="743" t="s">
        <v>211</v>
      </c>
    </row>
    <row r="155" spans="1:1" x14ac:dyDescent="0.3">
      <c r="A155" s="743" t="s">
        <v>213</v>
      </c>
    </row>
    <row r="156" spans="1:1" x14ac:dyDescent="0.3">
      <c r="A156" s="743" t="s">
        <v>212</v>
      </c>
    </row>
    <row r="157" spans="1:1" x14ac:dyDescent="0.3">
      <c r="A157" s="741" t="s">
        <v>1166</v>
      </c>
    </row>
    <row r="158" spans="1:1" x14ac:dyDescent="0.3">
      <c r="A158" s="743" t="s">
        <v>777</v>
      </c>
    </row>
    <row r="159" spans="1:1" x14ac:dyDescent="0.3">
      <c r="A159" s="748" t="s">
        <v>1203</v>
      </c>
    </row>
    <row r="160" spans="1:1" x14ac:dyDescent="0.3">
      <c r="A160" s="743" t="s">
        <v>1121</v>
      </c>
    </row>
    <row r="161" spans="1:2" x14ac:dyDescent="0.3">
      <c r="A161" s="743" t="s">
        <v>214</v>
      </c>
    </row>
    <row r="162" spans="1:2" x14ac:dyDescent="0.3">
      <c r="A162" s="743" t="s">
        <v>912</v>
      </c>
    </row>
    <row r="163" spans="1:2" x14ac:dyDescent="0.3">
      <c r="A163" s="743" t="s">
        <v>911</v>
      </c>
    </row>
    <row r="164" spans="1:2" x14ac:dyDescent="0.3">
      <c r="A164" s="743" t="s">
        <v>910</v>
      </c>
    </row>
    <row r="165" spans="1:2" x14ac:dyDescent="0.3">
      <c r="A165" s="743" t="s">
        <v>909</v>
      </c>
    </row>
    <row r="166" spans="1:2" x14ac:dyDescent="0.3">
      <c r="A166" s="743" t="s">
        <v>908</v>
      </c>
    </row>
    <row r="167" spans="1:2" x14ac:dyDescent="0.3">
      <c r="A167" s="743" t="s">
        <v>215</v>
      </c>
    </row>
    <row r="168" spans="1:2" x14ac:dyDescent="0.3">
      <c r="A168" s="743"/>
      <c r="B168" s="739" t="s">
        <v>1238</v>
      </c>
    </row>
    <row r="169" spans="1:2" x14ac:dyDescent="0.3">
      <c r="A169" s="743" t="s">
        <v>1122</v>
      </c>
    </row>
    <row r="170" spans="1:2" x14ac:dyDescent="0.3">
      <c r="A170" s="738" t="s">
        <v>1235</v>
      </c>
    </row>
    <row r="171" spans="1:2" x14ac:dyDescent="0.3">
      <c r="A171" s="743" t="s">
        <v>1143</v>
      </c>
    </row>
    <row r="172" spans="1:2" x14ac:dyDescent="0.3">
      <c r="A172" s="743" t="s">
        <v>765</v>
      </c>
    </row>
    <row r="173" spans="1:2" x14ac:dyDescent="0.3">
      <c r="A173" s="743"/>
    </row>
    <row r="174" spans="1:2" ht="18" x14ac:dyDescent="0.35">
      <c r="A174" s="747" t="s">
        <v>737</v>
      </c>
    </row>
    <row r="175" spans="1:2" x14ac:dyDescent="0.3">
      <c r="A175" s="739" t="s">
        <v>1169</v>
      </c>
    </row>
    <row r="176" spans="1:2" x14ac:dyDescent="0.3">
      <c r="A176" s="741" t="s">
        <v>1168</v>
      </c>
    </row>
    <row r="177" spans="1:2" x14ac:dyDescent="0.3">
      <c r="A177" s="741" t="s">
        <v>1551</v>
      </c>
    </row>
    <row r="178" spans="1:2" x14ac:dyDescent="0.3">
      <c r="A178" s="741" t="s">
        <v>1481</v>
      </c>
    </row>
    <row r="179" spans="1:2" x14ac:dyDescent="0.3">
      <c r="A179" s="741" t="s">
        <v>1167</v>
      </c>
    </row>
    <row r="180" spans="1:2" x14ac:dyDescent="0.3">
      <c r="A180" s="743" t="s">
        <v>1123</v>
      </c>
    </row>
    <row r="181" spans="1:2" x14ac:dyDescent="0.3">
      <c r="A181" s="743" t="s">
        <v>1487</v>
      </c>
    </row>
    <row r="182" spans="1:2" x14ac:dyDescent="0.3">
      <c r="A182" s="741" t="s">
        <v>1170</v>
      </c>
    </row>
    <row r="183" spans="1:2" x14ac:dyDescent="0.3">
      <c r="A183" s="741" t="s">
        <v>1482</v>
      </c>
    </row>
    <row r="184" spans="1:2" x14ac:dyDescent="0.3">
      <c r="A184" s="739" t="s">
        <v>1171</v>
      </c>
    </row>
    <row r="185" spans="1:2" x14ac:dyDescent="0.3">
      <c r="A185" s="739" t="s">
        <v>1486</v>
      </c>
    </row>
    <row r="186" spans="1:2" x14ac:dyDescent="0.3">
      <c r="A186" s="743" t="s">
        <v>1124</v>
      </c>
    </row>
    <row r="187" spans="1:2" x14ac:dyDescent="0.3">
      <c r="A187" s="743" t="s">
        <v>1125</v>
      </c>
    </row>
    <row r="188" spans="1:2" x14ac:dyDescent="0.3">
      <c r="A188" s="743" t="s">
        <v>1126</v>
      </c>
    </row>
    <row r="189" spans="1:2" x14ac:dyDescent="0.3">
      <c r="A189" s="743" t="s">
        <v>1127</v>
      </c>
    </row>
    <row r="190" spans="1:2" x14ac:dyDescent="0.3">
      <c r="B190" s="158" t="s">
        <v>1423</v>
      </c>
    </row>
    <row r="191" spans="1:2" x14ac:dyDescent="0.3">
      <c r="A191" s="739" t="s">
        <v>1427</v>
      </c>
      <c r="B191" s="158"/>
    </row>
    <row r="192" spans="1:2" x14ac:dyDescent="0.3">
      <c r="A192" s="744" t="s">
        <v>1483</v>
      </c>
    </row>
    <row r="193" spans="1:1" x14ac:dyDescent="0.3">
      <c r="A193" s="743" t="s">
        <v>1485</v>
      </c>
    </row>
    <row r="194" spans="1:1" x14ac:dyDescent="0.3">
      <c r="A194" s="743" t="s">
        <v>1128</v>
      </c>
    </row>
    <row r="195" spans="1:1" x14ac:dyDescent="0.3">
      <c r="A195" s="739" t="s">
        <v>1484</v>
      </c>
    </row>
    <row r="197" spans="1:1" x14ac:dyDescent="0.3">
      <c r="A197" s="741"/>
    </row>
    <row r="198" spans="1:1" x14ac:dyDescent="0.3">
      <c r="A198" s="746"/>
    </row>
    <row r="199" spans="1:1" x14ac:dyDescent="0.3">
      <c r="A199" s="741"/>
    </row>
    <row r="200" spans="1:1" x14ac:dyDescent="0.3">
      <c r="A200" s="741"/>
    </row>
  </sheetData>
  <hyperlinks>
    <hyperlink ref="A103" r:id="rId1" display="http://www/"/>
    <hyperlink ref="A49" r:id="rId2" display="http://www.gouldings.ie/ni/grass-growth/research-on-grazing/grass-intake-of-dairy-cows/"/>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
  <sheetViews>
    <sheetView zoomScale="80" zoomScaleNormal="80" workbookViewId="0"/>
  </sheetViews>
  <sheetFormatPr defaultRowHeight="14.4" x14ac:dyDescent="0.3"/>
  <cols>
    <col min="1" max="1" width="29.6640625" customWidth="1"/>
    <col min="2" max="2" width="19.109375" bestFit="1" customWidth="1"/>
    <col min="3" max="3" width="19" bestFit="1" customWidth="1"/>
    <col min="4" max="4" width="21.6640625" customWidth="1"/>
    <col min="5" max="7" width="30.6640625" bestFit="1" customWidth="1"/>
    <col min="8" max="8" width="25.5546875" style="1" customWidth="1"/>
  </cols>
  <sheetData>
    <row r="1" spans="1:8" ht="18" x14ac:dyDescent="0.35">
      <c r="A1" s="434" t="s">
        <v>644</v>
      </c>
      <c r="B1" s="288" t="s">
        <v>542</v>
      </c>
      <c r="C1" s="289" t="s">
        <v>1013</v>
      </c>
      <c r="D1" s="288" t="s">
        <v>140</v>
      </c>
      <c r="E1" s="289" t="s">
        <v>648</v>
      </c>
      <c r="F1" s="754" t="s">
        <v>649</v>
      </c>
      <c r="G1" s="754" t="s">
        <v>652</v>
      </c>
      <c r="H1" s="289" t="s">
        <v>534</v>
      </c>
    </row>
    <row r="2" spans="1:8" x14ac:dyDescent="0.3">
      <c r="A2" s="467" t="s">
        <v>643</v>
      </c>
      <c r="B2" s="436" t="s">
        <v>456</v>
      </c>
      <c r="C2" s="443" t="s">
        <v>1012</v>
      </c>
      <c r="D2" s="436" t="s">
        <v>457</v>
      </c>
      <c r="E2" s="437" t="s">
        <v>660</v>
      </c>
      <c r="F2" s="443" t="s">
        <v>661</v>
      </c>
      <c r="G2" s="444" t="s">
        <v>662</v>
      </c>
      <c r="H2" s="437" t="s">
        <v>629</v>
      </c>
    </row>
    <row r="3" spans="1:8" x14ac:dyDescent="0.3">
      <c r="A3" s="435" t="s">
        <v>638</v>
      </c>
      <c r="B3" s="436" t="s">
        <v>541</v>
      </c>
      <c r="C3" s="436" t="s">
        <v>541</v>
      </c>
      <c r="D3" s="436" t="s">
        <v>541</v>
      </c>
      <c r="E3" s="436" t="s">
        <v>541</v>
      </c>
      <c r="F3" s="436" t="s">
        <v>541</v>
      </c>
      <c r="G3" s="436" t="s">
        <v>541</v>
      </c>
      <c r="H3" s="436" t="s">
        <v>541</v>
      </c>
    </row>
    <row r="4" spans="1:8" x14ac:dyDescent="0.3">
      <c r="A4" s="755" t="s">
        <v>1228</v>
      </c>
      <c r="B4" s="81" t="s">
        <v>478</v>
      </c>
      <c r="C4" s="81" t="s">
        <v>478</v>
      </c>
      <c r="D4" s="81" t="s">
        <v>478</v>
      </c>
      <c r="E4" s="81" t="s">
        <v>478</v>
      </c>
      <c r="F4" s="81" t="s">
        <v>478</v>
      </c>
      <c r="G4" s="81" t="s">
        <v>478</v>
      </c>
      <c r="H4" s="65" t="s">
        <v>478</v>
      </c>
    </row>
    <row r="5" spans="1:8" x14ac:dyDescent="0.3">
      <c r="A5" s="467" t="s">
        <v>1262</v>
      </c>
      <c r="B5" s="467" t="s">
        <v>154</v>
      </c>
      <c r="C5" s="467" t="s">
        <v>726</v>
      </c>
      <c r="D5" s="443" t="s">
        <v>699</v>
      </c>
      <c r="E5" s="468" t="s">
        <v>702</v>
      </c>
      <c r="F5" s="469" t="s">
        <v>37</v>
      </c>
      <c r="G5" s="469" t="s">
        <v>86</v>
      </c>
      <c r="H5" s="444" t="s">
        <v>119</v>
      </c>
    </row>
    <row r="6" spans="1:8" x14ac:dyDescent="0.3">
      <c r="B6" s="467" t="s">
        <v>553</v>
      </c>
      <c r="C6" s="467" t="s">
        <v>469</v>
      </c>
      <c r="D6" s="444" t="s">
        <v>6</v>
      </c>
      <c r="E6" s="469" t="s">
        <v>701</v>
      </c>
      <c r="F6" s="469" t="s">
        <v>38</v>
      </c>
      <c r="G6" s="469" t="s">
        <v>663</v>
      </c>
      <c r="H6" s="444" t="s">
        <v>117</v>
      </c>
    </row>
    <row r="7" spans="1:8" x14ac:dyDescent="0.3">
      <c r="B7" s="467" t="s">
        <v>155</v>
      </c>
      <c r="C7" s="467" t="s">
        <v>27</v>
      </c>
      <c r="D7" s="444" t="s">
        <v>143</v>
      </c>
      <c r="E7" s="469" t="s">
        <v>62</v>
      </c>
      <c r="F7" s="469" t="s">
        <v>39</v>
      </c>
      <c r="G7" s="469" t="s">
        <v>91</v>
      </c>
      <c r="H7" s="444" t="s">
        <v>479</v>
      </c>
    </row>
    <row r="8" spans="1:8" x14ac:dyDescent="0.3">
      <c r="B8" s="467" t="s">
        <v>153</v>
      </c>
      <c r="C8" s="467" t="s">
        <v>689</v>
      </c>
      <c r="D8" s="444" t="s">
        <v>144</v>
      </c>
      <c r="E8" s="469" t="s">
        <v>700</v>
      </c>
      <c r="F8" s="469" t="s">
        <v>73</v>
      </c>
      <c r="G8" s="469" t="s">
        <v>87</v>
      </c>
      <c r="H8" s="444" t="s">
        <v>156</v>
      </c>
    </row>
    <row r="9" spans="1:8" x14ac:dyDescent="0.3">
      <c r="C9" s="467" t="s">
        <v>28</v>
      </c>
      <c r="D9" s="444" t="s">
        <v>145</v>
      </c>
      <c r="E9" s="469" t="s">
        <v>65</v>
      </c>
      <c r="F9" s="469" t="s">
        <v>68</v>
      </c>
      <c r="G9" s="469" t="s">
        <v>98</v>
      </c>
      <c r="H9" s="444" t="s">
        <v>116</v>
      </c>
    </row>
    <row r="10" spans="1:8" x14ac:dyDescent="0.3">
      <c r="C10" s="467" t="s">
        <v>161</v>
      </c>
      <c r="D10" s="444" t="s">
        <v>146</v>
      </c>
      <c r="E10" s="469" t="s">
        <v>20</v>
      </c>
      <c r="F10" s="469" t="s">
        <v>77</v>
      </c>
      <c r="G10" s="469" t="s">
        <v>94</v>
      </c>
      <c r="H10" s="444" t="s">
        <v>118</v>
      </c>
    </row>
    <row r="11" spans="1:8" x14ac:dyDescent="0.3">
      <c r="C11" s="467" t="s">
        <v>162</v>
      </c>
      <c r="D11" s="444" t="s">
        <v>147</v>
      </c>
      <c r="E11" s="469" t="s">
        <v>485</v>
      </c>
      <c r="F11" s="469" t="s">
        <v>78</v>
      </c>
      <c r="G11" s="469" t="s">
        <v>97</v>
      </c>
      <c r="H11" s="444" t="s">
        <v>114</v>
      </c>
    </row>
    <row r="12" spans="1:8" x14ac:dyDescent="0.3">
      <c r="C12" s="467" t="s">
        <v>163</v>
      </c>
      <c r="D12" s="444" t="s">
        <v>148</v>
      </c>
      <c r="E12" s="470" t="s">
        <v>540</v>
      </c>
      <c r="F12" s="469" t="s">
        <v>80</v>
      </c>
      <c r="G12" s="469" t="s">
        <v>253</v>
      </c>
      <c r="H12" s="444" t="s">
        <v>115</v>
      </c>
    </row>
    <row r="13" spans="1:8" x14ac:dyDescent="0.3">
      <c r="C13" s="467" t="s">
        <v>470</v>
      </c>
      <c r="D13" s="444" t="s">
        <v>149</v>
      </c>
      <c r="E13" s="469" t="s">
        <v>632</v>
      </c>
      <c r="F13" s="469" t="s">
        <v>85</v>
      </c>
      <c r="G13" s="469" t="s">
        <v>95</v>
      </c>
      <c r="H13" s="444" t="s">
        <v>120</v>
      </c>
    </row>
    <row r="14" spans="1:8" x14ac:dyDescent="0.3">
      <c r="C14" s="286"/>
      <c r="D14" s="444" t="s">
        <v>1462</v>
      </c>
      <c r="F14" s="469" t="s">
        <v>81</v>
      </c>
      <c r="G14" s="469" t="s">
        <v>96</v>
      </c>
      <c r="H14" s="444" t="s">
        <v>112</v>
      </c>
    </row>
    <row r="15" spans="1:8" x14ac:dyDescent="0.3">
      <c r="C15" s="286"/>
      <c r="D15" s="444" t="s">
        <v>151</v>
      </c>
      <c r="F15" s="469" t="s">
        <v>83</v>
      </c>
      <c r="G15" s="470" t="s">
        <v>864</v>
      </c>
      <c r="H15" s="444" t="s">
        <v>458</v>
      </c>
    </row>
    <row r="16" spans="1:8" x14ac:dyDescent="0.3">
      <c r="C16" s="286"/>
      <c r="D16" s="444" t="s">
        <v>150</v>
      </c>
      <c r="F16" s="469" t="s">
        <v>75</v>
      </c>
      <c r="G16" s="469" t="s">
        <v>99</v>
      </c>
      <c r="H16" s="444" t="s">
        <v>513</v>
      </c>
    </row>
    <row r="17" spans="2:8" x14ac:dyDescent="0.3">
      <c r="C17" s="37"/>
      <c r="D17" s="444" t="s">
        <v>0</v>
      </c>
      <c r="F17" s="469" t="s">
        <v>76</v>
      </c>
      <c r="H17" s="444" t="s">
        <v>121</v>
      </c>
    </row>
    <row r="18" spans="2:8" x14ac:dyDescent="0.3">
      <c r="B18" s="286"/>
      <c r="C18" s="403"/>
      <c r="H18" s="444" t="s">
        <v>519</v>
      </c>
    </row>
    <row r="19" spans="2:8" x14ac:dyDescent="0.3">
      <c r="B19" s="286"/>
      <c r="C19" s="403"/>
      <c r="E19" s="37"/>
      <c r="F19" s="37"/>
      <c r="G19" s="37"/>
      <c r="H19" s="444" t="s">
        <v>1439</v>
      </c>
    </row>
    <row r="20" spans="2:8" x14ac:dyDescent="0.3">
      <c r="B20" s="286"/>
      <c r="C20" s="403"/>
      <c r="D20" s="286"/>
      <c r="E20" s="37"/>
      <c r="F20" s="235"/>
      <c r="G20" s="37"/>
      <c r="H20" s="444" t="s">
        <v>698</v>
      </c>
    </row>
    <row r="21" spans="2:8" x14ac:dyDescent="0.3">
      <c r="B21" s="286"/>
      <c r="C21" s="403"/>
      <c r="E21" s="37"/>
      <c r="F21" s="37"/>
      <c r="G21" s="37"/>
      <c r="H21" s="444" t="s">
        <v>651</v>
      </c>
    </row>
    <row r="22" spans="2:8" ht="28.8" x14ac:dyDescent="0.3">
      <c r="B22" s="286"/>
      <c r="C22" s="403"/>
      <c r="D22" s="286"/>
      <c r="E22" s="37"/>
      <c r="F22" s="37"/>
      <c r="G22" s="37"/>
      <c r="H22" s="471" t="s">
        <v>650</v>
      </c>
    </row>
    <row r="23" spans="2:8" x14ac:dyDescent="0.3">
      <c r="B23" s="286"/>
      <c r="C23" s="403"/>
      <c r="D23" s="286"/>
      <c r="E23" s="37"/>
      <c r="F23" s="37"/>
      <c r="G23" s="37"/>
      <c r="H23" s="469" t="s">
        <v>123</v>
      </c>
    </row>
    <row r="24" spans="2:8" x14ac:dyDescent="0.3">
      <c r="B24" s="286"/>
      <c r="C24" s="37"/>
      <c r="E24" s="37"/>
      <c r="F24" s="37"/>
      <c r="G24" s="37"/>
      <c r="H24" s="471" t="s">
        <v>160</v>
      </c>
    </row>
    <row r="25" spans="2:8" x14ac:dyDescent="0.3">
      <c r="B25" s="286"/>
      <c r="C25" s="37"/>
      <c r="E25" s="37"/>
      <c r="F25" s="37"/>
      <c r="G25" s="37"/>
      <c r="H25" s="471" t="s">
        <v>522</v>
      </c>
    </row>
    <row r="26" spans="2:8" x14ac:dyDescent="0.3">
      <c r="B26" s="286"/>
      <c r="C26" s="287"/>
      <c r="D26" s="286"/>
      <c r="E26" s="37"/>
      <c r="F26" s="37"/>
      <c r="G26" s="37"/>
    </row>
    <row r="27" spans="2:8" x14ac:dyDescent="0.3">
      <c r="B27" s="286"/>
      <c r="C27" s="37"/>
      <c r="D27" s="286"/>
      <c r="E27" s="37"/>
      <c r="F27" s="37"/>
      <c r="G27" s="37"/>
    </row>
    <row r="28" spans="2:8" x14ac:dyDescent="0.3">
      <c r="B28" s="286"/>
      <c r="C28" s="37"/>
      <c r="E28" s="37"/>
      <c r="F28" s="37"/>
      <c r="G28" s="37"/>
    </row>
    <row r="29" spans="2:8" x14ac:dyDescent="0.3">
      <c r="B29" s="286"/>
      <c r="C29" s="37"/>
      <c r="E29" s="37"/>
      <c r="F29" s="37"/>
      <c r="G29" s="37"/>
      <c r="H29" s="251"/>
    </row>
    <row r="30" spans="2:8" x14ac:dyDescent="0.3">
      <c r="B30" s="286"/>
      <c r="D30" s="37"/>
      <c r="E30" s="37"/>
      <c r="F30" s="37"/>
      <c r="G30" s="37"/>
      <c r="H30" s="251"/>
    </row>
    <row r="31" spans="2:8" x14ac:dyDescent="0.3">
      <c r="B31" s="286"/>
      <c r="D31" s="37"/>
      <c r="E31" s="37"/>
      <c r="F31" s="287"/>
      <c r="G31" s="37"/>
      <c r="H31" s="251"/>
    </row>
    <row r="32" spans="2:8" x14ac:dyDescent="0.3">
      <c r="B32" s="286"/>
      <c r="C32" s="286"/>
      <c r="D32" s="37"/>
      <c r="E32" s="235"/>
      <c r="F32" s="37"/>
      <c r="H32" s="251"/>
    </row>
    <row r="33" spans="1:8" x14ac:dyDescent="0.3">
      <c r="A33" s="305"/>
      <c r="B33" s="305"/>
      <c r="C33" s="305"/>
      <c r="D33" s="286"/>
      <c r="E33" s="37"/>
      <c r="H33" s="251"/>
    </row>
    <row r="34" spans="1:8" x14ac:dyDescent="0.3">
      <c r="B34" s="251"/>
      <c r="C34" s="287"/>
      <c r="D34" s="286"/>
      <c r="E34" s="37"/>
      <c r="H34" s="251"/>
    </row>
    <row r="35" spans="1:8" x14ac:dyDescent="0.3">
      <c r="B35" s="251"/>
      <c r="C35" s="287"/>
      <c r="D35" s="286"/>
      <c r="E35" s="37"/>
      <c r="H35" s="251"/>
    </row>
    <row r="36" spans="1:8" x14ac:dyDescent="0.3">
      <c r="B36" s="251"/>
      <c r="C36" s="287"/>
      <c r="D36" s="286"/>
      <c r="E36" s="37"/>
      <c r="H36" s="251"/>
    </row>
    <row r="37" spans="1:8" x14ac:dyDescent="0.3">
      <c r="B37" s="286"/>
      <c r="C37" s="251"/>
      <c r="D37" s="286"/>
      <c r="E37" s="37"/>
      <c r="H37" s="251"/>
    </row>
    <row r="38" spans="1:8" x14ac:dyDescent="0.3">
      <c r="E38" s="37"/>
    </row>
    <row r="39" spans="1:8" x14ac:dyDescent="0.3">
      <c r="E39" s="37"/>
    </row>
    <row r="40" spans="1:8" x14ac:dyDescent="0.3">
      <c r="E40" s="37"/>
    </row>
    <row r="41" spans="1:8" x14ac:dyDescent="0.3">
      <c r="E41" s="37"/>
    </row>
    <row r="42" spans="1:8" x14ac:dyDescent="0.3">
      <c r="E42" s="37"/>
    </row>
    <row r="43" spans="1:8" x14ac:dyDescent="0.3">
      <c r="E43" s="287"/>
    </row>
    <row r="44" spans="1:8" x14ac:dyDescent="0.3">
      <c r="E44" s="37"/>
    </row>
    <row r="51" spans="5:7" x14ac:dyDescent="0.3">
      <c r="F51" s="37"/>
    </row>
    <row r="52" spans="5:7" x14ac:dyDescent="0.3">
      <c r="F52" s="37"/>
    </row>
    <row r="53" spans="5:7" x14ac:dyDescent="0.3">
      <c r="F53" s="37"/>
    </row>
    <row r="54" spans="5:7" x14ac:dyDescent="0.3">
      <c r="F54" s="37"/>
    </row>
    <row r="55" spans="5:7" x14ac:dyDescent="0.3">
      <c r="F55" s="37"/>
    </row>
    <row r="56" spans="5:7" x14ac:dyDescent="0.3">
      <c r="F56" s="37"/>
    </row>
    <row r="57" spans="5:7" x14ac:dyDescent="0.3">
      <c r="F57" s="37"/>
    </row>
    <row r="63" spans="5:7" x14ac:dyDescent="0.3">
      <c r="E63" s="37"/>
      <c r="G63" s="37"/>
    </row>
    <row r="64" spans="5:7" x14ac:dyDescent="0.3">
      <c r="E64" s="37"/>
      <c r="G64" s="37"/>
    </row>
    <row r="65" spans="5:7" x14ac:dyDescent="0.3">
      <c r="E65" s="37"/>
      <c r="G65" s="37"/>
    </row>
    <row r="66" spans="5:7" x14ac:dyDescent="0.3">
      <c r="E66" s="37"/>
      <c r="G66" s="37"/>
    </row>
    <row r="67" spans="5:7" x14ac:dyDescent="0.3">
      <c r="E67" s="37"/>
      <c r="G67" s="37"/>
    </row>
    <row r="68" spans="5:7" x14ac:dyDescent="0.3">
      <c r="E68" s="37"/>
      <c r="G68" s="37"/>
    </row>
    <row r="69" spans="5:7" x14ac:dyDescent="0.3">
      <c r="E69" s="37"/>
      <c r="G69" s="37"/>
    </row>
    <row r="70" spans="5:7" x14ac:dyDescent="0.3">
      <c r="E70" s="37"/>
      <c r="F70" s="37"/>
      <c r="G70" s="37"/>
    </row>
    <row r="71" spans="5:7" x14ac:dyDescent="0.3">
      <c r="E71" s="37"/>
      <c r="F71" s="37"/>
      <c r="G71" s="37"/>
    </row>
    <row r="72" spans="5:7" x14ac:dyDescent="0.3">
      <c r="E72" s="37"/>
      <c r="F72" s="37"/>
      <c r="G72" s="37"/>
    </row>
    <row r="73" spans="5:7" x14ac:dyDescent="0.3">
      <c r="E73" s="37"/>
      <c r="F73" s="37"/>
      <c r="G73" s="37"/>
    </row>
    <row r="74" spans="5:7" x14ac:dyDescent="0.3">
      <c r="E74" s="37"/>
      <c r="F74" s="37"/>
      <c r="G74" s="37"/>
    </row>
    <row r="75" spans="5:7" x14ac:dyDescent="0.3">
      <c r="E75" s="37"/>
      <c r="F75" s="37"/>
      <c r="G75" s="37"/>
    </row>
    <row r="76" spans="5:7" x14ac:dyDescent="0.3">
      <c r="E76" s="37"/>
      <c r="F76" s="37"/>
      <c r="G76" s="37"/>
    </row>
    <row r="77" spans="5:7" x14ac:dyDescent="0.3">
      <c r="E77" s="37"/>
      <c r="F77" s="37"/>
      <c r="G77" s="37"/>
    </row>
    <row r="78" spans="5:7" x14ac:dyDescent="0.3">
      <c r="E78" s="37"/>
      <c r="F78" s="37"/>
      <c r="G78" s="37"/>
    </row>
    <row r="79" spans="5:7" x14ac:dyDescent="0.3">
      <c r="E79" s="37"/>
      <c r="F79" s="37"/>
      <c r="G79" s="37"/>
    </row>
    <row r="80" spans="5:7" x14ac:dyDescent="0.3">
      <c r="E80" s="37"/>
      <c r="F80" s="37"/>
      <c r="G80" s="37"/>
    </row>
    <row r="81" spans="5:7" x14ac:dyDescent="0.3">
      <c r="E81" s="37"/>
      <c r="F81" s="37"/>
      <c r="G81" s="37"/>
    </row>
  </sheetData>
  <hyperlinks>
    <hyperlink ref="B3" location="'Input data meat and eggs'!A1" display="Input data sheet "/>
    <hyperlink ref="C3" location="InputMilkAndDairy" display="Input data sheet "/>
    <hyperlink ref="D3" location="InputFishAndSeafood" display="Input data sheet "/>
    <hyperlink ref="E3" location="InputPlantBasedProducts" display="Input data sheet "/>
    <hyperlink ref="H3" location="InputProcessedProducts" display="Input data sheet "/>
    <hyperlink ref="B2" location="MeatAndEggs" display="Results meat and eggs"/>
    <hyperlink ref="E2" location="PlantBasedProducts" display="Results plant-based products"/>
    <hyperlink ref="H2" location="ProcessedProducts" display="Results processed products"/>
    <hyperlink ref="D2" location="FishAndSeafood" display="Results fish and seafood"/>
    <hyperlink ref="F3" location="InputPlantBasedProducts" display="Input data sheet "/>
    <hyperlink ref="G3" location="InputPlantBasedProducts" display="Input data sheet "/>
    <hyperlink ref="G2" location="FruitsBerriesCocoaAndCoffee" display="Results fruits, berries, cocoa and coffee"/>
    <hyperlink ref="F2" location="'Vegetables, roots, legumes'!PlantBasedProducts" display="Results vegetables, root crops and legumes"/>
    <hyperlink ref="B5" location="PorkMeat" display="Pork meat"/>
    <hyperlink ref="B6" location="ChickenMeat" display="Chicken meat"/>
    <hyperlink ref="B7" location="Eggs" display="Eggs"/>
    <hyperlink ref="D5" location="AverageFishAndSeafood" display="Average of fish and seafood"/>
    <hyperlink ref="D12" location="AlaskaPollock" display="Alaska pollock "/>
    <hyperlink ref="D7" location="Cod" display="Cod"/>
    <hyperlink ref="D6" location="Salmon" display="Salmon"/>
    <hyperlink ref="D8" location="Herring" display="Herring"/>
    <hyperlink ref="D9" location="Mackerel" display="Mackerel"/>
    <hyperlink ref="D10" location="Saithe" display="Saithe"/>
    <hyperlink ref="D11" location="NorthernPrawn" display="Northern Prawn "/>
    <hyperlink ref="D13" location="RainbowTrout" display="Rainbow trout "/>
    <hyperlink ref="D14" location="SaltedRoe" display="Salted roe"/>
    <hyperlink ref="D15" location="Pangasius" display="Pangasius "/>
    <hyperlink ref="D16" location="EuropeanPlaice" display="European plaice "/>
    <hyperlink ref="D17" location="Hoki" display="Hoki"/>
    <hyperlink ref="E5" location="GrainsAverage" display="Average grains"/>
    <hyperlink ref="E6" location="Wheat" display="Wheat"/>
    <hyperlink ref="E7" location="Rye" display="Rye"/>
    <hyperlink ref="E8" location="Barley" display="Barley"/>
    <hyperlink ref="E9" location="Oats" display="Oats"/>
    <hyperlink ref="E10" location="Rice" display="Rice"/>
    <hyperlink ref="E11" location="Rapeseed" display="Rapeseed/rapeseed oil"/>
    <hyperlink ref="E12" location="Olive" display="Olives/Olive oil"/>
    <hyperlink ref="E13" location="Sugar" display="Sugar beet/sugar"/>
    <hyperlink ref="F5" location="Tomato" display="Tomato"/>
    <hyperlink ref="F6" location="Cucumber" display="Cucumber"/>
    <hyperlink ref="F7" location="BellPepper" display="Bell pepper"/>
    <hyperlink ref="F8" location="IcebergLettuce" display="Iceberg lettuce"/>
    <hyperlink ref="F9" location="Potato" display="Potato"/>
    <hyperlink ref="F10" location="Carrot" display="Carrot"/>
    <hyperlink ref="F11" location="Onion" display="Onion"/>
    <hyperlink ref="F12" location="Leek" display="Leek"/>
    <hyperlink ref="F13" location="Broccoli" display="Broccoli"/>
    <hyperlink ref="F14" location="WhiteCabbage" display="White cabbage"/>
    <hyperlink ref="F15" location="Cauliflower" display="Cauliflower"/>
    <hyperlink ref="F16" location="Peas" display="Peas"/>
    <hyperlink ref="F17" location="Beans" display="Beans"/>
    <hyperlink ref="G5" location="Apple" display="Apple"/>
    <hyperlink ref="G6" location="Pear" display="Pear"/>
    <hyperlink ref="G7" location="Melon" display="Melon"/>
    <hyperlink ref="G8" location="Banana" display="Banana"/>
    <hyperlink ref="G9" location="Orange" display="Orange"/>
    <hyperlink ref="G10" location="Lemon" display="Lemon"/>
    <hyperlink ref="G11" location="Avocado" display="Avocado"/>
    <hyperlink ref="G12" location="Kiwifruit" display="Kiwifruit"/>
    <hyperlink ref="G13" location="Strawberry" display="Strawberry"/>
    <hyperlink ref="G14" location="Raspberry" display="Raspberry"/>
    <hyperlink ref="G15" location="Cocoa" display="Cocoa/Cocoa powder/cocoa butter"/>
    <hyperlink ref="G16" location="Coffee" display="Coffee"/>
    <hyperlink ref="H25" location="IceCream" display="Ice cream (dairy-based)"/>
    <hyperlink ref="H24" location="PotatoCrisps" display="Potato crisps"/>
    <hyperlink ref="H23" location="MilkChocolate" display="Milk chocolate"/>
    <hyperlink ref="H22" location="SquashDrink" display="Squash drink of strawberry and raspberry"/>
    <hyperlink ref="H21" location="Juice" display="Juice of orange and apple"/>
    <hyperlink ref="H20" location="MineralWater" display="Mineral water"/>
    <hyperlink ref="H19" location="Beer" display="Beer"/>
    <hyperlink ref="H18" location="Cider" display="Cider (non-alcoholic)"/>
    <hyperlink ref="H17" location="Soda" display="Soda"/>
    <hyperlink ref="H16" location="CocoaDrinkPowder" display="Cocoa drink powder"/>
    <hyperlink ref="H15" location="LowFatMargarine" display="Low fat margarine"/>
    <hyperlink ref="H14" location="Margarine" display="Margarine"/>
    <hyperlink ref="H13" location="FollowUpFormula" display="Follow-up formula"/>
    <hyperlink ref="H12" location="CrispBread" display="Crisp bread"/>
    <hyperlink ref="H11" location="WheatRyeBread" display="Wheat-rye bread"/>
    <hyperlink ref="H10" location="WheatBread" display="Wheat bread"/>
    <hyperlink ref="H9" location="Rusks" display="Rusks"/>
    <hyperlink ref="H8" location="Pastries" display="Pastry"/>
    <hyperlink ref="H7" location="Biscuits" display="Biscuits"/>
    <hyperlink ref="H6" location="Buns" display="Buns"/>
    <hyperlink ref="H5" location="Pasta" display="Pasta"/>
    <hyperlink ref="B8" location="Beef" display="Beef"/>
    <hyperlink ref="A3" location="'Common input data'!A1" display="Common input data sheet"/>
    <hyperlink ref="A4" location="'Excluded data'!A1" display="Excluded data "/>
    <hyperlink ref="C2" location="'Dairy products'!A1" display="Results dairy products"/>
    <hyperlink ref="A2" location="'Reference list'!A1" display="Reference list"/>
    <hyperlink ref="C5" location="'Dairy products'!RawMilk" display="Raw milk"/>
    <hyperlink ref="C6" location="'Dairy products'!PastMilk" display="Pasteurized milk"/>
    <hyperlink ref="C7" location="'Dairy products'!Butter" display="Butter"/>
    <hyperlink ref="C8" location="'Dairy products'!Yogurt" display="Yogurt"/>
    <hyperlink ref="C9" location="'Dairy products'!Cream" display="Cream"/>
    <hyperlink ref="C10" location="'Dairy products'!HardCheese" display="Hard cheese"/>
    <hyperlink ref="C11" location="'Dairy products'!DessertCheese" display="Dessert cheese"/>
    <hyperlink ref="C12" location="'Dairy products'!CremeFraiche" display="Crème fraiche"/>
    <hyperlink ref="C13" location="'Dairy products'!MilkPowder" display="Milk powder"/>
    <hyperlink ref="A5" location="Maintenance_of_data" display="Maintenance of dat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OM212"/>
  <sheetViews>
    <sheetView zoomScale="60" zoomScaleNormal="60" workbookViewId="0"/>
  </sheetViews>
  <sheetFormatPr defaultColWidth="8.88671875" defaultRowHeight="14.4" x14ac:dyDescent="0.3"/>
  <cols>
    <col min="1" max="1" width="37.6640625" style="64" customWidth="1"/>
    <col min="2" max="2" width="67" style="84" bestFit="1" customWidth="1"/>
    <col min="3" max="3" width="19.88671875" style="64" bestFit="1" customWidth="1"/>
    <col min="4" max="4" width="28" style="64" customWidth="1"/>
    <col min="5" max="6" width="38.88671875" style="64" customWidth="1"/>
    <col min="7" max="7" width="41.5546875" style="64" customWidth="1"/>
    <col min="8" max="8" width="54.5546875" style="64" customWidth="1"/>
    <col min="9" max="9" width="26" style="64" bestFit="1" customWidth="1"/>
    <col min="10" max="10" width="36.6640625" style="64" bestFit="1" customWidth="1"/>
    <col min="11" max="11" width="32.6640625" style="64" bestFit="1" customWidth="1"/>
    <col min="12" max="12" width="37.88671875" style="64" bestFit="1" customWidth="1"/>
    <col min="13" max="13" width="38.33203125" style="64" bestFit="1" customWidth="1"/>
    <col min="14" max="14" width="26" style="64" bestFit="1" customWidth="1"/>
    <col min="15" max="15" width="37.109375" style="64" bestFit="1" customWidth="1"/>
    <col min="16" max="16" width="41.5546875" style="64" bestFit="1" customWidth="1"/>
    <col min="17" max="17" width="39.33203125" style="64" bestFit="1" customWidth="1"/>
    <col min="18" max="18" width="19.6640625" style="64" bestFit="1" customWidth="1"/>
    <col min="19" max="19" width="41.33203125" style="64" bestFit="1" customWidth="1"/>
    <col min="20" max="20" width="36.33203125" style="64" bestFit="1" customWidth="1"/>
    <col min="21" max="21" width="62.109375" style="64" bestFit="1" customWidth="1"/>
    <col min="22" max="22" width="23.33203125" style="64" bestFit="1" customWidth="1"/>
    <col min="23" max="23" width="17.88671875" style="64" bestFit="1" customWidth="1"/>
    <col min="24" max="24" width="27.5546875" style="64" bestFit="1" customWidth="1"/>
    <col min="25" max="30" width="8.88671875" style="64"/>
    <col min="31" max="31" width="33.88671875" style="64" bestFit="1" customWidth="1"/>
    <col min="32" max="32" width="27.6640625" style="64" bestFit="1" customWidth="1"/>
    <col min="33" max="33" width="19" style="64" bestFit="1" customWidth="1"/>
    <col min="34" max="34" width="17.6640625" style="64" bestFit="1" customWidth="1"/>
    <col min="35" max="35" width="8.88671875" style="64"/>
    <col min="36" max="36" width="28.6640625" style="64" bestFit="1" customWidth="1"/>
    <col min="37" max="37" width="27.6640625" style="64" bestFit="1" customWidth="1"/>
    <col min="38" max="16384" width="8.88671875" style="64"/>
  </cols>
  <sheetData>
    <row r="1" spans="1:402" ht="31.2" x14ac:dyDescent="0.6">
      <c r="A1" s="362" t="s">
        <v>456</v>
      </c>
      <c r="E1" s="291" t="s">
        <v>550</v>
      </c>
      <c r="F1" s="292" t="s">
        <v>1243</v>
      </c>
    </row>
    <row r="2" spans="1:402" ht="31.2" x14ac:dyDescent="0.35">
      <c r="B2" s="460"/>
      <c r="E2" s="291" t="s">
        <v>551</v>
      </c>
      <c r="F2" s="292" t="s">
        <v>1339</v>
      </c>
      <c r="G2" s="432"/>
      <c r="H2" s="76"/>
    </row>
    <row r="3" spans="1:402" ht="69.599999999999994" x14ac:dyDescent="0.35">
      <c r="E3" s="763" t="s">
        <v>1251</v>
      </c>
      <c r="F3" s="292" t="s">
        <v>1339</v>
      </c>
      <c r="G3" s="292"/>
    </row>
    <row r="4" spans="1:402" ht="15" thickBot="1" x14ac:dyDescent="0.35">
      <c r="H4" s="879"/>
      <c r="I4" s="880"/>
      <c r="J4" s="272"/>
    </row>
    <row r="5" spans="1:402" s="99" customFormat="1" ht="17.399999999999999" x14ac:dyDescent="0.35">
      <c r="A5" s="275"/>
      <c r="B5" s="297"/>
      <c r="C5" s="297"/>
      <c r="D5" s="297"/>
      <c r="E5" s="298" t="s">
        <v>531</v>
      </c>
      <c r="F5" s="304"/>
      <c r="G5" s="472"/>
      <c r="H5" s="506" t="s">
        <v>707</v>
      </c>
      <c r="I5" s="507"/>
      <c r="J5" s="506" t="s">
        <v>563</v>
      </c>
      <c r="K5" s="505"/>
      <c r="L5" s="487"/>
      <c r="M5" s="533"/>
      <c r="N5" s="533"/>
      <c r="O5" s="533"/>
      <c r="P5" s="533"/>
      <c r="Q5" s="533"/>
      <c r="R5" s="533"/>
      <c r="S5" s="53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row>
    <row r="6" spans="1:402" s="84" customFormat="1" ht="61.2" customHeight="1" x14ac:dyDescent="0.3">
      <c r="A6" s="274"/>
      <c r="B6" s="343" t="s">
        <v>17</v>
      </c>
      <c r="C6" s="310" t="s">
        <v>262</v>
      </c>
      <c r="D6" s="310" t="s">
        <v>178</v>
      </c>
      <c r="E6" s="294" t="s">
        <v>554</v>
      </c>
      <c r="F6" s="293" t="s">
        <v>532</v>
      </c>
      <c r="G6" s="473" t="s">
        <v>533</v>
      </c>
      <c r="H6" s="293" t="s">
        <v>1021</v>
      </c>
      <c r="I6" s="535" t="s">
        <v>286</v>
      </c>
      <c r="J6" s="293" t="s">
        <v>246</v>
      </c>
      <c r="K6" s="310" t="s">
        <v>247</v>
      </c>
      <c r="L6" s="518" t="s">
        <v>261</v>
      </c>
      <c r="M6" s="343" t="s">
        <v>177</v>
      </c>
      <c r="N6" s="343" t="s">
        <v>176</v>
      </c>
      <c r="O6" s="310" t="s">
        <v>1024</v>
      </c>
      <c r="P6" s="310" t="s">
        <v>1022</v>
      </c>
      <c r="Q6" s="343" t="s">
        <v>175</v>
      </c>
      <c r="R6" s="343" t="s">
        <v>3</v>
      </c>
      <c r="S6" s="538" t="s">
        <v>4</v>
      </c>
    </row>
    <row r="7" spans="1:402" s="406" customFormat="1" ht="13.2" customHeight="1" x14ac:dyDescent="0.3">
      <c r="A7" s="527" t="s">
        <v>555</v>
      </c>
      <c r="B7" s="528"/>
      <c r="C7" s="529"/>
      <c r="D7" s="530"/>
      <c r="E7" s="764" t="s">
        <v>789</v>
      </c>
      <c r="F7" s="765" t="s">
        <v>789</v>
      </c>
      <c r="G7" s="766" t="s">
        <v>789</v>
      </c>
      <c r="H7" s="413"/>
      <c r="I7" s="413"/>
      <c r="J7" s="413"/>
      <c r="K7" s="415"/>
      <c r="L7" s="405"/>
      <c r="O7" s="531"/>
      <c r="T7" s="107"/>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99"/>
      <c r="EN7" s="99"/>
      <c r="EO7" s="99"/>
      <c r="EP7" s="99"/>
      <c r="EQ7" s="99"/>
      <c r="ER7" s="99"/>
      <c r="ES7" s="99"/>
      <c r="ET7" s="99"/>
      <c r="EU7" s="99"/>
      <c r="EV7" s="99"/>
      <c r="EW7" s="99"/>
      <c r="EX7" s="99"/>
      <c r="EY7" s="99"/>
      <c r="EZ7" s="99"/>
      <c r="FA7" s="99"/>
      <c r="FB7" s="99"/>
      <c r="FC7" s="99"/>
      <c r="FD7" s="99"/>
      <c r="FE7" s="99"/>
      <c r="FF7" s="99"/>
      <c r="FG7" s="99"/>
      <c r="FH7" s="99"/>
      <c r="FI7" s="99"/>
      <c r="FJ7" s="99"/>
      <c r="FK7" s="99"/>
      <c r="FL7" s="99"/>
      <c r="FM7" s="99"/>
      <c r="FN7" s="99"/>
      <c r="FO7" s="99"/>
      <c r="FP7" s="99"/>
      <c r="FQ7" s="99"/>
      <c r="FR7" s="99"/>
      <c r="FS7" s="99"/>
      <c r="FT7" s="99"/>
      <c r="FU7" s="99"/>
      <c r="FV7" s="99"/>
      <c r="FW7" s="99"/>
      <c r="FX7" s="99"/>
      <c r="FY7" s="99"/>
      <c r="FZ7" s="99"/>
      <c r="GA7" s="99"/>
      <c r="GB7" s="99"/>
      <c r="GC7" s="99"/>
      <c r="GD7" s="99"/>
      <c r="GE7" s="99"/>
      <c r="GF7" s="99"/>
      <c r="GG7" s="99"/>
      <c r="GH7" s="99"/>
      <c r="GI7" s="99"/>
      <c r="GJ7" s="99"/>
      <c r="GK7" s="99"/>
      <c r="GL7" s="99"/>
      <c r="GM7" s="99"/>
      <c r="GN7" s="99"/>
      <c r="GO7" s="99"/>
      <c r="GP7" s="99"/>
      <c r="GQ7" s="99"/>
      <c r="GR7" s="99"/>
      <c r="GS7" s="99"/>
      <c r="GT7" s="99"/>
      <c r="GU7" s="99"/>
      <c r="GV7" s="99"/>
      <c r="GW7" s="99"/>
      <c r="GX7" s="99"/>
      <c r="GY7" s="99"/>
      <c r="GZ7" s="99"/>
      <c r="HA7" s="99"/>
      <c r="HB7" s="99"/>
      <c r="HC7" s="99"/>
      <c r="HD7" s="99"/>
      <c r="HE7" s="99"/>
      <c r="HF7" s="99"/>
      <c r="HG7" s="99"/>
      <c r="HH7" s="99"/>
      <c r="HI7" s="99"/>
      <c r="HJ7" s="99"/>
      <c r="HK7" s="99"/>
      <c r="HL7" s="99"/>
      <c r="HM7" s="99"/>
      <c r="HN7" s="99"/>
      <c r="HO7" s="99"/>
      <c r="HP7" s="99"/>
      <c r="HQ7" s="99"/>
      <c r="HR7" s="99"/>
      <c r="HS7" s="99"/>
      <c r="HT7" s="99"/>
      <c r="HU7" s="99"/>
      <c r="HV7" s="99"/>
      <c r="HW7" s="99"/>
      <c r="HX7" s="99"/>
      <c r="HY7" s="99"/>
      <c r="HZ7" s="99"/>
      <c r="IA7" s="99"/>
      <c r="IB7" s="99"/>
      <c r="IC7" s="99"/>
      <c r="ID7" s="99"/>
      <c r="IE7" s="99"/>
      <c r="IF7" s="99"/>
      <c r="IG7" s="99"/>
      <c r="IH7" s="99"/>
      <c r="II7" s="99"/>
      <c r="IJ7" s="99"/>
      <c r="IK7" s="99"/>
      <c r="IL7" s="99"/>
      <c r="IM7" s="99"/>
      <c r="IN7" s="99"/>
      <c r="IO7" s="99"/>
      <c r="IP7" s="99"/>
      <c r="IQ7" s="99"/>
      <c r="IR7" s="99"/>
      <c r="IS7" s="99"/>
      <c r="IT7" s="99"/>
      <c r="IU7" s="99"/>
      <c r="IV7" s="99"/>
      <c r="IW7" s="99"/>
      <c r="IX7" s="99"/>
      <c r="IY7" s="99"/>
      <c r="IZ7" s="99"/>
      <c r="JA7" s="99"/>
      <c r="JB7" s="99"/>
      <c r="JC7" s="99"/>
      <c r="JD7" s="99"/>
      <c r="JE7" s="99"/>
      <c r="JF7" s="99"/>
      <c r="JG7" s="99"/>
      <c r="JH7" s="99"/>
      <c r="JI7" s="99"/>
      <c r="JJ7" s="99"/>
      <c r="JK7" s="99"/>
      <c r="JL7" s="99"/>
      <c r="JM7" s="99"/>
      <c r="JN7" s="99"/>
      <c r="JO7" s="99"/>
      <c r="JP7" s="99"/>
      <c r="JQ7" s="99"/>
      <c r="JR7" s="99"/>
      <c r="JS7" s="99"/>
      <c r="JT7" s="99"/>
      <c r="JU7" s="99"/>
      <c r="JV7" s="99"/>
      <c r="JW7" s="99"/>
      <c r="JX7" s="99"/>
      <c r="JY7" s="99"/>
      <c r="JZ7" s="99"/>
      <c r="KA7" s="99"/>
      <c r="KB7" s="99"/>
      <c r="KC7" s="99"/>
      <c r="KD7" s="99"/>
      <c r="KE7" s="99"/>
      <c r="KF7" s="99"/>
      <c r="KG7" s="99"/>
      <c r="KH7" s="99"/>
      <c r="KI7" s="99"/>
      <c r="KJ7" s="99"/>
      <c r="KK7" s="99"/>
      <c r="KL7" s="99"/>
      <c r="KM7" s="99"/>
      <c r="KN7" s="99"/>
      <c r="KO7" s="99"/>
      <c r="KP7" s="99"/>
      <c r="KQ7" s="99"/>
      <c r="KR7" s="99"/>
      <c r="KS7" s="99"/>
      <c r="KT7" s="99"/>
      <c r="KU7" s="99"/>
      <c r="KV7" s="99"/>
      <c r="KW7" s="99"/>
      <c r="KX7" s="99"/>
      <c r="KY7" s="99"/>
      <c r="KZ7" s="99"/>
      <c r="LA7" s="99"/>
      <c r="LB7" s="99"/>
      <c r="LC7" s="99"/>
      <c r="LD7" s="99"/>
      <c r="LE7" s="99"/>
      <c r="LF7" s="99"/>
      <c r="LG7" s="99"/>
      <c r="LH7" s="99"/>
      <c r="LI7" s="99"/>
      <c r="LJ7" s="99"/>
      <c r="LK7" s="99"/>
      <c r="LL7" s="99"/>
      <c r="LM7" s="99"/>
      <c r="LN7" s="99"/>
      <c r="LO7" s="99"/>
      <c r="LP7" s="99"/>
      <c r="LQ7" s="99"/>
      <c r="LR7" s="99"/>
      <c r="LS7" s="99"/>
      <c r="LT7" s="99"/>
      <c r="LU7" s="99"/>
      <c r="LV7" s="99"/>
      <c r="LW7" s="99"/>
    </row>
    <row r="8" spans="1:402" s="102" customFormat="1" x14ac:dyDescent="0.3">
      <c r="A8" s="143" t="s">
        <v>260</v>
      </c>
      <c r="B8" s="150"/>
      <c r="C8" s="112">
        <f>SUM(C12:C26)</f>
        <v>0.99999999999999989</v>
      </c>
      <c r="D8" s="269" t="s">
        <v>473</v>
      </c>
      <c r="E8" s="769">
        <f>IF($F$1="GWP100 without fb",E9+E10*'Common input data'!$C$5+E11*'Common input data'!$D$5,IF($F$1="GWP100 with fb",E9+E10*'Common input data'!$C$6+E11*'Common input data'!$D$6,IF($F$1="GTP100 without fb",E9+E10*'Common input data'!$C$7+E11*'Common input data'!$D$7,IF($F$1="GTP100 with fb",E9+E10*'Common input data'!$C$8+E11*'Common input data'!$D$8,E9+E10*'Common input data'!$C$9+E11*'Common input data'!$D$9))))</f>
        <v>2.2707826292599704</v>
      </c>
      <c r="F8" s="326">
        <f>IF($F$1="GWP100 without fb",F9+F10*'Common input data'!$C$5+F11*'Common input data'!$D$5,IF($F$1="GWP100 with fb",F9+F10*'Common input data'!$C$6+F11*'Common input data'!$D$6,IF($F$1="GTP100 without fb",F9+F10*'Common input data'!$C$7+F11*'Common input data'!$D$7,IF($F$1="GTP100 with fb",F9+F10*'Common input data'!$C$8+F11*'Common input data'!$D$8,F9+F10*'Common input data'!$C$9+F11*'Common input data'!$D$9))))</f>
        <v>3.7764119805051983</v>
      </c>
      <c r="G8" s="770">
        <f>IF($F$1="GWP100 without fb",G9+G10*'Common input data'!$C$5+G11*'Common input data'!$D$5,IF($F$1="GWP100 with fb",G9+G10*'Common input data'!$C$6+G11*'Common input data'!$D$6,IF($F$1="GTP100 without fb",G9+G10*'Common input data'!$C$7+G11*'Common input data'!$D$7,IF($F$1="GTP100 with fb",G9+G10*'Common input data'!$C$8+G11*'Common input data'!$D$8,G9+G10*'Common input data'!$C$9+G11*'Common input data'!$D$9))))</f>
        <v>4.6214844232523964</v>
      </c>
      <c r="H8" s="280"/>
      <c r="I8" s="280"/>
      <c r="J8" s="280"/>
      <c r="K8" s="269"/>
      <c r="L8" s="269"/>
      <c r="O8" s="111"/>
      <c r="T8" s="107"/>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row>
    <row r="9" spans="1:402" x14ac:dyDescent="0.3">
      <c r="A9" s="107"/>
      <c r="D9" s="83" t="s">
        <v>164</v>
      </c>
      <c r="E9" s="258">
        <f>$C$12*E13+$C$16*E17+$C$20*E21+$C$24*E25</f>
        <v>0.47140797965022313</v>
      </c>
      <c r="F9" s="85">
        <f t="shared" ref="F9:S9" si="0">$C$12*F13+$C$16*F17+$C$20*F21+$C$24*F25</f>
        <v>1.6109656222997728</v>
      </c>
      <c r="G9" s="278">
        <f>$C$12*G13+$C$16*G17+$C$20*G21+$C$24*G25</f>
        <v>2.2438509647512532</v>
      </c>
      <c r="H9" s="85">
        <f t="shared" si="0"/>
        <v>1.0081768374679452</v>
      </c>
      <c r="I9" s="85">
        <f t="shared" si="0"/>
        <v>0</v>
      </c>
      <c r="J9" s="85">
        <f t="shared" si="0"/>
        <v>0</v>
      </c>
      <c r="K9" s="85">
        <f t="shared" si="0"/>
        <v>0</v>
      </c>
      <c r="L9" s="85">
        <f t="shared" si="0"/>
        <v>0</v>
      </c>
      <c r="M9" s="85">
        <f t="shared" si="0"/>
        <v>0.41500115453239361</v>
      </c>
      <c r="N9" s="85">
        <f t="shared" si="0"/>
        <v>5.6406825117829518E-2</v>
      </c>
      <c r="O9" s="85">
        <f t="shared" si="0"/>
        <v>0.13138080518160472</v>
      </c>
      <c r="P9" s="85">
        <f t="shared" si="0"/>
        <v>0.27326505916202448</v>
      </c>
      <c r="Q9" s="85">
        <f>$C$12*Q13+$C$16*Q17+$C$20*Q21+$C$24*Q25</f>
        <v>1.8842306814617975</v>
      </c>
      <c r="R9" s="90">
        <f t="shared" si="0"/>
        <v>9.9999999999999992E-2</v>
      </c>
      <c r="S9" s="90">
        <f t="shared" si="0"/>
        <v>6.216139839134556E-2</v>
      </c>
      <c r="T9" s="871"/>
      <c r="U9" s="90"/>
    </row>
    <row r="10" spans="1:402" x14ac:dyDescent="0.3">
      <c r="A10" s="141"/>
      <c r="B10" s="243"/>
      <c r="C10" s="142"/>
      <c r="D10" s="83" t="s">
        <v>165</v>
      </c>
      <c r="E10" s="258">
        <f>$C$12*E14+$C$16*E18+$C$20*E22+$C$24*E26</f>
        <v>2.081367435604161E-2</v>
      </c>
      <c r="F10" s="85">
        <f t="shared" ref="F10:S10" si="1">$C$12*F14+$C$16*F18+$C$20*F22+$C$24*F26</f>
        <v>2.1130682207972654E-2</v>
      </c>
      <c r="G10" s="278">
        <f>$C$12*G14+$C$16*G18+$C$20*G22+$C$24*G26</f>
        <v>2.3222060099465335E-2</v>
      </c>
      <c r="H10" s="85">
        <f t="shared" si="1"/>
        <v>3.1700785193104406E-4</v>
      </c>
      <c r="I10" s="85">
        <f t="shared" si="1"/>
        <v>0</v>
      </c>
      <c r="J10" s="85">
        <f t="shared" si="1"/>
        <v>1.2185283585648738E-2</v>
      </c>
      <c r="K10" s="85">
        <f t="shared" si="1"/>
        <v>0</v>
      </c>
      <c r="L10" s="85">
        <f t="shared" si="1"/>
        <v>8.6283907703928724E-3</v>
      </c>
      <c r="M10" s="85">
        <f t="shared" si="1"/>
        <v>0</v>
      </c>
      <c r="N10" s="85">
        <f t="shared" si="1"/>
        <v>0</v>
      </c>
      <c r="O10" s="85">
        <f t="shared" si="1"/>
        <v>0</v>
      </c>
      <c r="P10" s="85">
        <f t="shared" si="1"/>
        <v>4.7836602739726037E-5</v>
      </c>
      <c r="Q10" s="85">
        <f t="shared" si="1"/>
        <v>2.117851881071238E-2</v>
      </c>
      <c r="R10" s="90">
        <f t="shared" si="1"/>
        <v>0</v>
      </c>
      <c r="S10" s="90">
        <f t="shared" si="1"/>
        <v>0</v>
      </c>
      <c r="T10" s="871"/>
      <c r="U10" s="90"/>
    </row>
    <row r="11" spans="1:402" x14ac:dyDescent="0.3">
      <c r="A11" s="141"/>
      <c r="B11" s="243"/>
      <c r="C11" s="85"/>
      <c r="D11" s="84" t="s">
        <v>166</v>
      </c>
      <c r="E11" s="258">
        <f>$C$12*E15+$C$16*E19+$C$20*E23+$C$24*E27</f>
        <v>3.6634554412897065E-3</v>
      </c>
      <c r="F11" s="85">
        <f t="shared" ref="F11:S11" si="2">$C$12*F15+$C$16*F19+$C$20*F23+$C$24*F27</f>
        <v>4.855715312531394E-3</v>
      </c>
      <c r="G11" s="278">
        <f>$C$12*G15+$C$16*G19+$C$20*G23+$C$24*G27</f>
        <v>5.329138976910475E-3</v>
      </c>
      <c r="H11" s="85">
        <f t="shared" si="2"/>
        <v>1.1922598712416879E-3</v>
      </c>
      <c r="I11" s="85">
        <f t="shared" si="2"/>
        <v>3.013552396373697E-3</v>
      </c>
      <c r="J11" s="85">
        <f t="shared" si="2"/>
        <v>4.3717147878021576E-4</v>
      </c>
      <c r="K11" s="85">
        <f t="shared" si="2"/>
        <v>2.1273156613579403E-4</v>
      </c>
      <c r="L11" s="85">
        <f t="shared" si="2"/>
        <v>0</v>
      </c>
      <c r="M11" s="85">
        <f t="shared" si="2"/>
        <v>0</v>
      </c>
      <c r="N11" s="85">
        <f t="shared" si="2"/>
        <v>0</v>
      </c>
      <c r="O11" s="85">
        <f t="shared" si="2"/>
        <v>0</v>
      </c>
      <c r="P11" s="85">
        <f t="shared" si="2"/>
        <v>4.4594344109589041E-6</v>
      </c>
      <c r="Q11" s="85">
        <f t="shared" si="2"/>
        <v>4.8601747469423535E-3</v>
      </c>
      <c r="R11" s="90">
        <f t="shared" si="2"/>
        <v>0</v>
      </c>
      <c r="S11" s="90">
        <f t="shared" si="2"/>
        <v>0</v>
      </c>
      <c r="T11" s="871"/>
      <c r="U11" s="90"/>
    </row>
    <row r="12" spans="1:402" s="102" customFormat="1" x14ac:dyDescent="0.3">
      <c r="A12" s="143" t="s">
        <v>1</v>
      </c>
      <c r="B12" s="150" t="s">
        <v>259</v>
      </c>
      <c r="C12" s="112">
        <f>'Input data meat and eggs'!D15</f>
        <v>0.69379999999999997</v>
      </c>
      <c r="D12" s="269" t="s">
        <v>473</v>
      </c>
      <c r="E12" s="320">
        <f>IF($F$1="GWP100 without fb",E13+E14*'Common input data'!$C$5+E15*'Common input data'!$D$5,IF($F$1="GWP100 with fb",E13+E14*'Common input data'!$C$6+E15*'Common input data'!$D$6,IF($F$1="GTP100 without fb",E13+E14*'Common input data'!$C$7+E15*'Common input data'!$D$7,IF($F$1="GTP100 with fb",E13+E14*'Common input data'!$C$8+E15*'Common input data'!$D$8,E13+E14*'Common input data'!$C$9+E15*'Common input data'!$D$9))))</f>
        <v>2.0453989950482785</v>
      </c>
      <c r="F12" s="302">
        <f>IF($F$1="GWP100 without fb",F13+F14*'Common input data'!$C$5+F15*'Common input data'!$D$5,IF($F$1="GWP100 with fb",F13+F14*'Common input data'!$C$6+F15*'Common input data'!$D$6,IF($F$1="GTP100 without fb",F13+F14*'Common input data'!$C$7+F15*'Common input data'!$D$7,IF($F$1="GTP100 with fb",F13+F14*'Common input data'!$C$8+F15*'Common input data'!$D$8,F13+F14*'Common input data'!$C$9+F15*'Common input data'!$D$9))))</f>
        <v>3.4921430279027872</v>
      </c>
      <c r="G12" s="321">
        <f>IF($F$1="GWP100 without fb",G13+G14*'Common input data'!$C$5+G15*'Common input data'!$D$5,IF($F$1="GWP100 with fb",G13+G14*'Common input data'!$C$6+G15*'Common input data'!$D$6,IF($F$1="GTP100 without fb",G13+G14*'Common input data'!$C$7+G15*'Common input data'!$D$7,IF($F$1="GTP100 with fb",G13+G14*'Common input data'!$C$8+G15*'Common input data'!$D$8,G13+G14*'Common input data'!$C$9+G15*'Common input data'!$D$9))))</f>
        <v>4.2291004148804294</v>
      </c>
      <c r="H12" s="104"/>
      <c r="I12" s="104"/>
      <c r="J12" s="104"/>
      <c r="K12" s="106"/>
      <c r="L12" s="106"/>
      <c r="T12" s="107"/>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row>
    <row r="13" spans="1:402" x14ac:dyDescent="0.3">
      <c r="A13" s="144"/>
      <c r="D13" s="83" t="s">
        <v>164</v>
      </c>
      <c r="E13" s="258">
        <f>IF(AND($F$2="No",$F$3="No"),SUM(I13:L13),IF(AND($F$2="Yes", $F$3="No"), SUM(I13:L13)+N13, IF(AND($F$2="No", $F$3="Yes"),SUM(I13:L13)+M13, SUM(I13:L13)+N13+M13)))</f>
        <v>0.46387929365022135</v>
      </c>
      <c r="F13" s="85">
        <f>IF(AND($F$2="No",$F$3="No"),SUM(H13:L13,O13),IF(AND($F$2="Yes", $F$3="No"), SUM(H13:L13,O13)+N13, IF(AND($F$2="No", $F$3="Yes"),SUM(H13:L13,O13)+M13, SUM(H13:L13,O13)+N13+M13)))</f>
        <v>1.5503980164989648</v>
      </c>
      <c r="G13" s="278">
        <f>SUM(Q13:S13)/(1-'Common input data'!B$126)</f>
        <v>2.0967535208547292</v>
      </c>
      <c r="H13" s="85">
        <f>'Input data meat and eggs'!$B$123*('Input data meat and eggs'!B62*'Input data meat and eggs'!B35+'Input data meat and eggs'!B63*'Input data meat and eggs'!B36+'Input data meat and eggs'!B64*SUMPRODUCT('Input data meat and eggs'!B37:'Input data meat and eggs'!B46,'Input data meat and eggs'!B65:'Input data meat and eggs'!B74))*'Input data meat and eggs'!B56</f>
        <v>0.99207561057016791</v>
      </c>
      <c r="I13" s="85">
        <f>'Input data meat and eggs'!$B$123*('Input data meat and eggs'!B62*'Input data meat and eggs'!B35+'Input data meat and eggs'!B63*'Input data meat and eggs'!B36+'Input data meat and eggs'!B64*SUMPRODUCT('Input data meat and eggs'!B37:'Input data meat and eggs'!B46,'Input data meat and eggs'!B65:'Input data meat and eggs'!B74))*'Input data meat and eggs'!C56</f>
        <v>0</v>
      </c>
      <c r="J13" s="85">
        <v>0</v>
      </c>
      <c r="K13" s="85">
        <v>0</v>
      </c>
      <c r="L13" s="85">
        <v>0</v>
      </c>
      <c r="M13" s="85">
        <f>'Input data meat and eggs'!B123*(('Input data meat and eggs'!B62*'Common input data'!B13)+('Input data meat and eggs'!B64*('Input data meat and eggs'!B65*'Common input data'!B13*'Common input data'!G28/'Common input data'!F28+'Input data meat and eggs'!B69*'Common input data'!D13*'Common input data'!G26/'Common input data'!F26+'Input data meat and eggs'!B71*'Common input data'!C13*'Common input data'!G30/'Common input data'!F30+'Input data meat and eggs'!B72*'Common input data'!C13)))</f>
        <v>0.40837332149394806</v>
      </c>
      <c r="N13" s="85">
        <f>'Input data meat and eggs'!B123*'Input data meat and eggs'!B64*'Input data meat and eggs'!B71*'Common input data'!B21*'Common input data'!G30/'Common input data'!F30</f>
        <v>5.5505972156273273E-2</v>
      </c>
      <c r="O13" s="85">
        <f>(('Input data meat and eggs'!B78*'Input data meat and eggs'!B101+'Input data meat and eggs'!B79*'Input data meat and eggs'!B110)*'Common input data'!B63)/'Input data meat and eggs'!B101</f>
        <v>9.4443112278575686E-2</v>
      </c>
      <c r="P13" s="85">
        <f>'Input data meat and eggs'!B90*'Common input data'!B63+'Input data meat and eggs'!C90*3.6*'Common input data'!B49</f>
        <v>0.23184119452054797</v>
      </c>
      <c r="Q13" s="85">
        <f>F13+P13</f>
        <v>1.7822392110195127</v>
      </c>
      <c r="R13" s="90">
        <f>'Common input data'!B92</f>
        <v>0.1</v>
      </c>
      <c r="S13" s="90">
        <f>'Common input data'!C98</f>
        <v>0.03</v>
      </c>
      <c r="T13" s="871"/>
    </row>
    <row r="14" spans="1:402" x14ac:dyDescent="0.3">
      <c r="A14" s="144"/>
      <c r="C14" s="142"/>
      <c r="D14" s="83" t="s">
        <v>165</v>
      </c>
      <c r="E14" s="258">
        <f>SUM(I14:L14)</f>
        <v>1.5806690779127414E-2</v>
      </c>
      <c r="F14" s="85">
        <f>SUM(H14:L14,O14)</f>
        <v>1.6118635813542101E-2</v>
      </c>
      <c r="G14" s="278">
        <f>SUM(Q14:S14)/(1-'Common input data'!B$126)</f>
        <v>1.7726395193291479E-2</v>
      </c>
      <c r="H14" s="85">
        <f>'Input data meat and eggs'!$B$123*('Input data meat and eggs'!B62*'Input data meat and eggs'!C35+'Input data meat and eggs'!B63*'Input data meat and eggs'!C36+'Input data meat and eggs'!B64*SUMPRODUCT('Input data meat and eggs'!C37:'Input data meat and eggs'!C46,'Input data meat and eggs'!B65:'Input data meat and eggs'!B74))*'Input data meat and eggs'!B57</f>
        <v>3.1194503441468648E-4</v>
      </c>
      <c r="I14" s="85">
        <f>'Input data meat and eggs'!$B$123*('Input data meat and eggs'!B62*'Input data meat and eggs'!C35+'Input data meat and eggs'!B63*'Input data meat and eggs'!C36+'Input data meat and eggs'!B64*SUMPRODUCT('Input data meat and eggs'!C37:'Input data meat and eggs'!C46,'Input data meat and eggs'!B65:'Input data meat and eggs'!B74))*'Input data meat and eggs'!C57</f>
        <v>0</v>
      </c>
      <c r="J14" s="85">
        <f>('Input data meat and eggs'!B191*'Input data meat and eggs'!B192*'Input data meat and eggs'!B193*('Input data meat and eggs'!B132*'Input data meat and eggs'!B182+'Input data meat and eggs'!B133*'Input data meat and eggs'!B183+'Input data meat and eggs'!B134*'Input data meat and eggs'!B184))/'Input data meat and eggs'!B101</f>
        <v>6.6774907893057019E-3</v>
      </c>
      <c r="K14" s="85">
        <v>0</v>
      </c>
      <c r="L14" s="85">
        <f>('Input data meat and eggs'!B114*('Input data meat and eggs'!B107+'Input data meat and eggs'!B108)+'Input data meat and eggs'!B115*'Input data meat and eggs'!B109*'Input data meat and eggs'!B97/365+'Input data meat and eggs'!B116*'Input data meat and eggs'!B110*'Input data meat and eggs'!B96/365)/'Input data meat and eggs'!B101</f>
        <v>9.1291999898217117E-3</v>
      </c>
      <c r="M14" s="85">
        <v>0</v>
      </c>
      <c r="N14" s="85">
        <v>0</v>
      </c>
      <c r="O14" s="85">
        <v>0</v>
      </c>
      <c r="P14" s="85">
        <f>'Input data meat and eggs'!C90*3.6*'Common input data'!B50</f>
        <v>4.7836602739726037E-5</v>
      </c>
      <c r="Q14" s="85">
        <f>F14+P14</f>
        <v>1.6166472416281826E-2</v>
      </c>
      <c r="R14" s="90">
        <v>0</v>
      </c>
      <c r="S14" s="90">
        <v>0</v>
      </c>
      <c r="T14" s="871"/>
    </row>
    <row r="15" spans="1:402" x14ac:dyDescent="0.3">
      <c r="A15" s="174"/>
      <c r="B15" s="206"/>
      <c r="C15" s="85"/>
      <c r="D15" s="84" t="s">
        <v>166</v>
      </c>
      <c r="E15" s="258">
        <f>SUM(I15:L15)</f>
        <v>3.5036651506970638E-3</v>
      </c>
      <c r="F15" s="85">
        <f>SUM(H15:L15,O15)</f>
        <v>4.6768838716221162E-3</v>
      </c>
      <c r="G15" s="278">
        <f>SUM(Q15:S15)/(1-'Common input data'!B$126)</f>
        <v>5.1330518706503014E-3</v>
      </c>
      <c r="H15" s="85">
        <f>'Input data meat and eggs'!$B$123*('Input data meat and eggs'!B62*'Input data meat and eggs'!D35+'Input data meat and eggs'!B63*'Input data meat and eggs'!D36+'Input data meat and eggs'!B64*SUMPRODUCT('Input data meat and eggs'!D37:'Input data meat and eggs'!D46,'Input data meat and eggs'!B65:'Input data meat and eggs'!B74))*'Input data meat and eggs'!B58</f>
        <v>1.1732187209250527E-3</v>
      </c>
      <c r="I15" s="85">
        <f>'Input data meat and eggs'!$B$123*('Input data meat and eggs'!B62*'Input data meat and eggs'!D35+'Input data meat and eggs'!B63*'Input data meat and eggs'!D36+'Input data meat and eggs'!B64*SUMPRODUCT('Input data meat and eggs'!D37:'Input data meat and eggs'!D46,'Input data meat and eggs'!B65:'Input data meat and eggs'!B74))*'Input data meat and eggs'!C58</f>
        <v>2.9654240431929027E-3</v>
      </c>
      <c r="J15" s="85">
        <f>((SUM('Input data meat and eggs'!B165:B168)*'Input data meat and eggs'!B187+SUM('Input data meat and eggs'!B170:B173)*'Input data meat and eggs'!B188+SUM('Input data meat and eggs'!B175:B178)*'Input data meat and eggs'!B189)*44/28)/'Input data meat and eggs'!B101</f>
        <v>3.8824325533602335E-4</v>
      </c>
      <c r="K15" s="85">
        <f>SUM('Input data meat and eggs'!B216:B229)*'Input data meat and eggs'!B190*44/28/'Input data meat and eggs'!B101</f>
        <v>1.4999785216813751E-4</v>
      </c>
      <c r="L15" s="85">
        <v>0</v>
      </c>
      <c r="M15" s="85">
        <v>0</v>
      </c>
      <c r="N15" s="85">
        <v>0</v>
      </c>
      <c r="O15" s="85">
        <v>0</v>
      </c>
      <c r="P15" s="85">
        <f>'Input data meat and eggs'!C90*3.6*'Common input data'!B51</f>
        <v>4.4594344109589041E-6</v>
      </c>
      <c r="Q15" s="85">
        <f>F15+P15</f>
        <v>4.6813433060330749E-3</v>
      </c>
      <c r="R15" s="90">
        <v>0</v>
      </c>
      <c r="S15" s="90">
        <v>0</v>
      </c>
      <c r="T15" s="871"/>
    </row>
    <row r="16" spans="1:402" s="102" customFormat="1" x14ac:dyDescent="0.3">
      <c r="A16" s="284" t="s">
        <v>69</v>
      </c>
      <c r="B16" s="150" t="s">
        <v>259</v>
      </c>
      <c r="C16" s="112">
        <f>'Input data meat and eggs'!D16</f>
        <v>0.11457597310445827</v>
      </c>
      <c r="D16" s="269" t="s">
        <v>473</v>
      </c>
      <c r="E16" s="320">
        <f>IF($F$1="GWP100 without fb",E17+E18*'Common input data'!$C$5+E19*'Common input data'!$D$5,IF($F$1="GWP100 with fb",E17+E18*'Common input data'!$C$6+E19*'Common input data'!$D$6,IF($F$1="GTP100 without fb",E17+E18*'Common input data'!$C$7+E19*'Common input data'!$D$7,IF($F$1="GTP100 with fb",E17+E18*'Common input data'!$C$8+E19*'Common input data'!$D$8,E17+E18*'Common input data'!$C$9+E19*'Common input data'!$D$9))))</f>
        <v>2.7748091374051347</v>
      </c>
      <c r="F16" s="302">
        <f>IF($F$1="GWP100 without fb",F17+F18*'Common input data'!$C$5+F19*'Common input data'!$D$5,IF($F$1="GWP100 with fb",F17+F18*'Common input data'!$C$6+F19*'Common input data'!$D$6,IF($F$1="GTP100 without fb",F17+F18*'Common input data'!$C$7+F19*'Common input data'!$D$7,IF($F$1="GTP100 with fb",F17+F18*'Common input data'!$C$8+F19*'Common input data'!$D$8,F17+F18*'Common input data'!$C$9+F19*'Common input data'!$D$9))))</f>
        <v>4.2916504118024505</v>
      </c>
      <c r="G16" s="321">
        <f>IF($F$1="GWP100 without fb",G17+G18*'Common input data'!$C$5+G19*'Common input data'!$D$5,IF($F$1="GWP100 with fb",G17+G18*'Common input data'!$C$6+G19*'Common input data'!$D$6,IF($F$1="GTP100 without fb",G17+G18*'Common input data'!$C$7+G19*'Common input data'!$D$7,IF($F$1="GTP100 with fb",G17+G18*'Common input data'!$C$8+G19*'Common input data'!$D$8,G17+G18*'Common input data'!$C$9+G19*'Common input data'!$D$9))))</f>
        <v>5.1605778095072541</v>
      </c>
      <c r="H16" s="104"/>
      <c r="I16" s="104"/>
      <c r="J16" s="104"/>
      <c r="K16" s="106"/>
      <c r="L16" s="106"/>
      <c r="T16" s="107"/>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c r="IW16" s="64"/>
      <c r="IX16" s="64"/>
      <c r="IY16" s="64"/>
      <c r="IZ16" s="64"/>
      <c r="JA16" s="64"/>
      <c r="JB16" s="64"/>
      <c r="JC16" s="64"/>
      <c r="JD16" s="64"/>
      <c r="JE16" s="64"/>
      <c r="JF16" s="64"/>
      <c r="JG16" s="64"/>
      <c r="JH16" s="64"/>
      <c r="JI16" s="64"/>
      <c r="JJ16" s="64"/>
      <c r="JK16" s="64"/>
      <c r="JL16" s="64"/>
      <c r="JM16" s="64"/>
      <c r="JN16" s="64"/>
      <c r="JO16" s="64"/>
      <c r="JP16" s="64"/>
      <c r="JQ16" s="64"/>
      <c r="JR16" s="64"/>
      <c r="JS16" s="64"/>
      <c r="JT16" s="64"/>
      <c r="JU16" s="64"/>
      <c r="JV16" s="64"/>
      <c r="JW16" s="64"/>
      <c r="JX16" s="64"/>
      <c r="JY16" s="64"/>
      <c r="JZ16" s="64"/>
      <c r="KA16" s="64"/>
      <c r="KB16" s="64"/>
      <c r="KC16" s="64"/>
      <c r="KD16" s="64"/>
      <c r="KE16" s="64"/>
      <c r="KF16" s="64"/>
      <c r="KG16" s="64"/>
      <c r="KH16" s="64"/>
      <c r="KI16" s="64"/>
      <c r="KJ16" s="64"/>
      <c r="KK16" s="64"/>
      <c r="KL16" s="64"/>
      <c r="KM16" s="64"/>
      <c r="KN16" s="64"/>
      <c r="KO16" s="64"/>
      <c r="KP16" s="64"/>
      <c r="KQ16" s="64"/>
      <c r="KR16" s="64"/>
      <c r="KS16" s="64"/>
      <c r="KT16" s="64"/>
      <c r="KU16" s="64"/>
      <c r="KV16" s="64"/>
      <c r="KW16" s="64"/>
      <c r="KX16" s="64"/>
      <c r="KY16" s="64"/>
      <c r="KZ16" s="64"/>
      <c r="LA16" s="64"/>
      <c r="LB16" s="64"/>
      <c r="LC16" s="64"/>
      <c r="LD16" s="64"/>
      <c r="LE16" s="64"/>
      <c r="LF16" s="64"/>
      <c r="LG16" s="64"/>
      <c r="LH16" s="64"/>
      <c r="LI16" s="64"/>
      <c r="LJ16" s="64"/>
      <c r="LK16" s="64"/>
      <c r="LL16" s="64"/>
      <c r="LM16" s="64"/>
      <c r="LN16" s="64"/>
      <c r="LO16" s="64"/>
      <c r="LP16" s="64"/>
      <c r="LQ16" s="64"/>
      <c r="LR16" s="64"/>
      <c r="LS16" s="64"/>
      <c r="LT16" s="64"/>
      <c r="LU16" s="64"/>
      <c r="LV16" s="64"/>
      <c r="LW16" s="64"/>
      <c r="LX16" s="64"/>
      <c r="LY16" s="64"/>
      <c r="LZ16" s="64"/>
      <c r="MA16" s="64"/>
      <c r="MB16" s="64"/>
      <c r="MC16" s="64"/>
      <c r="MD16" s="64"/>
      <c r="ME16" s="64"/>
      <c r="MF16" s="64"/>
      <c r="MG16" s="64"/>
      <c r="MH16" s="64"/>
      <c r="MI16" s="64"/>
      <c r="MJ16" s="64"/>
      <c r="MK16" s="64"/>
      <c r="ML16" s="64"/>
      <c r="MM16" s="64"/>
      <c r="MN16" s="64"/>
      <c r="MO16" s="64"/>
      <c r="MP16" s="64"/>
      <c r="MQ16" s="64"/>
      <c r="MR16" s="64"/>
      <c r="MS16" s="64"/>
      <c r="MT16" s="64"/>
      <c r="MU16" s="64"/>
      <c r="MV16" s="64"/>
      <c r="MW16" s="64"/>
      <c r="MX16" s="64"/>
      <c r="MY16" s="64"/>
      <c r="MZ16" s="64"/>
      <c r="NA16" s="64"/>
      <c r="NB16" s="64"/>
      <c r="NC16" s="64"/>
      <c r="ND16" s="64"/>
      <c r="NE16" s="64"/>
      <c r="NF16" s="64"/>
      <c r="NG16" s="64"/>
      <c r="NH16" s="64"/>
      <c r="NI16" s="64"/>
      <c r="NJ16" s="64"/>
      <c r="NK16" s="64"/>
      <c r="NL16" s="64"/>
      <c r="NM16" s="64"/>
      <c r="NN16" s="64"/>
      <c r="NO16" s="64"/>
      <c r="NP16" s="64"/>
      <c r="NQ16" s="64"/>
      <c r="NR16" s="64"/>
      <c r="NS16" s="64"/>
      <c r="NT16" s="64"/>
      <c r="NU16" s="64"/>
      <c r="NV16" s="64"/>
      <c r="NW16" s="64"/>
      <c r="NX16" s="64"/>
      <c r="NY16" s="64"/>
      <c r="NZ16" s="64"/>
      <c r="OA16" s="64"/>
      <c r="OB16" s="64"/>
      <c r="OC16" s="64"/>
      <c r="OD16" s="64"/>
      <c r="OE16" s="64"/>
      <c r="OF16" s="64"/>
      <c r="OG16" s="64"/>
      <c r="OH16" s="64"/>
      <c r="OI16" s="64"/>
      <c r="OJ16" s="64"/>
      <c r="OK16" s="64"/>
      <c r="OL16" s="64"/>
    </row>
    <row r="17" spans="1:402" x14ac:dyDescent="0.3">
      <c r="A17" s="144"/>
      <c r="D17" s="83" t="s">
        <v>164</v>
      </c>
      <c r="E17" s="258">
        <f>IF(AND($F$2="No",$F$3="No"),SUM(I17:L17),IF(AND($F$2="Yes", $F$3="No"), SUM(I17:L17)+N17, IF(AND($F$2="No", $F$3="Yes"),SUM(I17:L17)+M17, SUM(I17:L17)+N17+M17)))</f>
        <v>0.48595964548530451</v>
      </c>
      <c r="F17" s="85">
        <f>IF(AND($F$2="No",$F$3="No"),SUM(H17:L17,O17),IF(AND($F$2="Yes", $F$3="No"), SUM(H17:L17,O17)+N17, IF(AND($F$2="No", $F$3="Yes"),SUM(H17:L17,O17)+M17, SUM(H17:L17,O17)+N17+M17)))</f>
        <v>1.625429120059988</v>
      </c>
      <c r="G17" s="278">
        <f>SUM(Q17:S17)/(1-'Common input data'!B$126)</f>
        <v>2.233849029145325</v>
      </c>
      <c r="H17" s="85">
        <f>'Input data meat and eggs'!$C$123*('Input data meat and eggs'!B62*'Input data meat and eggs'!B35+'Input data meat and eggs'!B63*'Input data meat and eggs'!B36+'Input data meat and eggs'!B64*SUMPRODUCT('Input data meat and eggs'!B37:'Input data meat and eggs'!B46,'Input data meat and eggs'!B65:'Input data meat and eggs'!B74))*'Input data meat and eggs'!B56</f>
        <v>1.0392977626003286</v>
      </c>
      <c r="I17" s="85">
        <f>'Input data meat and eggs'!$C$123*('Input data meat and eggs'!B62*'Input data meat and eggs'!B35+'Input data meat and eggs'!B63*'Input data meat and eggs'!B36+'Input data meat and eggs'!B64*SUMPRODUCT('Input data meat and eggs'!B37:'Input data meat and eggs'!B46,'Input data meat and eggs'!B65:'Input data meat and eggs'!B74))*'Input data meat and eggs'!C56</f>
        <v>0</v>
      </c>
      <c r="J17" s="85">
        <v>0</v>
      </c>
      <c r="K17" s="85">
        <v>0</v>
      </c>
      <c r="L17" s="85">
        <v>0</v>
      </c>
      <c r="M17" s="85">
        <f>'Input data meat and eggs'!C123*(('Input data meat and eggs'!B62*'Common input data'!B13)+('Input data meat and eggs'!B64*('Input data meat and eggs'!B65*'Common input data'!B13*'Common input data'!G28/'Common input data'!F28+'Input data meat and eggs'!B69*'Common input data'!D13*'Common input data'!G26/'Common input data'!F26+'Input data meat and eggs'!B71*'Common input data'!C13*'Common input data'!G30/'Common input data'!F30+'Input data meat and eggs'!B72*'Common input data'!C13)))</f>
        <v>0.42781162525545852</v>
      </c>
      <c r="N17" s="85">
        <f>'Input data meat and eggs'!C123*'Input data meat and eggs'!B64*'Input data meat and eggs'!B71*'Common input data'!B21*'Common input data'!G30/'Common input data'!F30</f>
        <v>5.8148020229845984E-2</v>
      </c>
      <c r="O17" s="85">
        <f>(('Input data meat and eggs'!B78*'Input data meat and eggs'!C101+'Input data meat and eggs'!B79*'Input data meat and eggs'!C110)*'Common input data'!B63)/'Input data meat and eggs'!C101</f>
        <v>0.10017171197435495</v>
      </c>
      <c r="P17" s="85">
        <f>'Input data meat and eggs'!B90*'Common input data'!B63+'Input data meat and eggs'!C90*3.6*'Common input data'!B49</f>
        <v>0.23184119452054797</v>
      </c>
      <c r="Q17" s="85">
        <f>F17+P17</f>
        <v>1.857270314580536</v>
      </c>
      <c r="R17" s="90">
        <f>'Common input data'!B92</f>
        <v>0.1</v>
      </c>
      <c r="S17" s="90">
        <f>'Common input data'!B98+'Common input data'!C98</f>
        <v>0.08</v>
      </c>
      <c r="T17" s="871"/>
    </row>
    <row r="18" spans="1:402" x14ac:dyDescent="0.3">
      <c r="A18" s="144"/>
      <c r="C18" s="84"/>
      <c r="D18" s="83" t="s">
        <v>165</v>
      </c>
      <c r="E18" s="258">
        <f>SUM(I18:L18)</f>
        <v>3.402100242219179E-2</v>
      </c>
      <c r="F18" s="85">
        <f>SUM(H18:L18,O18)</f>
        <v>3.4347795836793663E-2</v>
      </c>
      <c r="G18" s="278">
        <f>SUM(Q18:S18)/(1-'Common input data'!B$126)</f>
        <v>3.7714509253874338E-2</v>
      </c>
      <c r="H18" s="85">
        <f>'Input data meat and eggs'!$C$123*('Input data meat and eggs'!B62*'Input data meat and eggs'!C35+'Input data meat and eggs'!B63*'Input data meat and eggs'!C36+'Input data meat and eggs'!B64*SUMPRODUCT('Input data meat and eggs'!C37:'Input data meat and eggs'!C46,'Input data meat and eggs'!B65:'Input data meat and eggs'!B74))*'Input data meat and eggs'!B57</f>
        <v>3.2679341460187602E-4</v>
      </c>
      <c r="I18" s="85">
        <f>'Input data meat and eggs'!$C$123*('Input data meat and eggs'!B62*'Input data meat and eggs'!C35+'Input data meat and eggs'!B63*'Input data meat and eggs'!C36+'Input data meat and eggs'!B64*SUMPRODUCT('Input data meat and eggs'!C37:'Input data meat and eggs'!C46,'Input data meat and eggs'!B65:'Input data meat and eggs'!B74))*'Input data meat and eggs'!C57</f>
        <v>0</v>
      </c>
      <c r="J18" s="85">
        <f>('Input data meat and eggs'!C191*'Input data meat and eggs'!C192*'Input data meat and eggs'!C193*('Input data meat and eggs'!C132*'Input data meat and eggs'!C182+'Input data meat and eggs'!C133*'Input data meat and eggs'!C183+('Input data meat and eggs'!C135*'Input data meat and eggs'!C184+'Input data meat and eggs'!C136*'Input data meat and eggs'!C184+'Input data meat and eggs'!C137*'Input data meat and eggs'!C185+'Input data meat and eggs'!C138*'Input data meat and eggs'!C186)))/'Input data meat and eggs'!C101</f>
        <v>2.5849099510143629E-2</v>
      </c>
      <c r="K18" s="85">
        <v>0</v>
      </c>
      <c r="L18" s="85">
        <f>('Input data meat and eggs'!C114*('Input data meat and eggs'!C107+'Input data meat and eggs'!C108)+'Input data meat and eggs'!C115*'Input data meat and eggs'!C109*'Input data meat and eggs'!B97/365+'Input data meat and eggs'!C116*'Input data meat and eggs'!C110*'Input data meat and eggs'!B96/365)/'Input data meat and eggs'!C101</f>
        <v>8.1719029120481609E-3</v>
      </c>
      <c r="M18" s="85">
        <v>0</v>
      </c>
      <c r="N18" s="85">
        <v>0</v>
      </c>
      <c r="O18" s="85">
        <v>0</v>
      </c>
      <c r="P18" s="85">
        <f>'Input data meat and eggs'!C90*3.6*'Common input data'!B50</f>
        <v>4.7836602739726037E-5</v>
      </c>
      <c r="Q18" s="85">
        <f>F18+P18</f>
        <v>3.4395632439533391E-2</v>
      </c>
      <c r="R18" s="90">
        <v>0</v>
      </c>
      <c r="S18" s="90">
        <v>0</v>
      </c>
      <c r="T18" s="871"/>
    </row>
    <row r="19" spans="1:402" x14ac:dyDescent="0.3">
      <c r="A19" s="144"/>
      <c r="C19" s="85"/>
      <c r="D19" s="84" t="s">
        <v>166</v>
      </c>
      <c r="E19" s="258">
        <f>SUM(I19:L19)</f>
        <v>3.7991121126352652E-3</v>
      </c>
      <c r="F19" s="85">
        <f>SUM(H19:L19,O19)</f>
        <v>5.0281752795016035E-3</v>
      </c>
      <c r="G19" s="278">
        <f>SUM(Q19:S19)/(1-'Common input data'!B$126)</f>
        <v>5.5182398178865817E-3</v>
      </c>
      <c r="H19" s="85">
        <f>'Input data meat and eggs'!$C$123*('Input data meat and eggs'!B62*'Input data meat and eggs'!D35+'Input data meat and eggs'!B63*'Input data meat and eggs'!D36+'Input data meat and eggs'!B64*SUMPRODUCT('Input data meat and eggs'!D37:'Input data meat and eggs'!D46,'Input data meat and eggs'!B65:'Input data meat and eggs'!B74))*'Input data meat and eggs'!B58</f>
        <v>1.2290631668663383E-3</v>
      </c>
      <c r="I19" s="85">
        <f>'Input data meat and eggs'!$C$123*('Input data meat and eggs'!B62*'Input data meat and eggs'!D35+'Input data meat and eggs'!B63*'Input data meat and eggs'!D36+'Input data meat and eggs'!B64*SUMPRODUCT('Input data meat and eggs'!D37:'Input data meat and eggs'!D46,'Input data meat and eggs'!B65:'Input data meat and eggs'!B74))*'Input data meat and eggs'!C58</f>
        <v>3.1065762935955396E-3</v>
      </c>
      <c r="J19" s="85">
        <f>((SUM('Input data meat and eggs'!C165:C168)*'Input data meat and eggs'!C187+SUM('Input data meat and eggs'!C170:C173)*'Input data meat and eggs'!C188+SUM('Input data meat and eggs'!C175:C178)*'Input data meat and eggs'!C189)*44/28)/'Input data meat and eggs'!C101</f>
        <v>5.2257464448050221E-4</v>
      </c>
      <c r="K19" s="85">
        <f>SUM('Input data meat and eggs'!C216:C229)*'Input data meat and eggs'!C190*44/28/'Input data meat and eggs'!C101</f>
        <v>1.6996117455922368E-4</v>
      </c>
      <c r="L19" s="85">
        <v>0</v>
      </c>
      <c r="M19" s="85">
        <v>0</v>
      </c>
      <c r="N19" s="85">
        <v>0</v>
      </c>
      <c r="O19" s="85">
        <v>0</v>
      </c>
      <c r="P19" s="85">
        <f>'Input data meat and eggs'!C90*3.6*'Common input data'!B51</f>
        <v>4.4594344109589041E-6</v>
      </c>
      <c r="Q19" s="85">
        <f>F19+P19</f>
        <v>5.0326347139125621E-3</v>
      </c>
      <c r="R19" s="94">
        <v>0</v>
      </c>
      <c r="S19" s="90">
        <v>0</v>
      </c>
      <c r="T19" s="871"/>
    </row>
    <row r="20" spans="1:402" s="102" customFormat="1" x14ac:dyDescent="0.3">
      <c r="A20" s="284" t="s">
        <v>82</v>
      </c>
      <c r="B20" s="150" t="s">
        <v>259</v>
      </c>
      <c r="C20" s="112">
        <f>'Input data meat and eggs'!D17</f>
        <v>0.11892205642985713</v>
      </c>
      <c r="D20" s="269" t="s">
        <v>473</v>
      </c>
      <c r="E20" s="320">
        <f>IF($F$1="GWP100 without fb",E21+E22*'Common input data'!$C$5+E23*'Common input data'!$D$5,IF($F$1="GWP100 with fb",E21+E22*'Common input data'!$C$6+E23*'Common input data'!$D$6,IF($F$1="GTP100 without fb",E21+E22*'Common input data'!$C$7+E23*'Common input data'!$D$7,IF($F$1="GTP100 with fb",E21+E22*'Common input data'!$C$8+E23*'Common input data'!$D$8,E21+E22*'Common input data'!$C$9+E23*'Common input data'!$D$9))))</f>
        <v>2.9125243600681525</v>
      </c>
      <c r="F20" s="302">
        <f>IF($F$1="GWP100 without fb",F21+F22*'Common input data'!$C$5+F23*'Common input data'!$D$5,IF($F$1="GWP100 with fb",F21+F22*'Common input data'!$C$6+F23*'Common input data'!$D$6,IF($F$1="GTP100 without fb",F21+F22*'Common input data'!$C$7+F23*'Common input data'!$D$7,IF($F$1="GTP100 with fb",F21+F22*'Common input data'!$C$8+F23*'Common input data'!$D$8,F21+F22*'Common input data'!$C$9+F23*'Common input data'!$D$9))))</f>
        <v>4.6395025538206625</v>
      </c>
      <c r="G20" s="321">
        <f>IF($F$1="GWP100 without fb",G21+G22*'Common input data'!$C$5+G23*'Common input data'!$D$5,IF($F$1="GWP100 with fb",G21+G22*'Common input data'!$C$6+G23*'Common input data'!$D$6,IF($F$1="GTP100 without fb",G21+G22*'Common input data'!$C$7+G23*'Common input data'!$D$7,IF($F$1="GTP100 with fb",G21+G22*'Common input data'!$C$8+G23*'Common input data'!$D$8,G21+G22*'Common input data'!$C$9+G23*'Common input data'!$D$9))))</f>
        <v>5.8338505559523615</v>
      </c>
      <c r="H20" s="104"/>
      <c r="I20" s="104"/>
      <c r="J20" s="104"/>
      <c r="K20" s="106"/>
      <c r="L20" s="106"/>
      <c r="T20" s="107"/>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c r="IW20" s="64"/>
      <c r="IX20" s="64"/>
      <c r="IY20" s="64"/>
      <c r="IZ20" s="64"/>
      <c r="JA20" s="64"/>
      <c r="JB20" s="64"/>
      <c r="JC20" s="64"/>
      <c r="JD20" s="64"/>
      <c r="JE20" s="64"/>
      <c r="JF20" s="64"/>
      <c r="JG20" s="64"/>
      <c r="JH20" s="64"/>
      <c r="JI20" s="64"/>
      <c r="JJ20" s="64"/>
      <c r="JK20" s="64"/>
      <c r="JL20" s="64"/>
      <c r="JM20" s="64"/>
      <c r="JN20" s="64"/>
      <c r="JO20" s="64"/>
      <c r="JP20" s="64"/>
      <c r="JQ20" s="64"/>
      <c r="JR20" s="64"/>
      <c r="JS20" s="64"/>
      <c r="JT20" s="64"/>
      <c r="JU20" s="64"/>
      <c r="JV20" s="64"/>
      <c r="JW20" s="64"/>
      <c r="JX20" s="64"/>
      <c r="JY20" s="64"/>
      <c r="JZ20" s="64"/>
      <c r="KA20" s="64"/>
      <c r="KB20" s="64"/>
      <c r="KC20" s="64"/>
      <c r="KD20" s="64"/>
      <c r="KE20" s="64"/>
      <c r="KF20" s="64"/>
      <c r="KG20" s="64"/>
      <c r="KH20" s="64"/>
      <c r="KI20" s="64"/>
      <c r="KJ20" s="64"/>
      <c r="KK20" s="64"/>
      <c r="KL20" s="64"/>
      <c r="KM20" s="64"/>
      <c r="KN20" s="64"/>
      <c r="KO20" s="64"/>
      <c r="KP20" s="64"/>
      <c r="KQ20" s="64"/>
      <c r="KR20" s="64"/>
      <c r="KS20" s="64"/>
      <c r="KT20" s="64"/>
      <c r="KU20" s="64"/>
      <c r="KV20" s="64"/>
      <c r="KW20" s="64"/>
      <c r="KX20" s="64"/>
      <c r="KY20" s="64"/>
      <c r="KZ20" s="64"/>
      <c r="LA20" s="64"/>
      <c r="LB20" s="64"/>
      <c r="LC20" s="64"/>
      <c r="LD20" s="64"/>
      <c r="LE20" s="64"/>
      <c r="LF20" s="64"/>
      <c r="LG20" s="64"/>
      <c r="LH20" s="64"/>
      <c r="LI20" s="64"/>
      <c r="LJ20" s="64"/>
      <c r="LK20" s="64"/>
      <c r="LL20" s="64"/>
      <c r="LM20" s="64"/>
      <c r="LN20" s="64"/>
      <c r="LO20" s="64"/>
      <c r="LP20" s="64"/>
      <c r="LQ20" s="64"/>
      <c r="LR20" s="64"/>
      <c r="LS20" s="64"/>
      <c r="LT20" s="64"/>
      <c r="LU20" s="64"/>
      <c r="LV20" s="64"/>
      <c r="LW20" s="64"/>
      <c r="LX20" s="64"/>
      <c r="LY20" s="64"/>
      <c r="LZ20" s="64"/>
      <c r="MA20" s="64"/>
      <c r="MB20" s="64"/>
      <c r="MC20" s="64"/>
      <c r="MD20" s="64"/>
      <c r="ME20" s="64"/>
      <c r="MF20" s="64"/>
      <c r="MG20" s="64"/>
      <c r="MH20" s="64"/>
      <c r="MI20" s="64"/>
      <c r="MJ20" s="64"/>
      <c r="MK20" s="64"/>
      <c r="ML20" s="64"/>
      <c r="MM20" s="64"/>
      <c r="MN20" s="64"/>
      <c r="MO20" s="64"/>
      <c r="MP20" s="64"/>
      <c r="MQ20" s="64"/>
      <c r="MR20" s="64"/>
      <c r="MS20" s="64"/>
      <c r="MT20" s="64"/>
      <c r="MU20" s="64"/>
      <c r="MV20" s="64"/>
      <c r="MW20" s="64"/>
      <c r="MX20" s="64"/>
      <c r="MY20" s="64"/>
      <c r="MZ20" s="64"/>
      <c r="NA20" s="64"/>
      <c r="NB20" s="64"/>
      <c r="NC20" s="64"/>
      <c r="ND20" s="64"/>
      <c r="NE20" s="64"/>
      <c r="NF20" s="64"/>
      <c r="NG20" s="64"/>
      <c r="NH20" s="64"/>
      <c r="NI20" s="64"/>
      <c r="NJ20" s="64"/>
      <c r="NK20" s="64"/>
      <c r="NL20" s="64"/>
      <c r="NM20" s="64"/>
      <c r="NN20" s="64"/>
      <c r="NO20" s="64"/>
      <c r="NP20" s="64"/>
      <c r="NQ20" s="64"/>
      <c r="NR20" s="64"/>
      <c r="NS20" s="64"/>
      <c r="NT20" s="64"/>
      <c r="NU20" s="64"/>
      <c r="NV20" s="64"/>
      <c r="NW20" s="64"/>
      <c r="NX20" s="64"/>
      <c r="NY20" s="64"/>
      <c r="NZ20" s="64"/>
      <c r="OA20" s="64"/>
      <c r="OB20" s="64"/>
      <c r="OC20" s="64"/>
      <c r="OD20" s="64"/>
      <c r="OE20" s="64"/>
      <c r="OF20" s="64"/>
      <c r="OG20" s="64"/>
      <c r="OH20" s="64"/>
      <c r="OI20" s="64"/>
      <c r="OJ20" s="64"/>
      <c r="OK20" s="64"/>
      <c r="OL20" s="64"/>
    </row>
    <row r="21" spans="1:402" x14ac:dyDescent="0.3">
      <c r="A21" s="144"/>
      <c r="D21" s="83" t="s">
        <v>164</v>
      </c>
      <c r="E21" s="258">
        <f>IF(AND($F$2="No",$F$3="No"),SUM(I21:L21),IF(AND($F$2="Yes", $F$3="No"), SUM(I21:L21)+N21, IF(AND($F$2="No", $F$3="Yes"),SUM(I21:L21)+M21, SUM(I21:L21)+N21+M21)))</f>
        <v>0.49506004556041</v>
      </c>
      <c r="F21" s="85">
        <f>IF(AND($F$2="No",$F$3="No"),SUM(H21:L21,O21),IF(AND($F$2="Yes", $F$3="No"), SUM(H21:L21,O21)+N21, IF(AND($F$2="No", $F$3="Yes"),SUM(H21:L21,O21)+M21, SUM(H21:L21,O21)+N21+M21)))</f>
        <v>1.8375995268621432</v>
      </c>
      <c r="G21" s="278">
        <f>SUM(Q21:S21)/(1-'Common input data'!B$126)</f>
        <v>2.7583479431166862</v>
      </c>
      <c r="H21" s="85">
        <f>'Input data meat and eggs'!$D$123*('Input data meat and eggs'!B62*'Input data meat and eggs'!B35+'Input data meat and eggs'!B63*'Input data meat and eggs'!B36+'Input data meat and eggs'!B64*SUMPRODUCT('Input data meat and eggs'!B37:'Input data meat and eggs'!B46,'Input data meat and eggs'!B65:'Input data meat and eggs'!B74))*'Input data meat and eggs'!B56</f>
        <v>1.0587603363442444</v>
      </c>
      <c r="I21" s="85">
        <f>'Input data meat and eggs'!$D$123*('Input data meat and eggs'!B62*'Input data meat and eggs'!B35+'Input data meat and eggs'!B63*'Input data meat and eggs'!B36+'Input data meat and eggs'!B64*SUMPRODUCT('Input data meat and eggs'!B37:'Input data meat and eggs'!B46,'Input data meat and eggs'!B65:'Input data meat and eggs'!B74))*'Input data meat and eggs'!C56</f>
        <v>0</v>
      </c>
      <c r="J21" s="85">
        <v>0</v>
      </c>
      <c r="K21" s="154">
        <v>0</v>
      </c>
      <c r="L21" s="85">
        <v>0</v>
      </c>
      <c r="M21" s="85">
        <f>'Input data meat and eggs'!D123*(('Input data meat and eggs'!B62*'Common input data'!B13)+('Input data meat and eggs'!B64*('Input data meat and eggs'!B65*'Common input data'!B13*'Common input data'!G28/'Common input data'!F28+'Input data meat and eggs'!B69*'Common input data'!D13*'Common input data'!G26/'Common input data'!F26+'Input data meat and eggs'!B71*'Common input data'!C13*'Common input data'!G30/'Common input data'!F30+'Input data meat and eggs'!B72*'Common input data'!C13)))</f>
        <v>0.43582310724326384</v>
      </c>
      <c r="N21" s="85">
        <f>'Input data meat and eggs'!D123*'Input data meat and eggs'!B64*'Input data meat and eggs'!B71*'Common input data'!B21*'Common input data'!G30/'Common input data'!F30</f>
        <v>5.9236938317146166E-2</v>
      </c>
      <c r="O21" s="85">
        <f>(('Input data meat and eggs'!B78*'Input data meat and eggs'!D101+'Input data meat and eggs'!B79*'Input data meat and eggs'!D110)*'Common input data'!C63)/'Input data meat and eggs'!D101</f>
        <v>0.28377914495748874</v>
      </c>
      <c r="P21" s="85">
        <f>'Input data meat and eggs'!B90*'Common input data'!C63+'Input data meat and eggs'!C90*3.6*'Common input data'!B49</f>
        <v>0.44801379726027402</v>
      </c>
      <c r="Q21" s="85">
        <f>F21+P21</f>
        <v>2.2856133241224175</v>
      </c>
      <c r="R21" s="90">
        <f>'Common input data'!B92</f>
        <v>0.1</v>
      </c>
      <c r="S21" s="90">
        <f>'Common input data'!B99+'Common input data'!C99</f>
        <v>0.13</v>
      </c>
      <c r="T21" s="871"/>
    </row>
    <row r="22" spans="1:402" x14ac:dyDescent="0.3">
      <c r="A22" s="144"/>
      <c r="C22" s="84"/>
      <c r="D22" s="83" t="s">
        <v>165</v>
      </c>
      <c r="E22" s="258">
        <f>SUM(I22:L22)</f>
        <v>3.3121053015770716E-2</v>
      </c>
      <c r="F22" s="85">
        <f>SUM(H22:L22,O22)</f>
        <v>3.3453966178879316E-2</v>
      </c>
      <c r="G22" s="278">
        <f>SUM(Q22:S22)/(1-'Common input data'!B$126)</f>
        <v>3.6734432874582286E-2</v>
      </c>
      <c r="H22" s="85">
        <f>'Input data meat and eggs'!$D$123*('Input data meat and eggs'!B62*'Input data meat and eggs'!C35+'Input data meat and eggs'!B63*'Input data meat and eggs'!C36+'Input data meat and eggs'!B64*SUMPRODUCT('Input data meat and eggs'!C37:'Input data meat and eggs'!C46,'Input data meat and eggs'!B65:'Input data meat and eggs'!B74))*'Input data meat and eggs'!B57</f>
        <v>3.3291316310860014E-4</v>
      </c>
      <c r="I22" s="85">
        <f>'Input data meat and eggs'!$D$123*('Input data meat and eggs'!B62*'Input data meat and eggs'!C35+'Input data meat and eggs'!B63*'Input data meat and eggs'!C36+'Input data meat and eggs'!B64*SUMPRODUCT('Input data meat and eggs'!C37:'Input data meat and eggs'!C46,'Input data meat and eggs'!B65:'Input data meat and eggs'!B74))*'Input data meat and eggs'!C57</f>
        <v>0</v>
      </c>
      <c r="J22" s="85">
        <f>('Input data meat and eggs'!D191*'Input data meat and eggs'!D192*'Input data meat and eggs'!D193*('Input data meat and eggs'!D132*'Input data meat and eggs'!D182+'Input data meat and eggs'!D133*'Input data meat and eggs'!D183+('Input data meat and eggs'!D135*'Input data meat and eggs'!D184+'Input data meat and eggs'!D136*'Input data meat and eggs'!D184+'Input data meat and eggs'!D137*'Input data meat and eggs'!D185+'Input data meat and eggs'!D138*'Input data meat and eggs'!D186)))/'Input data meat and eggs'!D101</f>
        <v>2.6561963447486858E-2</v>
      </c>
      <c r="K22" s="154">
        <v>0</v>
      </c>
      <c r="L22" s="85">
        <f>('Input data meat and eggs'!D114*('Input data meat and eggs'!D107+'Input data meat and eggs'!D108)+'Input data meat and eggs'!D115*'Input data meat and eggs'!D109*'Input data meat and eggs'!B97/365+'Input data meat and eggs'!D116*'Input data meat and eggs'!D110*'Input data meat and eggs'!B96/365)/'Input data meat and eggs'!D101</f>
        <v>6.5590895682838563E-3</v>
      </c>
      <c r="M22" s="85">
        <v>0</v>
      </c>
      <c r="N22" s="85">
        <v>0</v>
      </c>
      <c r="O22" s="85">
        <v>0</v>
      </c>
      <c r="P22" s="85">
        <f>'Input data meat and eggs'!C90*3.6*'Common input data'!B50</f>
        <v>4.7836602739726037E-5</v>
      </c>
      <c r="Q22" s="85">
        <f>F22+P22</f>
        <v>3.3501802781619044E-2</v>
      </c>
      <c r="R22" s="90">
        <v>0</v>
      </c>
      <c r="S22" s="90">
        <v>0</v>
      </c>
      <c r="T22" s="871"/>
    </row>
    <row r="23" spans="1:402" x14ac:dyDescent="0.3">
      <c r="A23" s="144"/>
      <c r="C23" s="85"/>
      <c r="D23" s="84" t="s">
        <v>166</v>
      </c>
      <c r="E23" s="258">
        <f>SUM(I23:L23)</f>
        <v>4.3333842683608674E-3</v>
      </c>
      <c r="F23" s="85">
        <f>SUM(H23:L23,O23)</f>
        <v>5.5854636807940363E-3</v>
      </c>
      <c r="G23" s="278">
        <f>SUM(Q23:S23)/(1-'Common input data'!B$126)</f>
        <v>6.1293016614089859E-3</v>
      </c>
      <c r="H23" s="85">
        <f>'Input data meat and eggs'!$D$123*('Input data meat and eggs'!B62*'Input data meat and eggs'!D35+'Input data meat and eggs'!B63*'Input data meat and eggs'!D36+'Input data meat and eggs'!B64*SUMPRODUCT('Input data meat and eggs'!D37:'Input data meat and eggs'!D46,'Input data meat and eggs'!B65:'Input data meat and eggs'!B74))*'Input data meat and eggs'!B58</f>
        <v>1.2520794124331689E-3</v>
      </c>
      <c r="I23" s="85">
        <f>'Input data meat and eggs'!$D$123*('Input data meat and eggs'!B62*'Input data meat and eggs'!D35+'Input data meat and eggs'!B63*'Input data meat and eggs'!D36+'Input data meat and eggs'!B64*SUMPRODUCT('Input data meat and eggs'!D37:'Input data meat and eggs'!D46,'Input data meat and eggs'!B65:'Input data meat and eggs'!B74))*'Input data meat and eggs'!C58</f>
        <v>3.1647520853473935E-3</v>
      </c>
      <c r="J23" s="85">
        <f>((SUM('Input data meat and eggs'!D165:D168)*'Input data meat and eggs'!D187+SUM('Input data meat and eggs'!D170:D173)*'Input data meat and eggs'!D188+SUM('Input data meat and eggs'!D175:D178)*'Input data meat and eggs'!D189)*44/28)/'Input data meat and eggs'!D101</f>
        <v>5.9977248497583905E-4</v>
      </c>
      <c r="K23" s="154">
        <f>SUM('Input data meat and eggs'!D216:D229)*'Input data meat and eggs'!D190*44/28/'Input data meat and eggs'!D101</f>
        <v>5.6885969803763476E-4</v>
      </c>
      <c r="L23" s="85">
        <v>0</v>
      </c>
      <c r="M23" s="85">
        <v>0</v>
      </c>
      <c r="N23" s="85">
        <v>0</v>
      </c>
      <c r="O23" s="85">
        <v>0</v>
      </c>
      <c r="P23" s="85">
        <f>'Input data meat and eggs'!C90*3.6*'Common input data'!B51</f>
        <v>4.4594344109589041E-6</v>
      </c>
      <c r="Q23" s="85">
        <f>F23+P23</f>
        <v>5.589923115204995E-3</v>
      </c>
      <c r="R23" s="90">
        <v>0</v>
      </c>
      <c r="S23" s="90">
        <v>0</v>
      </c>
      <c r="T23" s="871"/>
    </row>
    <row r="24" spans="1:402" s="102" customFormat="1" x14ac:dyDescent="0.3">
      <c r="A24" s="284" t="s">
        <v>70</v>
      </c>
      <c r="B24" s="150" t="s">
        <v>259</v>
      </c>
      <c r="C24" s="112">
        <f>'Input data meat and eggs'!D18</f>
        <v>7.2701970465684621E-2</v>
      </c>
      <c r="D24" s="269" t="s">
        <v>473</v>
      </c>
      <c r="E24" s="320">
        <f>IF($F$1="GWP100 without fb",E25+E26*'Common input data'!$C$5+E27*'Common input data'!$D$5,IF($F$1="GWP100 with fb",E25+E26*'Common input data'!$C$6+E27*'Common input data'!$D$6,IF($F$1="GTP100 without fb",E25+E26*'Common input data'!$C$7+E27*'Common input data'!$D$7,IF($F$1="GTP100 with fb",E25+E26*'Common input data'!$C$8+E27*'Common input data'!$D$8,E25+E26*'Common input data'!$C$9+E27*'Common input data'!$D$9))))</f>
        <v>2.5775774975071886</v>
      </c>
      <c r="F24" s="302">
        <f>IF($F$1="GWP100 without fb",F25+F26*'Common input data'!$C$5+F27*'Common input data'!$D$5,IF($F$1="GWP100 with fb",F25+F26*'Common input data'!$C$6+F27*'Common input data'!$D$6,IF($F$1="GTP100 without fb",F25+F26*'Common input data'!$C$7+F27*'Common input data'!$D$7,IF($F$1="GTP100 with fb",F25+F26*'Common input data'!$C$8+F27*'Common input data'!$D$8,F25+F26*'Common input data'!$C$9+F27*'Common input data'!$D$9))))</f>
        <v>4.2654131530626493</v>
      </c>
      <c r="G24" s="321">
        <f>IF($F$1="GWP100 without fb",G25+G26*'Common input data'!$C$5+G27*'Common input data'!$D$5,IF($F$1="GWP100 with fb",G25+G26*'Common input data'!$C$6+G27*'Common input data'!$D$6,IF($F$1="GTP100 without fb",G25+G26*'Common input data'!$C$7+G27*'Common input data'!$D$7,IF($F$1="GTP100 with fb",G25+G26*'Common input data'!$C$8+G27*'Common input data'!$D$8,G25+G26*'Common input data'!$C$9+G27*'Common input data'!$D$9))))</f>
        <v>5.5333139323141882</v>
      </c>
      <c r="H24" s="104"/>
      <c r="I24" s="104"/>
      <c r="J24" s="104"/>
      <c r="K24" s="106"/>
      <c r="L24" s="106"/>
      <c r="T24" s="107"/>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c r="IW24" s="64"/>
      <c r="IX24" s="64"/>
      <c r="IY24" s="64"/>
      <c r="IZ24" s="64"/>
      <c r="JA24" s="64"/>
      <c r="JB24" s="64"/>
      <c r="JC24" s="64"/>
      <c r="JD24" s="64"/>
      <c r="JE24" s="64"/>
      <c r="JF24" s="64"/>
      <c r="JG24" s="64"/>
      <c r="JH24" s="64"/>
      <c r="JI24" s="64"/>
      <c r="JJ24" s="64"/>
      <c r="JK24" s="64"/>
      <c r="JL24" s="64"/>
      <c r="JM24" s="64"/>
      <c r="JN24" s="64"/>
      <c r="JO24" s="64"/>
      <c r="JP24" s="64"/>
      <c r="JQ24" s="64"/>
      <c r="JR24" s="64"/>
      <c r="JS24" s="64"/>
      <c r="JT24" s="64"/>
      <c r="JU24" s="64"/>
      <c r="JV24" s="64"/>
      <c r="JW24" s="64"/>
      <c r="JX24" s="64"/>
      <c r="JY24" s="64"/>
      <c r="JZ24" s="64"/>
      <c r="KA24" s="64"/>
      <c r="KB24" s="64"/>
      <c r="KC24" s="64"/>
      <c r="KD24" s="64"/>
      <c r="KE24" s="64"/>
      <c r="KF24" s="64"/>
      <c r="KG24" s="64"/>
      <c r="KH24" s="64"/>
      <c r="KI24" s="64"/>
      <c r="KJ24" s="64"/>
      <c r="KK24" s="64"/>
      <c r="KL24" s="64"/>
      <c r="KM24" s="64"/>
      <c r="KN24" s="64"/>
      <c r="KO24" s="64"/>
      <c r="KP24" s="64"/>
      <c r="KQ24" s="64"/>
      <c r="KR24" s="64"/>
      <c r="KS24" s="64"/>
      <c r="KT24" s="64"/>
      <c r="KU24" s="64"/>
      <c r="KV24" s="64"/>
      <c r="KW24" s="64"/>
      <c r="KX24" s="64"/>
      <c r="KY24" s="64"/>
      <c r="KZ24" s="64"/>
      <c r="LA24" s="64"/>
      <c r="LB24" s="64"/>
      <c r="LC24" s="64"/>
      <c r="LD24" s="64"/>
      <c r="LE24" s="64"/>
      <c r="LF24" s="64"/>
      <c r="LG24" s="64"/>
      <c r="LH24" s="64"/>
      <c r="LI24" s="64"/>
      <c r="LJ24" s="64"/>
      <c r="LK24" s="64"/>
      <c r="LL24" s="64"/>
      <c r="LM24" s="64"/>
      <c r="LN24" s="64"/>
      <c r="LO24" s="64"/>
      <c r="LP24" s="64"/>
      <c r="LQ24" s="64"/>
      <c r="LR24" s="64"/>
      <c r="LS24" s="64"/>
      <c r="LT24" s="64"/>
      <c r="LU24" s="64"/>
      <c r="LV24" s="64"/>
      <c r="LW24" s="64"/>
      <c r="LX24" s="64"/>
      <c r="LY24" s="64"/>
      <c r="LZ24" s="64"/>
      <c r="MA24" s="64"/>
      <c r="MB24" s="64"/>
      <c r="MC24" s="64"/>
      <c r="MD24" s="64"/>
      <c r="ME24" s="64"/>
      <c r="MF24" s="64"/>
      <c r="MG24" s="64"/>
      <c r="MH24" s="64"/>
      <c r="MI24" s="64"/>
      <c r="MJ24" s="64"/>
      <c r="MK24" s="64"/>
      <c r="ML24" s="64"/>
      <c r="MM24" s="64"/>
      <c r="MN24" s="64"/>
      <c r="MO24" s="64"/>
      <c r="MP24" s="64"/>
      <c r="MQ24" s="64"/>
      <c r="MR24" s="64"/>
      <c r="MS24" s="64"/>
      <c r="MT24" s="64"/>
      <c r="MU24" s="64"/>
      <c r="MV24" s="64"/>
      <c r="MW24" s="64"/>
      <c r="MX24" s="64"/>
      <c r="MY24" s="64"/>
      <c r="MZ24" s="64"/>
      <c r="NA24" s="64"/>
      <c r="NB24" s="64"/>
      <c r="NC24" s="64"/>
      <c r="ND24" s="64"/>
      <c r="NE24" s="64"/>
      <c r="NF24" s="64"/>
      <c r="NG24" s="64"/>
      <c r="NH24" s="64"/>
      <c r="NI24" s="64"/>
      <c r="NJ24" s="64"/>
      <c r="NK24" s="64"/>
      <c r="NL24" s="64"/>
      <c r="NM24" s="64"/>
      <c r="NN24" s="64"/>
      <c r="NO24" s="64"/>
      <c r="NP24" s="64"/>
      <c r="NQ24" s="64"/>
      <c r="NR24" s="64"/>
      <c r="NS24" s="64"/>
      <c r="NT24" s="64"/>
      <c r="NU24" s="64"/>
      <c r="NV24" s="64"/>
      <c r="NW24" s="64"/>
      <c r="NX24" s="64"/>
      <c r="NY24" s="64"/>
      <c r="NZ24" s="64"/>
      <c r="OA24" s="64"/>
      <c r="OB24" s="64"/>
      <c r="OC24" s="64"/>
      <c r="OD24" s="64"/>
      <c r="OE24" s="64"/>
      <c r="OF24" s="64"/>
      <c r="OG24" s="64"/>
      <c r="OH24" s="64"/>
      <c r="OI24" s="64"/>
      <c r="OJ24" s="64"/>
      <c r="OK24" s="64"/>
      <c r="OL24" s="64"/>
    </row>
    <row r="25" spans="1:402" x14ac:dyDescent="0.3">
      <c r="A25" s="144"/>
      <c r="D25" s="83" t="s">
        <v>164</v>
      </c>
      <c r="E25" s="258">
        <f>IF(AND($F$2="No",$F$3="No"),SUM(I25:L25),IF(AND($F$2="Yes", $F$3="No"), SUM(I25:L25)+N25, IF(AND($F$2="No", $F$3="Yes"),SUM(I25:L25)+M25, SUM(I25:L25)+N25+M25)))</f>
        <v>0.48163299489864531</v>
      </c>
      <c r="F25" s="85">
        <f>IF(AND($F$2="No",$F$3="No"),SUM(H25:L25,O25),IF(AND($F$2="Yes", $F$3="No"), SUM(H25:L25,O25)+N25, IF(AND($F$2="No", $F$3="Yes"),SUM(H25:L25,O25)+M25, SUM(H25:L25,O25)+N25+M25)))</f>
        <v>1.795456709694381</v>
      </c>
      <c r="G25" s="278">
        <f>SUM(Q25:S25)/(1-'Common input data'!B$126)</f>
        <v>2.8217878365730868</v>
      </c>
      <c r="H25" s="85">
        <f>AVERAGE(H13,H17,H21)</f>
        <v>1.030044569838247</v>
      </c>
      <c r="I25" s="85">
        <f t="shared" ref="I25:N27" si="3">AVERAGE(I13,I17,I21)</f>
        <v>0</v>
      </c>
      <c r="J25" s="85">
        <f t="shared" si="3"/>
        <v>0</v>
      </c>
      <c r="K25" s="85">
        <f t="shared" si="3"/>
        <v>0</v>
      </c>
      <c r="L25" s="85">
        <f>AVERAGE(L13,L17,L21)</f>
        <v>0</v>
      </c>
      <c r="M25" s="85">
        <f>AVERAGE(M13,M17,M21)</f>
        <v>0.42400268466422347</v>
      </c>
      <c r="N25" s="85">
        <f t="shared" si="3"/>
        <v>5.7630310234421805E-2</v>
      </c>
      <c r="O25" s="85">
        <f>O21</f>
        <v>0.28377914495748874</v>
      </c>
      <c r="P25" s="85">
        <f>'Input data meat and eggs'!B90*'Common input data'!C63+'Input data meat and eggs'!C90*3.6*'Common input data'!B49</f>
        <v>0.44801379726027402</v>
      </c>
      <c r="Q25" s="85">
        <f>F25+P25</f>
        <v>2.243470506954655</v>
      </c>
      <c r="R25" s="90">
        <f>'Common input data'!B92</f>
        <v>0.1</v>
      </c>
      <c r="S25" s="90">
        <f>'Common input data'!B102+'Common input data'!C102</f>
        <v>0.23000000000000004</v>
      </c>
      <c r="T25" s="871"/>
    </row>
    <row r="26" spans="1:402" x14ac:dyDescent="0.3">
      <c r="A26" s="144"/>
      <c r="C26" s="85"/>
      <c r="D26" s="83" t="s">
        <v>165</v>
      </c>
      <c r="E26" s="258">
        <f>SUM(I26:L26)</f>
        <v>2.7649582072363309E-2</v>
      </c>
      <c r="F26" s="85">
        <f>SUM(H26:L26,O26)</f>
        <v>2.7973465943071697E-2</v>
      </c>
      <c r="G26" s="278">
        <f>SUM(Q26:S26)/(1-'Common input data'!B$126)</f>
        <v>3.0725112440582701E-2</v>
      </c>
      <c r="H26" s="85">
        <f>AVERAGE(H14,H18,H22)</f>
        <v>3.2388387070838757E-4</v>
      </c>
      <c r="I26" s="85">
        <f t="shared" si="3"/>
        <v>0</v>
      </c>
      <c r="J26" s="85">
        <f t="shared" si="3"/>
        <v>1.9696184582312065E-2</v>
      </c>
      <c r="K26" s="85">
        <f t="shared" si="3"/>
        <v>0</v>
      </c>
      <c r="L26" s="85">
        <f>AVERAGE(L14,L18,L22)</f>
        <v>7.9533974900512436E-3</v>
      </c>
      <c r="M26" s="85">
        <f t="shared" si="3"/>
        <v>0</v>
      </c>
      <c r="N26" s="85">
        <f t="shared" si="3"/>
        <v>0</v>
      </c>
      <c r="O26" s="85">
        <f>O22</f>
        <v>0</v>
      </c>
      <c r="P26" s="85">
        <f>'Input data meat and eggs'!C90*3.6*'Common input data'!B50</f>
        <v>4.7836602739726037E-5</v>
      </c>
      <c r="Q26" s="85">
        <f>F26+P26</f>
        <v>2.8021302545811422E-2</v>
      </c>
      <c r="R26" s="90">
        <v>0</v>
      </c>
      <c r="S26" s="90">
        <v>0</v>
      </c>
      <c r="T26" s="871"/>
    </row>
    <row r="27" spans="1:402" x14ac:dyDescent="0.3">
      <c r="A27" s="144"/>
      <c r="C27" s="84"/>
      <c r="D27" s="84" t="s">
        <v>166</v>
      </c>
      <c r="E27" s="771">
        <f>SUM(I27:L27)</f>
        <v>3.8787205105643989E-3</v>
      </c>
      <c r="F27" s="101">
        <f>SUM(H27:L27,O27)</f>
        <v>5.096840943972585E-3</v>
      </c>
      <c r="G27" s="521">
        <f>SUM(Q27:S27)/(1-'Common input data'!B$126)</f>
        <v>5.5935311166486227E-3</v>
      </c>
      <c r="H27" s="85">
        <f>AVERAGE(H15,H19,H23)</f>
        <v>1.2181204334081866E-3</v>
      </c>
      <c r="I27" s="85">
        <f t="shared" si="3"/>
        <v>3.0789174740452788E-3</v>
      </c>
      <c r="J27" s="85">
        <f t="shared" si="3"/>
        <v>5.0353012826412152E-4</v>
      </c>
      <c r="K27" s="85">
        <f t="shared" si="3"/>
        <v>2.9627290825499865E-4</v>
      </c>
      <c r="L27" s="85">
        <f>AVERAGE(L15,L19,L23)</f>
        <v>0</v>
      </c>
      <c r="M27" s="85">
        <f>AVERAGE(M15,M19,M23)</f>
        <v>0</v>
      </c>
      <c r="N27" s="85">
        <f t="shared" si="3"/>
        <v>0</v>
      </c>
      <c r="O27" s="85">
        <f>O23</f>
        <v>0</v>
      </c>
      <c r="P27" s="85">
        <f>'Input data meat and eggs'!C90*3.6*'Common input data'!B51</f>
        <v>4.4594344109589041E-6</v>
      </c>
      <c r="Q27" s="85">
        <f>F27+P27</f>
        <v>5.1013003783835437E-3</v>
      </c>
      <c r="R27" s="90">
        <v>0</v>
      </c>
      <c r="S27" s="90">
        <v>0</v>
      </c>
      <c r="T27" s="871"/>
    </row>
    <row r="28" spans="1:402" s="416" customFormat="1" x14ac:dyDescent="0.3">
      <c r="A28" s="426" t="s">
        <v>564</v>
      </c>
      <c r="B28" s="412"/>
      <c r="C28" s="413"/>
      <c r="D28" s="414"/>
      <c r="E28" s="767" t="s">
        <v>789</v>
      </c>
      <c r="F28" s="768" t="s">
        <v>789</v>
      </c>
      <c r="G28" s="590" t="s">
        <v>789</v>
      </c>
      <c r="H28" s="413"/>
      <c r="I28" s="413"/>
      <c r="J28" s="413"/>
      <c r="K28" s="415"/>
      <c r="L28" s="415"/>
      <c r="O28" s="417"/>
      <c r="T28" s="107"/>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4"/>
      <c r="GT28" s="64"/>
      <c r="GU28" s="64"/>
      <c r="GV28" s="64"/>
      <c r="GW28" s="64"/>
      <c r="GX28" s="64"/>
      <c r="GY28" s="64"/>
      <c r="GZ28" s="64"/>
      <c r="HA28" s="64"/>
      <c r="HB28" s="64"/>
      <c r="HC28" s="64"/>
      <c r="HD28" s="64"/>
      <c r="HE28" s="64"/>
      <c r="HF28" s="64"/>
      <c r="HG28" s="64"/>
      <c r="HH28" s="64"/>
      <c r="HI28" s="64"/>
      <c r="HJ28" s="64"/>
      <c r="HK28" s="64"/>
      <c r="HL28" s="64"/>
      <c r="HM28" s="64"/>
      <c r="HN28" s="64"/>
      <c r="HO28" s="64"/>
      <c r="HP28" s="64"/>
      <c r="HQ28" s="64"/>
      <c r="HR28" s="64"/>
      <c r="HS28" s="64"/>
      <c r="HT28" s="64"/>
      <c r="HU28" s="64"/>
      <c r="HV28" s="64"/>
      <c r="HW28" s="64"/>
      <c r="HX28" s="64"/>
      <c r="HY28" s="64"/>
      <c r="HZ28" s="64"/>
      <c r="IA28" s="64"/>
      <c r="IB28" s="64"/>
      <c r="IC28" s="64"/>
      <c r="ID28" s="64"/>
      <c r="IE28" s="64"/>
      <c r="IF28" s="64"/>
      <c r="IG28" s="64"/>
      <c r="IH28" s="64"/>
      <c r="II28" s="64"/>
      <c r="IJ28" s="64"/>
      <c r="IK28" s="64"/>
      <c r="IL28" s="64"/>
      <c r="IM28" s="64"/>
      <c r="IN28" s="64"/>
      <c r="IO28" s="64"/>
      <c r="IP28" s="64"/>
      <c r="IQ28" s="64"/>
      <c r="IR28" s="64"/>
      <c r="IS28" s="64"/>
      <c r="IT28" s="64"/>
      <c r="IU28" s="64"/>
      <c r="IV28" s="64"/>
      <c r="IW28" s="64"/>
      <c r="IX28" s="64"/>
      <c r="IY28" s="64"/>
      <c r="IZ28" s="64"/>
      <c r="JA28" s="64"/>
      <c r="JB28" s="64"/>
      <c r="JC28" s="64"/>
      <c r="JD28" s="64"/>
      <c r="JE28" s="64"/>
      <c r="JF28" s="64"/>
      <c r="JG28" s="64"/>
      <c r="JH28" s="64"/>
      <c r="JI28" s="64"/>
      <c r="JJ28" s="64"/>
      <c r="JK28" s="64"/>
      <c r="JL28" s="64"/>
      <c r="JM28" s="64"/>
      <c r="JN28" s="64"/>
      <c r="JO28" s="64"/>
      <c r="JP28" s="64"/>
      <c r="JQ28" s="64"/>
      <c r="JR28" s="64"/>
      <c r="JS28" s="64"/>
      <c r="JT28" s="64"/>
      <c r="JU28" s="64"/>
      <c r="JV28" s="64"/>
      <c r="JW28" s="64"/>
      <c r="JX28" s="64"/>
      <c r="JY28" s="64"/>
      <c r="JZ28" s="64"/>
      <c r="KA28" s="64"/>
      <c r="KB28" s="64"/>
      <c r="KC28" s="64"/>
      <c r="KD28" s="64"/>
      <c r="KE28" s="64"/>
      <c r="KF28" s="64"/>
      <c r="KG28" s="64"/>
      <c r="KH28" s="64"/>
      <c r="KI28" s="64"/>
      <c r="KJ28" s="64"/>
      <c r="KK28" s="64"/>
      <c r="KL28" s="64"/>
      <c r="KM28" s="64"/>
      <c r="KN28" s="64"/>
      <c r="KO28" s="64"/>
      <c r="KP28" s="64"/>
      <c r="KQ28" s="64"/>
      <c r="KR28" s="64"/>
      <c r="KS28" s="64"/>
      <c r="KT28" s="64"/>
      <c r="KU28" s="64"/>
      <c r="KV28" s="64"/>
      <c r="KW28" s="64"/>
      <c r="KX28" s="64"/>
      <c r="KY28" s="64"/>
      <c r="KZ28" s="64"/>
      <c r="LA28" s="64"/>
      <c r="LB28" s="64"/>
      <c r="LC28" s="64"/>
      <c r="LD28" s="64"/>
      <c r="LE28" s="64"/>
      <c r="LF28" s="64"/>
      <c r="LG28" s="64"/>
      <c r="LH28" s="64"/>
      <c r="LI28" s="64"/>
      <c r="LJ28" s="64"/>
      <c r="LK28" s="64"/>
      <c r="LL28" s="64"/>
      <c r="LM28" s="64"/>
      <c r="LN28" s="64"/>
      <c r="LO28" s="64"/>
      <c r="LP28" s="64"/>
      <c r="LQ28" s="64"/>
      <c r="LR28" s="64"/>
      <c r="LS28" s="64"/>
      <c r="LT28" s="64"/>
      <c r="LU28" s="64"/>
      <c r="LV28" s="64"/>
      <c r="LW28" s="64"/>
      <c r="LX28" s="64"/>
      <c r="LY28" s="64"/>
      <c r="LZ28" s="64"/>
      <c r="MA28" s="64"/>
      <c r="MB28" s="64"/>
      <c r="MC28" s="64"/>
      <c r="MD28" s="64"/>
      <c r="ME28" s="64"/>
      <c r="MF28" s="64"/>
      <c r="MG28" s="64"/>
      <c r="MH28" s="64"/>
      <c r="MI28" s="64"/>
      <c r="MJ28" s="64"/>
      <c r="MK28" s="64"/>
      <c r="ML28" s="64"/>
      <c r="MM28" s="64"/>
      <c r="MN28" s="64"/>
      <c r="MO28" s="64"/>
      <c r="MP28" s="64"/>
      <c r="MQ28" s="64"/>
      <c r="MR28" s="64"/>
      <c r="MS28" s="64"/>
      <c r="MT28" s="64"/>
      <c r="MU28" s="64"/>
      <c r="MV28" s="64"/>
      <c r="MW28" s="64"/>
      <c r="MX28" s="64"/>
      <c r="MY28" s="64"/>
      <c r="MZ28" s="64"/>
      <c r="NA28" s="64"/>
      <c r="NB28" s="64"/>
      <c r="NC28" s="64"/>
      <c r="ND28" s="64"/>
      <c r="NE28" s="64"/>
      <c r="NF28" s="64"/>
      <c r="NG28" s="64"/>
      <c r="NH28" s="64"/>
      <c r="NI28" s="64"/>
      <c r="NJ28" s="429"/>
      <c r="NK28" s="429"/>
      <c r="NL28" s="429"/>
      <c r="NM28" s="429"/>
      <c r="NN28" s="429"/>
      <c r="NO28" s="429"/>
      <c r="NP28" s="429"/>
      <c r="NQ28" s="429"/>
      <c r="NR28" s="429"/>
      <c r="NS28" s="429"/>
      <c r="NT28" s="429"/>
      <c r="NU28" s="429"/>
      <c r="NV28" s="429"/>
      <c r="NW28" s="429"/>
      <c r="NX28" s="429"/>
      <c r="NY28" s="429"/>
      <c r="NZ28" s="429"/>
      <c r="OA28" s="429"/>
      <c r="OB28" s="429"/>
      <c r="OC28" s="429"/>
      <c r="OD28" s="429"/>
      <c r="OE28" s="429"/>
      <c r="OF28" s="429"/>
      <c r="OG28" s="429"/>
      <c r="OH28" s="429"/>
      <c r="OI28" s="429"/>
      <c r="OJ28" s="429"/>
      <c r="OK28" s="429"/>
      <c r="OL28" s="429"/>
    </row>
    <row r="29" spans="1:402" s="102" customFormat="1" ht="13.2" customHeight="1" x14ac:dyDescent="0.3">
      <c r="A29" s="143" t="s">
        <v>260</v>
      </c>
      <c r="B29" s="150"/>
      <c r="C29" s="112">
        <f>SUM(C33:C44)</f>
        <v>1</v>
      </c>
      <c r="D29" s="269" t="s">
        <v>473</v>
      </c>
      <c r="E29" s="769">
        <f>IF($F$1="GWP100 without fb",E30+E31*'Common input data'!$C$5+E32*'Common input data'!$D$5,IF($F$1="GWP100 with fb",E30+E31*'Common input data'!$C$6+E32*'Common input data'!$D$6,IF($F$1="GTP100 without fb",E30+E31*'Common input data'!$C$7+E32*'Common input data'!$D$7,IF($F$1="GTP100 with fb",E30+E31*'Common input data'!$C$8+E32*'Common input data'!$D$8,E30+E31*'Common input data'!$C$9+E32*'Common input data'!$D$9))))</f>
        <v>1.4799901281191616</v>
      </c>
      <c r="F29" s="326">
        <f>IF($F$1="GWP100 without fb",F30+F31*'Common input data'!$C$5+F32*'Common input data'!$D$5,IF($F$1="GWP100 with fb",F30+F31*'Common input data'!$C$6+F32*'Common input data'!$D$6,IF($F$1="GTP100 without fb",F30+F31*'Common input data'!$C$7+F32*'Common input data'!$D$7,IF($F$1="GTP100 with fb",F30+F31*'Common input data'!$C$8+F32*'Common input data'!$D$8,F30+F31*'Common input data'!$C$9+F32*'Common input data'!$D$9))))</f>
        <v>2.7046863443292475</v>
      </c>
      <c r="G29" s="770">
        <f>IF($F$1="GWP100 without fb",G30+G31*'Common input data'!$C$5+G32*'Common input data'!$D$5,IF($F$1="GWP100 with fb",G30+G31*'Common input data'!$C$6+G32*'Common input data'!$D$6,IF($F$1="GTP100 without fb",G30+G31*'Common input data'!$C$7+G32*'Common input data'!$D$7,IF($F$1="GTP100 with fb",G30+G31*'Common input data'!$C$8+G32*'Common input data'!$D$8,G30+G31*'Common input data'!$C$9+G32*'Common input data'!$D$9))))</f>
        <v>3.262298031225606</v>
      </c>
      <c r="H29" s="280"/>
      <c r="I29" s="280"/>
      <c r="J29" s="280"/>
      <c r="K29" s="269"/>
      <c r="L29" s="269"/>
      <c r="O29" s="111"/>
      <c r="T29" s="431"/>
      <c r="U29" s="243"/>
      <c r="V29" s="243"/>
      <c r="W29" s="243"/>
      <c r="X29" s="242"/>
      <c r="Y29" s="243"/>
      <c r="Z29" s="243"/>
      <c r="AA29" s="243"/>
      <c r="AB29" s="243"/>
      <c r="AC29" s="243"/>
      <c r="AD29" s="243"/>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c r="IW29" s="64"/>
      <c r="IX29" s="64"/>
      <c r="IY29" s="64"/>
      <c r="IZ29" s="64"/>
      <c r="JA29" s="64"/>
      <c r="JB29" s="64"/>
      <c r="JC29" s="64"/>
      <c r="JD29" s="64"/>
      <c r="JE29" s="64"/>
      <c r="JF29" s="64"/>
      <c r="JG29" s="64"/>
      <c r="JH29" s="64"/>
      <c r="JI29" s="64"/>
      <c r="JJ29" s="64"/>
      <c r="JK29" s="64"/>
      <c r="JL29" s="64"/>
      <c r="JM29" s="64"/>
      <c r="JN29" s="64"/>
      <c r="JO29" s="64"/>
      <c r="JP29" s="64"/>
      <c r="JQ29" s="64"/>
      <c r="JR29" s="64"/>
      <c r="JS29" s="64"/>
      <c r="JT29" s="64"/>
      <c r="JU29" s="64"/>
      <c r="JV29" s="64"/>
      <c r="JW29" s="64"/>
      <c r="JX29" s="64"/>
      <c r="JY29" s="64"/>
      <c r="JZ29" s="64"/>
      <c r="KA29" s="64"/>
      <c r="KB29" s="64"/>
      <c r="KC29" s="64"/>
      <c r="KD29" s="64"/>
      <c r="KE29" s="64"/>
      <c r="KF29" s="64"/>
      <c r="KG29" s="64"/>
      <c r="KH29" s="64"/>
      <c r="KI29" s="64"/>
      <c r="KJ29" s="64"/>
      <c r="KK29" s="64"/>
      <c r="KL29" s="64"/>
      <c r="KM29" s="64"/>
      <c r="KN29" s="64"/>
      <c r="KO29" s="64"/>
      <c r="KP29" s="64"/>
      <c r="KQ29" s="64"/>
      <c r="KR29" s="64"/>
      <c r="KS29" s="64"/>
      <c r="KT29" s="64"/>
      <c r="KU29" s="64"/>
      <c r="KV29" s="64"/>
      <c r="KW29" s="64"/>
      <c r="KX29" s="64"/>
      <c r="KY29" s="64"/>
      <c r="KZ29" s="64"/>
      <c r="LA29" s="64"/>
      <c r="LB29" s="64"/>
      <c r="LC29" s="64"/>
      <c r="LD29" s="64"/>
      <c r="LE29" s="64"/>
      <c r="LF29" s="64"/>
      <c r="LG29" s="64"/>
      <c r="LH29" s="64"/>
      <c r="LI29" s="64"/>
      <c r="LJ29" s="64"/>
      <c r="LK29" s="64"/>
      <c r="LL29" s="64"/>
      <c r="LM29" s="64"/>
      <c r="LN29" s="64"/>
      <c r="LO29" s="64"/>
      <c r="LP29" s="64"/>
      <c r="LQ29" s="64"/>
      <c r="LR29" s="64"/>
      <c r="LS29" s="64"/>
      <c r="LT29" s="64"/>
      <c r="LU29" s="64"/>
      <c r="LV29" s="64"/>
      <c r="LW29" s="64"/>
      <c r="LX29" s="64"/>
      <c r="LY29" s="64"/>
      <c r="LZ29" s="64"/>
      <c r="MA29" s="64"/>
      <c r="MB29" s="64"/>
      <c r="MC29" s="64"/>
      <c r="MD29" s="64"/>
      <c r="ME29" s="64"/>
      <c r="MF29" s="64"/>
      <c r="MG29" s="64"/>
      <c r="MH29" s="64"/>
      <c r="MI29" s="64"/>
      <c r="MJ29" s="64"/>
      <c r="MK29" s="64"/>
      <c r="ML29" s="64"/>
      <c r="MM29" s="64"/>
      <c r="MN29" s="64"/>
      <c r="MO29" s="64"/>
      <c r="MP29" s="64"/>
      <c r="MQ29" s="64"/>
      <c r="MR29" s="64"/>
      <c r="MS29" s="64"/>
      <c r="MT29" s="64"/>
      <c r="MU29" s="64"/>
      <c r="MV29" s="64"/>
      <c r="MW29" s="64"/>
      <c r="MX29" s="64"/>
      <c r="MY29" s="64"/>
      <c r="MZ29" s="64"/>
      <c r="NA29" s="64"/>
      <c r="NB29" s="64"/>
      <c r="NC29" s="64"/>
      <c r="ND29" s="64"/>
      <c r="NE29" s="64"/>
      <c r="NF29" s="64"/>
      <c r="NG29" s="64"/>
      <c r="NH29" s="64"/>
      <c r="NI29" s="64"/>
      <c r="NJ29" s="64"/>
      <c r="NK29" s="64"/>
      <c r="NL29" s="64"/>
      <c r="NM29" s="64"/>
      <c r="NN29" s="64"/>
      <c r="NO29" s="64"/>
      <c r="NP29" s="64"/>
      <c r="NQ29" s="64"/>
      <c r="NR29" s="64"/>
      <c r="NS29" s="64"/>
      <c r="NT29" s="64"/>
      <c r="NU29" s="64"/>
      <c r="NV29" s="64"/>
      <c r="NW29" s="64"/>
      <c r="NX29" s="64"/>
      <c r="NY29" s="64"/>
      <c r="NZ29" s="64"/>
      <c r="OA29" s="64"/>
      <c r="OB29" s="64"/>
      <c r="OC29" s="64"/>
      <c r="OD29" s="64"/>
      <c r="OE29" s="64"/>
      <c r="OF29" s="64"/>
      <c r="OG29" s="64"/>
      <c r="OH29" s="64"/>
      <c r="OI29" s="64"/>
      <c r="OJ29" s="64"/>
      <c r="OK29" s="64"/>
      <c r="OL29" s="64"/>
    </row>
    <row r="30" spans="1:402" x14ac:dyDescent="0.3">
      <c r="A30" s="107"/>
      <c r="D30" s="83" t="s">
        <v>164</v>
      </c>
      <c r="E30" s="258">
        <f t="shared" ref="E30:G32" si="4">$C$33*E34+$C$37*E38+$C$41*E42</f>
        <v>0.63115321950705594</v>
      </c>
      <c r="F30" s="85">
        <f t="shared" si="4"/>
        <v>1.6012420339091731</v>
      </c>
      <c r="G30" s="259">
        <f t="shared" si="4"/>
        <v>2.0506007086319151</v>
      </c>
      <c r="H30" s="85">
        <f t="shared" ref="H30:K32" si="5">$C$33*H34+$C$37*H38+$C$41*H42</f>
        <v>0.8524190227802616</v>
      </c>
      <c r="I30" s="85">
        <f t="shared" si="5"/>
        <v>0</v>
      </c>
      <c r="J30" s="85">
        <f t="shared" si="5"/>
        <v>0</v>
      </c>
      <c r="K30" s="85">
        <f t="shared" si="5"/>
        <v>0</v>
      </c>
      <c r="L30" s="85">
        <f t="shared" ref="L30:S32" si="6">$C$33*L34+$C$37*L38+$C$41*L42</f>
        <v>0</v>
      </c>
      <c r="M30" s="85">
        <f t="shared" si="6"/>
        <v>0.2780389958021694</v>
      </c>
      <c r="N30" s="85">
        <f t="shared" si="6"/>
        <v>0.35311422370488665</v>
      </c>
      <c r="O30" s="85">
        <f>$C$33*O34+$C$37*O38+$C$41*O42</f>
        <v>0.11766979162185554</v>
      </c>
      <c r="P30" s="85">
        <f t="shared" si="6"/>
        <v>0.10535643707857899</v>
      </c>
      <c r="Q30" s="85">
        <f t="shared" si="6"/>
        <v>1.706598470987752</v>
      </c>
      <c r="R30" s="85">
        <f t="shared" si="6"/>
        <v>0.10000000000000002</v>
      </c>
      <c r="S30" s="85">
        <f t="shared" si="6"/>
        <v>6.3549375284554288E-2</v>
      </c>
      <c r="T30" s="107"/>
      <c r="V30" s="243"/>
      <c r="W30" s="243"/>
      <c r="X30" s="243"/>
      <c r="Y30" s="243"/>
      <c r="Z30" s="242"/>
      <c r="AA30" s="242"/>
      <c r="AB30" s="242"/>
      <c r="AC30" s="242"/>
      <c r="AD30" s="242"/>
      <c r="AE30" s="243"/>
      <c r="AF30" s="243"/>
      <c r="AG30" s="243"/>
      <c r="AH30" s="242"/>
      <c r="AI30" s="243"/>
      <c r="AJ30" s="243"/>
      <c r="AK30" s="243"/>
      <c r="AL30" s="243"/>
      <c r="AM30" s="243"/>
      <c r="AN30" s="243"/>
    </row>
    <row r="31" spans="1:402" x14ac:dyDescent="0.3">
      <c r="A31" s="141"/>
      <c r="B31" s="243"/>
      <c r="C31" s="142"/>
      <c r="D31" s="83" t="s">
        <v>165</v>
      </c>
      <c r="E31" s="258">
        <f t="shared" si="4"/>
        <v>2.9164022997693988E-3</v>
      </c>
      <c r="F31" s="85">
        <f t="shared" si="4"/>
        <v>3.4040157618564753E-3</v>
      </c>
      <c r="G31" s="259">
        <f t="shared" si="4"/>
        <v>3.7612903403814735E-3</v>
      </c>
      <c r="H31" s="85">
        <f t="shared" si="5"/>
        <v>4.8761346208707685E-4</v>
      </c>
      <c r="I31" s="85">
        <f t="shared" si="5"/>
        <v>0</v>
      </c>
      <c r="J31" s="85">
        <f t="shared" si="5"/>
        <v>2.9164022997693988E-3</v>
      </c>
      <c r="K31" s="85">
        <f t="shared" si="5"/>
        <v>0</v>
      </c>
      <c r="L31" s="85">
        <f t="shared" si="6"/>
        <v>0</v>
      </c>
      <c r="M31" s="85">
        <f t="shared" si="6"/>
        <v>0</v>
      </c>
      <c r="N31" s="85">
        <f t="shared" si="6"/>
        <v>0</v>
      </c>
      <c r="O31" s="85">
        <f>$C$33*O35+$C$37*O39+$C$41*O43</f>
        <v>0</v>
      </c>
      <c r="P31" s="85">
        <f>$C$33*P35+$C$37*P39+$C$41*P43</f>
        <v>2.6281028571428577E-5</v>
      </c>
      <c r="Q31" s="85">
        <f t="shared" si="6"/>
        <v>3.4302967904279039E-3</v>
      </c>
      <c r="R31" s="85">
        <f t="shared" si="6"/>
        <v>0</v>
      </c>
      <c r="S31" s="85">
        <f t="shared" si="6"/>
        <v>0</v>
      </c>
      <c r="T31" s="107"/>
      <c r="V31" s="251"/>
      <c r="W31" s="2"/>
      <c r="X31" s="113"/>
      <c r="Y31" s="83"/>
    </row>
    <row r="32" spans="1:402" x14ac:dyDescent="0.3">
      <c r="A32" s="141"/>
      <c r="B32" s="243"/>
      <c r="C32" s="85"/>
      <c r="D32" s="84" t="s">
        <v>166</v>
      </c>
      <c r="E32" s="258">
        <f t="shared" si="4"/>
        <v>2.515702115503175E-3</v>
      </c>
      <c r="F32" s="85">
        <f t="shared" si="4"/>
        <v>3.3144556191844108E-3</v>
      </c>
      <c r="G32" s="259">
        <f t="shared" si="4"/>
        <v>3.636957889331278E-3</v>
      </c>
      <c r="H32" s="85">
        <f t="shared" si="5"/>
        <v>7.9875350368123618E-4</v>
      </c>
      <c r="I32" s="85">
        <f t="shared" si="5"/>
        <v>2.0189269077920055E-3</v>
      </c>
      <c r="J32" s="85">
        <f t="shared" si="5"/>
        <v>4.120636778906297E-4</v>
      </c>
      <c r="K32" s="85">
        <f t="shared" si="5"/>
        <v>8.4711529820539813E-5</v>
      </c>
      <c r="L32" s="85">
        <f t="shared" si="6"/>
        <v>0</v>
      </c>
      <c r="M32" s="85">
        <f t="shared" si="6"/>
        <v>0</v>
      </c>
      <c r="N32" s="85">
        <f t="shared" si="6"/>
        <v>0</v>
      </c>
      <c r="O32" s="85">
        <f>$C$33*O36+$C$37*O40+$C$41*O44</f>
        <v>0</v>
      </c>
      <c r="P32" s="85">
        <f>$C$33*P36+$C$37*P40+$C$41*P44</f>
        <v>2.4499758857142863E-6</v>
      </c>
      <c r="Q32" s="85">
        <f t="shared" si="6"/>
        <v>3.3169055950701249E-3</v>
      </c>
      <c r="R32" s="85">
        <f t="shared" si="6"/>
        <v>0</v>
      </c>
      <c r="S32" s="85">
        <f t="shared" si="6"/>
        <v>0</v>
      </c>
      <c r="T32" s="107"/>
      <c r="V32" s="492"/>
      <c r="W32" s="2"/>
      <c r="X32" s="113"/>
      <c r="Y32" s="83"/>
    </row>
    <row r="33" spans="1:402" s="102" customFormat="1" x14ac:dyDescent="0.3">
      <c r="A33" s="143" t="s">
        <v>1</v>
      </c>
      <c r="B33" s="150" t="s">
        <v>259</v>
      </c>
      <c r="C33" s="112">
        <f>'Input data meat and eggs'!D19</f>
        <v>0.66020000000000001</v>
      </c>
      <c r="D33" s="269" t="s">
        <v>473</v>
      </c>
      <c r="E33" s="320">
        <f>IF($F$1="GWP100 without fb",E34+E35*'Common input data'!$C$5+E36*'Common input data'!$D$5,IF($F$1="GWP100 with fb",E34+E35*'Common input data'!$C$6+E36*'Common input data'!$D$6,IF($F$1="GTP100 without fb",E34+E35*'Common input data'!$C$7+E36*'Common input data'!$D$7,IF($F$1="GTP100 with fb",E34+E35*'Common input data'!$C$8+E36*'Common input data'!$D$8,E34+E35*'Common input data'!$C$9+E36*'Common input data'!$D$9))))</f>
        <v>1.4806351184777398</v>
      </c>
      <c r="F33" s="302">
        <f>IF($F$1="GWP100 without fb",F34+F35*'Common input data'!$C$5+F36*'Common input data'!$D$5,IF($F$1="GWP100 with fb",F34+F35*'Common input data'!$C$6+F36*'Common input data'!$D$6,IF($F$1="GTP100 without fb",F34+F35*'Common input data'!$C$7+F36*'Common input data'!$D$7,IF($F$1="GTP100 with fb",F34+F35*'Common input data'!$C$8+F36*'Common input data'!$D$8,F34+F35*'Common input data'!$C$9+F36*'Common input data'!$D$9))))</f>
        <v>2.6895874179780113</v>
      </c>
      <c r="G33" s="321">
        <f>IF($F$1="GWP100 without fb",G34+G35*'Common input data'!$C$5+G36*'Common input data'!$D$5,IF($F$1="GWP100 with fb",G34+G35*'Common input data'!$C$6+G36*'Common input data'!$D$6,IF($F$1="GTP100 without fb",G34+G35*'Common input data'!$C$7+G36*'Common input data'!$D$7,IF($F$1="GTP100 with fb",G34+G35*'Common input data'!$C$8+G36*'Common input data'!$D$8,G34+G35*'Common input data'!$C$9+G36*'Common input data'!$D$9))))</f>
        <v>3.2016626222342857</v>
      </c>
      <c r="H33" s="104"/>
      <c r="I33" s="104"/>
      <c r="J33" s="104"/>
      <c r="K33" s="106"/>
      <c r="L33" s="106"/>
      <c r="T33" s="107"/>
      <c r="U33" s="64"/>
      <c r="V33" s="492"/>
      <c r="W33" s="64"/>
      <c r="X33" s="88"/>
      <c r="Y33" s="8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64"/>
      <c r="EY33" s="64"/>
      <c r="EZ33" s="64"/>
      <c r="FA33" s="64"/>
      <c r="FB33" s="64"/>
      <c r="FC33" s="64"/>
      <c r="FD33" s="64"/>
      <c r="FE33" s="64"/>
      <c r="FF33" s="64"/>
      <c r="FG33" s="64"/>
      <c r="FH33" s="64"/>
      <c r="FI33" s="64"/>
      <c r="FJ33" s="64"/>
      <c r="FK33" s="64"/>
      <c r="FL33" s="64"/>
      <c r="FM33" s="64"/>
      <c r="FN33" s="64"/>
      <c r="FO33" s="64"/>
      <c r="FP33" s="64"/>
      <c r="FQ33" s="64"/>
      <c r="FR33" s="64"/>
      <c r="FS33" s="64"/>
      <c r="FT33" s="64"/>
      <c r="FU33" s="64"/>
      <c r="FV33" s="64"/>
      <c r="FW33" s="64"/>
      <c r="FX33" s="64"/>
      <c r="FY33" s="64"/>
      <c r="FZ33" s="64"/>
      <c r="GA33" s="64"/>
      <c r="GB33" s="64"/>
      <c r="GC33" s="64"/>
      <c r="GD33" s="64"/>
      <c r="GE33" s="64"/>
      <c r="GF33" s="64"/>
      <c r="GG33" s="64"/>
      <c r="GH33" s="64"/>
      <c r="GI33" s="64"/>
      <c r="GJ33" s="64"/>
      <c r="GK33" s="64"/>
      <c r="GL33" s="64"/>
      <c r="GM33" s="64"/>
      <c r="GN33" s="64"/>
      <c r="GO33" s="64"/>
      <c r="GP33" s="64"/>
      <c r="GQ33" s="64"/>
      <c r="GR33" s="64"/>
      <c r="GS33" s="64"/>
      <c r="GT33" s="64"/>
      <c r="GU33" s="64"/>
      <c r="GV33" s="64"/>
      <c r="GW33" s="64"/>
      <c r="GX33" s="64"/>
      <c r="GY33" s="64"/>
      <c r="GZ33" s="64"/>
      <c r="HA33" s="64"/>
      <c r="HB33" s="64"/>
      <c r="HC33" s="64"/>
      <c r="HD33" s="64"/>
      <c r="HE33" s="64"/>
      <c r="HF33" s="64"/>
      <c r="HG33" s="64"/>
      <c r="HH33" s="64"/>
      <c r="HI33" s="64"/>
      <c r="HJ33" s="64"/>
      <c r="HK33" s="64"/>
      <c r="HL33" s="64"/>
      <c r="HM33" s="64"/>
      <c r="HN33" s="64"/>
      <c r="HO33" s="64"/>
      <c r="HP33" s="64"/>
      <c r="HQ33" s="64"/>
      <c r="HR33" s="64"/>
      <c r="HS33" s="64"/>
      <c r="HT33" s="64"/>
      <c r="HU33" s="64"/>
      <c r="HV33" s="64"/>
      <c r="HW33" s="64"/>
      <c r="HX33" s="64"/>
      <c r="HY33" s="64"/>
      <c r="HZ33" s="64"/>
      <c r="IA33" s="64"/>
      <c r="IB33" s="64"/>
      <c r="IC33" s="64"/>
      <c r="ID33" s="64"/>
      <c r="IE33" s="64"/>
      <c r="IF33" s="64"/>
      <c r="IG33" s="64"/>
      <c r="IH33" s="64"/>
      <c r="II33" s="64"/>
      <c r="IJ33" s="64"/>
      <c r="IK33" s="64"/>
      <c r="IL33" s="64"/>
      <c r="IM33" s="64"/>
      <c r="IN33" s="64"/>
      <c r="IO33" s="64"/>
      <c r="IP33" s="64"/>
      <c r="IQ33" s="64"/>
      <c r="IR33" s="64"/>
      <c r="IS33" s="64"/>
      <c r="IT33" s="64"/>
      <c r="IU33" s="64"/>
      <c r="IV33" s="64"/>
      <c r="IW33" s="64"/>
      <c r="IX33" s="64"/>
      <c r="IY33" s="64"/>
      <c r="IZ33" s="64"/>
      <c r="JA33" s="64"/>
      <c r="JB33" s="64"/>
      <c r="JC33" s="64"/>
      <c r="JD33" s="64"/>
      <c r="JE33" s="64"/>
      <c r="JF33" s="64"/>
      <c r="JG33" s="64"/>
      <c r="JH33" s="64"/>
      <c r="JI33" s="64"/>
      <c r="JJ33" s="64"/>
      <c r="JK33" s="64"/>
      <c r="JL33" s="64"/>
      <c r="JM33" s="64"/>
      <c r="JN33" s="64"/>
      <c r="JO33" s="64"/>
      <c r="JP33" s="64"/>
      <c r="JQ33" s="64"/>
      <c r="JR33" s="64"/>
      <c r="JS33" s="64"/>
      <c r="JT33" s="64"/>
      <c r="JU33" s="64"/>
      <c r="JV33" s="64"/>
      <c r="JW33" s="64"/>
      <c r="JX33" s="64"/>
      <c r="JY33" s="64"/>
      <c r="JZ33" s="64"/>
      <c r="KA33" s="64"/>
      <c r="KB33" s="64"/>
      <c r="KC33" s="64"/>
      <c r="KD33" s="64"/>
      <c r="KE33" s="64"/>
      <c r="KF33" s="64"/>
      <c r="KG33" s="64"/>
      <c r="KH33" s="64"/>
      <c r="KI33" s="64"/>
      <c r="KJ33" s="64"/>
      <c r="KK33" s="64"/>
      <c r="KL33" s="64"/>
      <c r="KM33" s="64"/>
      <c r="KN33" s="64"/>
      <c r="KO33" s="64"/>
      <c r="KP33" s="64"/>
      <c r="KQ33" s="64"/>
      <c r="KR33" s="64"/>
      <c r="KS33" s="64"/>
      <c r="KT33" s="64"/>
      <c r="KU33" s="64"/>
      <c r="KV33" s="64"/>
      <c r="KW33" s="64"/>
      <c r="KX33" s="64"/>
      <c r="KY33" s="64"/>
      <c r="KZ33" s="64"/>
      <c r="LA33" s="64"/>
      <c r="LB33" s="64"/>
      <c r="LC33" s="64"/>
      <c r="LD33" s="64"/>
      <c r="LE33" s="64"/>
      <c r="LF33" s="64"/>
      <c r="LG33" s="64"/>
      <c r="LH33" s="64"/>
      <c r="LI33" s="64"/>
      <c r="LJ33" s="64"/>
      <c r="LK33" s="64"/>
      <c r="LL33" s="64"/>
      <c r="LM33" s="64"/>
      <c r="LN33" s="64"/>
      <c r="LO33" s="64"/>
      <c r="LP33" s="64"/>
      <c r="LQ33" s="64"/>
      <c r="LR33" s="64"/>
      <c r="LS33" s="64"/>
      <c r="LT33" s="64"/>
      <c r="LU33" s="64"/>
      <c r="LV33" s="64"/>
      <c r="LW33" s="64"/>
      <c r="LX33" s="64"/>
      <c r="LY33" s="64"/>
      <c r="LZ33" s="64"/>
      <c r="MA33" s="64"/>
      <c r="MB33" s="64"/>
      <c r="MC33" s="64"/>
      <c r="MD33" s="64"/>
      <c r="ME33" s="64"/>
      <c r="MF33" s="64"/>
      <c r="MG33" s="64"/>
      <c r="MH33" s="64"/>
      <c r="MI33" s="64"/>
      <c r="MJ33" s="64"/>
      <c r="MK33" s="64"/>
      <c r="ML33" s="64"/>
      <c r="MM33" s="64"/>
      <c r="MN33" s="64"/>
      <c r="MO33" s="64"/>
      <c r="MP33" s="64"/>
      <c r="MQ33" s="64"/>
      <c r="MR33" s="64"/>
      <c r="MS33" s="64"/>
      <c r="MT33" s="64"/>
      <c r="MU33" s="64"/>
      <c r="MV33" s="64"/>
      <c r="MW33" s="64"/>
      <c r="MX33" s="64"/>
      <c r="MY33" s="64"/>
      <c r="MZ33" s="64"/>
      <c r="NA33" s="64"/>
      <c r="NB33" s="64"/>
      <c r="NC33" s="64"/>
      <c r="ND33" s="64"/>
      <c r="NE33" s="64"/>
      <c r="NF33" s="64"/>
      <c r="NG33" s="64"/>
      <c r="NH33" s="64"/>
      <c r="NI33" s="64"/>
      <c r="NJ33" s="64"/>
      <c r="NK33" s="64"/>
      <c r="NL33" s="64"/>
      <c r="NM33" s="64"/>
      <c r="NN33" s="64"/>
      <c r="NO33" s="64"/>
      <c r="NP33" s="64"/>
      <c r="NQ33" s="64"/>
      <c r="NR33" s="64"/>
      <c r="NS33" s="64"/>
      <c r="NT33" s="64"/>
      <c r="NU33" s="64"/>
      <c r="NV33" s="64"/>
      <c r="NW33" s="64"/>
      <c r="NX33" s="64"/>
      <c r="NY33" s="64"/>
      <c r="NZ33" s="64"/>
      <c r="OA33" s="64"/>
      <c r="OB33" s="64"/>
      <c r="OC33" s="64"/>
      <c r="OD33" s="64"/>
      <c r="OE33" s="64"/>
      <c r="OF33" s="64"/>
      <c r="OG33" s="64"/>
      <c r="OH33" s="64"/>
      <c r="OI33" s="64"/>
      <c r="OJ33" s="64"/>
      <c r="OK33" s="64"/>
      <c r="OL33" s="64"/>
    </row>
    <row r="34" spans="1:402" x14ac:dyDescent="0.3">
      <c r="A34" s="144"/>
      <c r="D34" s="83" t="s">
        <v>164</v>
      </c>
      <c r="E34" s="258">
        <f>IF(AND($F$2="No",$F$3="No"),SUM(I34:L34),IF(AND($F$2="Yes", $F$3="No"), SUM(I34:L34)+N34, IF(AND($F$2="No", $F$3="Yes"),SUM(I34:L34)+M34, SUM(I34:L34)+N34+M34)))</f>
        <v>0.63434381280672247</v>
      </c>
      <c r="F34" s="85">
        <f>IF(AND($F$2="No",$F$3="No"),SUM(H34:L34,O34),IF(AND($F$2="Yes", $F$3="No"), SUM(H34:L34,O34)+N34, IF(AND($F$2="No", $F$3="Yes"),SUM(H34:L34,O34)+M34, SUM(H34:L34,O34)+N34+M34)))</f>
        <v>1.5873327054756601</v>
      </c>
      <c r="G34" s="278">
        <f>SUM(Q34:S34)/(1-'Common input data'!B$126)</f>
        <v>1.9912696833223091</v>
      </c>
      <c r="H34" s="85">
        <f>'Input data meat and eggs'!$B$252*(('Input data meat and eggs'!C62*'Input data meat and eggs'!B35)+('Input data meat and eggs'!C63*'Input data meat and eggs'!B36)+('Input data meat and eggs'!C64*SUMPRODUCT('Input data meat and eggs'!C65:'Input data meat and eggs'!C74,'Input data meat and eggs'!B37:'Input data meat and eggs'!B46)))*'Input data meat and eggs'!B56</f>
        <v>0.85695889266893754</v>
      </c>
      <c r="I34" s="85">
        <f>'Input data meat and eggs'!$B$252*(('Input data meat and eggs'!C62*'Input data meat and eggs'!B35)+('Input data meat and eggs'!C63*'Input data meat and eggs'!B36)+('Input data meat and eggs'!C64*SUMPRODUCT('Input data meat and eggs'!C65:'Input data meat and eggs'!C74,'Input data meat and eggs'!B37:'Input data meat and eggs'!B46)))*'Input data meat and eggs'!C56</f>
        <v>0</v>
      </c>
      <c r="J34" s="85">
        <v>0</v>
      </c>
      <c r="K34" s="85">
        <v>0</v>
      </c>
      <c r="L34" s="85">
        <v>0</v>
      </c>
      <c r="M34" s="85">
        <f>'Input data meat and eggs'!B252*(('Input data meat and eggs'!C62+'Input data meat and eggs'!C63)*'Common input data'!B13)+('Input data meat and eggs'!C64*('Input data meat and eggs'!C65*'Common input data'!B13*'Common input data'!G28/'Common input data'!F28+'Input data meat and eggs'!C68*'Common input data'!D13+'Input data meat and eggs'!C69*'Common input data'!D13*'Common input data'!G26/'Common input data'!F26+'Input data meat and eggs'!C71*'Common input data'!C13*'Common input data'!G30/'Common input data'!F30+'Input data meat and eggs'!C72*'Common input data'!C13))</f>
        <v>0.27934894989902642</v>
      </c>
      <c r="N34" s="85">
        <f>'Input data meat and eggs'!B252*'Input data meat and eggs'!C64*'Input data meat and eggs'!C71*'Common input data'!B21*'Common input data'!G30/'Common input data'!F30</f>
        <v>0.354994862907696</v>
      </c>
      <c r="O34" s="85">
        <f>'Input data meat and eggs'!B80*'Common input data'!B63</f>
        <v>9.6030000000000004E-2</v>
      </c>
      <c r="P34" s="85">
        <f>'Input data meat and eggs'!B91*'Common input data'!B63+'Input data meat and eggs'!C91*3.6*'Common input data'!B49</f>
        <v>9.8705245714285725E-2</v>
      </c>
      <c r="Q34" s="85">
        <f>F34+P34</f>
        <v>1.6860379511899457</v>
      </c>
      <c r="R34" s="90">
        <f>'Common input data'!B92</f>
        <v>0.1</v>
      </c>
      <c r="S34" s="90">
        <f>'Common input data'!C98</f>
        <v>0.03</v>
      </c>
      <c r="T34" s="107"/>
      <c r="V34" s="157"/>
      <c r="W34" s="2"/>
      <c r="Y34" s="83"/>
    </row>
    <row r="35" spans="1:402" x14ac:dyDescent="0.3">
      <c r="A35" s="144"/>
      <c r="C35" s="142"/>
      <c r="D35" s="83" t="s">
        <v>165</v>
      </c>
      <c r="E35" s="258">
        <f>SUM(I35:L35)</f>
        <v>3.2036506439802582E-3</v>
      </c>
      <c r="F35" s="85">
        <f>SUM(H35:L35,O35)</f>
        <v>3.6938610702535891E-3</v>
      </c>
      <c r="G35" s="278">
        <f>SUM(Q35:S35)/(1-'Common input data'!B$126)</f>
        <v>4.0791031785362038E-3</v>
      </c>
      <c r="H35" s="85">
        <f>'Input data meat and eggs'!$B$252*(('Input data meat and eggs'!C62*'Input data meat and eggs'!C35)+('Input data meat and eggs'!C63*'Input data meat and eggs'!C36)+('Input data meat and eggs'!C64*SUMPRODUCT('Input data meat and eggs'!C65:'Input data meat and eggs'!C74,'Input data meat and eggs'!C37:'Input data meat and eggs'!C46)))*'Input data meat and eggs'!B57</f>
        <v>4.9021042627333112E-4</v>
      </c>
      <c r="I35" s="85">
        <f>'Input data meat and eggs'!$B$252*(('Input data meat and eggs'!C62*'Input data meat and eggs'!C35)+('Input data meat and eggs'!C63*'Input data meat and eggs'!C36)+('Input data meat and eggs'!C64*SUMPRODUCT('Input data meat and eggs'!C65:'Input data meat and eggs'!C74,'Input data meat and eggs'!C37:'Input data meat and eggs'!C46)))*'Input data meat and eggs'!C57</f>
        <v>0</v>
      </c>
      <c r="J35" s="85">
        <f>'Input data meat and eggs'!B296/'Input data meat and eggs'!B239</f>
        <v>3.2036506439802582E-3</v>
      </c>
      <c r="K35" s="85">
        <v>0</v>
      </c>
      <c r="L35" s="85">
        <v>0</v>
      </c>
      <c r="M35" s="85">
        <v>0</v>
      </c>
      <c r="N35" s="85">
        <v>0</v>
      </c>
      <c r="O35" s="85">
        <v>0</v>
      </c>
      <c r="P35" s="85">
        <f>'Input data meat and eggs'!C91*3.6*'Common input data'!B50</f>
        <v>2.628102857142858E-5</v>
      </c>
      <c r="Q35" s="85">
        <f>F35+P35</f>
        <v>3.7201420988250177E-3</v>
      </c>
      <c r="R35" s="90">
        <v>0</v>
      </c>
      <c r="S35" s="90">
        <v>0</v>
      </c>
      <c r="T35" s="107"/>
      <c r="V35" s="157"/>
      <c r="W35" s="2"/>
      <c r="X35" s="113"/>
      <c r="Y35" s="83"/>
    </row>
    <row r="36" spans="1:402" x14ac:dyDescent="0.3">
      <c r="A36" s="174"/>
      <c r="B36" s="206"/>
      <c r="C36" s="85"/>
      <c r="D36" s="84" t="s">
        <v>166</v>
      </c>
      <c r="E36" s="258">
        <f>SUM(I36:L36)</f>
        <v>2.4743865227372097E-3</v>
      </c>
      <c r="F36" s="85">
        <f>SUM(H36:L36,O36)</f>
        <v>3.2773940809185543E-3</v>
      </c>
      <c r="G36" s="278">
        <f>SUM(Q36:S36)/(1-'Common input data'!B$126)</f>
        <v>3.5963202377239786E-3</v>
      </c>
      <c r="H36" s="85">
        <f>'Input data meat and eggs'!$B$252*(('Input data meat and eggs'!C62*'Input data meat and eggs'!D35)+('Input data meat and eggs'!C63*'Input data meat and eggs'!D36)+('Input data meat and eggs'!C64*SUMPRODUCT('Input data meat and eggs'!C65:'Input data meat and eggs'!C74,'Input data meat and eggs'!D37:'Input data meat and eggs'!D46)))*'Input data meat and eggs'!B58</f>
        <v>8.0300755818134523E-4</v>
      </c>
      <c r="I36" s="85">
        <f>'Input data meat and eggs'!$B$252*(('Input data meat and eggs'!C62*'Input data meat and eggs'!D35)+('Input data meat and eggs'!C63*'Input data meat and eggs'!D36)+('Input data meat and eggs'!C64*SUMPRODUCT('Input data meat and eggs'!C65:'Input data meat and eggs'!C74,'Input data meat and eggs'!D37:'Input data meat and eggs'!D46)))*'Input data meat and eggs'!C58</f>
        <v>2.0296794429081597E-3</v>
      </c>
      <c r="J36" s="85">
        <f>((SUM('Input data meat and eggs'!B281:B282)*'Input data meat and eggs'!B298+SUM('Input data meat and eggs'!B284:B285)*'Input data meat and eggs'!B299+SUM('Input data meat and eggs'!B287:B288)*'Input data meat and eggs'!B300)*44/28)/'Input data meat and eggs'!B239</f>
        <v>3.5565328319697742E-4</v>
      </c>
      <c r="K36" s="85">
        <f>SUM('Input data meat and eggs'!B320:B327)*'Input data meat and eggs'!B301*44/28/'Input data meat and eggs'!B239</f>
        <v>8.9053796632072309E-5</v>
      </c>
      <c r="L36" s="85">
        <v>0</v>
      </c>
      <c r="M36" s="85">
        <v>0</v>
      </c>
      <c r="N36" s="85">
        <v>0</v>
      </c>
      <c r="O36" s="85">
        <v>0</v>
      </c>
      <c r="P36" s="85">
        <f>'Input data meat and eggs'!C91*3.6*'Common input data'!B51</f>
        <v>2.4499758857142863E-6</v>
      </c>
      <c r="Q36" s="85">
        <f>F36+P36</f>
        <v>3.2798440568042684E-3</v>
      </c>
      <c r="R36" s="90">
        <v>0</v>
      </c>
      <c r="S36" s="90">
        <v>0</v>
      </c>
      <c r="T36" s="107"/>
      <c r="V36" s="177"/>
      <c r="X36" s="88"/>
      <c r="Y36" s="84"/>
    </row>
    <row r="37" spans="1:402" s="102" customFormat="1" x14ac:dyDescent="0.3">
      <c r="A37" s="284" t="s">
        <v>69</v>
      </c>
      <c r="B37" s="150" t="s">
        <v>259</v>
      </c>
      <c r="C37" s="112">
        <f>'Input data meat and eggs'!D20</f>
        <v>0.22940416476963815</v>
      </c>
      <c r="D37" s="269" t="s">
        <v>473</v>
      </c>
      <c r="E37" s="320">
        <f>IF($F$1="GWP100 without fb",E38+E39*'Common input data'!$C$5+E40*'Common input data'!$D$5,IF($F$1="GWP100 with fb",E38+E39*'Common input data'!$C$6+E40*'Common input data'!$D$6,IF($F$1="GTP100 without fb",E38+E39*'Common input data'!$C$7+E40*'Common input data'!$D$7,IF($F$1="GTP100 with fb",E38+E39*'Common input data'!$C$8+E40*'Common input data'!$D$8,E38+E39*'Common input data'!$C$9+E40*'Common input data'!$D$9))))</f>
        <v>1.4783688302159912</v>
      </c>
      <c r="F37" s="302">
        <f>IF($F$1="GWP100 without fb",F38+F39*'Common input data'!$C$5+F40*'Common input data'!$D$5,IF($F$1="GWP100 with fb",F38+F39*'Common input data'!$C$6+F40*'Common input data'!$D$6,IF($F$1="GTP100 without fb",F38+F39*'Common input data'!$C$7+F40*'Common input data'!$D$7,IF($F$1="GTP100 with fb",F38+F39*'Common input data'!$C$8+F40*'Common input data'!$D$8,F38+F39*'Common input data'!$C$9+F40*'Common input data'!$D$9))))</f>
        <v>2.6666049253138331</v>
      </c>
      <c r="G37" s="321">
        <f>IF($F$1="GWP100 without fb",G38+G39*'Common input data'!$C$5+G40*'Common input data'!$D$5,IF($F$1="GWP100 with fb",G38+G39*'Common input data'!$C$6+G40*'Common input data'!$D$6,IF($F$1="GTP100 without fb",G38+G39*'Common input data'!$C$7+G40*'Common input data'!$D$7,IF($F$1="GTP100 with fb",G38+G39*'Common input data'!$C$8+G40*'Common input data'!$D$8,G38+G39*'Common input data'!$C$9+G40*'Common input data'!$D$9))))</f>
        <v>3.2312870820323361</v>
      </c>
      <c r="H37" s="104"/>
      <c r="I37" s="104"/>
      <c r="J37" s="104"/>
      <c r="K37" s="106"/>
      <c r="L37" s="106"/>
      <c r="T37" s="107"/>
      <c r="U37" s="64"/>
      <c r="V37" s="157"/>
      <c r="W37" s="2"/>
      <c r="X37" s="64"/>
      <c r="Y37" s="83"/>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c r="JM37" s="64"/>
      <c r="JN37" s="64"/>
      <c r="JO37" s="64"/>
      <c r="JP37" s="64"/>
      <c r="JQ37" s="64"/>
      <c r="JR37" s="64"/>
      <c r="JS37" s="64"/>
      <c r="JT37" s="64"/>
      <c r="JU37" s="64"/>
      <c r="JV37" s="64"/>
      <c r="JW37" s="64"/>
      <c r="JX37" s="64"/>
      <c r="JY37" s="64"/>
      <c r="JZ37" s="64"/>
      <c r="KA37" s="64"/>
      <c r="KB37" s="64"/>
      <c r="KC37" s="64"/>
      <c r="KD37" s="64"/>
      <c r="KE37" s="64"/>
      <c r="KF37" s="64"/>
      <c r="KG37" s="64"/>
      <c r="KH37" s="64"/>
      <c r="KI37" s="64"/>
      <c r="KJ37" s="64"/>
      <c r="KK37" s="64"/>
      <c r="KL37" s="64"/>
      <c r="KM37" s="64"/>
      <c r="KN37" s="64"/>
      <c r="KO37" s="64"/>
      <c r="KP37" s="64"/>
      <c r="KQ37" s="64"/>
      <c r="KR37" s="64"/>
      <c r="KS37" s="64"/>
      <c r="KT37" s="64"/>
      <c r="KU37" s="64"/>
      <c r="KV37" s="64"/>
      <c r="KW37" s="64"/>
      <c r="KX37" s="64"/>
      <c r="KY37" s="64"/>
      <c r="KZ37" s="64"/>
      <c r="LA37" s="64"/>
      <c r="LB37" s="64"/>
      <c r="LC37" s="64"/>
      <c r="LD37" s="64"/>
      <c r="LE37" s="64"/>
      <c r="LF37" s="64"/>
      <c r="LG37" s="64"/>
      <c r="LH37" s="64"/>
      <c r="LI37" s="64"/>
      <c r="LJ37" s="64"/>
      <c r="LK37" s="64"/>
      <c r="LL37" s="64"/>
      <c r="LM37" s="64"/>
      <c r="LN37" s="64"/>
      <c r="LO37" s="64"/>
      <c r="LP37" s="64"/>
      <c r="LQ37" s="64"/>
      <c r="LR37" s="64"/>
      <c r="LS37" s="64"/>
      <c r="LT37" s="64"/>
      <c r="LU37" s="64"/>
      <c r="LV37" s="64"/>
      <c r="LW37" s="64"/>
      <c r="LX37" s="64"/>
      <c r="LY37" s="64"/>
      <c r="LZ37" s="64"/>
      <c r="MA37" s="64"/>
      <c r="MB37" s="64"/>
      <c r="MC37" s="64"/>
      <c r="MD37" s="64"/>
      <c r="ME37" s="64"/>
      <c r="MF37" s="64"/>
      <c r="MG37" s="64"/>
      <c r="MH37" s="64"/>
      <c r="MI37" s="64"/>
      <c r="MJ37" s="64"/>
      <c r="MK37" s="64"/>
      <c r="ML37" s="64"/>
      <c r="MM37" s="64"/>
      <c r="MN37" s="64"/>
      <c r="MO37" s="64"/>
      <c r="MP37" s="64"/>
      <c r="MQ37" s="64"/>
      <c r="MR37" s="64"/>
      <c r="MS37" s="64"/>
      <c r="MT37" s="64"/>
      <c r="MU37" s="64"/>
      <c r="MV37" s="64"/>
      <c r="MW37" s="64"/>
      <c r="MX37" s="64"/>
      <c r="MY37" s="64"/>
      <c r="MZ37" s="64"/>
      <c r="NA37" s="64"/>
      <c r="NB37" s="64"/>
      <c r="NC37" s="64"/>
      <c r="ND37" s="64"/>
      <c r="NE37" s="64"/>
      <c r="NF37" s="64"/>
      <c r="NG37" s="64"/>
      <c r="NH37" s="64"/>
      <c r="NI37" s="64"/>
      <c r="NJ37" s="64"/>
      <c r="NK37" s="64"/>
      <c r="NL37" s="64"/>
      <c r="NM37" s="64"/>
      <c r="NN37" s="64"/>
      <c r="NO37" s="64"/>
      <c r="NP37" s="64"/>
      <c r="NQ37" s="64"/>
      <c r="NR37" s="64"/>
      <c r="NS37" s="64"/>
      <c r="NT37" s="64"/>
      <c r="NU37" s="64"/>
      <c r="NV37" s="64"/>
      <c r="NW37" s="64"/>
      <c r="NX37" s="64"/>
      <c r="NY37" s="64"/>
      <c r="NZ37" s="64"/>
      <c r="OA37" s="64"/>
      <c r="OB37" s="64"/>
      <c r="OC37" s="64"/>
      <c r="OD37" s="64"/>
      <c r="OE37" s="64"/>
      <c r="OF37" s="64"/>
      <c r="OG37" s="64"/>
      <c r="OH37" s="64"/>
      <c r="OI37" s="64"/>
      <c r="OJ37" s="64"/>
      <c r="OK37" s="64"/>
      <c r="OL37" s="64"/>
    </row>
    <row r="38" spans="1:402" x14ac:dyDescent="0.3">
      <c r="A38" s="144"/>
      <c r="D38" s="83" t="s">
        <v>164</v>
      </c>
      <c r="E38" s="258">
        <f>IF(AND($F$2="No",$F$3="No"),SUM(I38:L38),IF(AND($F$2="Yes", $F$3="No"), SUM(I38:L38)+N38, IF(AND($F$2="No", $F$3="Yes"),SUM(I38:L38)+M38, SUM(I38:L38)+N38+M38)))</f>
        <v>0.62313309617060053</v>
      </c>
      <c r="F38" s="85">
        <f>IF(AND($F$2="No",$F$3="No"),SUM(H38:L38,O38),IF(AND($F$2="Yes", $F$3="No"), SUM(H38:L38,O38)+N38, IF(AND($F$2="No", $F$3="Yes"),SUM(H38:L38,O38)+M38, SUM(H38:L38,O38)+N38+M38)))</f>
        <v>1.560170349095253</v>
      </c>
      <c r="G38" s="278">
        <f>SUM(Q38:S38)/(1-'Common input data'!B$126)</f>
        <v>2.0163109592209856</v>
      </c>
      <c r="H38" s="85">
        <f>'Input data meat and eggs'!$C$252*(('Input data meat and eggs'!C62*'Input data meat and eggs'!B35)+('Input data meat and eggs'!C63*'Input data meat and eggs'!B36)+('Input data meat and eggs'!C64*SUMPRODUCT('Input data meat and eggs'!C65:'Input data meat and eggs'!C74,'Input data meat and eggs'!B37:'Input data meat and eggs'!B46)))*'Input data meat and eggs'!B56</f>
        <v>0.84100725292465239</v>
      </c>
      <c r="I38" s="85">
        <f>'Input data meat and eggs'!$C$252*(('Input data meat and eggs'!C62*'Input data meat and eggs'!B35)+('Input data meat and eggs'!C63*'Input data meat and eggs'!B36)+('Input data meat and eggs'!C64*SUMPRODUCT('Input data meat and eggs'!C65:'Input data meat and eggs'!C74,'Input data meat and eggs'!B37:'Input data meat and eggs'!B46)))*'Input data meat and eggs'!C56</f>
        <v>0</v>
      </c>
      <c r="J38" s="85">
        <v>0</v>
      </c>
      <c r="K38" s="85">
        <v>0</v>
      </c>
      <c r="L38" s="85">
        <v>0</v>
      </c>
      <c r="M38" s="85">
        <f>'Input data meat and eggs'!C252*(('Input data meat and eggs'!C62+'Input data meat and eggs'!C63)*'Common input data'!B13)+('Input data meat and eggs'!C64*('Input data meat and eggs'!C65*'Common input data'!B13*'Common input data'!G28/'Common input data'!F28+'Input data meat and eggs'!C68*'Common input data'!D13+'Input data meat and eggs'!C69*'Common input data'!D13*'Common input data'!G26/'Common input data'!F26+'Input data meat and eggs'!C71*'Common input data'!C13*'Common input data'!G30/'Common input data'!F30+'Input data meat and eggs'!C72*'Common input data'!C13))</f>
        <v>0.27474619335599521</v>
      </c>
      <c r="N38" s="85">
        <f>'Input data meat and eggs'!C252*'Input data meat and eggs'!C64*'Input data meat and eggs'!C71*'Common input data'!B21*'Common input data'!G30/'Common input data'!F30</f>
        <v>0.34838690281460533</v>
      </c>
      <c r="O38" s="85">
        <f>'Input data meat and eggs'!B80*'Common input data'!B63</f>
        <v>9.6030000000000004E-2</v>
      </c>
      <c r="P38" s="85">
        <f>'Input data meat and eggs'!B91*'Common input data'!B63+'Input data meat and eggs'!C91*3.6*'Common input data'!B49</f>
        <v>9.8705245714285725E-2</v>
      </c>
      <c r="Q38" s="85">
        <f>F38+P38</f>
        <v>1.6588755948095386</v>
      </c>
      <c r="R38" s="90">
        <f>'Common input data'!B92</f>
        <v>0.1</v>
      </c>
      <c r="S38" s="90">
        <f>'Common input data'!B98+'Common input data'!C98</f>
        <v>0.08</v>
      </c>
      <c r="T38" s="107"/>
      <c r="Y38" s="83"/>
    </row>
    <row r="39" spans="1:402" x14ac:dyDescent="0.3">
      <c r="A39" s="144"/>
      <c r="C39" s="84"/>
      <c r="D39" s="83" t="s">
        <v>165</v>
      </c>
      <c r="E39" s="258">
        <f>SUM(I39:L39)</f>
        <v>2.1943525327230737E-3</v>
      </c>
      <c r="F39" s="85">
        <f>SUM(H39:L39,O39)</f>
        <v>2.6754380637584885E-3</v>
      </c>
      <c r="G39" s="278">
        <f>SUM(Q39:S39)/(1-'Common input data'!B$126)</f>
        <v>2.9624112854494708E-3</v>
      </c>
      <c r="H39" s="85">
        <f>'Input data meat and eggs'!$C$252*(('Input data meat and eggs'!C62*'Input data meat and eggs'!C35)+('Input data meat and eggs'!C63*'Input data meat and eggs'!C36)+('Input data meat and eggs'!C64*SUMPRODUCT('Input data meat and eggs'!C65:'Input data meat and eggs'!C74,'Input data meat and eggs'!C37:'Input data meat and eggs'!C46)))*'Input data meat and eggs'!B57</f>
        <v>4.8108553103541499E-4</v>
      </c>
      <c r="I39" s="85">
        <f>'Input data meat and eggs'!$C$252*(('Input data meat and eggs'!C62*'Input data meat and eggs'!C35)+('Input data meat and eggs'!C63*'Input data meat and eggs'!C36)+('Input data meat and eggs'!C64*SUMPRODUCT('Input data meat and eggs'!C65:'Input data meat and eggs'!C74,'Input data meat and eggs'!C37:'Input data meat and eggs'!C46)))*'Input data meat and eggs'!C57</f>
        <v>0</v>
      </c>
      <c r="J39" s="85">
        <f>'Input data meat and eggs'!C302*'Input data meat and eggs'!C291*('Input data meat and eggs'!C262*'Input data meat and eggs'!C303*'Input data meat and eggs'!C304+'Input data meat and eggs'!C263*'Input data meat and eggs'!C305)/'Input data meat and eggs'!C239</f>
        <v>2.1943525327230737E-3</v>
      </c>
      <c r="K39" s="85">
        <v>0</v>
      </c>
      <c r="L39" s="85">
        <v>0</v>
      </c>
      <c r="M39" s="85">
        <v>0</v>
      </c>
      <c r="N39" s="85">
        <v>0</v>
      </c>
      <c r="O39" s="85">
        <v>0</v>
      </c>
      <c r="P39" s="85">
        <f>'Input data meat and eggs'!C91*3.6*'Common input data'!B50</f>
        <v>2.628102857142858E-5</v>
      </c>
      <c r="Q39" s="85">
        <f>F39+P39</f>
        <v>2.7017190923299171E-3</v>
      </c>
      <c r="R39" s="90">
        <v>0</v>
      </c>
      <c r="S39" s="90">
        <v>0</v>
      </c>
      <c r="T39" s="107"/>
      <c r="V39" s="157"/>
      <c r="X39" s="88"/>
      <c r="Y39" s="84"/>
    </row>
    <row r="40" spans="1:402" x14ac:dyDescent="0.3">
      <c r="A40" s="144"/>
      <c r="C40" s="85"/>
      <c r="D40" s="84" t="s">
        <v>166</v>
      </c>
      <c r="E40" s="258">
        <f>SUM(I40:L40)</f>
        <v>2.6195562011167989E-3</v>
      </c>
      <c r="F40" s="85">
        <f>SUM(H40:L40,O40)</f>
        <v>3.4076163827207761E-3</v>
      </c>
      <c r="G40" s="278">
        <f>SUM(Q40:S40)/(1-'Common input data'!B$126)</f>
        <v>3.7391078493492222E-3</v>
      </c>
      <c r="H40" s="85">
        <f>'Input data meat and eggs'!$C$252*(('Input data meat and eggs'!C62*'Input data meat and eggs'!D35)+('Input data meat and eggs'!C63*'Input data meat and eggs'!D36)+('Input data meat and eggs'!C64*SUMPRODUCT('Input data meat and eggs'!C65:'Input data meat and eggs'!C74,'Input data meat and eggs'!D37:'Input data meat and eggs'!D46)))*'Input data meat and eggs'!B58</f>
        <v>7.8806018160397712E-4</v>
      </c>
      <c r="I40" s="85">
        <f>'Input data meat and eggs'!$C$252*(('Input data meat and eggs'!C62*'Input data meat and eggs'!D35)+('Input data meat and eggs'!C63*'Input data meat and eggs'!D36)+('Input data meat and eggs'!C64*SUMPRODUCT('Input data meat and eggs'!C65:'Input data meat and eggs'!C74,'Input data meat and eggs'!D37:'Input data meat and eggs'!D46)))*'Input data meat and eggs'!C58</f>
        <v>1.9918984996836636E-3</v>
      </c>
      <c r="J40" s="85">
        <f>((SUM('Input data meat and eggs'!C281:C282)*'Input data meat and eggs'!C298+SUM('Input data meat and eggs'!C284:C285)*'Input data meat and eggs'!C299+SUM('Input data meat and eggs'!C287:C288)*'Input data meat and eggs'!C300)*44/28)/'Input data meat and eggs'!C239</f>
        <v>5.5386123101296744E-4</v>
      </c>
      <c r="K40" s="85">
        <f>SUM('Input data meat and eggs'!C320:C327)*'Input data meat and eggs'!C301*44/28/'Input data meat and eggs'!C239</f>
        <v>7.3796470420167863E-5</v>
      </c>
      <c r="L40" s="85">
        <v>0</v>
      </c>
      <c r="M40" s="85">
        <v>0</v>
      </c>
      <c r="N40" s="85">
        <v>0</v>
      </c>
      <c r="O40" s="85">
        <v>0</v>
      </c>
      <c r="P40" s="85">
        <f>'Input data meat and eggs'!C91*3.6*'Common input data'!B51</f>
        <v>2.4499758857142863E-6</v>
      </c>
      <c r="Q40" s="85">
        <f>F40+P40</f>
        <v>3.4100663586064902E-3</v>
      </c>
      <c r="R40" s="94">
        <v>0</v>
      </c>
      <c r="S40" s="90">
        <v>0</v>
      </c>
      <c r="T40" s="107"/>
      <c r="V40" s="157"/>
      <c r="W40" s="2"/>
      <c r="Y40" s="83"/>
    </row>
    <row r="41" spans="1:402" s="102" customFormat="1" x14ac:dyDescent="0.3">
      <c r="A41" s="284" t="s">
        <v>70</v>
      </c>
      <c r="B41" s="150" t="s">
        <v>259</v>
      </c>
      <c r="C41" s="112">
        <f>'Input data meat and eggs'!D21</f>
        <v>0.11039583523036184</v>
      </c>
      <c r="D41" s="269" t="s">
        <v>473</v>
      </c>
      <c r="E41" s="320">
        <f>IF($F$1="GWP100 without fb",E42+E43*'Common input data'!$C$5+E44*'Common input data'!$D$5,IF($F$1="GWP100 with fb",E42+E43*'Common input data'!$C$6+E44*'Common input data'!$D$6,IF($F$1="GTP100 without fb",E42+E43*'Common input data'!$C$7+E44*'Common input data'!$D$7,IF($F$1="GTP100 with fb",E42+E43*'Common input data'!$C$8+E44*'Common input data'!$D$8,E42+E43*'Common input data'!$C$9+E44*'Common input data'!$D$9))))</f>
        <v>1.4795019743468654</v>
      </c>
      <c r="F41" s="302">
        <f>IF($F$1="GWP100 without fb",F42+F43*'Common input data'!$C$5+F44*'Common input data'!$D$5,IF($F$1="GWP100 with fb",F42+F43*'Common input data'!$C$6+F44*'Common input data'!$D$6,IF($F$1="GTP100 without fb",F42+F43*'Common input data'!$C$7+F44*'Common input data'!$D$7,IF($F$1="GTP100 with fb",F42+F43*'Common input data'!$C$8+F44*'Common input data'!$D$8,F42+F43*'Common input data'!$C$9+F44*'Common input data'!$D$9))))</f>
        <v>2.8741161716459223</v>
      </c>
      <c r="G41" s="321">
        <f>IF($F$1="GWP100 without fb",G42+G43*'Common input data'!$C$5+G44*'Common input data'!$D$5,IF($F$1="GWP100 with fb",G42+G43*'Common input data'!$C$6+G44*'Common input data'!$D$6,IF($F$1="GTP100 without fb",G42+G43*'Common input data'!$C$7+G44*'Common input data'!$D$7,IF($F$1="GTP100 with fb",G42+G43*'Common input data'!$C$8+G44*'Common input data'!$D$8,G42+G43*'Common input data'!$C$9+G44*'Common input data'!$D$9))))</f>
        <v>3.6893570576470953</v>
      </c>
      <c r="H41" s="104"/>
      <c r="I41" s="104"/>
      <c r="J41" s="104"/>
      <c r="K41" s="106"/>
      <c r="L41" s="106"/>
      <c r="T41" s="107"/>
      <c r="U41" s="64"/>
      <c r="V41" s="251"/>
      <c r="W41" s="64"/>
      <c r="X41" s="88"/>
      <c r="Y41" s="83"/>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4"/>
      <c r="DZ41" s="64"/>
      <c r="EA41" s="64"/>
      <c r="EB41" s="64"/>
      <c r="EC41" s="64"/>
      <c r="ED41" s="64"/>
      <c r="EE41" s="64"/>
      <c r="EF41" s="64"/>
      <c r="EG41" s="64"/>
      <c r="EH41" s="64"/>
      <c r="EI41" s="64"/>
      <c r="EJ41" s="64"/>
      <c r="EK41" s="64"/>
      <c r="EL41" s="64"/>
      <c r="EM41" s="64"/>
      <c r="EN41" s="64"/>
      <c r="EO41" s="64"/>
      <c r="EP41" s="64"/>
      <c r="EQ41" s="64"/>
      <c r="ER41" s="64"/>
      <c r="ES41" s="64"/>
      <c r="ET41" s="64"/>
      <c r="EU41" s="64"/>
      <c r="EV41" s="64"/>
      <c r="EW41" s="64"/>
      <c r="EX41" s="64"/>
      <c r="EY41" s="64"/>
      <c r="EZ41" s="64"/>
      <c r="FA41" s="64"/>
      <c r="FB41" s="64"/>
      <c r="FC41" s="64"/>
      <c r="FD41" s="64"/>
      <c r="FE41" s="64"/>
      <c r="FF41" s="64"/>
      <c r="FG41" s="64"/>
      <c r="FH41" s="64"/>
      <c r="FI41" s="64"/>
      <c r="FJ41" s="64"/>
      <c r="FK41" s="64"/>
      <c r="FL41" s="64"/>
      <c r="FM41" s="64"/>
      <c r="FN41" s="64"/>
      <c r="FO41" s="64"/>
      <c r="FP41" s="64"/>
      <c r="FQ41" s="64"/>
      <c r="FR41" s="64"/>
      <c r="FS41" s="64"/>
      <c r="FT41" s="64"/>
      <c r="FU41" s="64"/>
      <c r="FV41" s="64"/>
      <c r="FW41" s="64"/>
      <c r="FX41" s="64"/>
      <c r="FY41" s="64"/>
      <c r="FZ41" s="64"/>
      <c r="GA41" s="64"/>
      <c r="GB41" s="64"/>
      <c r="GC41" s="64"/>
      <c r="GD41" s="64"/>
      <c r="GE41" s="64"/>
      <c r="GF41" s="64"/>
      <c r="GG41" s="64"/>
      <c r="GH41" s="64"/>
      <c r="GI41" s="64"/>
      <c r="GJ41" s="64"/>
      <c r="GK41" s="64"/>
      <c r="GL41" s="64"/>
      <c r="GM41" s="64"/>
      <c r="GN41" s="64"/>
      <c r="GO41" s="64"/>
      <c r="GP41" s="64"/>
      <c r="GQ41" s="64"/>
      <c r="GR41" s="64"/>
      <c r="GS41" s="64"/>
      <c r="GT41" s="64"/>
      <c r="GU41" s="64"/>
      <c r="GV41" s="64"/>
      <c r="GW41" s="64"/>
      <c r="GX41" s="64"/>
      <c r="GY41" s="64"/>
      <c r="GZ41" s="64"/>
      <c r="HA41" s="64"/>
      <c r="HB41" s="64"/>
      <c r="HC41" s="64"/>
      <c r="HD41" s="64"/>
      <c r="HE41" s="64"/>
      <c r="HF41" s="64"/>
      <c r="HG41" s="64"/>
      <c r="HH41" s="64"/>
      <c r="HI41" s="64"/>
      <c r="HJ41" s="64"/>
      <c r="HK41" s="64"/>
      <c r="HL41" s="64"/>
      <c r="HM41" s="64"/>
      <c r="HN41" s="64"/>
      <c r="HO41" s="64"/>
      <c r="HP41" s="64"/>
      <c r="HQ41" s="64"/>
      <c r="HR41" s="64"/>
      <c r="HS41" s="64"/>
      <c r="HT41" s="64"/>
      <c r="HU41" s="64"/>
      <c r="HV41" s="64"/>
      <c r="HW41" s="64"/>
      <c r="HX41" s="64"/>
      <c r="HY41" s="64"/>
      <c r="HZ41" s="64"/>
      <c r="IA41" s="64"/>
      <c r="IB41" s="64"/>
      <c r="IC41" s="64"/>
      <c r="ID41" s="64"/>
      <c r="IE41" s="64"/>
      <c r="IF41" s="64"/>
      <c r="IG41" s="64"/>
      <c r="IH41" s="64"/>
      <c r="II41" s="64"/>
      <c r="IJ41" s="64"/>
      <c r="IK41" s="64"/>
      <c r="IL41" s="64"/>
      <c r="IM41" s="64"/>
      <c r="IN41" s="64"/>
      <c r="IO41" s="64"/>
      <c r="IP41" s="64"/>
      <c r="IQ41" s="64"/>
      <c r="IR41" s="64"/>
      <c r="IS41" s="64"/>
      <c r="IT41" s="64"/>
      <c r="IU41" s="64"/>
      <c r="IV41" s="64"/>
      <c r="IW41" s="64"/>
      <c r="IX41" s="64"/>
      <c r="IY41" s="64"/>
      <c r="IZ41" s="64"/>
      <c r="JA41" s="64"/>
      <c r="JB41" s="64"/>
      <c r="JC41" s="64"/>
      <c r="JD41" s="64"/>
      <c r="JE41" s="64"/>
      <c r="JF41" s="64"/>
      <c r="JG41" s="64"/>
      <c r="JH41" s="64"/>
      <c r="JI41" s="64"/>
      <c r="JJ41" s="64"/>
      <c r="JK41" s="64"/>
      <c r="JL41" s="64"/>
      <c r="JM41" s="64"/>
      <c r="JN41" s="64"/>
      <c r="JO41" s="64"/>
      <c r="JP41" s="64"/>
      <c r="JQ41" s="64"/>
      <c r="JR41" s="64"/>
      <c r="JS41" s="64"/>
      <c r="JT41" s="64"/>
      <c r="JU41" s="64"/>
      <c r="JV41" s="64"/>
      <c r="JW41" s="64"/>
      <c r="JX41" s="64"/>
      <c r="JY41" s="64"/>
      <c r="JZ41" s="64"/>
      <c r="KA41" s="64"/>
      <c r="KB41" s="64"/>
      <c r="KC41" s="64"/>
      <c r="KD41" s="64"/>
      <c r="KE41" s="64"/>
      <c r="KF41" s="64"/>
      <c r="KG41" s="64"/>
      <c r="KH41" s="64"/>
      <c r="KI41" s="64"/>
      <c r="KJ41" s="64"/>
      <c r="KK41" s="64"/>
      <c r="KL41" s="64"/>
      <c r="KM41" s="64"/>
      <c r="KN41" s="64"/>
      <c r="KO41" s="64"/>
      <c r="KP41" s="64"/>
      <c r="KQ41" s="64"/>
      <c r="KR41" s="64"/>
      <c r="KS41" s="64"/>
      <c r="KT41" s="64"/>
      <c r="KU41" s="64"/>
      <c r="KV41" s="64"/>
      <c r="KW41" s="64"/>
      <c r="KX41" s="64"/>
      <c r="KY41" s="64"/>
      <c r="KZ41" s="64"/>
      <c r="LA41" s="64"/>
      <c r="LB41" s="64"/>
      <c r="LC41" s="64"/>
      <c r="LD41" s="64"/>
      <c r="LE41" s="64"/>
      <c r="LF41" s="64"/>
      <c r="LG41" s="64"/>
      <c r="LH41" s="64"/>
      <c r="LI41" s="64"/>
      <c r="LJ41" s="64"/>
      <c r="LK41" s="64"/>
      <c r="LL41" s="64"/>
      <c r="LM41" s="64"/>
      <c r="LN41" s="64"/>
      <c r="LO41" s="64"/>
      <c r="LP41" s="64"/>
      <c r="LQ41" s="64"/>
      <c r="LR41" s="64"/>
      <c r="LS41" s="64"/>
      <c r="LT41" s="64"/>
      <c r="LU41" s="64"/>
      <c r="LV41" s="64"/>
      <c r="LW41" s="64"/>
      <c r="LX41" s="64"/>
      <c r="LY41" s="64"/>
      <c r="LZ41" s="64"/>
      <c r="MA41" s="64"/>
      <c r="MB41" s="64"/>
      <c r="MC41" s="64"/>
      <c r="MD41" s="64"/>
      <c r="ME41" s="64"/>
      <c r="MF41" s="64"/>
      <c r="MG41" s="64"/>
      <c r="MH41" s="64"/>
      <c r="MI41" s="64"/>
      <c r="MJ41" s="64"/>
      <c r="MK41" s="64"/>
      <c r="ML41" s="64"/>
      <c r="MM41" s="64"/>
      <c r="MN41" s="64"/>
      <c r="MO41" s="64"/>
      <c r="MP41" s="64"/>
      <c r="MQ41" s="64"/>
      <c r="MR41" s="64"/>
      <c r="MS41" s="64"/>
      <c r="MT41" s="64"/>
      <c r="MU41" s="64"/>
      <c r="MV41" s="64"/>
      <c r="MW41" s="64"/>
      <c r="MX41" s="64"/>
      <c r="MY41" s="64"/>
      <c r="MZ41" s="64"/>
      <c r="NA41" s="64"/>
      <c r="NB41" s="64"/>
      <c r="NC41" s="64"/>
      <c r="ND41" s="64"/>
      <c r="NE41" s="64"/>
      <c r="NF41" s="64"/>
      <c r="NG41" s="64"/>
      <c r="NH41" s="64"/>
      <c r="NI41" s="64"/>
      <c r="NJ41" s="64"/>
      <c r="NK41" s="64"/>
      <c r="NL41" s="64"/>
      <c r="NM41" s="64"/>
      <c r="NN41" s="64"/>
      <c r="NO41" s="64"/>
      <c r="NP41" s="64"/>
      <c r="NQ41" s="64"/>
      <c r="NR41" s="64"/>
      <c r="NS41" s="64"/>
      <c r="NT41" s="64"/>
      <c r="NU41" s="64"/>
      <c r="NV41" s="64"/>
      <c r="NW41" s="64"/>
      <c r="NX41" s="64"/>
      <c r="NY41" s="64"/>
      <c r="NZ41" s="64"/>
      <c r="OA41" s="64"/>
      <c r="OB41" s="64"/>
      <c r="OC41" s="64"/>
      <c r="OD41" s="64"/>
      <c r="OE41" s="64"/>
      <c r="OF41" s="64"/>
      <c r="OG41" s="64"/>
      <c r="OH41" s="64"/>
      <c r="OI41" s="64"/>
      <c r="OJ41" s="64"/>
      <c r="OK41" s="64"/>
      <c r="OL41" s="64"/>
    </row>
    <row r="42" spans="1:402" s="102" customFormat="1" x14ac:dyDescent="0.3">
      <c r="A42" s="144"/>
      <c r="B42" s="84"/>
      <c r="C42" s="64"/>
      <c r="D42" s="83" t="s">
        <v>164</v>
      </c>
      <c r="E42" s="258">
        <f>IF(AND($F$2="No",$F$3="No"),SUM(I42:L42),IF(AND($F$2="Yes", $F$3="No"), SUM(I42:L42)+N42, IF(AND($F$2="No", $F$3="Yes"),SUM(I42:L42)+M42, SUM(I42:L42)+N42+M42)))</f>
        <v>0.6287384544886615</v>
      </c>
      <c r="F42" s="85">
        <f>IF(AND($F$2="No",$F$3="No"),SUM(H42:L42,O42),IF(AND($F$2="Yes", $F$3="No"), SUM(H42:L42,O42)+N42, IF(AND($F$2="No", $F$3="Yes"),SUM(H42:L42,O42)+M42, SUM(H42:L42,O42)+N42+M42)))</f>
        <v>1.7697715272854566</v>
      </c>
      <c r="G42" s="278">
        <f>SUM(Q42:S42)/(1-'Common input data'!B$126)</f>
        <v>2.4766725267854315</v>
      </c>
      <c r="H42" s="85">
        <f t="shared" ref="H42:K44" si="7">AVERAGE(H34,H38)</f>
        <v>0.84898307279679497</v>
      </c>
      <c r="I42" s="85">
        <f t="shared" si="7"/>
        <v>0</v>
      </c>
      <c r="J42" s="85">
        <f t="shared" si="7"/>
        <v>0</v>
      </c>
      <c r="K42" s="85">
        <f t="shared" si="7"/>
        <v>0</v>
      </c>
      <c r="L42" s="85">
        <v>0</v>
      </c>
      <c r="M42" s="85">
        <f>AVERAGE(M34,M38)</f>
        <v>0.27704757162751081</v>
      </c>
      <c r="N42" s="85">
        <f t="shared" ref="N42:N44" si="8">AVERAGE(N34,N38)</f>
        <v>0.35169088286115069</v>
      </c>
      <c r="O42" s="85">
        <f>'Input data meat and eggs'!B80*'Common input data'!C63</f>
        <v>0.29204999999999998</v>
      </c>
      <c r="P42" s="85">
        <f>'Input data meat and eggs'!B91*'Common input data'!C63+'Input data meat and eggs'!C91*3.6*'Common input data'!B49</f>
        <v>0.15895381714285714</v>
      </c>
      <c r="Q42" s="85">
        <f>F42+P42</f>
        <v>1.9287253444283137</v>
      </c>
      <c r="R42" s="90">
        <f>'Common input data'!B92</f>
        <v>0.1</v>
      </c>
      <c r="S42" s="90">
        <f>'Common input data'!B102+'Common input data'!C102</f>
        <v>0.23000000000000004</v>
      </c>
      <c r="T42" s="107"/>
      <c r="U42" s="64"/>
      <c r="V42" s="251"/>
      <c r="W42" s="64"/>
      <c r="X42" s="88"/>
      <c r="Y42" s="8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c r="EO42" s="64"/>
      <c r="EP42" s="64"/>
      <c r="EQ42" s="64"/>
      <c r="ER42" s="64"/>
      <c r="ES42" s="64"/>
      <c r="ET42" s="64"/>
      <c r="EU42" s="64"/>
      <c r="EV42" s="64"/>
      <c r="EW42" s="64"/>
      <c r="EX42" s="64"/>
      <c r="EY42" s="64"/>
      <c r="EZ42" s="64"/>
      <c r="FA42" s="64"/>
      <c r="FB42" s="64"/>
      <c r="FC42" s="64"/>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c r="GH42" s="64"/>
      <c r="GI42" s="64"/>
      <c r="GJ42" s="64"/>
      <c r="GK42" s="64"/>
      <c r="GL42" s="64"/>
      <c r="GM42" s="64"/>
      <c r="GN42" s="64"/>
      <c r="GO42" s="64"/>
      <c r="GP42" s="64"/>
      <c r="GQ42" s="64"/>
      <c r="GR42" s="64"/>
      <c r="GS42" s="64"/>
      <c r="GT42" s="64"/>
      <c r="GU42" s="64"/>
      <c r="GV42" s="64"/>
      <c r="GW42" s="64"/>
      <c r="GX42" s="64"/>
      <c r="GY42" s="64"/>
      <c r="GZ42" s="64"/>
      <c r="HA42" s="64"/>
      <c r="HB42" s="64"/>
      <c r="HC42" s="64"/>
      <c r="HD42" s="64"/>
      <c r="HE42" s="64"/>
      <c r="HF42" s="64"/>
      <c r="HG42" s="64"/>
      <c r="HH42" s="64"/>
      <c r="HI42" s="64"/>
      <c r="HJ42" s="64"/>
      <c r="HK42" s="64"/>
      <c r="HL42" s="64"/>
      <c r="HM42" s="64"/>
      <c r="HN42" s="64"/>
      <c r="HO42" s="64"/>
      <c r="HP42" s="64"/>
      <c r="HQ42" s="64"/>
      <c r="HR42" s="64"/>
      <c r="HS42" s="64"/>
      <c r="HT42" s="64"/>
      <c r="HU42" s="64"/>
      <c r="HV42" s="64"/>
      <c r="HW42" s="64"/>
      <c r="HX42" s="64"/>
      <c r="HY42" s="64"/>
      <c r="HZ42" s="64"/>
      <c r="IA42" s="64"/>
      <c r="IB42" s="64"/>
      <c r="IC42" s="64"/>
      <c r="ID42" s="64"/>
      <c r="IE42" s="64"/>
      <c r="IF42" s="64"/>
      <c r="IG42" s="64"/>
      <c r="IH42" s="64"/>
      <c r="II42" s="64"/>
      <c r="IJ42" s="64"/>
      <c r="IK42" s="64"/>
      <c r="IL42" s="64"/>
      <c r="IM42" s="64"/>
      <c r="IN42" s="64"/>
      <c r="IO42" s="64"/>
      <c r="IP42" s="64"/>
      <c r="IQ42" s="64"/>
      <c r="IR42" s="64"/>
      <c r="IS42" s="64"/>
      <c r="IT42" s="64"/>
      <c r="IU42" s="64"/>
      <c r="IV42" s="64"/>
      <c r="IW42" s="64"/>
      <c r="IX42" s="64"/>
      <c r="IY42" s="64"/>
      <c r="IZ42" s="64"/>
      <c r="JA42" s="64"/>
      <c r="JB42" s="64"/>
      <c r="JC42" s="64"/>
      <c r="JD42" s="64"/>
      <c r="JE42" s="64"/>
      <c r="JF42" s="64"/>
      <c r="JG42" s="64"/>
      <c r="JH42" s="64"/>
      <c r="JI42" s="64"/>
      <c r="JJ42" s="64"/>
      <c r="JK42" s="64"/>
      <c r="JL42" s="64"/>
      <c r="JM42" s="64"/>
      <c r="JN42" s="64"/>
      <c r="JO42" s="64"/>
      <c r="JP42" s="64"/>
      <c r="JQ42" s="64"/>
      <c r="JR42" s="64"/>
      <c r="JS42" s="64"/>
      <c r="JT42" s="64"/>
      <c r="JU42" s="64"/>
      <c r="JV42" s="64"/>
      <c r="JW42" s="64"/>
      <c r="JX42" s="64"/>
      <c r="JY42" s="64"/>
      <c r="JZ42" s="64"/>
      <c r="KA42" s="64"/>
      <c r="KB42" s="64"/>
      <c r="KC42" s="64"/>
      <c r="KD42" s="64"/>
      <c r="KE42" s="64"/>
      <c r="KF42" s="64"/>
      <c r="KG42" s="64"/>
      <c r="KH42" s="64"/>
      <c r="KI42" s="64"/>
      <c r="KJ42" s="64"/>
      <c r="KK42" s="64"/>
      <c r="KL42" s="64"/>
      <c r="KM42" s="64"/>
      <c r="KN42" s="64"/>
      <c r="KO42" s="64"/>
      <c r="KP42" s="64"/>
      <c r="KQ42" s="64"/>
      <c r="KR42" s="64"/>
      <c r="KS42" s="64"/>
      <c r="KT42" s="64"/>
      <c r="KU42" s="64"/>
      <c r="KV42" s="64"/>
      <c r="KW42" s="64"/>
      <c r="KX42" s="64"/>
      <c r="KY42" s="64"/>
      <c r="KZ42" s="64"/>
      <c r="LA42" s="64"/>
      <c r="LB42" s="64"/>
      <c r="LC42" s="64"/>
      <c r="LD42" s="64"/>
      <c r="LE42" s="64"/>
      <c r="LF42" s="64"/>
      <c r="LG42" s="64"/>
      <c r="LH42" s="64"/>
      <c r="LI42" s="64"/>
      <c r="LJ42" s="64"/>
      <c r="LK42" s="64"/>
      <c r="LL42" s="64"/>
      <c r="LM42" s="64"/>
      <c r="LN42" s="64"/>
      <c r="LO42" s="64"/>
      <c r="LP42" s="64"/>
      <c r="LQ42" s="64"/>
      <c r="LR42" s="64"/>
      <c r="LS42" s="64"/>
      <c r="LT42" s="64"/>
      <c r="LU42" s="64"/>
      <c r="LV42" s="64"/>
      <c r="LW42" s="64"/>
      <c r="LX42" s="64"/>
      <c r="LY42" s="64"/>
      <c r="LZ42" s="64"/>
      <c r="MA42" s="64"/>
      <c r="MB42" s="64"/>
      <c r="MC42" s="64"/>
      <c r="MD42" s="64"/>
      <c r="ME42" s="64"/>
      <c r="MF42" s="64"/>
      <c r="MG42" s="64"/>
      <c r="MH42" s="64"/>
      <c r="MI42" s="64"/>
      <c r="MJ42" s="64"/>
      <c r="MK42" s="64"/>
      <c r="ML42" s="64"/>
      <c r="MM42" s="64"/>
      <c r="MN42" s="64"/>
      <c r="MO42" s="64"/>
      <c r="MP42" s="64"/>
      <c r="MQ42" s="64"/>
      <c r="MR42" s="64"/>
      <c r="MS42" s="64"/>
      <c r="MT42" s="64"/>
      <c r="MU42" s="64"/>
      <c r="MV42" s="64"/>
      <c r="MW42" s="64"/>
      <c r="MX42" s="64"/>
      <c r="MY42" s="64"/>
      <c r="MZ42" s="64"/>
      <c r="NA42" s="64"/>
      <c r="NB42" s="64"/>
      <c r="NC42" s="64"/>
      <c r="ND42" s="64"/>
      <c r="NE42" s="64"/>
      <c r="NF42" s="64"/>
      <c r="NG42" s="64"/>
      <c r="NH42" s="64"/>
      <c r="NI42" s="64"/>
      <c r="NJ42" s="64"/>
      <c r="NK42" s="64"/>
      <c r="NL42" s="64"/>
      <c r="NM42" s="64"/>
      <c r="NN42" s="64"/>
      <c r="NO42" s="64"/>
      <c r="NP42" s="64"/>
      <c r="NQ42" s="64"/>
      <c r="NR42" s="64"/>
      <c r="NS42" s="64"/>
      <c r="NT42" s="64"/>
      <c r="NU42" s="64"/>
      <c r="NV42" s="64"/>
      <c r="NW42" s="64"/>
      <c r="NX42" s="64"/>
      <c r="NY42" s="64"/>
      <c r="NZ42" s="64"/>
      <c r="OA42" s="64"/>
      <c r="OB42" s="64"/>
      <c r="OC42" s="64"/>
      <c r="OD42" s="64"/>
      <c r="OE42" s="64"/>
      <c r="OF42" s="64"/>
      <c r="OG42" s="64"/>
      <c r="OH42" s="64"/>
      <c r="OI42" s="64"/>
      <c r="OJ42" s="64"/>
      <c r="OK42" s="64"/>
      <c r="OL42" s="64"/>
    </row>
    <row r="43" spans="1:402" s="102" customFormat="1" x14ac:dyDescent="0.3">
      <c r="A43" s="144"/>
      <c r="B43" s="84"/>
      <c r="C43" s="84"/>
      <c r="D43" s="83" t="s">
        <v>165</v>
      </c>
      <c r="E43" s="258">
        <f>SUM(I43:L43)</f>
        <v>2.6990015883516659E-3</v>
      </c>
      <c r="F43" s="85">
        <f>SUM(H43:L43,O43)</f>
        <v>3.1846495670060388E-3</v>
      </c>
      <c r="G43" s="278">
        <f>SUM(Q43:S43)/(1-'Common input data'!B$126)</f>
        <v>3.5207572319928375E-3</v>
      </c>
      <c r="H43" s="85">
        <f t="shared" si="7"/>
        <v>4.8564797865437306E-4</v>
      </c>
      <c r="I43" s="85">
        <f t="shared" si="7"/>
        <v>0</v>
      </c>
      <c r="J43" s="85">
        <f t="shared" si="7"/>
        <v>2.6990015883516659E-3</v>
      </c>
      <c r="K43" s="85">
        <f t="shared" si="7"/>
        <v>0</v>
      </c>
      <c r="L43" s="85">
        <v>0</v>
      </c>
      <c r="M43" s="85">
        <f>AVERAGE(M35,M39)</f>
        <v>0</v>
      </c>
      <c r="N43" s="85">
        <f t="shared" si="8"/>
        <v>0</v>
      </c>
      <c r="O43" s="85">
        <v>0</v>
      </c>
      <c r="P43" s="85">
        <f>'Input data meat and eggs'!C91*3.6*'Common input data'!B50</f>
        <v>2.628102857142858E-5</v>
      </c>
      <c r="Q43" s="85">
        <f>F43+P43</f>
        <v>3.2109305955774674E-3</v>
      </c>
      <c r="R43" s="90">
        <v>0</v>
      </c>
      <c r="S43" s="90">
        <v>0</v>
      </c>
      <c r="T43" s="107"/>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c r="EO43" s="64"/>
      <c r="EP43" s="64"/>
      <c r="EQ43" s="64"/>
      <c r="ER43" s="64"/>
      <c r="ES43" s="64"/>
      <c r="ET43" s="64"/>
      <c r="EU43" s="64"/>
      <c r="EV43" s="64"/>
      <c r="EW43" s="64"/>
      <c r="EX43" s="64"/>
      <c r="EY43" s="64"/>
      <c r="EZ43" s="64"/>
      <c r="FA43" s="64"/>
      <c r="FB43" s="64"/>
      <c r="FC43" s="64"/>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c r="GV43" s="64"/>
      <c r="GW43" s="64"/>
      <c r="GX43" s="64"/>
      <c r="GY43" s="64"/>
      <c r="GZ43" s="64"/>
      <c r="HA43" s="64"/>
      <c r="HB43" s="64"/>
      <c r="HC43" s="64"/>
      <c r="HD43" s="64"/>
      <c r="HE43" s="64"/>
      <c r="HF43" s="64"/>
      <c r="HG43" s="64"/>
      <c r="HH43" s="64"/>
      <c r="HI43" s="64"/>
      <c r="HJ43" s="64"/>
      <c r="HK43" s="64"/>
      <c r="HL43" s="64"/>
      <c r="HM43" s="64"/>
      <c r="HN43" s="64"/>
      <c r="HO43" s="64"/>
      <c r="HP43" s="64"/>
      <c r="HQ43" s="64"/>
      <c r="HR43" s="64"/>
      <c r="HS43" s="64"/>
      <c r="HT43" s="64"/>
      <c r="HU43" s="64"/>
      <c r="HV43" s="64"/>
      <c r="HW43" s="64"/>
      <c r="HX43" s="64"/>
      <c r="HY43" s="64"/>
      <c r="HZ43" s="64"/>
      <c r="IA43" s="64"/>
      <c r="IB43" s="64"/>
      <c r="IC43" s="64"/>
      <c r="ID43" s="64"/>
      <c r="IE43" s="64"/>
      <c r="IF43" s="64"/>
      <c r="IG43" s="64"/>
      <c r="IH43" s="64"/>
      <c r="II43" s="64"/>
      <c r="IJ43" s="64"/>
      <c r="IK43" s="64"/>
      <c r="IL43" s="64"/>
      <c r="IM43" s="64"/>
      <c r="IN43" s="64"/>
      <c r="IO43" s="64"/>
      <c r="IP43" s="64"/>
      <c r="IQ43" s="64"/>
      <c r="IR43" s="64"/>
      <c r="IS43" s="64"/>
      <c r="IT43" s="64"/>
      <c r="IU43" s="64"/>
      <c r="IV43" s="64"/>
      <c r="IW43" s="64"/>
      <c r="IX43" s="64"/>
      <c r="IY43" s="64"/>
      <c r="IZ43" s="64"/>
      <c r="JA43" s="64"/>
      <c r="JB43" s="64"/>
      <c r="JC43" s="64"/>
      <c r="JD43" s="64"/>
      <c r="JE43" s="64"/>
      <c r="JF43" s="64"/>
      <c r="JG43" s="64"/>
      <c r="JH43" s="64"/>
      <c r="JI43" s="64"/>
      <c r="JJ43" s="64"/>
      <c r="JK43" s="64"/>
      <c r="JL43" s="64"/>
      <c r="JM43" s="64"/>
      <c r="JN43" s="64"/>
      <c r="JO43" s="64"/>
      <c r="JP43" s="64"/>
      <c r="JQ43" s="64"/>
      <c r="JR43" s="64"/>
      <c r="JS43" s="64"/>
      <c r="JT43" s="64"/>
      <c r="JU43" s="64"/>
      <c r="JV43" s="64"/>
      <c r="JW43" s="64"/>
      <c r="JX43" s="64"/>
      <c r="JY43" s="64"/>
      <c r="JZ43" s="64"/>
      <c r="KA43" s="64"/>
      <c r="KB43" s="64"/>
      <c r="KC43" s="64"/>
      <c r="KD43" s="64"/>
      <c r="KE43" s="64"/>
      <c r="KF43" s="64"/>
      <c r="KG43" s="64"/>
      <c r="KH43" s="64"/>
      <c r="KI43" s="64"/>
      <c r="KJ43" s="64"/>
      <c r="KK43" s="64"/>
      <c r="KL43" s="64"/>
      <c r="KM43" s="64"/>
      <c r="KN43" s="64"/>
      <c r="KO43" s="64"/>
      <c r="KP43" s="64"/>
      <c r="KQ43" s="64"/>
      <c r="KR43" s="64"/>
      <c r="KS43" s="64"/>
      <c r="KT43" s="64"/>
      <c r="KU43" s="64"/>
      <c r="KV43" s="64"/>
      <c r="KW43" s="64"/>
      <c r="KX43" s="64"/>
      <c r="KY43" s="64"/>
      <c r="KZ43" s="64"/>
      <c r="LA43" s="64"/>
      <c r="LB43" s="64"/>
      <c r="LC43" s="64"/>
      <c r="LD43" s="64"/>
      <c r="LE43" s="64"/>
      <c r="LF43" s="64"/>
      <c r="LG43" s="64"/>
      <c r="LH43" s="64"/>
      <c r="LI43" s="64"/>
      <c r="LJ43" s="64"/>
      <c r="LK43" s="64"/>
      <c r="LL43" s="64"/>
      <c r="LM43" s="64"/>
      <c r="LN43" s="64"/>
      <c r="LO43" s="64"/>
      <c r="LP43" s="64"/>
      <c r="LQ43" s="64"/>
      <c r="LR43" s="64"/>
      <c r="LS43" s="64"/>
      <c r="LT43" s="64"/>
      <c r="LU43" s="64"/>
      <c r="LV43" s="64"/>
      <c r="LW43" s="64"/>
      <c r="LX43" s="64"/>
      <c r="LY43" s="64"/>
      <c r="LZ43" s="64"/>
      <c r="MA43" s="64"/>
      <c r="MB43" s="64"/>
      <c r="MC43" s="64"/>
      <c r="MD43" s="64"/>
      <c r="ME43" s="64"/>
      <c r="MF43" s="64"/>
      <c r="MG43" s="64"/>
      <c r="MH43" s="64"/>
      <c r="MI43" s="64"/>
      <c r="MJ43" s="64"/>
      <c r="MK43" s="64"/>
      <c r="ML43" s="64"/>
      <c r="MM43" s="64"/>
      <c r="MN43" s="64"/>
      <c r="MO43" s="64"/>
      <c r="MP43" s="64"/>
      <c r="MQ43" s="64"/>
      <c r="MR43" s="64"/>
      <c r="MS43" s="64"/>
      <c r="MT43" s="64"/>
      <c r="MU43" s="64"/>
      <c r="MV43" s="64"/>
      <c r="MW43" s="64"/>
      <c r="MX43" s="64"/>
      <c r="MY43" s="64"/>
      <c r="MZ43" s="64"/>
      <c r="NA43" s="64"/>
      <c r="NB43" s="64"/>
      <c r="NC43" s="64"/>
      <c r="ND43" s="64"/>
      <c r="NE43" s="64"/>
      <c r="NF43" s="64"/>
      <c r="NG43" s="64"/>
      <c r="NH43" s="64"/>
      <c r="NI43" s="64"/>
      <c r="NJ43" s="64"/>
      <c r="NK43" s="64"/>
      <c r="NL43" s="64"/>
      <c r="NM43" s="64"/>
      <c r="NN43" s="64"/>
      <c r="NO43" s="64"/>
      <c r="NP43" s="64"/>
      <c r="NQ43" s="64"/>
      <c r="NR43" s="64"/>
      <c r="NS43" s="64"/>
      <c r="NT43" s="64"/>
      <c r="NU43" s="64"/>
      <c r="NV43" s="64"/>
      <c r="NW43" s="64"/>
      <c r="NX43" s="64"/>
      <c r="NY43" s="64"/>
      <c r="NZ43" s="64"/>
      <c r="OA43" s="64"/>
      <c r="OB43" s="64"/>
      <c r="OC43" s="64"/>
      <c r="OD43" s="64"/>
      <c r="OE43" s="64"/>
      <c r="OF43" s="64"/>
      <c r="OG43" s="64"/>
      <c r="OH43" s="64"/>
      <c r="OI43" s="64"/>
      <c r="OJ43" s="64"/>
      <c r="OK43" s="64"/>
      <c r="OL43" s="64"/>
    </row>
    <row r="44" spans="1:402" x14ac:dyDescent="0.3">
      <c r="A44" s="144"/>
      <c r="C44" s="85"/>
      <c r="D44" s="84" t="s">
        <v>166</v>
      </c>
      <c r="E44" s="771">
        <f>SUM(I44:L44)</f>
        <v>2.5469713619270043E-3</v>
      </c>
      <c r="F44" s="101">
        <f>SUM(H44:L44,O44)</f>
        <v>3.3425052318196654E-3</v>
      </c>
      <c r="G44" s="521">
        <f>SUM(Q44:S44)/(1-'Common input data'!B$126)</f>
        <v>3.6677140435366008E-3</v>
      </c>
      <c r="H44" s="85">
        <f t="shared" si="7"/>
        <v>7.9553386989266112E-4</v>
      </c>
      <c r="I44" s="85">
        <f t="shared" si="7"/>
        <v>2.0107889712959117E-3</v>
      </c>
      <c r="J44" s="85">
        <f t="shared" si="7"/>
        <v>4.5475725710497243E-4</v>
      </c>
      <c r="K44" s="85">
        <f t="shared" si="7"/>
        <v>8.1425133526120079E-5</v>
      </c>
      <c r="L44" s="85">
        <v>0</v>
      </c>
      <c r="M44" s="85">
        <f>AVERAGE(M36,M40)</f>
        <v>0</v>
      </c>
      <c r="N44" s="85">
        <f t="shared" si="8"/>
        <v>0</v>
      </c>
      <c r="O44" s="85">
        <v>0</v>
      </c>
      <c r="P44" s="85">
        <f>'Input data meat and eggs'!C91*3.6*'Common input data'!B51</f>
        <v>2.4499758857142863E-6</v>
      </c>
      <c r="Q44" s="85">
        <f>F44+P44</f>
        <v>3.3449552077053795E-3</v>
      </c>
      <c r="R44" s="90">
        <v>0</v>
      </c>
      <c r="S44" s="90">
        <v>0</v>
      </c>
      <c r="T44" s="107"/>
    </row>
    <row r="45" spans="1:402" s="429" customFormat="1" x14ac:dyDescent="0.3">
      <c r="A45" s="426" t="s">
        <v>565</v>
      </c>
      <c r="B45" s="412"/>
      <c r="C45" s="413"/>
      <c r="D45" s="414"/>
      <c r="E45" s="767" t="s">
        <v>801</v>
      </c>
      <c r="F45" s="768" t="s">
        <v>801</v>
      </c>
      <c r="G45" s="590" t="s">
        <v>801</v>
      </c>
      <c r="H45" s="413"/>
      <c r="I45" s="413"/>
      <c r="J45" s="413"/>
      <c r="K45" s="415"/>
      <c r="L45" s="415"/>
      <c r="M45" s="416"/>
      <c r="N45" s="416"/>
      <c r="O45" s="417"/>
      <c r="P45" s="416"/>
      <c r="Q45" s="416"/>
      <c r="R45" s="416"/>
      <c r="S45" s="416"/>
      <c r="T45" s="107"/>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c r="GV45" s="64"/>
      <c r="GW45" s="64"/>
      <c r="GX45" s="64"/>
      <c r="GY45" s="64"/>
      <c r="GZ45" s="64"/>
      <c r="HA45" s="64"/>
      <c r="HB45" s="64"/>
      <c r="HC45" s="64"/>
      <c r="HD45" s="64"/>
      <c r="HE45" s="64"/>
      <c r="HF45" s="64"/>
      <c r="HG45" s="64"/>
      <c r="HH45" s="64"/>
      <c r="HI45" s="64"/>
      <c r="HJ45" s="64"/>
      <c r="HK45" s="64"/>
      <c r="HL45" s="64"/>
      <c r="HM45" s="64"/>
      <c r="HN45" s="64"/>
      <c r="HO45" s="64"/>
      <c r="HP45" s="64"/>
      <c r="HQ45" s="64"/>
      <c r="HR45" s="64"/>
      <c r="HS45" s="64"/>
      <c r="HT45" s="64"/>
      <c r="HU45" s="64"/>
      <c r="HV45" s="64"/>
      <c r="HW45" s="64"/>
      <c r="HX45" s="64"/>
      <c r="HY45" s="64"/>
      <c r="HZ45" s="64"/>
      <c r="IA45" s="64"/>
      <c r="IB45" s="64"/>
      <c r="IC45" s="64"/>
      <c r="ID45" s="64"/>
      <c r="IE45" s="64"/>
      <c r="IF45" s="64"/>
      <c r="IG45" s="64"/>
      <c r="IH45" s="64"/>
      <c r="II45" s="64"/>
      <c r="IJ45" s="64"/>
      <c r="IK45" s="64"/>
      <c r="IL45" s="64"/>
      <c r="IM45" s="64"/>
      <c r="IN45" s="64"/>
      <c r="IO45" s="64"/>
      <c r="IP45" s="64"/>
      <c r="IQ45" s="64"/>
      <c r="IR45" s="64"/>
      <c r="IS45" s="64"/>
      <c r="IT45" s="64"/>
      <c r="IU45" s="64"/>
      <c r="IV45" s="64"/>
      <c r="IW45" s="64"/>
      <c r="IX45" s="64"/>
      <c r="IY45" s="64"/>
      <c r="IZ45" s="64"/>
      <c r="JA45" s="64"/>
      <c r="JB45" s="64"/>
      <c r="JC45" s="64"/>
      <c r="JD45" s="64"/>
      <c r="JE45" s="64"/>
      <c r="JF45" s="64"/>
      <c r="JG45" s="64"/>
      <c r="JH45" s="64"/>
      <c r="JI45" s="64"/>
      <c r="JJ45" s="64"/>
      <c r="JK45" s="64"/>
      <c r="JL45" s="64"/>
      <c r="JM45" s="64"/>
      <c r="JN45" s="64"/>
      <c r="JO45" s="64"/>
      <c r="JP45" s="64"/>
      <c r="JQ45" s="64"/>
      <c r="JR45" s="64"/>
      <c r="JS45" s="64"/>
      <c r="JT45" s="64"/>
      <c r="JU45" s="64"/>
      <c r="JV45" s="64"/>
      <c r="JW45" s="64"/>
      <c r="JX45" s="64"/>
      <c r="JY45" s="64"/>
      <c r="JZ45" s="64"/>
      <c r="KA45" s="64"/>
      <c r="KB45" s="64"/>
      <c r="KC45" s="64"/>
      <c r="KD45" s="64"/>
      <c r="KE45" s="64"/>
      <c r="KF45" s="64"/>
      <c r="KG45" s="64"/>
      <c r="KH45" s="64"/>
      <c r="KI45" s="64"/>
      <c r="KJ45" s="64"/>
      <c r="KK45" s="64"/>
      <c r="KL45" s="64"/>
      <c r="KM45" s="64"/>
      <c r="KN45" s="64"/>
      <c r="KO45" s="64"/>
      <c r="KP45" s="64"/>
      <c r="KQ45" s="64"/>
      <c r="KR45" s="64"/>
      <c r="KS45" s="64"/>
      <c r="KT45" s="64"/>
      <c r="KU45" s="64"/>
      <c r="KV45" s="64"/>
      <c r="KW45" s="64"/>
      <c r="KX45" s="64"/>
      <c r="KY45" s="64"/>
      <c r="KZ45" s="64"/>
      <c r="LA45" s="64"/>
      <c r="LB45" s="64"/>
      <c r="LC45" s="64"/>
      <c r="LD45" s="64"/>
      <c r="LE45" s="64"/>
      <c r="LF45" s="64"/>
      <c r="LG45" s="64"/>
      <c r="LH45" s="64"/>
      <c r="LI45" s="64"/>
      <c r="LJ45" s="64"/>
      <c r="LK45" s="64"/>
      <c r="LL45" s="64"/>
      <c r="LM45" s="64"/>
      <c r="LN45" s="64"/>
      <c r="LO45" s="64"/>
      <c r="LP45" s="64"/>
      <c r="LQ45" s="64"/>
      <c r="LR45" s="64"/>
      <c r="LS45" s="64"/>
      <c r="LT45" s="64"/>
      <c r="LU45" s="64"/>
      <c r="LV45" s="64"/>
      <c r="LW45" s="64"/>
      <c r="LX45" s="64"/>
      <c r="LY45" s="64"/>
      <c r="LZ45" s="64"/>
      <c r="MA45" s="64"/>
      <c r="MB45" s="64"/>
      <c r="MC45" s="64"/>
      <c r="MD45" s="64"/>
      <c r="ME45" s="64"/>
      <c r="MF45" s="64"/>
      <c r="MG45" s="64"/>
      <c r="MH45" s="64"/>
      <c r="MI45" s="64"/>
      <c r="MJ45" s="64"/>
      <c r="MK45" s="64"/>
      <c r="ML45" s="64"/>
      <c r="MM45" s="64"/>
      <c r="MN45" s="64"/>
      <c r="MO45" s="64"/>
      <c r="MP45" s="64"/>
      <c r="MQ45" s="64"/>
      <c r="MR45" s="64"/>
      <c r="MS45" s="64"/>
      <c r="MT45" s="64"/>
      <c r="MU45" s="64"/>
      <c r="MV45" s="64"/>
      <c r="MW45" s="64"/>
      <c r="MX45" s="64"/>
      <c r="MY45" s="64"/>
      <c r="MZ45" s="64"/>
      <c r="NA45" s="64"/>
      <c r="NB45" s="64"/>
      <c r="NC45" s="64"/>
      <c r="ND45" s="64"/>
      <c r="NE45" s="64"/>
      <c r="NF45" s="64"/>
      <c r="NG45" s="64"/>
      <c r="NH45" s="64"/>
      <c r="NI45" s="64"/>
    </row>
    <row r="46" spans="1:402" s="102" customFormat="1" x14ac:dyDescent="0.3">
      <c r="A46" s="143" t="s">
        <v>260</v>
      </c>
      <c r="B46" s="150"/>
      <c r="C46" s="112">
        <f>SUM(C50:C57)</f>
        <v>1</v>
      </c>
      <c r="D46" s="269" t="s">
        <v>473</v>
      </c>
      <c r="E46" s="769">
        <f>IF($F$1="GWP100 without fb",E47+E48*'Common input data'!$C$5+E49*'Common input data'!$D$5,IF($F$1="GWP100 with fb",E47+E48*'Common input data'!$C$6+E49*'Common input data'!$D$6,IF($F$1="GTP100 without fb",E47+E48*'Common input data'!$C$7+E49*'Common input data'!$D$7,IF($F$1="GTP100 with fb",E47+E48*'Common input data'!$C$8+E49*'Common input data'!$D$8,E47+E48*'Common input data'!$C$9+E49*'Common input data'!$D$9))))</f>
        <v>1.1139479360738824</v>
      </c>
      <c r="F46" s="326">
        <f>IF($F$1="GWP100 without fb",F47+F48*'Common input data'!$C$5+F49*'Common input data'!$D$5,IF($F$1="GWP100 with fb",F47+F48*'Common input data'!$C$6+F49*'Common input data'!$D$6,IF($F$1="GTP100 without fb",F47+F48*'Common input data'!$C$7+F49*'Common input data'!$D$7,IF($F$1="GTP100 with fb",F47+F48*'Common input data'!$C$8+F49*'Common input data'!$D$8,F47+F48*'Common input data'!$C$9+F49*'Common input data'!$D$9))))</f>
        <v>2.155434715330498</v>
      </c>
      <c r="G46" s="770">
        <f>IF($F$1="GWP100 without fb",G47+G48*'Common input data'!$C$5+G49*'Common input data'!$D$5,IF($F$1="GWP100 with fb",G47+G48*'Common input data'!$C$6+G49*'Common input data'!$D$6,IF($F$1="GTP100 without fb",G47+G48*'Common input data'!$C$7+G49*'Common input data'!$D$7,IF($F$1="GTP100 with fb",G47+G48*'Common input data'!$C$8+G49*'Common input data'!$D$8,G47+G48*'Common input data'!$C$9+G49*'Common input data'!$D$9))))</f>
        <v>2.5264415738273005</v>
      </c>
      <c r="H46" s="280"/>
      <c r="I46" s="280"/>
      <c r="J46" s="280"/>
      <c r="K46" s="269"/>
      <c r="L46" s="269"/>
      <c r="O46" s="111"/>
      <c r="T46" s="107"/>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c r="IM46" s="64"/>
      <c r="IN46" s="64"/>
      <c r="IO46" s="64"/>
      <c r="IP46" s="64"/>
      <c r="IQ46" s="64"/>
      <c r="IR46" s="64"/>
      <c r="IS46" s="64"/>
      <c r="IT46" s="64"/>
      <c r="IU46" s="64"/>
      <c r="IV46" s="64"/>
      <c r="IW46" s="64"/>
      <c r="IX46" s="64"/>
      <c r="IY46" s="64"/>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row>
    <row r="47" spans="1:402" x14ac:dyDescent="0.3">
      <c r="A47" s="107"/>
      <c r="D47" s="83" t="s">
        <v>164</v>
      </c>
      <c r="E47" s="258">
        <f t="shared" ref="E47:I49" si="9">$C$50*E51+$C$54*E55</f>
        <v>0.40691641211273999</v>
      </c>
      <c r="F47" s="85">
        <f t="shared" si="9"/>
        <v>1.2324611091187649</v>
      </c>
      <c r="G47" s="259">
        <f t="shared" si="9"/>
        <v>1.5144091108758388</v>
      </c>
      <c r="H47" s="85">
        <f t="shared" si="9"/>
        <v>0.76895302900602513</v>
      </c>
      <c r="I47" s="85">
        <f t="shared" si="9"/>
        <v>0</v>
      </c>
      <c r="J47" s="85">
        <f t="shared" ref="J47:S47" si="10">$C$50*J51+$C$54*J55</f>
        <v>0</v>
      </c>
      <c r="K47" s="85">
        <f t="shared" si="10"/>
        <v>0</v>
      </c>
      <c r="L47" s="85">
        <f t="shared" si="10"/>
        <v>0</v>
      </c>
      <c r="M47" s="85">
        <f t="shared" si="10"/>
        <v>0.19867290447698532</v>
      </c>
      <c r="N47" s="85">
        <f t="shared" si="10"/>
        <v>0.20824350763575467</v>
      </c>
      <c r="O47" s="85">
        <f t="shared" si="10"/>
        <v>5.6591667999999991E-2</v>
      </c>
      <c r="P47" s="85">
        <f t="shared" si="10"/>
        <v>0</v>
      </c>
      <c r="Q47" s="85">
        <f t="shared" si="10"/>
        <v>1.2324611091187649</v>
      </c>
      <c r="R47" s="85">
        <f t="shared" si="10"/>
        <v>0.1</v>
      </c>
      <c r="S47" s="85">
        <f t="shared" si="10"/>
        <v>4.8679999999999987E-2</v>
      </c>
      <c r="T47" s="107"/>
    </row>
    <row r="48" spans="1:402" x14ac:dyDescent="0.3">
      <c r="A48" s="141"/>
      <c r="B48" s="243"/>
      <c r="C48" s="142"/>
      <c r="D48" s="83" t="s">
        <v>165</v>
      </c>
      <c r="E48" s="258">
        <f t="shared" si="9"/>
        <v>2.5962589256800276E-3</v>
      </c>
      <c r="F48" s="85">
        <f t="shared" si="9"/>
        <v>3.2253623841614907E-3</v>
      </c>
      <c r="G48" s="259">
        <f t="shared" si="9"/>
        <v>3.536581561580582E-3</v>
      </c>
      <c r="H48" s="85">
        <f t="shared" si="9"/>
        <v>6.2910345848146319E-4</v>
      </c>
      <c r="I48" s="85">
        <f t="shared" si="9"/>
        <v>0</v>
      </c>
      <c r="J48" s="85">
        <f t="shared" ref="J48:S48" si="11">$C$50*J52+$C$54*J56</f>
        <v>2.5962589256800276E-3</v>
      </c>
      <c r="K48" s="85">
        <f t="shared" si="11"/>
        <v>0</v>
      </c>
      <c r="L48" s="85">
        <f t="shared" si="11"/>
        <v>0</v>
      </c>
      <c r="M48" s="85">
        <f t="shared" si="11"/>
        <v>0</v>
      </c>
      <c r="N48" s="85">
        <f t="shared" si="11"/>
        <v>0</v>
      </c>
      <c r="O48" s="85">
        <f t="shared" si="11"/>
        <v>0</v>
      </c>
      <c r="P48" s="85">
        <f t="shared" si="11"/>
        <v>0</v>
      </c>
      <c r="Q48" s="85">
        <f t="shared" si="11"/>
        <v>3.2253623841614907E-3</v>
      </c>
      <c r="R48" s="85">
        <f t="shared" si="11"/>
        <v>0</v>
      </c>
      <c r="S48" s="85">
        <f t="shared" si="11"/>
        <v>0</v>
      </c>
      <c r="T48" s="107"/>
    </row>
    <row r="49" spans="1:403" x14ac:dyDescent="0.3">
      <c r="A49" s="141"/>
      <c r="B49" s="243"/>
      <c r="C49" s="85"/>
      <c r="D49" s="84" t="s">
        <v>166</v>
      </c>
      <c r="E49" s="258">
        <f t="shared" si="9"/>
        <v>2.0763715452618171E-3</v>
      </c>
      <c r="F49" s="85">
        <f t="shared" si="9"/>
        <v>2.7292325005041692E-3</v>
      </c>
      <c r="G49" s="259">
        <f t="shared" si="9"/>
        <v>2.9925794961668524E-3</v>
      </c>
      <c r="H49" s="85">
        <f t="shared" si="9"/>
        <v>6.5286095524235202E-4</v>
      </c>
      <c r="I49" s="85">
        <f t="shared" si="9"/>
        <v>1.6501693495063416E-3</v>
      </c>
      <c r="J49" s="85">
        <f t="shared" ref="J49:S49" si="12">$C$50*J53+$C$54*J57</f>
        <v>3.1976023795936487E-4</v>
      </c>
      <c r="K49" s="85">
        <f t="shared" si="12"/>
        <v>1.0644195779611054E-4</v>
      </c>
      <c r="L49" s="85">
        <f t="shared" si="12"/>
        <v>0</v>
      </c>
      <c r="M49" s="85">
        <f t="shared" si="12"/>
        <v>0</v>
      </c>
      <c r="N49" s="85">
        <f t="shared" si="12"/>
        <v>0</v>
      </c>
      <c r="O49" s="85">
        <f t="shared" si="12"/>
        <v>0</v>
      </c>
      <c r="P49" s="85">
        <f t="shared" si="12"/>
        <v>0</v>
      </c>
      <c r="Q49" s="85">
        <f t="shared" si="12"/>
        <v>2.7292325005041692E-3</v>
      </c>
      <c r="R49" s="85">
        <f t="shared" si="12"/>
        <v>0</v>
      </c>
      <c r="S49" s="85">
        <f t="shared" si="12"/>
        <v>0</v>
      </c>
      <c r="T49" s="107"/>
    </row>
    <row r="50" spans="1:403" s="102" customFormat="1" x14ac:dyDescent="0.3">
      <c r="A50" s="143" t="s">
        <v>1</v>
      </c>
      <c r="B50" s="150" t="s">
        <v>259</v>
      </c>
      <c r="C50" s="112">
        <f>'Input data meat and eggs'!D22</f>
        <v>0.90660000000000007</v>
      </c>
      <c r="D50" s="269" t="s">
        <v>473</v>
      </c>
      <c r="E50" s="320">
        <f>IF($F$1="GWP100 without fb",E51+E52*'Common input data'!$C$5+E53*'Common input data'!$D$5,IF($F$1="GWP100 with fb",E51+E52*'Common input data'!$C$6+E53*'Common input data'!$D$6,IF($F$1="GTP100 without fb",E51+E52*'Common input data'!$C$7+E53*'Common input data'!$D$7,IF($F$1="GTP100 with fb",E51+E52*'Common input data'!$C$8+E53*'Common input data'!$D$8,E51+E52*'Common input data'!$C$9+E53*'Common input data'!$D$9))))</f>
        <v>1.1139479360738824</v>
      </c>
      <c r="F50" s="302">
        <f>IF($F$1="GWP100 without fb",F51+F52*'Common input data'!$C$5+F53*'Common input data'!$D$5,IF($F$1="GWP100 with fb",F51+F52*'Common input data'!$C$6+F53*'Common input data'!$D$6,IF($F$1="GTP100 without fb",F51+F52*'Common input data'!$C$7+F53*'Common input data'!$D$7,IF($F$1="GTP100 with fb",F51+F52*'Common input data'!$C$8+F53*'Common input data'!$D$8,F51+F52*'Common input data'!$C$9+F53*'Common input data'!$D$9))))</f>
        <v>2.1463730473304983</v>
      </c>
      <c r="G50" s="321">
        <f>IF($F$1="GWP100 without fb",G51+G52*'Common input data'!$C$5+G53*'Common input data'!$D$5,IF($F$1="GWP100 with fb",G51+G52*'Common input data'!$C$6+G53*'Common input data'!$D$6,IF($F$1="GTP100 without fb",G51+G52*'Common input data'!$C$7+G53*'Common input data'!$D$7,IF($F$1="GTP100 with fb",G51+G52*'Common input data'!$C$8+G53*'Common input data'!$D$8,G51+G52*'Common input data'!$C$9+G53*'Common input data'!$D$9))))</f>
        <v>2.4960230782132657</v>
      </c>
      <c r="H50" s="104"/>
      <c r="I50" s="104"/>
      <c r="J50" s="104"/>
      <c r="K50" s="106"/>
      <c r="L50" s="106"/>
      <c r="T50" s="107"/>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c r="DH50" s="64"/>
      <c r="DI50" s="64"/>
      <c r="DJ50" s="64"/>
      <c r="DK50" s="64"/>
      <c r="DL50" s="64"/>
      <c r="DM50" s="64"/>
      <c r="DN50" s="64"/>
      <c r="DO50" s="64"/>
      <c r="DP50" s="64"/>
      <c r="DQ50" s="64"/>
      <c r="DR50" s="64"/>
      <c r="DS50" s="64"/>
      <c r="DT50" s="64"/>
      <c r="DU50" s="64"/>
      <c r="DV50" s="64"/>
      <c r="DW50" s="64"/>
      <c r="DX50" s="64"/>
      <c r="DY50" s="64"/>
      <c r="DZ50" s="64"/>
      <c r="EA50" s="64"/>
      <c r="EB50" s="64"/>
      <c r="EC50" s="64"/>
      <c r="ED50" s="64"/>
      <c r="EE50" s="64"/>
      <c r="EF50" s="64"/>
      <c r="EG50" s="64"/>
      <c r="EH50" s="64"/>
      <c r="EI50" s="64"/>
      <c r="EJ50" s="64"/>
      <c r="EK50" s="64"/>
      <c r="EL50" s="64"/>
      <c r="EM50" s="64"/>
      <c r="EN50" s="64"/>
      <c r="EO50" s="64"/>
      <c r="EP50" s="64"/>
      <c r="EQ50" s="64"/>
      <c r="ER50" s="64"/>
      <c r="ES50" s="64"/>
      <c r="ET50" s="64"/>
      <c r="EU50" s="64"/>
      <c r="EV50" s="64"/>
      <c r="EW50" s="64"/>
      <c r="EX50" s="64"/>
      <c r="EY50" s="64"/>
      <c r="EZ50" s="64"/>
      <c r="FA50" s="64"/>
      <c r="FB50" s="64"/>
      <c r="FC50" s="64"/>
      <c r="FD50" s="64"/>
      <c r="FE50" s="64"/>
      <c r="FF50" s="64"/>
      <c r="FG50" s="64"/>
      <c r="FH50" s="64"/>
      <c r="FI50" s="64"/>
      <c r="FJ50" s="64"/>
      <c r="FK50" s="64"/>
      <c r="FL50" s="64"/>
      <c r="FM50" s="64"/>
      <c r="FN50" s="64"/>
      <c r="FO50" s="64"/>
      <c r="FP50" s="64"/>
      <c r="FQ50" s="64"/>
      <c r="FR50" s="64"/>
      <c r="FS50" s="64"/>
      <c r="FT50" s="64"/>
      <c r="FU50" s="64"/>
      <c r="FV50" s="64"/>
      <c r="FW50" s="64"/>
      <c r="FX50" s="64"/>
      <c r="FY50" s="64"/>
      <c r="FZ50" s="64"/>
      <c r="GA50" s="64"/>
      <c r="GB50" s="64"/>
      <c r="GC50" s="64"/>
      <c r="GD50" s="64"/>
      <c r="GE50" s="64"/>
      <c r="GF50" s="64"/>
      <c r="GG50" s="64"/>
      <c r="GH50" s="64"/>
      <c r="GI50" s="64"/>
      <c r="GJ50" s="64"/>
      <c r="GK50" s="64"/>
      <c r="GL50" s="64"/>
      <c r="GM50" s="64"/>
      <c r="GN50" s="64"/>
      <c r="GO50" s="64"/>
      <c r="GP50" s="64"/>
      <c r="GQ50" s="64"/>
      <c r="GR50" s="64"/>
      <c r="GS50" s="64"/>
      <c r="GT50" s="64"/>
      <c r="GU50" s="64"/>
      <c r="GV50" s="64"/>
      <c r="GW50" s="64"/>
      <c r="GX50" s="64"/>
      <c r="GY50" s="64"/>
      <c r="GZ50" s="64"/>
      <c r="HA50" s="64"/>
      <c r="HB50" s="64"/>
      <c r="HC50" s="64"/>
      <c r="HD50" s="64"/>
      <c r="HE50" s="64"/>
      <c r="HF50" s="64"/>
      <c r="HG50" s="64"/>
      <c r="HH50" s="64"/>
      <c r="HI50" s="64"/>
      <c r="HJ50" s="64"/>
      <c r="HK50" s="64"/>
      <c r="HL50" s="64"/>
      <c r="HM50" s="64"/>
      <c r="HN50" s="64"/>
      <c r="HO50" s="64"/>
      <c r="HP50" s="64"/>
      <c r="HQ50" s="64"/>
      <c r="HR50" s="64"/>
      <c r="HS50" s="64"/>
      <c r="HT50" s="64"/>
      <c r="HU50" s="64"/>
      <c r="HV50" s="64"/>
      <c r="HW50" s="64"/>
      <c r="HX50" s="64"/>
      <c r="HY50" s="64"/>
      <c r="HZ50" s="64"/>
      <c r="IA50" s="64"/>
      <c r="IB50" s="64"/>
      <c r="IC50" s="64"/>
      <c r="ID50" s="64"/>
      <c r="IE50" s="64"/>
      <c r="IF50" s="64"/>
      <c r="IG50" s="64"/>
      <c r="IH50" s="64"/>
      <c r="II50" s="64"/>
      <c r="IJ50" s="64"/>
      <c r="IK50" s="64"/>
      <c r="IL50" s="64"/>
      <c r="IM50" s="64"/>
      <c r="IN50" s="64"/>
      <c r="IO50" s="64"/>
      <c r="IP50" s="64"/>
      <c r="IQ50" s="64"/>
      <c r="IR50" s="64"/>
      <c r="IS50" s="64"/>
      <c r="IT50" s="64"/>
      <c r="IU50" s="64"/>
      <c r="IV50" s="64"/>
      <c r="IW50" s="64"/>
      <c r="IX50" s="64"/>
      <c r="IY50" s="64"/>
      <c r="IZ50" s="64"/>
      <c r="JA50" s="64"/>
      <c r="JB50" s="64"/>
      <c r="JC50" s="64"/>
      <c r="JD50" s="64"/>
      <c r="JE50" s="64"/>
      <c r="JF50" s="64"/>
      <c r="JG50" s="64"/>
      <c r="JH50" s="64"/>
      <c r="JI50" s="64"/>
      <c r="JJ50" s="64"/>
      <c r="JK50" s="64"/>
      <c r="JL50" s="64"/>
      <c r="JM50" s="64"/>
      <c r="JN50" s="64"/>
      <c r="JO50" s="64"/>
      <c r="JP50" s="64"/>
      <c r="JQ50" s="64"/>
      <c r="JR50" s="64"/>
      <c r="JS50" s="64"/>
      <c r="JT50" s="64"/>
      <c r="JU50" s="64"/>
      <c r="JV50" s="64"/>
      <c r="JW50" s="64"/>
      <c r="JX50" s="64"/>
      <c r="JY50" s="64"/>
      <c r="JZ50" s="64"/>
      <c r="KA50" s="64"/>
      <c r="KB50" s="64"/>
      <c r="KC50" s="64"/>
      <c r="KD50" s="64"/>
      <c r="KE50" s="64"/>
      <c r="KF50" s="64"/>
      <c r="KG50" s="64"/>
      <c r="KH50" s="64"/>
      <c r="KI50" s="64"/>
      <c r="KJ50" s="64"/>
      <c r="KK50" s="64"/>
      <c r="KL50" s="64"/>
      <c r="KM50" s="64"/>
      <c r="KN50" s="64"/>
      <c r="KO50" s="64"/>
      <c r="KP50" s="64"/>
      <c r="KQ50" s="64"/>
      <c r="KR50" s="64"/>
      <c r="KS50" s="64"/>
      <c r="KT50" s="64"/>
      <c r="KU50" s="64"/>
      <c r="KV50" s="64"/>
      <c r="KW50" s="64"/>
      <c r="KX50" s="64"/>
      <c r="KY50" s="64"/>
      <c r="KZ50" s="64"/>
      <c r="LA50" s="64"/>
      <c r="LB50" s="64"/>
      <c r="LC50" s="64"/>
      <c r="LD50" s="64"/>
      <c r="LE50" s="64"/>
      <c r="LF50" s="64"/>
      <c r="LG50" s="64"/>
      <c r="LH50" s="64"/>
      <c r="LI50" s="64"/>
      <c r="LJ50" s="64"/>
      <c r="LK50" s="64"/>
      <c r="LL50" s="64"/>
      <c r="LM50" s="64"/>
      <c r="LN50" s="64"/>
      <c r="LO50" s="64"/>
      <c r="LP50" s="64"/>
      <c r="LQ50" s="64"/>
      <c r="LR50" s="64"/>
      <c r="LS50" s="64"/>
      <c r="LT50" s="64"/>
      <c r="LU50" s="64"/>
      <c r="LV50" s="64"/>
      <c r="LW50" s="64"/>
      <c r="LX50" s="64"/>
      <c r="LY50" s="64"/>
      <c r="LZ50" s="64"/>
      <c r="MA50" s="64"/>
      <c r="MB50" s="64"/>
      <c r="MC50" s="64"/>
      <c r="MD50" s="64"/>
      <c r="ME50" s="64"/>
      <c r="MF50" s="64"/>
      <c r="MG50" s="64"/>
      <c r="MH50" s="64"/>
      <c r="MI50" s="64"/>
      <c r="MJ50" s="64"/>
      <c r="MK50" s="64"/>
      <c r="ML50" s="64"/>
      <c r="MM50" s="64"/>
      <c r="MN50" s="64"/>
      <c r="MO50" s="64"/>
      <c r="MP50" s="64"/>
      <c r="MQ50" s="64"/>
      <c r="MR50" s="64"/>
      <c r="MS50" s="64"/>
      <c r="MT50" s="64"/>
      <c r="MU50" s="64"/>
      <c r="MV50" s="64"/>
      <c r="MW50" s="64"/>
      <c r="MX50" s="64"/>
      <c r="MY50" s="64"/>
      <c r="MZ50" s="64"/>
      <c r="NA50" s="64"/>
      <c r="NB50" s="64"/>
      <c r="NC50" s="64"/>
      <c r="ND50" s="64"/>
      <c r="NE50" s="64"/>
      <c r="NF50" s="64"/>
      <c r="NG50" s="64"/>
      <c r="NH50" s="64"/>
      <c r="NI50" s="64"/>
      <c r="NJ50" s="64"/>
      <c r="NK50" s="64"/>
      <c r="NL50" s="64"/>
      <c r="NM50" s="64"/>
      <c r="NN50" s="64"/>
      <c r="NO50" s="64"/>
      <c r="NP50" s="64"/>
      <c r="NQ50" s="64"/>
      <c r="NR50" s="64"/>
      <c r="NS50" s="64"/>
      <c r="NT50" s="64"/>
      <c r="NU50" s="64"/>
      <c r="NV50" s="64"/>
      <c r="NW50" s="64"/>
      <c r="NX50" s="64"/>
      <c r="NY50" s="64"/>
      <c r="NZ50" s="64"/>
      <c r="OA50" s="64"/>
      <c r="OB50" s="64"/>
      <c r="OC50" s="64"/>
      <c r="OD50" s="64"/>
      <c r="OE50" s="64"/>
      <c r="OF50" s="64"/>
      <c r="OG50" s="64"/>
      <c r="OH50" s="64"/>
      <c r="OI50" s="64"/>
      <c r="OJ50" s="64"/>
      <c r="OK50" s="64"/>
      <c r="OL50" s="64"/>
    </row>
    <row r="51" spans="1:403" s="102" customFormat="1" x14ac:dyDescent="0.3">
      <c r="A51" s="144"/>
      <c r="B51" s="84"/>
      <c r="C51" s="64"/>
      <c r="D51" s="83" t="s">
        <v>164</v>
      </c>
      <c r="E51" s="258">
        <f>IF(AND($F$2="No",$F$3="No"),SUM(I51:L51),IF(AND($F$2="Yes", $F$3="No"), SUM(I51:L51)+N51, IF(AND($F$2="No", $F$3="Yes"),SUM(I51:L51)+M51, SUM(I51:L51)+N51+M51)))</f>
        <v>0.40691641211273999</v>
      </c>
      <c r="F51" s="85">
        <f>IF(AND($F$2="No",$F$3="No"),SUM(H51:L51,O51),IF(AND($F$2="Yes", $F$3="No"), SUM(H51:L51,O51)+N51, IF(AND($F$2="No", $F$3="Yes"),SUM(H51:L51,O51)+M51, SUM(H51:L51,O51)+N51+M51)))</f>
        <v>1.223399441118765</v>
      </c>
      <c r="G51" s="278">
        <f>SUM(Q51:S51)/(1-'Common input data'!B$126)</f>
        <v>1.4839906152618039</v>
      </c>
      <c r="H51" s="85">
        <f>'Input data meat and eggs'!$B$343*(('Input data meat and eggs'!D62*'Input data meat and eggs'!B35)+('Input data meat and eggs'!D63*'Input data meat and eggs'!B36)+('Input data meat and eggs'!D64*(SUMPRODUCT('Input data meat and eggs'!D65:'Input data meat and eggs'!D74,'Input data meat and eggs'!B37:'Input data meat and eggs'!B46))))*'Input data meat and eggs'!B56</f>
        <v>0.76895302900602502</v>
      </c>
      <c r="I51" s="85">
        <f>'Input data meat and eggs'!$B$343*(('Input data meat and eggs'!D62*'Input data meat and eggs'!B35)+('Input data meat and eggs'!D63*'Input data meat and eggs'!B36)+('Input data meat and eggs'!D64*(SUMPRODUCT('Input data meat and eggs'!D65:'Input data meat and eggs'!D74,'Input data meat and eggs'!B37:'Input data meat and eggs'!B46))))*'Input data meat and eggs'!C56</f>
        <v>0</v>
      </c>
      <c r="J51" s="85">
        <v>0</v>
      </c>
      <c r="K51" s="85">
        <v>0</v>
      </c>
      <c r="L51" s="85">
        <v>0</v>
      </c>
      <c r="M51" s="85">
        <f>'Input data meat and eggs'!B343*(('Input data meat and eggs'!D62+'Input data meat and eggs'!D63)*'Common input data'!B13)+('Input data meat and eggs'!D64*('Input data meat and eggs'!D65*'Common input data'!B13*'Common input data'!G28/'Common input data'!F28+'Input data meat and eggs'!D68*'Common input data'!D13+'Input data meat and eggs'!D69*'Common input data'!D13*'Common input data'!G26/'Common input data'!F26+'Input data meat and eggs'!D71*'Common input data'!C13*'Common input data'!G30/'Common input data'!F30+'Input data meat and eggs'!D72*'Common input data'!C13))</f>
        <v>0.19867290447698532</v>
      </c>
      <c r="N51" s="85">
        <f>'Input data meat and eggs'!B343*'Input data meat and eggs'!D64*'Input data meat and eggs'!D71*'Common input data'!B21*'Common input data'!G30/'Common input data'!F30</f>
        <v>0.20824350763575467</v>
      </c>
      <c r="O51" s="85">
        <f>'Input data meat and eggs'!B81*'Common input data'!B63</f>
        <v>4.7530000000000003E-2</v>
      </c>
      <c r="P51" s="85">
        <v>0</v>
      </c>
      <c r="Q51" s="85">
        <f>(F51+P51)</f>
        <v>1.223399441118765</v>
      </c>
      <c r="R51" s="90">
        <f>'Common input data'!B92</f>
        <v>0.1</v>
      </c>
      <c r="S51" s="90">
        <f>'Common input data'!C98</f>
        <v>0.03</v>
      </c>
      <c r="T51" s="107"/>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c r="DU51" s="64"/>
      <c r="DV51" s="64"/>
      <c r="DW51" s="64"/>
      <c r="DX51" s="64"/>
      <c r="DY51" s="64"/>
      <c r="DZ51" s="64"/>
      <c r="EA51" s="64"/>
      <c r="EB51" s="64"/>
      <c r="EC51" s="64"/>
      <c r="ED51" s="64"/>
      <c r="EE51" s="64"/>
      <c r="EF51" s="64"/>
      <c r="EG51" s="64"/>
      <c r="EH51" s="64"/>
      <c r="EI51" s="64"/>
      <c r="EJ51" s="64"/>
      <c r="EK51" s="64"/>
      <c r="EL51" s="64"/>
      <c r="EM51" s="64"/>
      <c r="EN51" s="64"/>
      <c r="EO51" s="64"/>
      <c r="EP51" s="64"/>
      <c r="EQ51" s="64"/>
      <c r="ER51" s="64"/>
      <c r="ES51" s="64"/>
      <c r="ET51" s="64"/>
      <c r="EU51" s="64"/>
      <c r="EV51" s="64"/>
      <c r="EW51" s="64"/>
      <c r="EX51" s="64"/>
      <c r="EY51" s="64"/>
      <c r="EZ51" s="64"/>
      <c r="FA51" s="64"/>
      <c r="FB51" s="64"/>
      <c r="FC51" s="64"/>
      <c r="FD51" s="64"/>
      <c r="FE51" s="64"/>
      <c r="FF51" s="64"/>
      <c r="FG51" s="64"/>
      <c r="FH51" s="64"/>
      <c r="FI51" s="64"/>
      <c r="FJ51" s="64"/>
      <c r="FK51" s="64"/>
      <c r="FL51" s="64"/>
      <c r="FM51" s="64"/>
      <c r="FN51" s="64"/>
      <c r="FO51" s="64"/>
      <c r="FP51" s="64"/>
      <c r="FQ51" s="64"/>
      <c r="FR51" s="64"/>
      <c r="FS51" s="64"/>
      <c r="FT51" s="64"/>
      <c r="FU51" s="64"/>
      <c r="FV51" s="64"/>
      <c r="FW51" s="64"/>
      <c r="FX51" s="64"/>
      <c r="FY51" s="64"/>
      <c r="FZ51" s="64"/>
      <c r="GA51" s="64"/>
      <c r="GB51" s="64"/>
      <c r="GC51" s="64"/>
      <c r="GD51" s="64"/>
      <c r="GE51" s="64"/>
      <c r="GF51" s="64"/>
      <c r="GG51" s="64"/>
      <c r="GH51" s="64"/>
      <c r="GI51" s="64"/>
      <c r="GJ51" s="64"/>
      <c r="GK51" s="64"/>
      <c r="GL51" s="64"/>
      <c r="GM51" s="64"/>
      <c r="GN51" s="64"/>
      <c r="GO51" s="64"/>
      <c r="GP51" s="64"/>
      <c r="GQ51" s="64"/>
      <c r="GR51" s="64"/>
      <c r="GS51" s="64"/>
      <c r="GT51" s="64"/>
      <c r="GU51" s="64"/>
      <c r="GV51" s="64"/>
      <c r="GW51" s="64"/>
      <c r="GX51" s="64"/>
      <c r="GY51" s="64"/>
      <c r="GZ51" s="64"/>
      <c r="HA51" s="64"/>
      <c r="HB51" s="64"/>
      <c r="HC51" s="64"/>
      <c r="HD51" s="64"/>
      <c r="HE51" s="64"/>
      <c r="HF51" s="64"/>
      <c r="HG51" s="64"/>
      <c r="HH51" s="64"/>
      <c r="HI51" s="64"/>
      <c r="HJ51" s="64"/>
      <c r="HK51" s="64"/>
      <c r="HL51" s="64"/>
      <c r="HM51" s="64"/>
      <c r="HN51" s="64"/>
      <c r="HO51" s="64"/>
      <c r="HP51" s="64"/>
      <c r="HQ51" s="64"/>
      <c r="HR51" s="64"/>
      <c r="HS51" s="64"/>
      <c r="HT51" s="64"/>
      <c r="HU51" s="64"/>
      <c r="HV51" s="64"/>
      <c r="HW51" s="64"/>
      <c r="HX51" s="64"/>
      <c r="HY51" s="64"/>
      <c r="HZ51" s="64"/>
      <c r="IA51" s="64"/>
      <c r="IB51" s="64"/>
      <c r="IC51" s="64"/>
      <c r="ID51" s="64"/>
      <c r="IE51" s="64"/>
      <c r="IF51" s="64"/>
      <c r="IG51" s="64"/>
      <c r="IH51" s="64"/>
      <c r="II51" s="64"/>
      <c r="IJ51" s="64"/>
      <c r="IK51" s="64"/>
      <c r="IL51" s="64"/>
      <c r="IM51" s="64"/>
      <c r="IN51" s="64"/>
      <c r="IO51" s="64"/>
      <c r="IP51" s="64"/>
      <c r="IQ51" s="64"/>
      <c r="IR51" s="64"/>
      <c r="IS51" s="64"/>
      <c r="IT51" s="64"/>
      <c r="IU51" s="64"/>
      <c r="IV51" s="64"/>
      <c r="IW51" s="64"/>
      <c r="IX51" s="64"/>
      <c r="IY51" s="64"/>
      <c r="IZ51" s="64"/>
      <c r="JA51" s="64"/>
      <c r="JB51" s="64"/>
      <c r="JC51" s="64"/>
      <c r="JD51" s="64"/>
      <c r="JE51" s="64"/>
      <c r="JF51" s="64"/>
      <c r="JG51" s="64"/>
      <c r="JH51" s="64"/>
      <c r="JI51" s="64"/>
      <c r="JJ51" s="64"/>
      <c r="JK51" s="64"/>
      <c r="JL51" s="64"/>
      <c r="JM51" s="64"/>
      <c r="JN51" s="64"/>
      <c r="JO51" s="64"/>
      <c r="JP51" s="64"/>
      <c r="JQ51" s="64"/>
      <c r="JR51" s="64"/>
      <c r="JS51" s="64"/>
      <c r="JT51" s="64"/>
      <c r="JU51" s="64"/>
      <c r="JV51" s="64"/>
      <c r="JW51" s="64"/>
      <c r="JX51" s="64"/>
      <c r="JY51" s="64"/>
      <c r="JZ51" s="64"/>
      <c r="KA51" s="64"/>
      <c r="KB51" s="64"/>
      <c r="KC51" s="64"/>
      <c r="KD51" s="64"/>
      <c r="KE51" s="64"/>
      <c r="KF51" s="64"/>
      <c r="KG51" s="64"/>
      <c r="KH51" s="64"/>
      <c r="KI51" s="64"/>
      <c r="KJ51" s="64"/>
      <c r="KK51" s="64"/>
      <c r="KL51" s="64"/>
      <c r="KM51" s="64"/>
      <c r="KN51" s="64"/>
      <c r="KO51" s="64"/>
      <c r="KP51" s="64"/>
      <c r="KQ51" s="64"/>
      <c r="KR51" s="64"/>
      <c r="KS51" s="64"/>
      <c r="KT51" s="64"/>
      <c r="KU51" s="64"/>
      <c r="KV51" s="64"/>
      <c r="KW51" s="64"/>
      <c r="KX51" s="64"/>
      <c r="KY51" s="64"/>
      <c r="KZ51" s="64"/>
      <c r="LA51" s="64"/>
      <c r="LB51" s="64"/>
      <c r="LC51" s="64"/>
      <c r="LD51" s="64"/>
      <c r="LE51" s="64"/>
      <c r="LF51" s="64"/>
      <c r="LG51" s="64"/>
      <c r="LH51" s="64"/>
      <c r="LI51" s="64"/>
      <c r="LJ51" s="64"/>
      <c r="LK51" s="64"/>
      <c r="LL51" s="64"/>
      <c r="LM51" s="64"/>
      <c r="LN51" s="64"/>
      <c r="LO51" s="64"/>
      <c r="LP51" s="64"/>
      <c r="LQ51" s="64"/>
      <c r="LR51" s="64"/>
      <c r="LS51" s="64"/>
      <c r="LT51" s="64"/>
      <c r="LU51" s="64"/>
      <c r="LV51" s="64"/>
      <c r="LW51" s="64"/>
      <c r="LX51" s="64"/>
      <c r="LY51" s="64"/>
      <c r="LZ51" s="64"/>
      <c r="MA51" s="64"/>
      <c r="MB51" s="64"/>
      <c r="MC51" s="64"/>
      <c r="MD51" s="64"/>
      <c r="ME51" s="64"/>
      <c r="MF51" s="64"/>
      <c r="MG51" s="64"/>
      <c r="MH51" s="64"/>
      <c r="MI51" s="64"/>
      <c r="MJ51" s="64"/>
      <c r="MK51" s="64"/>
      <c r="ML51" s="64"/>
      <c r="MM51" s="64"/>
      <c r="MN51" s="64"/>
      <c r="MO51" s="64"/>
      <c r="MP51" s="64"/>
      <c r="MQ51" s="64"/>
      <c r="MR51" s="64"/>
      <c r="MS51" s="64"/>
      <c r="MT51" s="64"/>
      <c r="MU51" s="64"/>
      <c r="MV51" s="64"/>
      <c r="MW51" s="64"/>
      <c r="MX51" s="64"/>
      <c r="MY51" s="64"/>
      <c r="MZ51" s="64"/>
      <c r="NA51" s="64"/>
      <c r="NB51" s="64"/>
      <c r="NC51" s="64"/>
      <c r="ND51" s="64"/>
      <c r="NE51" s="64"/>
      <c r="NF51" s="64"/>
      <c r="NG51" s="64"/>
      <c r="NH51" s="64"/>
      <c r="NI51" s="64"/>
      <c r="NJ51" s="64"/>
      <c r="NK51" s="64"/>
      <c r="NL51" s="64"/>
      <c r="NM51" s="64"/>
      <c r="NN51" s="64"/>
      <c r="NO51" s="64"/>
      <c r="NP51" s="64"/>
      <c r="NQ51" s="64"/>
      <c r="NR51" s="64"/>
      <c r="NS51" s="64"/>
      <c r="NT51" s="64"/>
      <c r="NU51" s="64"/>
      <c r="NV51" s="64"/>
      <c r="NW51" s="64"/>
      <c r="NX51" s="64"/>
      <c r="NY51" s="64"/>
      <c r="NZ51" s="64"/>
      <c r="OA51" s="64"/>
      <c r="OB51" s="64"/>
      <c r="OC51" s="64"/>
      <c r="OD51" s="64"/>
      <c r="OE51" s="64"/>
      <c r="OF51" s="64"/>
      <c r="OG51" s="64"/>
      <c r="OH51" s="64"/>
      <c r="OI51" s="64"/>
      <c r="OJ51" s="64"/>
      <c r="OK51" s="64"/>
      <c r="OL51" s="64"/>
      <c r="OM51" s="64"/>
    </row>
    <row r="52" spans="1:403" x14ac:dyDescent="0.3">
      <c r="A52" s="144"/>
      <c r="C52" s="142"/>
      <c r="D52" s="83" t="s">
        <v>165</v>
      </c>
      <c r="E52" s="258">
        <f>SUM(I52:L52)</f>
        <v>2.5962589256800276E-3</v>
      </c>
      <c r="F52" s="85">
        <f>SUM(H52:L52,O52)</f>
        <v>3.2253623841614907E-3</v>
      </c>
      <c r="G52" s="278">
        <f>SUM(Q52:S52)/(1-'Common input data'!B$126)</f>
        <v>3.536581561580582E-3</v>
      </c>
      <c r="H52" s="85">
        <f>'Input data meat and eggs'!$B$343*(('Input data meat and eggs'!D62*'Input data meat and eggs'!C35)+('Input data meat and eggs'!D63*'Input data meat and eggs'!C36)+('Input data meat and eggs'!D64*(SUMPRODUCT('Input data meat and eggs'!D65:'Input data meat and eggs'!D74,'Input data meat and eggs'!C37:'Input data meat and eggs'!C46))))*'Input data meat and eggs'!B57</f>
        <v>6.2910345848146319E-4</v>
      </c>
      <c r="I52" s="85">
        <f>'Input data meat and eggs'!$B$343*(('Input data meat and eggs'!D62*'Input data meat and eggs'!C35)+('Input data meat and eggs'!D63*'Input data meat and eggs'!C36)+('Input data meat and eggs'!D64*(SUMPRODUCT('Input data meat and eggs'!D65:'Input data meat and eggs'!D74,'Input data meat and eggs'!C37:'Input data meat and eggs'!C46))))*'Input data meat and eggs'!C57</f>
        <v>0</v>
      </c>
      <c r="J52" s="85">
        <f>'Input data meat and eggs'!B364/'Input data meat and eggs'!B335</f>
        <v>2.5962589256800276E-3</v>
      </c>
      <c r="K52" s="85">
        <v>0</v>
      </c>
      <c r="L52" s="85">
        <v>0</v>
      </c>
      <c r="M52" s="85">
        <v>0</v>
      </c>
      <c r="N52" s="85">
        <v>0</v>
      </c>
      <c r="O52" s="85">
        <v>0</v>
      </c>
      <c r="P52" s="85">
        <v>0</v>
      </c>
      <c r="Q52" s="85">
        <f>(F52+P52)</f>
        <v>3.2253623841614907E-3</v>
      </c>
      <c r="R52" s="90">
        <v>0</v>
      </c>
      <c r="S52" s="90">
        <v>0</v>
      </c>
      <c r="T52" s="107"/>
    </row>
    <row r="53" spans="1:403" x14ac:dyDescent="0.3">
      <c r="A53" s="174"/>
      <c r="B53" s="206"/>
      <c r="C53" s="85"/>
      <c r="D53" s="84" t="s">
        <v>166</v>
      </c>
      <c r="E53" s="258">
        <f>SUM(I53:L53)</f>
        <v>2.0763715452618171E-3</v>
      </c>
      <c r="F53" s="85">
        <f>SUM(H53:L53,O53)</f>
        <v>2.7292325005041692E-3</v>
      </c>
      <c r="G53" s="278">
        <f>SUM(Q53:S53)/(1-'Common input data'!B$126)</f>
        <v>2.9925794961668524E-3</v>
      </c>
      <c r="H53" s="85">
        <f>'Input data meat and eggs'!$B$343*(('Input data meat and eggs'!D62*'Input data meat and eggs'!D35)+('Input data meat and eggs'!D63*'Input data meat and eggs'!D36)+('Input data meat and eggs'!D64*(SUMPRODUCT('Input data meat and eggs'!D65:'Input data meat and eggs'!D74,'Input data meat and eggs'!D37:'Input data meat and eggs'!D46))))*'Input data meat and eggs'!B58</f>
        <v>6.5286095524235202E-4</v>
      </c>
      <c r="I53" s="85">
        <f>'Input data meat and eggs'!$B$343*(('Input data meat and eggs'!D62*'Input data meat and eggs'!D35)+('Input data meat and eggs'!D63*'Input data meat and eggs'!D36)+('Input data meat and eggs'!D64*(SUMPRODUCT('Input data meat and eggs'!D65:'Input data meat and eggs'!D74,'Input data meat and eggs'!D37:'Input data meat and eggs'!D46))))*'Input data meat and eggs'!C58</f>
        <v>1.6501693495063416E-3</v>
      </c>
      <c r="J53" s="85">
        <f>(('Input data meat and eggs'!B356*'Input data meat and eggs'!B367+'Input data meat and eggs'!B358*'Input data meat and eggs'!B368+'Input data meat and eggs'!B360*'Input data meat and eggs'!B369)*44/28)/'Input data meat and eggs'!B335</f>
        <v>3.1976023795936493E-4</v>
      </c>
      <c r="K53" s="85">
        <f>SUM('Input data meat and eggs'!B382:B386)*'Input data meat and eggs'!B370*44/28/'Input data meat and eggs'!B335</f>
        <v>1.0644195779611054E-4</v>
      </c>
      <c r="L53" s="85">
        <v>0</v>
      </c>
      <c r="M53" s="85">
        <v>0</v>
      </c>
      <c r="N53" s="85">
        <v>0</v>
      </c>
      <c r="O53" s="85">
        <v>0</v>
      </c>
      <c r="P53" s="85">
        <v>0</v>
      </c>
      <c r="Q53" s="85">
        <f>(F53+P53)</f>
        <v>2.7292325005041692E-3</v>
      </c>
      <c r="R53" s="90">
        <v>0</v>
      </c>
      <c r="S53" s="90">
        <v>0</v>
      </c>
      <c r="T53" s="107"/>
    </row>
    <row r="54" spans="1:403" s="102" customFormat="1" x14ac:dyDescent="0.3">
      <c r="A54" s="284" t="s">
        <v>70</v>
      </c>
      <c r="B54" s="150" t="s">
        <v>259</v>
      </c>
      <c r="C54" s="112">
        <f>'Input data meat and eggs'!D23</f>
        <v>9.3399999999999928E-2</v>
      </c>
      <c r="D54" s="269" t="s">
        <v>473</v>
      </c>
      <c r="E54" s="320">
        <f>IF($F$1="GWP100 without fb",E55+E56*'Common input data'!$C$5+E57*'Common input data'!$D$5,IF($F$1="GWP100 with fb",E55+E56*'Common input data'!$C$6+E57*'Common input data'!$D$6,IF($F$1="GTP100 without fb",E55+E56*'Common input data'!$C$7+E57*'Common input data'!$D$7,IF($F$1="GTP100 with fb",E55+E56*'Common input data'!$C$8+E57*'Common input data'!$D$8,E55+E56*'Common input data'!$C$9+E57*'Common input data'!$D$9))))</f>
        <v>1.1139479360738824</v>
      </c>
      <c r="F54" s="302">
        <f>IF($F$1="GWP100 without fb",F55+F56*'Common input data'!$C$5+F57*'Common input data'!$D$5,IF($F$1="GWP100 with fb",F55+F56*'Common input data'!$C$6+F57*'Common input data'!$D$6,IF($F$1="GTP100 without fb",F55+F56*'Common input data'!$C$7+F57*'Common input data'!$D$7,IF($F$1="GTP100 with fb",F55+F56*'Common input data'!$C$8+F57*'Common input data'!$D$8,F55+F56*'Common input data'!$C$9+F57*'Common input data'!$D$9))))</f>
        <v>2.2433930473304979</v>
      </c>
      <c r="G54" s="321">
        <f>IF($F$1="GWP100 without fb",G55+G56*'Common input data'!$C$5+G57*'Common input data'!$D$5,IF($F$1="GWP100 with fb",G55+G56*'Common input data'!$C$6+G57*'Common input data'!$D$6,IF($F$1="GTP100 without fb",G55+G56*'Common input data'!$C$7+G57*'Common input data'!$D$7,IF($F$1="GTP100 with fb",G55+G56*'Common input data'!$C$8+G57*'Common input data'!$D$8,G55+G56*'Common input data'!$C$9+G57*'Common input data'!$D$9))))</f>
        <v>2.821702902774669</v>
      </c>
      <c r="H54" s="104"/>
      <c r="I54" s="104"/>
      <c r="J54" s="104"/>
      <c r="K54" s="106"/>
      <c r="L54" s="106"/>
      <c r="T54" s="107"/>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c r="EO54" s="64"/>
      <c r="EP54" s="64"/>
      <c r="EQ54" s="64"/>
      <c r="ER54" s="64"/>
      <c r="ES54" s="64"/>
      <c r="ET54" s="64"/>
      <c r="EU54" s="64"/>
      <c r="EV54" s="64"/>
      <c r="EW54" s="64"/>
      <c r="EX54" s="64"/>
      <c r="EY54" s="64"/>
      <c r="EZ54" s="64"/>
      <c r="FA54" s="64"/>
      <c r="FB54" s="64"/>
      <c r="FC54" s="64"/>
      <c r="FD54" s="64"/>
      <c r="FE54" s="64"/>
      <c r="FF54" s="64"/>
      <c r="FG54" s="64"/>
      <c r="FH54" s="64"/>
      <c r="FI54" s="64"/>
      <c r="FJ54" s="64"/>
      <c r="FK54" s="64"/>
      <c r="FL54" s="64"/>
      <c r="FM54" s="64"/>
      <c r="FN54" s="64"/>
      <c r="FO54" s="64"/>
      <c r="FP54" s="64"/>
      <c r="FQ54" s="64"/>
      <c r="FR54" s="64"/>
      <c r="FS54" s="64"/>
      <c r="FT54" s="64"/>
      <c r="FU54" s="64"/>
      <c r="FV54" s="64"/>
      <c r="FW54" s="64"/>
      <c r="FX54" s="64"/>
      <c r="FY54" s="64"/>
      <c r="FZ54" s="64"/>
      <c r="GA54" s="64"/>
      <c r="GB54" s="64"/>
      <c r="GC54" s="64"/>
      <c r="GD54" s="64"/>
      <c r="GE54" s="64"/>
      <c r="GF54" s="64"/>
      <c r="GG54" s="64"/>
      <c r="GH54" s="64"/>
      <c r="GI54" s="64"/>
      <c r="GJ54" s="64"/>
      <c r="GK54" s="64"/>
      <c r="GL54" s="64"/>
      <c r="GM54" s="64"/>
      <c r="GN54" s="64"/>
      <c r="GO54" s="64"/>
      <c r="GP54" s="64"/>
      <c r="GQ54" s="64"/>
      <c r="GR54" s="64"/>
      <c r="GS54" s="64"/>
      <c r="GT54" s="64"/>
      <c r="GU54" s="64"/>
      <c r="GV54" s="64"/>
      <c r="GW54" s="64"/>
      <c r="GX54" s="64"/>
      <c r="GY54" s="64"/>
      <c r="GZ54" s="64"/>
      <c r="HA54" s="64"/>
      <c r="HB54" s="64"/>
      <c r="HC54" s="64"/>
      <c r="HD54" s="64"/>
      <c r="HE54" s="64"/>
      <c r="HF54" s="64"/>
      <c r="HG54" s="64"/>
      <c r="HH54" s="64"/>
      <c r="HI54" s="64"/>
      <c r="HJ54" s="64"/>
      <c r="HK54" s="64"/>
      <c r="HL54" s="64"/>
      <c r="HM54" s="64"/>
      <c r="HN54" s="64"/>
      <c r="HO54" s="64"/>
      <c r="HP54" s="64"/>
      <c r="HQ54" s="64"/>
      <c r="HR54" s="64"/>
      <c r="HS54" s="64"/>
      <c r="HT54" s="64"/>
      <c r="HU54" s="64"/>
      <c r="HV54" s="64"/>
      <c r="HW54" s="64"/>
      <c r="HX54" s="64"/>
      <c r="HY54" s="64"/>
      <c r="HZ54" s="64"/>
      <c r="IA54" s="64"/>
      <c r="IB54" s="64"/>
      <c r="IC54" s="64"/>
      <c r="ID54" s="64"/>
      <c r="IE54" s="64"/>
      <c r="IF54" s="64"/>
      <c r="IG54" s="64"/>
      <c r="IH54" s="64"/>
      <c r="II54" s="64"/>
      <c r="IJ54" s="64"/>
      <c r="IK54" s="64"/>
      <c r="IL54" s="64"/>
      <c r="IM54" s="64"/>
      <c r="IN54" s="64"/>
      <c r="IO54" s="64"/>
      <c r="IP54" s="64"/>
      <c r="IQ54" s="64"/>
      <c r="IR54" s="64"/>
      <c r="IS54" s="64"/>
      <c r="IT54" s="64"/>
      <c r="IU54" s="64"/>
      <c r="IV54" s="64"/>
      <c r="IW54" s="64"/>
      <c r="IX54" s="64"/>
      <c r="IY54" s="64"/>
      <c r="IZ54" s="64"/>
      <c r="JA54" s="64"/>
      <c r="JB54" s="64"/>
      <c r="JC54" s="64"/>
      <c r="JD54" s="64"/>
      <c r="JE54" s="64"/>
      <c r="JF54" s="64"/>
      <c r="JG54" s="64"/>
      <c r="JH54" s="64"/>
      <c r="JI54" s="64"/>
      <c r="JJ54" s="64"/>
      <c r="JK54" s="64"/>
      <c r="JL54" s="64"/>
      <c r="JM54" s="64"/>
      <c r="JN54" s="64"/>
      <c r="JO54" s="64"/>
      <c r="JP54" s="64"/>
      <c r="JQ54" s="64"/>
      <c r="JR54" s="64"/>
      <c r="JS54" s="64"/>
      <c r="JT54" s="64"/>
      <c r="JU54" s="64"/>
      <c r="JV54" s="64"/>
      <c r="JW54" s="64"/>
      <c r="JX54" s="64"/>
      <c r="JY54" s="64"/>
      <c r="JZ54" s="64"/>
      <c r="KA54" s="64"/>
      <c r="KB54" s="64"/>
      <c r="KC54" s="64"/>
      <c r="KD54" s="64"/>
      <c r="KE54" s="64"/>
      <c r="KF54" s="64"/>
      <c r="KG54" s="64"/>
      <c r="KH54" s="64"/>
      <c r="KI54" s="64"/>
      <c r="KJ54" s="64"/>
      <c r="KK54" s="64"/>
      <c r="KL54" s="64"/>
      <c r="KM54" s="64"/>
      <c r="KN54" s="64"/>
      <c r="KO54" s="64"/>
      <c r="KP54" s="64"/>
      <c r="KQ54" s="64"/>
      <c r="KR54" s="64"/>
      <c r="KS54" s="64"/>
      <c r="KT54" s="64"/>
      <c r="KU54" s="64"/>
      <c r="KV54" s="64"/>
      <c r="KW54" s="64"/>
      <c r="KX54" s="64"/>
      <c r="KY54" s="64"/>
      <c r="KZ54" s="64"/>
      <c r="LA54" s="64"/>
      <c r="LB54" s="64"/>
      <c r="LC54" s="64"/>
      <c r="LD54" s="64"/>
      <c r="LE54" s="64"/>
      <c r="LF54" s="64"/>
      <c r="LG54" s="64"/>
      <c r="LH54" s="64"/>
      <c r="LI54" s="64"/>
      <c r="LJ54" s="64"/>
      <c r="LK54" s="64"/>
      <c r="LL54" s="64"/>
      <c r="LM54" s="64"/>
      <c r="LN54" s="64"/>
      <c r="LO54" s="64"/>
      <c r="LP54" s="64"/>
      <c r="LQ54" s="64"/>
      <c r="LR54" s="64"/>
      <c r="LS54" s="64"/>
      <c r="LT54" s="64"/>
      <c r="LU54" s="64"/>
      <c r="LV54" s="64"/>
      <c r="LW54" s="64"/>
      <c r="LX54" s="64"/>
      <c r="LY54" s="64"/>
      <c r="LZ54" s="64"/>
      <c r="MA54" s="64"/>
      <c r="MB54" s="64"/>
      <c r="MC54" s="64"/>
      <c r="MD54" s="64"/>
      <c r="ME54" s="64"/>
      <c r="MF54" s="64"/>
      <c r="MG54" s="64"/>
      <c r="MH54" s="64"/>
      <c r="MI54" s="64"/>
      <c r="MJ54" s="64"/>
      <c r="MK54" s="64"/>
      <c r="ML54" s="64"/>
      <c r="MM54" s="64"/>
      <c r="MN54" s="64"/>
      <c r="MO54" s="64"/>
      <c r="MP54" s="64"/>
      <c r="MQ54" s="64"/>
      <c r="MR54" s="64"/>
      <c r="MS54" s="64"/>
      <c r="MT54" s="64"/>
      <c r="MU54" s="64"/>
      <c r="MV54" s="64"/>
      <c r="MW54" s="64"/>
      <c r="MX54" s="64"/>
      <c r="MY54" s="64"/>
      <c r="MZ54" s="64"/>
      <c r="NA54" s="64"/>
      <c r="NB54" s="64"/>
      <c r="NC54" s="64"/>
      <c r="ND54" s="64"/>
      <c r="NE54" s="64"/>
      <c r="NF54" s="64"/>
      <c r="NG54" s="64"/>
      <c r="NH54" s="64"/>
      <c r="NI54" s="64"/>
      <c r="NJ54" s="64"/>
      <c r="NK54" s="64"/>
      <c r="NL54" s="64"/>
      <c r="NM54" s="64"/>
      <c r="NN54" s="64"/>
      <c r="NO54" s="64"/>
      <c r="NP54" s="64"/>
      <c r="NQ54" s="64"/>
      <c r="NR54" s="64"/>
      <c r="NS54" s="64"/>
      <c r="NT54" s="64"/>
      <c r="NU54" s="64"/>
      <c r="NV54" s="64"/>
      <c r="NW54" s="64"/>
      <c r="NX54" s="64"/>
      <c r="NY54" s="64"/>
      <c r="NZ54" s="64"/>
      <c r="OA54" s="64"/>
      <c r="OB54" s="64"/>
      <c r="OC54" s="64"/>
      <c r="OD54" s="64"/>
      <c r="OE54" s="64"/>
      <c r="OF54" s="64"/>
      <c r="OG54" s="64"/>
      <c r="OH54" s="64"/>
      <c r="OI54" s="64"/>
      <c r="OJ54" s="64"/>
      <c r="OK54" s="64"/>
      <c r="OL54" s="64"/>
    </row>
    <row r="55" spans="1:403" s="102" customFormat="1" x14ac:dyDescent="0.3">
      <c r="A55" s="144"/>
      <c r="B55" s="84"/>
      <c r="C55" s="64"/>
      <c r="D55" s="83" t="s">
        <v>164</v>
      </c>
      <c r="E55" s="258">
        <f>IF(AND($F$2="No",$F$3="No"),SUM(I55:L55),IF(AND($F$2="Yes", $F$3="No"), SUM(I55:L55)+N55, IF(AND($F$2="No", $F$3="Yes"),SUM(I55:L55)+M55, SUM(I55:L55)+N55+M55)))</f>
        <v>0.40691641211273999</v>
      </c>
      <c r="F55" s="85">
        <f>IF(AND($F$2="No",$F$3="No"),SUM(H55:L55,O55),IF(AND($F$2="Yes", $F$3="No"), SUM(H55:L55,O55)+N55, IF(AND($F$2="No", $F$3="Yes"),SUM(H55:L55,O55)+M55, SUM(H55:L55,O55)+N55+M55)))</f>
        <v>1.3204194411187649</v>
      </c>
      <c r="G55" s="278">
        <f>SUM(Q55:S55)/(1-'Common input data'!B$126)</f>
        <v>1.8096704398232073</v>
      </c>
      <c r="H55" s="85">
        <f t="shared" ref="H55:L57" si="13">H51</f>
        <v>0.76895302900602502</v>
      </c>
      <c r="I55" s="85">
        <f>I51</f>
        <v>0</v>
      </c>
      <c r="J55" s="85">
        <f t="shared" si="13"/>
        <v>0</v>
      </c>
      <c r="K55" s="85">
        <f t="shared" si="13"/>
        <v>0</v>
      </c>
      <c r="L55" s="85">
        <f t="shared" si="13"/>
        <v>0</v>
      </c>
      <c r="M55" s="85">
        <f>M51</f>
        <v>0.19867290447698532</v>
      </c>
      <c r="N55" s="85">
        <f t="shared" ref="M55:N57" si="14">N51</f>
        <v>0.20824350763575467</v>
      </c>
      <c r="O55" s="85">
        <f>'Input data meat and eggs'!B81*'Common input data'!C63</f>
        <v>0.14454999999999998</v>
      </c>
      <c r="P55" s="85">
        <v>0</v>
      </c>
      <c r="Q55" s="85">
        <f>(F55+P55)</f>
        <v>1.3204194411187649</v>
      </c>
      <c r="R55" s="90">
        <f>'Common input data'!B92</f>
        <v>0.1</v>
      </c>
      <c r="S55" s="90">
        <f>'Common input data'!B102+'Common input data'!C102</f>
        <v>0.23000000000000004</v>
      </c>
      <c r="T55" s="107"/>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c r="EO55" s="64"/>
      <c r="EP55" s="64"/>
      <c r="EQ55" s="64"/>
      <c r="ER55" s="64"/>
      <c r="ES55" s="64"/>
      <c r="ET55" s="64"/>
      <c r="EU55" s="64"/>
      <c r="EV55" s="64"/>
      <c r="EW55" s="64"/>
      <c r="EX55" s="64"/>
      <c r="EY55" s="64"/>
      <c r="EZ55" s="64"/>
      <c r="FA55" s="64"/>
      <c r="FB55" s="64"/>
      <c r="FC55" s="64"/>
      <c r="FD55" s="64"/>
      <c r="FE55" s="64"/>
      <c r="FF55" s="64"/>
      <c r="FG55" s="64"/>
      <c r="FH55" s="64"/>
      <c r="FI55" s="64"/>
      <c r="FJ55" s="64"/>
      <c r="FK55" s="64"/>
      <c r="FL55" s="64"/>
      <c r="FM55" s="64"/>
      <c r="FN55" s="64"/>
      <c r="FO55" s="64"/>
      <c r="FP55" s="64"/>
      <c r="FQ55" s="64"/>
      <c r="FR55" s="64"/>
      <c r="FS55" s="64"/>
      <c r="FT55" s="64"/>
      <c r="FU55" s="64"/>
      <c r="FV55" s="64"/>
      <c r="FW55" s="64"/>
      <c r="FX55" s="64"/>
      <c r="FY55" s="64"/>
      <c r="FZ55" s="64"/>
      <c r="GA55" s="64"/>
      <c r="GB55" s="64"/>
      <c r="GC55" s="64"/>
      <c r="GD55" s="64"/>
      <c r="GE55" s="64"/>
      <c r="GF55" s="64"/>
      <c r="GG55" s="64"/>
      <c r="GH55" s="64"/>
      <c r="GI55" s="64"/>
      <c r="GJ55" s="64"/>
      <c r="GK55" s="64"/>
      <c r="GL55" s="64"/>
      <c r="GM55" s="64"/>
      <c r="GN55" s="64"/>
      <c r="GO55" s="64"/>
      <c r="GP55" s="64"/>
      <c r="GQ55" s="64"/>
      <c r="GR55" s="64"/>
      <c r="GS55" s="64"/>
      <c r="GT55" s="64"/>
      <c r="GU55" s="64"/>
      <c r="GV55" s="64"/>
      <c r="GW55" s="64"/>
      <c r="GX55" s="64"/>
      <c r="GY55" s="64"/>
      <c r="GZ55" s="64"/>
      <c r="HA55" s="64"/>
      <c r="HB55" s="64"/>
      <c r="HC55" s="64"/>
      <c r="HD55" s="64"/>
      <c r="HE55" s="64"/>
      <c r="HF55" s="64"/>
      <c r="HG55" s="64"/>
      <c r="HH55" s="64"/>
      <c r="HI55" s="64"/>
      <c r="HJ55" s="64"/>
      <c r="HK55" s="64"/>
      <c r="HL55" s="64"/>
      <c r="HM55" s="64"/>
      <c r="HN55" s="64"/>
      <c r="HO55" s="64"/>
      <c r="HP55" s="64"/>
      <c r="HQ55" s="64"/>
      <c r="HR55" s="64"/>
      <c r="HS55" s="64"/>
      <c r="HT55" s="64"/>
      <c r="HU55" s="64"/>
      <c r="HV55" s="64"/>
      <c r="HW55" s="64"/>
      <c r="HX55" s="64"/>
      <c r="HY55" s="64"/>
      <c r="HZ55" s="64"/>
      <c r="IA55" s="64"/>
      <c r="IB55" s="64"/>
      <c r="IC55" s="64"/>
      <c r="ID55" s="64"/>
      <c r="IE55" s="64"/>
      <c r="IF55" s="64"/>
      <c r="IG55" s="64"/>
      <c r="IH55" s="64"/>
      <c r="II55" s="64"/>
      <c r="IJ55" s="64"/>
      <c r="IK55" s="64"/>
      <c r="IL55" s="64"/>
      <c r="IM55" s="64"/>
      <c r="IN55" s="64"/>
      <c r="IO55" s="64"/>
      <c r="IP55" s="64"/>
      <c r="IQ55" s="64"/>
      <c r="IR55" s="64"/>
      <c r="IS55" s="64"/>
      <c r="IT55" s="64"/>
      <c r="IU55" s="64"/>
      <c r="IV55" s="64"/>
      <c r="IW55" s="64"/>
      <c r="IX55" s="64"/>
      <c r="IY55" s="64"/>
      <c r="IZ55" s="64"/>
      <c r="JA55" s="64"/>
      <c r="JB55" s="64"/>
      <c r="JC55" s="64"/>
      <c r="JD55" s="64"/>
      <c r="JE55" s="64"/>
      <c r="JF55" s="64"/>
      <c r="JG55" s="64"/>
      <c r="JH55" s="64"/>
      <c r="JI55" s="64"/>
      <c r="JJ55" s="64"/>
      <c r="JK55" s="64"/>
      <c r="JL55" s="64"/>
      <c r="JM55" s="64"/>
      <c r="JN55" s="64"/>
      <c r="JO55" s="64"/>
      <c r="JP55" s="64"/>
      <c r="JQ55" s="64"/>
      <c r="JR55" s="64"/>
      <c r="JS55" s="64"/>
      <c r="JT55" s="64"/>
      <c r="JU55" s="64"/>
      <c r="JV55" s="64"/>
      <c r="JW55" s="64"/>
      <c r="JX55" s="64"/>
      <c r="JY55" s="64"/>
      <c r="JZ55" s="64"/>
      <c r="KA55" s="64"/>
      <c r="KB55" s="64"/>
      <c r="KC55" s="64"/>
      <c r="KD55" s="64"/>
      <c r="KE55" s="64"/>
      <c r="KF55" s="64"/>
      <c r="KG55" s="64"/>
      <c r="KH55" s="64"/>
      <c r="KI55" s="64"/>
      <c r="KJ55" s="64"/>
      <c r="KK55" s="64"/>
      <c r="KL55" s="64"/>
      <c r="KM55" s="64"/>
      <c r="KN55" s="64"/>
      <c r="KO55" s="64"/>
      <c r="KP55" s="64"/>
      <c r="KQ55" s="64"/>
      <c r="KR55" s="64"/>
      <c r="KS55" s="64"/>
      <c r="KT55" s="64"/>
      <c r="KU55" s="64"/>
      <c r="KV55" s="64"/>
      <c r="KW55" s="64"/>
      <c r="KX55" s="64"/>
      <c r="KY55" s="64"/>
      <c r="KZ55" s="64"/>
      <c r="LA55" s="64"/>
      <c r="LB55" s="64"/>
      <c r="LC55" s="64"/>
      <c r="LD55" s="64"/>
      <c r="LE55" s="64"/>
      <c r="LF55" s="64"/>
      <c r="LG55" s="64"/>
      <c r="LH55" s="64"/>
      <c r="LI55" s="64"/>
      <c r="LJ55" s="64"/>
      <c r="LK55" s="64"/>
      <c r="LL55" s="64"/>
      <c r="LM55" s="64"/>
      <c r="LN55" s="64"/>
      <c r="LO55" s="64"/>
      <c r="LP55" s="64"/>
      <c r="LQ55" s="64"/>
      <c r="LR55" s="64"/>
      <c r="LS55" s="64"/>
      <c r="LT55" s="64"/>
      <c r="LU55" s="64"/>
      <c r="LV55" s="64"/>
      <c r="LW55" s="64"/>
      <c r="LX55" s="64"/>
      <c r="LY55" s="64"/>
      <c r="LZ55" s="64"/>
      <c r="MA55" s="64"/>
      <c r="MB55" s="64"/>
      <c r="MC55" s="64"/>
      <c r="MD55" s="64"/>
      <c r="ME55" s="64"/>
      <c r="MF55" s="64"/>
      <c r="MG55" s="64"/>
      <c r="MH55" s="64"/>
      <c r="MI55" s="64"/>
      <c r="MJ55" s="64"/>
      <c r="MK55" s="64"/>
      <c r="ML55" s="64"/>
      <c r="MM55" s="64"/>
      <c r="MN55" s="64"/>
      <c r="MO55" s="64"/>
      <c r="MP55" s="64"/>
      <c r="MQ55" s="64"/>
      <c r="MR55" s="64"/>
      <c r="MS55" s="64"/>
      <c r="MT55" s="64"/>
      <c r="MU55" s="64"/>
      <c r="MV55" s="64"/>
      <c r="MW55" s="64"/>
      <c r="MX55" s="64"/>
      <c r="MY55" s="64"/>
      <c r="MZ55" s="64"/>
      <c r="NA55" s="64"/>
      <c r="NB55" s="64"/>
      <c r="NC55" s="64"/>
      <c r="ND55" s="64"/>
      <c r="NE55" s="64"/>
      <c r="NF55" s="64"/>
      <c r="NG55" s="64"/>
      <c r="NH55" s="64"/>
      <c r="NI55" s="64"/>
      <c r="NJ55" s="64"/>
      <c r="NK55" s="64"/>
      <c r="NL55" s="64"/>
      <c r="NM55" s="64"/>
      <c r="NN55" s="64"/>
      <c r="NO55" s="64"/>
      <c r="NP55" s="64"/>
      <c r="NQ55" s="64"/>
      <c r="NR55" s="64"/>
      <c r="NS55" s="64"/>
      <c r="NT55" s="64"/>
      <c r="NU55" s="64"/>
      <c r="NV55" s="64"/>
      <c r="NW55" s="64"/>
      <c r="NX55" s="64"/>
      <c r="NY55" s="64"/>
      <c r="NZ55" s="64"/>
      <c r="OA55" s="64"/>
      <c r="OB55" s="64"/>
      <c r="OC55" s="64"/>
      <c r="OD55" s="64"/>
      <c r="OE55" s="64"/>
      <c r="OF55" s="64"/>
      <c r="OG55" s="64"/>
      <c r="OH55" s="64"/>
      <c r="OI55" s="64"/>
      <c r="OJ55" s="64"/>
      <c r="OK55" s="64"/>
      <c r="OL55" s="64"/>
    </row>
    <row r="56" spans="1:403" x14ac:dyDescent="0.3">
      <c r="A56" s="144"/>
      <c r="C56" s="84"/>
      <c r="D56" s="83" t="s">
        <v>165</v>
      </c>
      <c r="E56" s="258">
        <f>SUM(I56:L56)</f>
        <v>2.5962589256800276E-3</v>
      </c>
      <c r="F56" s="85">
        <f>SUM(H56:L56,O56)</f>
        <v>3.2253623841614907E-3</v>
      </c>
      <c r="G56" s="278">
        <f>SUM(Q56:S56)/(1-'Common input data'!B$126)</f>
        <v>3.536581561580582E-3</v>
      </c>
      <c r="H56" s="85">
        <f t="shared" si="13"/>
        <v>6.2910345848146319E-4</v>
      </c>
      <c r="I56" s="85">
        <f t="shared" si="13"/>
        <v>0</v>
      </c>
      <c r="J56" s="85">
        <f t="shared" si="13"/>
        <v>2.5962589256800276E-3</v>
      </c>
      <c r="K56" s="85">
        <f t="shared" si="13"/>
        <v>0</v>
      </c>
      <c r="L56" s="85">
        <f t="shared" si="13"/>
        <v>0</v>
      </c>
      <c r="M56" s="85">
        <f t="shared" si="14"/>
        <v>0</v>
      </c>
      <c r="N56" s="85">
        <f t="shared" si="14"/>
        <v>0</v>
      </c>
      <c r="O56" s="85">
        <v>0</v>
      </c>
      <c r="P56" s="85">
        <v>0</v>
      </c>
      <c r="Q56" s="85">
        <f>(F56+P56)</f>
        <v>3.2253623841614907E-3</v>
      </c>
      <c r="R56" s="90">
        <v>0</v>
      </c>
      <c r="S56" s="90">
        <v>0</v>
      </c>
      <c r="T56" s="107"/>
    </row>
    <row r="57" spans="1:403" x14ac:dyDescent="0.3">
      <c r="A57" s="145"/>
      <c r="B57" s="100"/>
      <c r="C57" s="101"/>
      <c r="D57" s="100" t="s">
        <v>166</v>
      </c>
      <c r="E57" s="771">
        <f>SUM(I57:L57)</f>
        <v>2.0763715452618171E-3</v>
      </c>
      <c r="F57" s="101">
        <f>SUM(H57:L57,O57)</f>
        <v>2.7292325005041692E-3</v>
      </c>
      <c r="G57" s="521">
        <f>SUM(Q57:S57)/(1-'Common input data'!B$126)</f>
        <v>2.9925794961668524E-3</v>
      </c>
      <c r="H57" s="101">
        <f t="shared" si="13"/>
        <v>6.5286095524235202E-4</v>
      </c>
      <c r="I57" s="101">
        <f t="shared" si="13"/>
        <v>1.6501693495063416E-3</v>
      </c>
      <c r="J57" s="101">
        <f t="shared" si="13"/>
        <v>3.1976023795936493E-4</v>
      </c>
      <c r="K57" s="101">
        <f t="shared" si="13"/>
        <v>1.0644195779611054E-4</v>
      </c>
      <c r="L57" s="101">
        <f t="shared" si="13"/>
        <v>0</v>
      </c>
      <c r="M57" s="101">
        <f t="shared" si="14"/>
        <v>0</v>
      </c>
      <c r="N57" s="101">
        <f t="shared" si="14"/>
        <v>0</v>
      </c>
      <c r="O57" s="101">
        <v>0</v>
      </c>
      <c r="P57" s="101">
        <v>0</v>
      </c>
      <c r="Q57" s="101">
        <f>(F57+P57)</f>
        <v>2.7292325005041692E-3</v>
      </c>
      <c r="R57" s="108">
        <v>0</v>
      </c>
      <c r="S57" s="108">
        <v>0</v>
      </c>
      <c r="T57" s="107"/>
    </row>
    <row r="58" spans="1:403" s="99" customFormat="1" x14ac:dyDescent="0.3">
      <c r="A58" s="311" t="s">
        <v>680</v>
      </c>
      <c r="B58" s="312"/>
      <c r="C58" s="313"/>
      <c r="D58" s="314"/>
      <c r="E58" s="767" t="s">
        <v>789</v>
      </c>
      <c r="F58" s="768" t="s">
        <v>789</v>
      </c>
      <c r="G58" s="590" t="s">
        <v>789</v>
      </c>
      <c r="H58" s="313"/>
      <c r="I58" s="313"/>
      <c r="J58" s="313"/>
      <c r="K58" s="315"/>
      <c r="L58" s="315"/>
      <c r="M58" s="316"/>
      <c r="N58" s="316"/>
      <c r="O58" s="317"/>
      <c r="P58" s="316"/>
      <c r="Q58" s="316"/>
      <c r="R58" s="316"/>
      <c r="S58" s="316"/>
      <c r="T58" s="107"/>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c r="EO58" s="64"/>
      <c r="EP58" s="64"/>
      <c r="EQ58" s="64"/>
      <c r="ER58" s="64"/>
      <c r="ES58" s="64"/>
      <c r="ET58" s="64"/>
      <c r="EU58" s="64"/>
      <c r="EV58" s="64"/>
      <c r="EW58" s="64"/>
      <c r="EX58" s="64"/>
      <c r="EY58" s="64"/>
      <c r="EZ58" s="64"/>
      <c r="FA58" s="64"/>
      <c r="FB58" s="64"/>
      <c r="FC58" s="64"/>
      <c r="FD58" s="64"/>
      <c r="FE58" s="64"/>
      <c r="FF58" s="64"/>
      <c r="FG58" s="64"/>
      <c r="FH58" s="64"/>
      <c r="FI58" s="64"/>
      <c r="FJ58" s="64"/>
      <c r="FK58" s="64"/>
      <c r="FL58" s="64"/>
      <c r="FM58" s="64"/>
      <c r="FN58" s="64"/>
      <c r="FO58" s="64"/>
      <c r="FP58" s="64"/>
      <c r="FQ58" s="64"/>
      <c r="FR58" s="64"/>
      <c r="FS58" s="64"/>
      <c r="FT58" s="64"/>
      <c r="FU58" s="64"/>
      <c r="FV58" s="64"/>
      <c r="FW58" s="64"/>
      <c r="FX58" s="64"/>
      <c r="FY58" s="64"/>
      <c r="FZ58" s="64"/>
      <c r="GA58" s="64"/>
      <c r="GB58" s="64"/>
      <c r="GC58" s="64"/>
      <c r="GD58" s="64"/>
      <c r="GE58" s="64"/>
      <c r="GF58" s="64"/>
      <c r="GG58" s="64"/>
      <c r="GH58" s="64"/>
      <c r="GI58" s="64"/>
      <c r="GJ58" s="64"/>
      <c r="GK58" s="64"/>
      <c r="GL58" s="64"/>
      <c r="GM58" s="64"/>
      <c r="GN58" s="64"/>
      <c r="GO58" s="64"/>
      <c r="GP58" s="64"/>
      <c r="GQ58" s="64"/>
      <c r="GR58" s="64"/>
      <c r="GS58" s="64"/>
      <c r="GT58" s="64"/>
      <c r="GU58" s="64"/>
      <c r="GV58" s="64"/>
      <c r="GW58" s="64"/>
      <c r="GX58" s="64"/>
      <c r="GY58" s="64"/>
      <c r="GZ58" s="64"/>
      <c r="HA58" s="64"/>
      <c r="HB58" s="64"/>
      <c r="HC58" s="64"/>
      <c r="HD58" s="64"/>
      <c r="HE58" s="64"/>
      <c r="HF58" s="64"/>
      <c r="HG58" s="64"/>
      <c r="HH58" s="64"/>
      <c r="HI58" s="64"/>
      <c r="HJ58" s="64"/>
      <c r="HK58" s="64"/>
      <c r="HL58" s="64"/>
      <c r="HM58" s="64"/>
      <c r="HN58" s="64"/>
      <c r="HO58" s="64"/>
      <c r="HP58" s="64"/>
      <c r="HQ58" s="64"/>
      <c r="HR58" s="64"/>
      <c r="HS58" s="64"/>
      <c r="HT58" s="64"/>
      <c r="HU58" s="64"/>
      <c r="HV58" s="64"/>
      <c r="HW58" s="64"/>
      <c r="HX58" s="64"/>
      <c r="HY58" s="64"/>
      <c r="HZ58" s="64"/>
      <c r="IA58" s="64"/>
      <c r="IB58" s="64"/>
      <c r="IC58" s="64"/>
      <c r="ID58" s="64"/>
      <c r="IE58" s="64"/>
      <c r="IF58" s="64"/>
      <c r="IG58" s="64"/>
      <c r="IH58" s="64"/>
      <c r="II58" s="64"/>
      <c r="IJ58" s="64"/>
      <c r="IK58" s="64"/>
      <c r="IL58" s="64"/>
      <c r="IM58" s="64"/>
      <c r="IN58" s="64"/>
      <c r="IO58" s="64"/>
      <c r="IP58" s="64"/>
      <c r="IQ58" s="64"/>
      <c r="IR58" s="64"/>
      <c r="IS58" s="64"/>
      <c r="IT58" s="64"/>
      <c r="IU58" s="64"/>
      <c r="IV58" s="64"/>
      <c r="IW58" s="64"/>
      <c r="IX58" s="64"/>
      <c r="IY58" s="64"/>
      <c r="IZ58" s="64"/>
      <c r="JA58" s="64"/>
      <c r="JB58" s="64"/>
      <c r="JC58" s="64"/>
      <c r="JD58" s="64"/>
      <c r="JE58" s="64"/>
      <c r="JF58" s="64"/>
      <c r="JG58" s="64"/>
      <c r="JH58" s="64"/>
      <c r="JI58" s="64"/>
      <c r="JJ58" s="64"/>
      <c r="JK58" s="64"/>
      <c r="JL58" s="64"/>
      <c r="JM58" s="64"/>
      <c r="JN58" s="64"/>
      <c r="JO58" s="64"/>
      <c r="JP58" s="64"/>
      <c r="JQ58" s="64"/>
      <c r="JR58" s="64"/>
      <c r="JS58" s="64"/>
      <c r="JT58" s="64"/>
      <c r="JU58" s="64"/>
      <c r="JV58" s="64"/>
      <c r="JW58" s="64"/>
      <c r="JX58" s="64"/>
      <c r="JY58" s="64"/>
      <c r="JZ58" s="64"/>
      <c r="KA58" s="64"/>
      <c r="KB58" s="64"/>
      <c r="KC58" s="64"/>
      <c r="KD58" s="64"/>
      <c r="KE58" s="64"/>
      <c r="KF58" s="64"/>
      <c r="KG58" s="64"/>
      <c r="KH58" s="64"/>
      <c r="KI58" s="64"/>
      <c r="KJ58" s="64"/>
      <c r="KK58" s="64"/>
      <c r="KL58" s="64"/>
      <c r="KM58" s="64"/>
      <c r="KN58" s="64"/>
      <c r="KO58" s="64"/>
      <c r="KP58" s="64"/>
      <c r="KQ58" s="64"/>
      <c r="KR58" s="64"/>
      <c r="KS58" s="64"/>
      <c r="KT58" s="64"/>
      <c r="KU58" s="64"/>
      <c r="KV58" s="64"/>
      <c r="KW58" s="64"/>
      <c r="KX58" s="64"/>
      <c r="KY58" s="64"/>
      <c r="KZ58" s="64"/>
      <c r="LA58" s="64"/>
      <c r="LB58" s="64"/>
      <c r="LC58" s="64"/>
      <c r="LD58" s="64"/>
      <c r="LE58" s="64"/>
      <c r="LF58" s="64"/>
      <c r="LG58" s="64"/>
      <c r="LH58" s="64"/>
      <c r="LI58" s="64"/>
      <c r="LJ58" s="64"/>
      <c r="LK58" s="64"/>
      <c r="LL58" s="64"/>
      <c r="LM58" s="64"/>
      <c r="LN58" s="64"/>
      <c r="LO58" s="64"/>
      <c r="LP58" s="64"/>
      <c r="LQ58" s="64"/>
      <c r="LR58" s="64"/>
      <c r="LS58" s="64"/>
      <c r="LT58" s="64"/>
      <c r="LU58" s="64"/>
      <c r="LV58" s="64"/>
      <c r="LW58" s="64"/>
      <c r="LX58" s="64"/>
      <c r="LY58" s="64"/>
      <c r="LZ58" s="64"/>
      <c r="MA58" s="64"/>
      <c r="MB58" s="64"/>
      <c r="MC58" s="64"/>
      <c r="MD58" s="64"/>
      <c r="ME58" s="64"/>
      <c r="MF58" s="64"/>
      <c r="MG58" s="64"/>
      <c r="MH58" s="64"/>
      <c r="MI58" s="64"/>
      <c r="MJ58" s="64"/>
      <c r="MK58" s="64"/>
      <c r="ML58" s="64"/>
      <c r="MM58" s="64"/>
      <c r="MN58" s="64"/>
      <c r="MO58" s="64"/>
      <c r="MP58" s="64"/>
      <c r="MQ58" s="64"/>
      <c r="MR58" s="64"/>
      <c r="MS58" s="64"/>
      <c r="MT58" s="64"/>
      <c r="MU58" s="64"/>
      <c r="MV58" s="64"/>
      <c r="MW58" s="64"/>
      <c r="MX58" s="64"/>
      <c r="MY58" s="64"/>
      <c r="MZ58" s="64"/>
      <c r="NA58" s="64"/>
      <c r="NB58" s="64"/>
      <c r="NC58" s="64"/>
      <c r="ND58" s="64"/>
      <c r="NE58" s="64"/>
      <c r="NF58" s="64"/>
      <c r="NG58" s="64"/>
      <c r="NH58" s="64"/>
      <c r="NI58" s="64"/>
    </row>
    <row r="59" spans="1:403" s="102" customFormat="1" x14ac:dyDescent="0.3">
      <c r="A59" s="139" t="s">
        <v>260</v>
      </c>
      <c r="B59" s="146"/>
      <c r="C59" s="136">
        <f>SUM(C63:C207)</f>
        <v>1.0000706633810883</v>
      </c>
      <c r="D59" s="325" t="s">
        <v>473</v>
      </c>
      <c r="E59" s="772">
        <f>IF($F$1="GWP100 without fb",E60+E61*'Common input data'!$C$5+E62*'Common input data'!$D$5,IF($F$1="GWP100 with fb",E60+E61*'Common input data'!$C$6+E62*'Common input data'!$D$6,IF($F$1="GTP100 without fb",E60+E61*'Common input data'!$C$7+E62*'Common input data'!$D$7,IF($F$1="GTP100 with fb",E60+E61*'Common input data'!$C$8+E62*'Common input data'!$D$8,E60+E61*'Common input data'!$C$9+E62*'Common input data'!$D$9))))</f>
        <v>17.351326199505895</v>
      </c>
      <c r="F59" s="497">
        <f>IF($F$1="GWP100 without fb",F60+F61*'Common input data'!$C$5+F62*'Common input data'!$D$5,IF($F$1="GWP100 with fb",F60+F61*'Common input data'!$C$6+F62*'Common input data'!$D$6,IF($F$1="GTP100 without fb",F60+F61*'Common input data'!$C$7+F62*'Common input data'!$D$7,IF($F$1="GTP100 with fb",F60+F61*'Common input data'!$C$8+F62*'Common input data'!$D$8,F60+F61*'Common input data'!$C$9+F62*'Common input data'!$D$9))))</f>
        <v>21.670656798655745</v>
      </c>
      <c r="G59" s="476">
        <f>IF($F$1="GWP100 without fb",G60+G61*'Common input data'!$C$5+G62*'Common input data'!$D$5,IF($F$1="GWP100 with fb",G60+G61*'Common input data'!$C$6+G62*'Common input data'!$D$6,IF($F$1="GTP100 without fb",G60+G61*'Common input data'!$C$7+G62*'Common input data'!$D$7,IF($F$1="GTP100 with fb",G60+G61*'Common input data'!$C$8+G62*'Common input data'!$D$8,G60+G61*'Common input data'!$C$9+G62*'Common input data'!$D$9))))</f>
        <v>23.802167462849113</v>
      </c>
      <c r="H59" s="499"/>
      <c r="I59" s="499"/>
      <c r="J59" s="499"/>
      <c r="K59" s="497"/>
      <c r="L59" s="497"/>
      <c r="M59" s="500"/>
      <c r="N59" s="500"/>
      <c r="O59" s="500"/>
      <c r="P59" s="500"/>
      <c r="Q59" s="500"/>
      <c r="R59" s="500"/>
      <c r="S59" s="500"/>
      <c r="T59" s="107"/>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c r="GH59" s="64"/>
      <c r="GI59" s="64"/>
      <c r="GJ59" s="64"/>
      <c r="GK59" s="64"/>
      <c r="GL59" s="64"/>
      <c r="GM59" s="64"/>
      <c r="GN59" s="64"/>
      <c r="GO59" s="64"/>
      <c r="GP59" s="64"/>
      <c r="GQ59" s="64"/>
      <c r="GR59" s="64"/>
      <c r="GS59" s="64"/>
      <c r="GT59" s="64"/>
      <c r="GU59" s="64"/>
      <c r="GV59" s="64"/>
      <c r="GW59" s="64"/>
      <c r="GX59" s="64"/>
      <c r="GY59" s="64"/>
      <c r="GZ59" s="64"/>
      <c r="HA59" s="64"/>
      <c r="HB59" s="64"/>
      <c r="HC59" s="64"/>
      <c r="HD59" s="64"/>
      <c r="HE59" s="64"/>
      <c r="HF59" s="64"/>
      <c r="HG59" s="64"/>
      <c r="HH59" s="64"/>
      <c r="HI59" s="64"/>
      <c r="HJ59" s="64"/>
      <c r="HK59" s="64"/>
      <c r="HL59" s="64"/>
      <c r="HM59" s="64"/>
      <c r="HN59" s="64"/>
      <c r="HO59" s="64"/>
      <c r="HP59" s="64"/>
      <c r="HQ59" s="64"/>
      <c r="HR59" s="64"/>
      <c r="HS59" s="64"/>
      <c r="HT59" s="64"/>
      <c r="HU59" s="64"/>
      <c r="HV59" s="64"/>
      <c r="HW59" s="64"/>
      <c r="HX59" s="64"/>
      <c r="HY59" s="64"/>
      <c r="HZ59" s="64"/>
      <c r="IA59" s="64"/>
      <c r="IB59" s="64"/>
      <c r="IC59" s="64"/>
      <c r="ID59" s="64"/>
      <c r="IE59" s="64"/>
      <c r="IF59" s="64"/>
      <c r="IG59" s="64"/>
      <c r="IH59" s="64"/>
      <c r="II59" s="64"/>
      <c r="IJ59" s="64"/>
      <c r="IK59" s="64"/>
      <c r="IL59" s="64"/>
      <c r="IM59" s="64"/>
      <c r="IN59" s="64"/>
      <c r="IO59" s="64"/>
      <c r="IP59" s="64"/>
      <c r="IQ59" s="64"/>
      <c r="IR59" s="64"/>
      <c r="IS59" s="64"/>
      <c r="IT59" s="64"/>
      <c r="IU59" s="64"/>
      <c r="IV59" s="64"/>
      <c r="IW59" s="64"/>
      <c r="IX59" s="64"/>
      <c r="IY59" s="64"/>
      <c r="IZ59" s="64"/>
      <c r="JA59" s="64"/>
      <c r="JB59" s="64"/>
      <c r="JC59" s="64"/>
      <c r="JD59" s="64"/>
      <c r="JE59" s="64"/>
      <c r="JF59" s="64"/>
      <c r="JG59" s="64"/>
      <c r="JH59" s="64"/>
      <c r="JI59" s="64"/>
      <c r="JJ59" s="64"/>
      <c r="JK59" s="64"/>
      <c r="JL59" s="64"/>
      <c r="JM59" s="64"/>
      <c r="JN59" s="64"/>
      <c r="JO59" s="64"/>
      <c r="JP59" s="64"/>
      <c r="JQ59" s="64"/>
      <c r="JR59" s="64"/>
      <c r="JS59" s="64"/>
      <c r="JT59" s="64"/>
      <c r="JU59" s="64"/>
      <c r="JV59" s="64"/>
      <c r="JW59" s="64"/>
      <c r="JX59" s="64"/>
      <c r="JY59" s="64"/>
      <c r="JZ59" s="64"/>
      <c r="KA59" s="64"/>
      <c r="KB59" s="64"/>
      <c r="KC59" s="64"/>
      <c r="KD59" s="64"/>
      <c r="KE59" s="64"/>
      <c r="KF59" s="64"/>
      <c r="KG59" s="64"/>
      <c r="KH59" s="64"/>
      <c r="KI59" s="64"/>
      <c r="KJ59" s="64"/>
      <c r="KK59" s="64"/>
      <c r="KL59" s="64"/>
      <c r="KM59" s="64"/>
      <c r="KN59" s="64"/>
      <c r="KO59" s="64"/>
      <c r="KP59" s="64"/>
      <c r="KQ59" s="64"/>
      <c r="KR59" s="64"/>
      <c r="KS59" s="64"/>
      <c r="KT59" s="64"/>
      <c r="KU59" s="64"/>
      <c r="KV59" s="64"/>
      <c r="KW59" s="64"/>
      <c r="KX59" s="64"/>
      <c r="KY59" s="64"/>
      <c r="KZ59" s="64"/>
      <c r="LA59" s="64"/>
      <c r="LB59" s="64"/>
      <c r="LC59" s="64"/>
      <c r="LD59" s="64"/>
      <c r="LE59" s="64"/>
      <c r="LF59" s="64"/>
      <c r="LG59" s="64"/>
      <c r="LH59" s="64"/>
      <c r="LI59" s="64"/>
      <c r="LJ59" s="64"/>
      <c r="LK59" s="64"/>
      <c r="LL59" s="64"/>
      <c r="LM59" s="64"/>
      <c r="LN59" s="64"/>
      <c r="LO59" s="64"/>
      <c r="LP59" s="64"/>
      <c r="LQ59" s="64"/>
      <c r="LR59" s="64"/>
      <c r="LS59" s="64"/>
      <c r="LT59" s="64"/>
      <c r="LU59" s="64"/>
      <c r="LV59" s="64"/>
      <c r="LW59" s="64"/>
      <c r="LX59" s="64"/>
      <c r="LY59" s="64"/>
      <c r="LZ59" s="64"/>
      <c r="MA59" s="64"/>
      <c r="MB59" s="64"/>
      <c r="MC59" s="64"/>
      <c r="MD59" s="64"/>
      <c r="ME59" s="64"/>
      <c r="MF59" s="64"/>
      <c r="MG59" s="64"/>
      <c r="MH59" s="64"/>
      <c r="MI59" s="64"/>
      <c r="MJ59" s="64"/>
      <c r="MK59" s="64"/>
      <c r="ML59" s="64"/>
      <c r="MM59" s="64"/>
      <c r="MN59" s="64"/>
      <c r="MO59" s="64"/>
      <c r="MP59" s="64"/>
      <c r="MQ59" s="64"/>
      <c r="MR59" s="64"/>
      <c r="MS59" s="64"/>
      <c r="MT59" s="64"/>
      <c r="MU59" s="64"/>
      <c r="MV59" s="64"/>
      <c r="MW59" s="64"/>
      <c r="MX59" s="64"/>
      <c r="MY59" s="64"/>
      <c r="MZ59" s="64"/>
      <c r="NA59" s="64"/>
      <c r="NB59" s="64"/>
      <c r="NC59" s="64"/>
      <c r="ND59" s="64"/>
      <c r="NE59" s="64"/>
      <c r="NF59" s="64"/>
      <c r="NG59" s="64"/>
      <c r="NH59" s="64"/>
      <c r="NI59" s="64"/>
      <c r="NJ59" s="64"/>
      <c r="NK59" s="64"/>
      <c r="NL59" s="64"/>
      <c r="NM59" s="64"/>
      <c r="NN59" s="64"/>
      <c r="NO59" s="64"/>
      <c r="NP59" s="64"/>
      <c r="NQ59" s="64"/>
      <c r="NR59" s="64"/>
      <c r="NS59" s="64"/>
      <c r="NT59" s="64"/>
      <c r="NU59" s="64"/>
      <c r="NV59" s="64"/>
      <c r="NW59" s="64"/>
      <c r="NX59" s="64"/>
      <c r="NY59" s="64"/>
      <c r="NZ59" s="64"/>
      <c r="OA59" s="64"/>
      <c r="OB59" s="64"/>
      <c r="OC59" s="64"/>
      <c r="OD59" s="64"/>
      <c r="OE59" s="64"/>
      <c r="OF59" s="64"/>
      <c r="OG59" s="64"/>
      <c r="OH59" s="64"/>
      <c r="OI59" s="64"/>
      <c r="OJ59" s="64"/>
      <c r="OK59" s="64"/>
      <c r="OL59" s="64"/>
    </row>
    <row r="60" spans="1:403" x14ac:dyDescent="0.3">
      <c r="A60" s="155"/>
      <c r="B60" s="89"/>
      <c r="C60" s="157"/>
      <c r="D60" s="83" t="s">
        <v>164</v>
      </c>
      <c r="E60" s="463">
        <f>$C$63*E64+$C$107*E108+$C$111*E112+$C$115*E116+$C$119*E120+$C$123*E124+$C$127*E128+$C$143*E144+$C$147*E148+$C$187*E188+$C$191*E192+$C$195*E196+$C$199*E200+$C$203*E204+$C$207*E208</f>
        <v>-1.032837952512355</v>
      </c>
      <c r="F60" s="306">
        <f t="shared" ref="F60:S60" si="15">$C$63*F64+$C$107*F108+$C$111*F112+$C$115*F116+$C$119*F120+$C$123*F124+$C$127*F128+$C$143*F144+$C$147*F148+$C$187*F188+$C$191*F192+$C$195*F196+$C$199*F200+$C$203*F204+$C$207*F208</f>
        <v>2.5570305328975302</v>
      </c>
      <c r="G60" s="508">
        <f t="shared" si="15"/>
        <v>2.8408606906531109</v>
      </c>
      <c r="H60" s="85">
        <f>$C$63*H64+$C$107*H108+$C$111*H112+$C$115*H116+$C$119*H120+$C$123*H124+$C$127*H128+$C$143*H144+$C$147*H148+$C$187*H188+$C$191*H192+$C$195*H196+$C$199*H200+$C$203*H204+$C$207*H208</f>
        <v>2.128472887673909</v>
      </c>
      <c r="I60" s="85">
        <f t="shared" si="15"/>
        <v>0</v>
      </c>
      <c r="J60" s="85">
        <f>$C$63*J64+$C$107*J108+$C$111*J112+$C$115*J116+$C$119*J120+$C$123*J124+$C$127*J128+$C$143*J144+$C$147*J148+$C$187*J188+$C$191*J192+$C$195*J196+$C$199*J200+$C$203*J204+$C$207*J208</f>
        <v>0</v>
      </c>
      <c r="K60" s="85">
        <f t="shared" si="15"/>
        <v>0</v>
      </c>
      <c r="L60" s="85">
        <f t="shared" si="15"/>
        <v>0</v>
      </c>
      <c r="M60" s="85">
        <f t="shared" si="15"/>
        <v>-1.1084587496775704</v>
      </c>
      <c r="N60" s="85">
        <f t="shared" si="15"/>
        <v>7.5620797165215498E-2</v>
      </c>
      <c r="O60" s="85">
        <f t="shared" si="15"/>
        <v>1.4613955977359754</v>
      </c>
      <c r="P60" s="85">
        <f t="shared" si="15"/>
        <v>0.43396731245895087</v>
      </c>
      <c r="Q60" s="85">
        <f t="shared" si="15"/>
        <v>2.3848013019901542</v>
      </c>
      <c r="R60" s="85">
        <f t="shared" si="15"/>
        <v>0.10000706633810884</v>
      </c>
      <c r="S60" s="85">
        <f t="shared" si="15"/>
        <v>0.10605658154737438</v>
      </c>
      <c r="T60" s="107"/>
    </row>
    <row r="61" spans="1:403" x14ac:dyDescent="0.3">
      <c r="A61" s="141"/>
      <c r="B61" s="243"/>
      <c r="C61" s="142"/>
      <c r="D61" s="83" t="s">
        <v>165</v>
      </c>
      <c r="E61" s="463">
        <f t="shared" ref="E61:S61" si="16">$C$63*E65+$C$107*E109+$C$111*E113+$C$115*E117+$C$119*E121+$C$123*E125+$C$127*E129+$C$143*E145+$C$147*E149+$C$187*E189+$C$191*E193+$C$195*E197+$C$199*E201+$C$203*E205+$C$207*E209</f>
        <v>0.42427097320214502</v>
      </c>
      <c r="F61" s="306">
        <f t="shared" si="16"/>
        <v>0.4257304171159087</v>
      </c>
      <c r="G61" s="508">
        <f t="shared" si="16"/>
        <v>0.4668644303216361</v>
      </c>
      <c r="H61" s="85">
        <f t="shared" si="16"/>
        <v>1.4594439137636651E-3</v>
      </c>
      <c r="I61" s="85">
        <f t="shared" si="16"/>
        <v>0</v>
      </c>
      <c r="J61" s="85">
        <f t="shared" si="16"/>
        <v>3.1997034582024859E-2</v>
      </c>
      <c r="K61" s="85">
        <f t="shared" si="16"/>
        <v>0</v>
      </c>
      <c r="L61" s="85">
        <f t="shared" si="16"/>
        <v>0.39227393862012017</v>
      </c>
      <c r="M61" s="85">
        <f t="shared" si="16"/>
        <v>0</v>
      </c>
      <c r="N61" s="85">
        <f t="shared" si="16"/>
        <v>0</v>
      </c>
      <c r="O61" s="85">
        <f t="shared" si="16"/>
        <v>0</v>
      </c>
      <c r="P61" s="85">
        <f t="shared" si="16"/>
        <v>8.6235552940038202E-5</v>
      </c>
      <c r="Q61" s="85">
        <f t="shared" si="16"/>
        <v>0.42578036045333206</v>
      </c>
      <c r="R61" s="85">
        <f t="shared" si="16"/>
        <v>0</v>
      </c>
      <c r="S61" s="85">
        <f t="shared" si="16"/>
        <v>0</v>
      </c>
      <c r="T61" s="107"/>
    </row>
    <row r="62" spans="1:403" x14ac:dyDescent="0.3">
      <c r="A62" s="141"/>
      <c r="B62" s="243"/>
      <c r="C62" s="85"/>
      <c r="D62" s="84" t="s">
        <v>166</v>
      </c>
      <c r="E62" s="463">
        <f t="shared" ref="E62:S62" si="17">$C$63*E66+$C$107*E110+$C$111*E114+$C$115*E118+$C$119*E122+$C$123*E126+$C$127*E130+$C$143*E146+$C$147*E150+$C$187*E190+$C$191*E194+$C$195*E198+$C$199*E202+$C$203*E206+$C$207*E210</f>
        <v>1.328507068169571E-2</v>
      </c>
      <c r="F62" s="306">
        <f t="shared" si="17"/>
        <v>1.5566416388648715E-2</v>
      </c>
      <c r="G62" s="508">
        <f t="shared" si="17"/>
        <v>1.7073544098189172E-2</v>
      </c>
      <c r="H62" s="85">
        <f t="shared" si="17"/>
        <v>2.2813457069530041E-3</v>
      </c>
      <c r="I62" s="85">
        <f t="shared" si="17"/>
        <v>5.7663224167606164E-3</v>
      </c>
      <c r="J62" s="85">
        <f t="shared" si="17"/>
        <v>6.7173083451962214E-3</v>
      </c>
      <c r="K62" s="85">
        <f t="shared" si="17"/>
        <v>8.0143991973887115E-4</v>
      </c>
      <c r="L62" s="85">
        <f t="shared" si="17"/>
        <v>0</v>
      </c>
      <c r="M62" s="85">
        <f t="shared" si="17"/>
        <v>0</v>
      </c>
      <c r="N62" s="85">
        <f t="shared" si="17"/>
        <v>0</v>
      </c>
      <c r="O62" s="85">
        <f t="shared" si="17"/>
        <v>0</v>
      </c>
      <c r="P62" s="85">
        <f t="shared" si="17"/>
        <v>8.0390698796324494E-6</v>
      </c>
      <c r="Q62" s="85">
        <f t="shared" si="17"/>
        <v>1.5571072217548523E-2</v>
      </c>
      <c r="R62" s="85">
        <f t="shared" si="17"/>
        <v>0</v>
      </c>
      <c r="S62" s="85">
        <f t="shared" si="17"/>
        <v>0</v>
      </c>
      <c r="T62" s="107"/>
    </row>
    <row r="63" spans="1:403" s="102" customFormat="1" x14ac:dyDescent="0.3">
      <c r="A63" s="143" t="s">
        <v>1</v>
      </c>
      <c r="B63" s="106" t="str">
        <f>'Input data meat and eggs'!C4</f>
        <v>Suckler cows and offsprings</v>
      </c>
      <c r="C63" s="106">
        <f>'Input data meat and eggs'!D4</f>
        <v>0.22993305949795353</v>
      </c>
      <c r="D63" s="269" t="s">
        <v>473</v>
      </c>
      <c r="E63" s="773">
        <f>IF($F$1="GWP100 without fb",E64+E65*'Common input data'!$C$5+E66*'Common input data'!$D$5,IF($F$1="GWP100 with fb",E64+E65*'Common input data'!$C$6+E66*'Common input data'!$D$6,IF($F$1="GTP100 without fb",E64+E65*'Common input data'!$C$7+E66*'Common input data'!$D$7,IF($F$1="GTP100 with fb",E64+E65*'Common input data'!$C$8+E66*'Common input data'!$D$8,E64+E65*'Common input data'!$C$9+E66*'Common input data'!$D$9))))</f>
        <v>25.983455129607837</v>
      </c>
      <c r="F63" s="351">
        <f>IF($F$1="GWP100 without fb",F64+F65*'Common input data'!$C$5+F66*'Common input data'!$D$5,IF($F$1="GWP100 with fb",F64+F65*'Common input data'!$C$6+F66*'Common input data'!$D$6,IF($F$1="GTP100 without fb",F64+F65*'Common input data'!$C$7+F66*'Common input data'!$D$7,IF($F$1="GTP100 with fb",F64+F65*'Common input data'!$C$8+F66*'Common input data'!$D$8,F64+F65*'Common input data'!$C$9+F66*'Common input data'!$D$9))))</f>
        <v>30.297342210333071</v>
      </c>
      <c r="G63" s="477">
        <f>IF($F$1="GWP100 without fb",G64+G65*'Common input data'!$C$5+G66*'Common input data'!$D$5,IF($F$1="GWP100 with fb",G64+G65*'Common input data'!$C$6+G66*'Common input data'!$D$6,IF($F$1="GTP100 without fb",G64+G65*'Common input data'!$C$7+G66*'Common input data'!$D$7,IF($F$1="GTP100 with fb",G64+G65*'Common input data'!$C$8+G66*'Common input data'!$D$8,G64+G65*'Common input data'!$C$9+G66*'Common input data'!$D$9))))</f>
        <v>32.539026546417844</v>
      </c>
      <c r="H63" s="302"/>
      <c r="I63" s="302"/>
      <c r="J63" s="302"/>
      <c r="K63" s="302"/>
      <c r="L63" s="302"/>
      <c r="M63" s="302"/>
      <c r="N63" s="302"/>
      <c r="O63" s="302"/>
      <c r="P63" s="302"/>
      <c r="Q63" s="302"/>
      <c r="R63" s="302"/>
      <c r="S63" s="351"/>
      <c r="T63" s="107"/>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c r="IW63" s="64"/>
      <c r="IX63" s="64"/>
      <c r="IY63" s="64"/>
      <c r="IZ63" s="64"/>
      <c r="JA63" s="64"/>
      <c r="JB63" s="64"/>
      <c r="JC63" s="64"/>
      <c r="JD63" s="64"/>
      <c r="JE63" s="64"/>
      <c r="JF63" s="64"/>
      <c r="JG63" s="64"/>
      <c r="JH63" s="64"/>
      <c r="JI63" s="64"/>
      <c r="JJ63" s="64"/>
      <c r="JK63" s="64"/>
      <c r="JL63" s="64"/>
      <c r="JM63" s="64"/>
      <c r="JN63" s="64"/>
      <c r="JO63" s="64"/>
      <c r="JP63" s="64"/>
      <c r="JQ63" s="64"/>
      <c r="JR63" s="64"/>
      <c r="JS63" s="64"/>
      <c r="JT63" s="64"/>
      <c r="JU63" s="64"/>
      <c r="JV63" s="64"/>
      <c r="JW63" s="64"/>
      <c r="JX63" s="64"/>
      <c r="JY63" s="64"/>
      <c r="JZ63" s="64"/>
      <c r="KA63" s="64"/>
      <c r="KB63" s="64"/>
      <c r="KC63" s="64"/>
      <c r="KD63" s="64"/>
      <c r="KE63" s="64"/>
      <c r="KF63" s="64"/>
      <c r="KG63" s="64"/>
      <c r="KH63" s="64"/>
      <c r="KI63" s="64"/>
      <c r="KJ63" s="64"/>
      <c r="KK63" s="64"/>
      <c r="KL63" s="64"/>
      <c r="KM63" s="64"/>
      <c r="KN63" s="64"/>
      <c r="KO63" s="64"/>
      <c r="KP63" s="64"/>
      <c r="KQ63" s="64"/>
      <c r="KR63" s="64"/>
      <c r="KS63" s="64"/>
      <c r="KT63" s="64"/>
      <c r="KU63" s="64"/>
      <c r="KV63" s="64"/>
      <c r="KW63" s="64"/>
      <c r="KX63" s="64"/>
      <c r="KY63" s="64"/>
      <c r="KZ63" s="64"/>
      <c r="LA63" s="64"/>
      <c r="LB63" s="64"/>
      <c r="LC63" s="64"/>
      <c r="LD63" s="64"/>
      <c r="LE63" s="64"/>
      <c r="LF63" s="64"/>
      <c r="LG63" s="64"/>
      <c r="LH63" s="64"/>
      <c r="LI63" s="64"/>
      <c r="LJ63" s="64"/>
      <c r="LK63" s="64"/>
      <c r="LL63" s="64"/>
      <c r="LM63" s="64"/>
      <c r="LN63" s="64"/>
      <c r="LO63" s="64"/>
      <c r="LP63" s="64"/>
      <c r="LQ63" s="64"/>
      <c r="LR63" s="64"/>
      <c r="LS63" s="64"/>
      <c r="LT63" s="64"/>
      <c r="LU63" s="64"/>
      <c r="LV63" s="64"/>
      <c r="LW63" s="64"/>
      <c r="LX63" s="64"/>
      <c r="LY63" s="64"/>
      <c r="LZ63" s="64"/>
      <c r="MA63" s="64"/>
      <c r="MB63" s="64"/>
      <c r="MC63" s="64"/>
      <c r="MD63" s="64"/>
      <c r="ME63" s="64"/>
      <c r="MF63" s="64"/>
      <c r="MG63" s="64"/>
      <c r="MH63" s="64"/>
      <c r="MI63" s="64"/>
      <c r="MJ63" s="64"/>
      <c r="MK63" s="64"/>
      <c r="ML63" s="64"/>
      <c r="MM63" s="64"/>
      <c r="MN63" s="64"/>
      <c r="MO63" s="64"/>
      <c r="MP63" s="64"/>
      <c r="MQ63" s="64"/>
      <c r="MR63" s="64"/>
      <c r="MS63" s="64"/>
      <c r="MT63" s="64"/>
      <c r="MU63" s="64"/>
      <c r="MV63" s="64"/>
      <c r="MW63" s="64"/>
      <c r="MX63" s="64"/>
      <c r="MY63" s="64"/>
      <c r="MZ63" s="64"/>
      <c r="NA63" s="64"/>
      <c r="NB63" s="64"/>
      <c r="NC63" s="64"/>
      <c r="ND63" s="64"/>
      <c r="NE63" s="64"/>
      <c r="NF63" s="64"/>
      <c r="NG63" s="64"/>
      <c r="NH63" s="64"/>
      <c r="NI63" s="64"/>
      <c r="NJ63" s="64"/>
      <c r="NK63" s="64"/>
      <c r="NL63" s="64"/>
      <c r="NM63" s="64"/>
      <c r="NN63" s="64"/>
      <c r="NO63" s="64"/>
      <c r="NP63" s="64"/>
      <c r="NQ63" s="64"/>
      <c r="NR63" s="64"/>
      <c r="NS63" s="64"/>
      <c r="NT63" s="64"/>
      <c r="NU63" s="64"/>
      <c r="NV63" s="64"/>
      <c r="NW63" s="64"/>
      <c r="NX63" s="64"/>
      <c r="NY63" s="64"/>
      <c r="NZ63" s="64"/>
      <c r="OA63" s="64"/>
      <c r="OB63" s="64"/>
      <c r="OC63" s="64"/>
      <c r="OD63" s="64"/>
      <c r="OE63" s="64"/>
      <c r="OF63" s="64"/>
      <c r="OG63" s="64"/>
      <c r="OH63" s="64"/>
      <c r="OI63" s="64"/>
      <c r="OJ63" s="64"/>
      <c r="OK63" s="64"/>
      <c r="OL63" s="64"/>
    </row>
    <row r="64" spans="1:403" x14ac:dyDescent="0.3">
      <c r="A64" s="144"/>
      <c r="C64" s="157"/>
      <c r="D64" s="83" t="s">
        <v>164</v>
      </c>
      <c r="E64" s="463">
        <f>IF(AND($F$2="No",$F$3="No"),SUM(I64:L64),IF(AND($F$2="Yes", $F$3="No"), SUM(I64:L64)+N64, IF(AND($F$2="No", $F$3="Yes"),SUM(I64:L64)+M64, SUM(I64:L64)+N64+M64)))</f>
        <v>-1.6896447450322463</v>
      </c>
      <c r="F64" s="306">
        <f>IF(AND($F$2="No",$F$3="No"),SUM(H64:L64,O64),IF(AND($F$2="Yes", $F$3="No"), SUM(H64:L64,O64)+N64, IF(AND($F$2="No", $F$3="Yes"),SUM(H64:L64,O64)+M64, SUM(H64:L64,O64)+N64+M64)))</f>
        <v>1.7283410157167476</v>
      </c>
      <c r="G64" s="509">
        <f>SUM(Q64:S64)/(1-'Common input data'!B$126)</f>
        <v>1.2133673417946795</v>
      </c>
      <c r="H64" s="85">
        <f>SUM(H68,H72,H76,H80,H84,H88,H92)/'Input data meat and eggs'!$J$399</f>
        <v>2.6662357607489939</v>
      </c>
      <c r="I64" s="85">
        <f>SUM(I68,I72,I76,I80,I84,I88,I92)/'Input data meat and eggs'!$J$399</f>
        <v>0</v>
      </c>
      <c r="J64" s="85">
        <f>SUM(J68,J72,J76,J80,J84,J88,J92)/'Input data meat and eggs'!$J$399</f>
        <v>0</v>
      </c>
      <c r="K64" s="85">
        <f>SUM(K68,K72,K76,K80,K84,K88,K92)/'Input data meat and eggs'!$J$399</f>
        <v>0</v>
      </c>
      <c r="L64" s="85">
        <f>SUM(L68,L72,L76,L80,L84,L88,L92)/'Input data meat and eggs'!$J$399</f>
        <v>0</v>
      </c>
      <c r="M64" s="85">
        <f>SUM(M68,M72,M76,M80,M84,M88,M92)/'Input data meat and eggs'!$J$399</f>
        <v>-1.773755388491155</v>
      </c>
      <c r="N64" s="85">
        <f>SUM(N68,N72,N76,N80,N84,N88,N92)/'Input data meat and eggs'!$J$399</f>
        <v>8.4110643458908688E-2</v>
      </c>
      <c r="O64" s="85">
        <f>'Input data meat and eggs'!B83*'Common input data'!B63</f>
        <v>0.75175000000000003</v>
      </c>
      <c r="P64" s="85">
        <f>'Input data meat and eggs'!B92*'Common input data'!B63+'Input data meat and eggs'!C92*3.6*'Common input data'!B49</f>
        <v>0.38341132075471701</v>
      </c>
      <c r="Q64" s="85">
        <f>SUM(Q68,Q72,Q76,Q80,Q84,Q88,Q92)/'Input data meat and eggs'!$J$399</f>
        <v>0.97659101571674756</v>
      </c>
      <c r="R64" s="85">
        <f>'Common input data'!B92</f>
        <v>0.1</v>
      </c>
      <c r="S64" s="85">
        <f>'Common input data'!C98</f>
        <v>0.03</v>
      </c>
      <c r="T64" s="511"/>
      <c r="U64" s="85"/>
      <c r="V64" s="85"/>
      <c r="W64" s="85"/>
    </row>
    <row r="65" spans="1:402" x14ac:dyDescent="0.3">
      <c r="A65" s="144"/>
      <c r="C65" s="142"/>
      <c r="D65" s="83" t="s">
        <v>165</v>
      </c>
      <c r="E65" s="463">
        <f>SUM(I65:L65)</f>
        <v>0.65459224920501413</v>
      </c>
      <c r="F65" s="306">
        <f>SUM(H65:L65,O65)</f>
        <v>0.6564763179816705</v>
      </c>
      <c r="G65" s="509">
        <f>SUM(Q65:S65)/(1-'Common input data'!B$126)</f>
        <v>0.71982052410270891</v>
      </c>
      <c r="H65" s="85">
        <f>SUM(H69,H73,H77,H81,H85,H89,H93)/'Input data meat and eggs'!$J$399</f>
        <v>1.8840687766563508E-3</v>
      </c>
      <c r="I65" s="85">
        <f>SUM(I69,I73,I77,I81,I85,I89,I93)/'Input data meat and eggs'!$J$399</f>
        <v>0</v>
      </c>
      <c r="J65" s="85">
        <f>SUM(J69,J73,J77,J81,J85,J89,J93)/'Input data meat and eggs'!$J$399</f>
        <v>3.9152804945281443E-2</v>
      </c>
      <c r="K65" s="85">
        <f>SUM(K69,K73,K77,K81,K85,K89,K93)/'Input data meat and eggs'!$J$399</f>
        <v>0</v>
      </c>
      <c r="L65" s="85">
        <f>SUM(L69,L73,L77,L81,L85,L89,L93)/'Input data meat and eggs'!$J$399</f>
        <v>0.61543944425973274</v>
      </c>
      <c r="M65" s="85">
        <f>SUM(M69,M73,M77,M81,M85,M89,M93)/'Input data meat and eggs'!$J$399</f>
        <v>0</v>
      </c>
      <c r="N65" s="85">
        <f>SUM(N69,N73,N77,N81,N85,N89,N93)/'Input data meat and eggs'!$J$399</f>
        <v>0</v>
      </c>
      <c r="O65" s="85">
        <v>0</v>
      </c>
      <c r="P65" s="85">
        <f>'Input data meat and eggs'!C92*3.6*'Common input data'!B50</f>
        <v>1.0392452830188681E-4</v>
      </c>
      <c r="Q65" s="85">
        <f>SUM(Q69,Q73,Q77,Q81,Q85,Q89,Q93)/'Input data meat and eggs'!$J$399</f>
        <v>0.6564763179816705</v>
      </c>
      <c r="R65" s="90">
        <v>0</v>
      </c>
      <c r="S65" s="90">
        <v>0</v>
      </c>
      <c r="T65" s="107"/>
    </row>
    <row r="66" spans="1:402" x14ac:dyDescent="0.3">
      <c r="A66" s="174"/>
      <c r="B66" s="206"/>
      <c r="C66" s="85"/>
      <c r="D66" s="84" t="s">
        <v>166</v>
      </c>
      <c r="E66" s="463">
        <f>SUM(I66:L66)</f>
        <v>1.8177729535804033E-2</v>
      </c>
      <c r="F66" s="306">
        <f>SUM(H66:L66,O66)</f>
        <v>2.0969148937045389E-2</v>
      </c>
      <c r="G66" s="509">
        <f>SUM(Q66:S66)/(1-'Common input data'!B$126)</f>
        <v>2.2992487869567323E-2</v>
      </c>
      <c r="H66" s="85">
        <f>SUM(H70,H74,H78,H82,H86,H90,H94)/'Input data meat and eggs'!$J$399</f>
        <v>2.791419401241356E-3</v>
      </c>
      <c r="I66" s="85">
        <f>SUM(I70,I74,I78,I82,I86,I90,I94)/'Input data meat and eggs'!$J$399</f>
        <v>7.0555831231106413E-3</v>
      </c>
      <c r="J66" s="85">
        <f>SUM(J70,J74,J78,J82,J86,J90,J94)/'Input data meat and eggs'!$J$399</f>
        <v>1.0231812255064469E-2</v>
      </c>
      <c r="K66" s="85">
        <f>SUM(K70,K74,K78,K82,K86,K90,K94)/'Input data meat and eggs'!$J$399</f>
        <v>8.9033415762892348E-4</v>
      </c>
      <c r="L66" s="85">
        <f>SUM(L70,L74,L78,L82,L86,L90,L94)/'Input data meat and eggs'!$J$399</f>
        <v>0</v>
      </c>
      <c r="M66" s="85">
        <f>SUM(M70,M74,M78,M82,M86,M90,M94)/'Input data meat and eggs'!$J$399</f>
        <v>0</v>
      </c>
      <c r="N66" s="85">
        <f>SUM(N70,N74,N78,N82,N86,N90,N94)/'Input data meat and eggs'!$J$399</f>
        <v>0</v>
      </c>
      <c r="O66" s="85">
        <v>0</v>
      </c>
      <c r="P66" s="85">
        <f>'Input data meat and eggs'!C92*3.6*'Common input data'!B51</f>
        <v>9.6880754716981128E-6</v>
      </c>
      <c r="Q66" s="85">
        <f>SUM(Q70,Q74,Q78,Q82,Q86,Q90,Q94)/'Input data meat and eggs'!$J$399</f>
        <v>2.0969148937045396E-2</v>
      </c>
      <c r="R66" s="90">
        <v>0</v>
      </c>
      <c r="S66" s="90">
        <v>0</v>
      </c>
      <c r="T66" s="107"/>
    </row>
    <row r="67" spans="1:402" s="102" customFormat="1" x14ac:dyDescent="0.3">
      <c r="A67" s="284"/>
      <c r="B67" s="150" t="s">
        <v>691</v>
      </c>
      <c r="C67" s="153"/>
      <c r="D67" s="269" t="s">
        <v>473</v>
      </c>
      <c r="E67" s="464">
        <f>IF($F$1="GWP100 without fb",E68+E69*'Common input data'!$C$5+E70*'Common input data'!$D$5,IF($F$1="GWP100 with fb",E68+E69*'Common input data'!$C$6+E70*'Common input data'!$D$6,IF($F$1="GTP100 without fb",E68+E69*'Common input data'!$C$7+E70*'Common input data'!$D$7,IF($F$1="GTP100 with fb",E68+E69*'Common input data'!$C$8+E70*'Common input data'!$D$8,E68+E69*'Common input data'!$C$9+E70*'Common input data'!$D$9))))</f>
        <v>653018634.49967861</v>
      </c>
      <c r="F67" s="465">
        <f>IF($F$1="GWP100 without fb",F68+F69*'Common input data'!$C$5+F70*'Common input data'!$D$5,IF($F$1="GWP100 with fb",F68+F69*'Common input data'!$C$6+F70*'Common input data'!$D$6,IF($F$1="GTP100 without fb",F68+F69*'Common input data'!$C$7+F70*'Common input data'!$D$7,IF($F$1="GTP100 with fb",F68+F69*'Common input data'!$C$8+F70*'Common input data'!$D$8,F68+F69*'Common input data'!$C$9+F70*'Common input data'!$D$9))))</f>
        <v>744495623.7244494</v>
      </c>
      <c r="G67" s="510"/>
      <c r="H67" s="465"/>
      <c r="I67" s="465"/>
      <c r="J67" s="465"/>
      <c r="K67" s="465"/>
      <c r="L67" s="465"/>
      <c r="N67" s="465"/>
      <c r="O67" s="465"/>
      <c r="P67" s="465"/>
      <c r="Q67" s="465"/>
      <c r="R67" s="111"/>
      <c r="S67" s="111"/>
      <c r="T67" s="14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c r="IH67" s="64"/>
      <c r="II67" s="64"/>
      <c r="IJ67" s="64"/>
      <c r="IK67" s="64"/>
      <c r="IL67" s="64"/>
      <c r="IM67" s="64"/>
      <c r="IN67" s="64"/>
      <c r="IO67" s="64"/>
      <c r="IP67" s="64"/>
      <c r="IQ67" s="64"/>
      <c r="IR67" s="64"/>
      <c r="IS67" s="64"/>
      <c r="IT67" s="64"/>
      <c r="IU67" s="64"/>
      <c r="IV67" s="64"/>
      <c r="IW67" s="64"/>
      <c r="IX67" s="64"/>
      <c r="IY67" s="64"/>
      <c r="IZ67" s="64"/>
      <c r="JA67" s="64"/>
      <c r="JB67" s="64"/>
      <c r="JC67" s="64"/>
      <c r="JD67" s="64"/>
      <c r="JE67" s="64"/>
      <c r="JF67" s="64"/>
      <c r="JG67" s="64"/>
      <c r="JH67" s="64"/>
      <c r="JI67" s="64"/>
      <c r="JJ67" s="64"/>
      <c r="JK67" s="64"/>
      <c r="JL67" s="64"/>
      <c r="JM67" s="64"/>
      <c r="JN67" s="64"/>
      <c r="JO67" s="64"/>
      <c r="JP67" s="64"/>
      <c r="JQ67" s="64"/>
      <c r="JR67" s="64"/>
      <c r="JS67" s="64"/>
      <c r="JT67" s="64"/>
      <c r="JU67" s="64"/>
      <c r="JV67" s="64"/>
      <c r="JW67" s="64"/>
      <c r="JX67" s="64"/>
      <c r="JY67" s="64"/>
      <c r="JZ67" s="64"/>
      <c r="KA67" s="64"/>
      <c r="KB67" s="64"/>
      <c r="KC67" s="64"/>
      <c r="KD67" s="64"/>
      <c r="KE67" s="64"/>
      <c r="KF67" s="64"/>
      <c r="KG67" s="64"/>
      <c r="KH67" s="64"/>
      <c r="KI67" s="64"/>
      <c r="KJ67" s="64"/>
      <c r="KK67" s="64"/>
      <c r="KL67" s="64"/>
      <c r="KM67" s="64"/>
      <c r="KN67" s="64"/>
      <c r="KO67" s="64"/>
      <c r="KP67" s="64"/>
      <c r="KQ67" s="64"/>
      <c r="KR67" s="64"/>
      <c r="KS67" s="64"/>
      <c r="KT67" s="64"/>
      <c r="KU67" s="64"/>
      <c r="KV67" s="64"/>
      <c r="KW67" s="64"/>
      <c r="KX67" s="64"/>
      <c r="KY67" s="64"/>
      <c r="KZ67" s="64"/>
      <c r="LA67" s="64"/>
      <c r="LB67" s="64"/>
      <c r="LC67" s="64"/>
      <c r="LD67" s="64"/>
      <c r="LE67" s="64"/>
      <c r="LF67" s="64"/>
      <c r="LG67" s="64"/>
      <c r="LH67" s="64"/>
      <c r="LI67" s="64"/>
      <c r="LJ67" s="64"/>
      <c r="LK67" s="64"/>
      <c r="LL67" s="64"/>
      <c r="LM67" s="64"/>
      <c r="LN67" s="64"/>
      <c r="LO67" s="64"/>
      <c r="LP67" s="64"/>
      <c r="LQ67" s="64"/>
      <c r="LR67" s="64"/>
      <c r="LS67" s="64"/>
      <c r="LT67" s="64"/>
      <c r="LU67" s="64"/>
      <c r="LV67" s="64"/>
      <c r="LW67" s="64"/>
      <c r="LX67" s="64"/>
      <c r="LY67" s="64"/>
      <c r="LZ67" s="64"/>
      <c r="MA67" s="64"/>
      <c r="MB67" s="64"/>
      <c r="MC67" s="64"/>
      <c r="MD67" s="64"/>
      <c r="ME67" s="64"/>
      <c r="MF67" s="64"/>
      <c r="MG67" s="64"/>
      <c r="MH67" s="64"/>
      <c r="MI67" s="64"/>
      <c r="MJ67" s="64"/>
      <c r="MK67" s="64"/>
      <c r="ML67" s="64"/>
      <c r="MM67" s="64"/>
      <c r="MN67" s="64"/>
      <c r="MO67" s="64"/>
      <c r="MP67" s="64"/>
      <c r="MQ67" s="64"/>
      <c r="MR67" s="64"/>
      <c r="MS67" s="64"/>
      <c r="MT67" s="64"/>
      <c r="MU67" s="64"/>
      <c r="MV67" s="64"/>
      <c r="MW67" s="64"/>
      <c r="MX67" s="64"/>
      <c r="MY67" s="64"/>
      <c r="MZ67" s="64"/>
      <c r="NA67" s="64"/>
      <c r="NB67" s="64"/>
      <c r="NC67" s="64"/>
      <c r="ND67" s="64"/>
      <c r="NE67" s="64"/>
      <c r="NF67" s="64"/>
      <c r="NG67" s="64"/>
      <c r="NH67" s="64"/>
      <c r="NI67" s="64"/>
      <c r="NJ67" s="64"/>
      <c r="NK67" s="64"/>
      <c r="NL67" s="64"/>
      <c r="NM67" s="64"/>
      <c r="NN67" s="64"/>
      <c r="NO67" s="64"/>
      <c r="NP67" s="64"/>
      <c r="NQ67" s="64"/>
      <c r="NR67" s="64"/>
      <c r="NS67" s="64"/>
      <c r="NT67" s="64"/>
      <c r="NU67" s="64"/>
      <c r="NV67" s="64"/>
      <c r="NW67" s="64"/>
      <c r="NX67" s="64"/>
      <c r="NY67" s="64"/>
      <c r="NZ67" s="64"/>
      <c r="OA67" s="64"/>
      <c r="OB67" s="64"/>
      <c r="OC67" s="64"/>
      <c r="OD67" s="64"/>
      <c r="OE67" s="64"/>
      <c r="OF67" s="64"/>
      <c r="OG67" s="64"/>
      <c r="OH67" s="64"/>
      <c r="OI67" s="64"/>
      <c r="OJ67" s="64"/>
      <c r="OK67" s="64"/>
      <c r="OL67" s="64"/>
    </row>
    <row r="68" spans="1:402" x14ac:dyDescent="0.3">
      <c r="A68" s="144"/>
      <c r="D68" s="83" t="s">
        <v>164</v>
      </c>
      <c r="E68" s="466">
        <f>IF(AND($F$2="No",$F$3="No"),SUM(I68:L68),IF(AND($F$2="Yes", $F$3="No"), SUM(I68:L68)+N68, IF(AND($F$2="No", $F$3="Yes"),SUM(I68:L68)+M68, SUM(I68:L68)+N68+M68)))</f>
        <v>-62086604.274493761</v>
      </c>
      <c r="F68" s="89">
        <f>IF(AND($F$2="No",$F$3="No"),SUM(H68:L68,O68),IF(AND($F$2="Yes", $F$3="No"), SUM(H68:L68,O68)+N68, IF(AND($F$2="No", $F$3="Yes"),SUM(H68:L68,O68)+M68, SUM(H68:L68,O68)+N68+M68)))</f>
        <v>7194008.4933479056</v>
      </c>
      <c r="G68" s="278"/>
      <c r="H68" s="89">
        <f>('Input data meat and eggs'!S392*'Input data meat and eggs'!B48+'Input data meat and eggs'!T392*'Input data meat and eggs'!B47+'Input data meat and eggs'!U392*'Input data meat and eggs'!B35+'Input data meat and eggs'!V392*SUMPRODUCT('Input data meat and eggs'!B37:B46,'Input data meat and eggs'!E65:E74))*'Input data meat and eggs'!$C$392</f>
        <v>69280612.767841667</v>
      </c>
      <c r="I68" s="89">
        <v>0</v>
      </c>
      <c r="J68" s="89">
        <v>0</v>
      </c>
      <c r="K68" s="89">
        <v>0</v>
      </c>
      <c r="L68" s="173">
        <v>0</v>
      </c>
      <c r="M68" s="89">
        <f>(('Input data meat and eggs'!S392+'Input data meat and eggs'!T392)*'Common input data'!F13+
'Input data meat and eggs'!U392*'Common input data'!B13+'Input data meat and eggs'!V392*('Input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eggs'!$C$392</f>
        <v>-62562751.74571117</v>
      </c>
      <c r="N68" s="89">
        <f>('Input data meat and eggs'!V392*('Input data meat and eggs'!E67*'Common input data'!B21*'Common input data'!G30/'Common input data'!F30+'Input data meat and eggs'!E71*'Common input data'!C21*'Common input data'!J31/'Common input data'!I31))*'Input data meat and eggs'!$C$392</f>
        <v>476147.47121740965</v>
      </c>
      <c r="O68" s="89">
        <v>0</v>
      </c>
      <c r="P68" s="89">
        <v>0</v>
      </c>
      <c r="Q68" s="89">
        <f>SUM(F68+P68)</f>
        <v>7194008.4933479056</v>
      </c>
      <c r="R68" s="90"/>
      <c r="S68" s="90"/>
      <c r="T68" s="144"/>
    </row>
    <row r="69" spans="1:402" x14ac:dyDescent="0.3">
      <c r="A69" s="144"/>
      <c r="C69" s="84"/>
      <c r="D69" s="83" t="s">
        <v>165</v>
      </c>
      <c r="E69" s="466">
        <f>SUM(I69:L69)</f>
        <v>16921563.025834564</v>
      </c>
      <c r="F69" s="89">
        <f>SUM(H69:L69,O69)</f>
        <v>16958687.791635215</v>
      </c>
      <c r="G69" s="278"/>
      <c r="H69" s="89">
        <f>('Input data meat and eggs'!S392*'Input data meat and eggs'!C48+'Input data meat and eggs'!T392*'Input data meat and eggs'!C47+'Input data meat and eggs'!U392*'Input data meat and eggs'!C35+'Input data meat and eggs'!V392*SUMPRODUCT('Input data meat and eggs'!C37:C46,'Input data meat and eggs'!E65:E74))*'Input data meat and eggs'!$C$392</f>
        <v>37124.765800651236</v>
      </c>
      <c r="I69" s="89">
        <v>0</v>
      </c>
      <c r="J69" s="89">
        <f>('Input data meat and eggs'!M392*'Input data meat and eggs'!G392/12*'Input data meat and eggs'!$B$451*'Input data meat and eggs'!$B$452*'Input data meat and eggs'!$B$453*
('Input data meat and eggs'!$O$392*'Input data meat and eggs'!$B$443
+'Input data meat and eggs'!$P$392*'Input data meat and eggs'!$C$443+
'Input data meat and eggs'!$Q$392*'Input data meat and eggs'!$D$443+
'Input data meat and eggs'!$R$392*'Input data meat and eggs'!$E$443))*'Input data meat and eggs'!$C$392</f>
        <v>1000331.1207653327</v>
      </c>
      <c r="K69" s="89">
        <v>0</v>
      </c>
      <c r="L69" s="173">
        <f>('Input data meat and eggs'!L392*'Input data meat and eggs'!G392/12)*'Input data meat and eggs'!$C$392</f>
        <v>15921231.90506923</v>
      </c>
      <c r="M69" s="89">
        <v>0</v>
      </c>
      <c r="N69" s="89">
        <v>0</v>
      </c>
      <c r="O69" s="89">
        <v>0</v>
      </c>
      <c r="P69" s="89">
        <v>0</v>
      </c>
      <c r="Q69" s="89">
        <f>SUM(F69+P69)</f>
        <v>16958687.791635215</v>
      </c>
      <c r="R69" s="90"/>
      <c r="S69" s="90"/>
      <c r="T69" s="144"/>
    </row>
    <row r="70" spans="1:402" x14ac:dyDescent="0.3">
      <c r="A70" s="144"/>
      <c r="C70" s="85"/>
      <c r="D70" s="84" t="s">
        <v>166</v>
      </c>
      <c r="E70" s="466">
        <f>SUM(I70:L70)</f>
        <v>469033.8788449571</v>
      </c>
      <c r="F70" s="89">
        <f>SUM(H70:L70,O70)</f>
        <v>539282.65206545044</v>
      </c>
      <c r="G70" s="491"/>
      <c r="H70" s="89">
        <f>(('Input data meat and eggs'!S392*'Input data meat and eggs'!D48+'Input data meat and eggs'!T392*'Input data meat and eggs'!D47+'Input data meat and eggs'!U392*'Input data meat and eggs'!D35+'Input data meat and eggs'!V392*SUMPRODUCT('Input data meat and eggs'!D37:D46,'Input data meat and eggs'!E65:E74))*'Input data meat and eggs'!B58)*'Input data meat and eggs'!$C$392</f>
        <v>70248.773220493342</v>
      </c>
      <c r="I70" s="89">
        <f>(('Input data meat and eggs'!S392*'Input data meat and eggs'!D48+'Input data meat and eggs'!T392*'Input data meat and eggs'!D47+'Input data meat and eggs'!U392*'Input data meat and eggs'!D35+'Input data meat and eggs'!V392*SUMPRODUCT('Input data meat and eggs'!D37:D46,'Input data meat and eggs'!E65:E74))*'Input data meat and eggs'!C58)*'Input data meat and eggs'!$C$392</f>
        <v>177560.58388550414</v>
      </c>
      <c r="J70" s="41">
        <f>('Input data meat and eggs'!K392*'Input data meat and eggs'!G392/12*('Input data meat and eggs'!$O$392*'Input data meat and eggs'!$B$445+'Input data meat and eggs'!$P$392*'Input data meat and eggs'!$C$445+'Input data meat and eggs'!$Q$392*'Input data meat and eggs'!$D$445+'Input data meat and eggs'!$R$392*'Input data meat and eggs'!$E$445)*44/28)*'Input data meat and eggs'!$C$392</f>
        <v>266276.69226380327</v>
      </c>
      <c r="K70" s="89">
        <f>('Input data meat and eggs'!$B$446*44/28*'Input data meat and eggs'!K392*'Input data meat and eggs'!G392/12*('Input data meat and eggs'!O392*'Input data meat and eggs'!B457+'Input data meat and eggs'!P392*'Input data meat and eggs'!C457+'Input data meat and eggs'!Q392*'Input data meat and eggs'!D457))*'Input data meat and eggs'!$C$392</f>
        <v>25196.602695649737</v>
      </c>
      <c r="L70" s="173">
        <v>0</v>
      </c>
      <c r="M70" s="89">
        <v>0</v>
      </c>
      <c r="N70" s="89">
        <v>0</v>
      </c>
      <c r="O70" s="89">
        <v>0</v>
      </c>
      <c r="P70" s="89">
        <v>0</v>
      </c>
      <c r="Q70" s="89">
        <f>SUM(F70+P70)</f>
        <v>539282.65206545044</v>
      </c>
      <c r="R70" s="94"/>
      <c r="S70" s="90"/>
      <c r="T70" s="144"/>
    </row>
    <row r="71" spans="1:402" s="102" customFormat="1" x14ac:dyDescent="0.3">
      <c r="A71" s="284"/>
      <c r="B71" s="150" t="s">
        <v>692</v>
      </c>
      <c r="C71" s="153"/>
      <c r="D71" s="269" t="s">
        <v>473</v>
      </c>
      <c r="E71" s="464">
        <f>IF($F$1="GWP100 without fb",E72+E73*'Common input data'!$C$5+E74*'Common input data'!$D$5,IF($F$1="GWP100 with fb",E72+E73*'Common input data'!$C$6+E74*'Common input data'!$D$6,IF($F$1="GTP100 without fb",E72+E73*'Common input data'!$C$7+E74*'Common input data'!$D$7,IF($F$1="GTP100 with fb",E72+E73*'Common input data'!$C$8+E74*'Common input data'!$D$8,E72+E73*'Common input data'!$C$9+E74*'Common input data'!$D$9))))</f>
        <v>192268142.0356878</v>
      </c>
      <c r="F71" s="465">
        <f>IF($F$1="GWP100 without fb",F72+F73*'Common input data'!$C$5+F74*'Common input data'!$D$5,IF($F$1="GWP100 with fb",F72+F73*'Common input data'!$C$6+F74*'Common input data'!$D$6,IF($F$1="GTP100 without fb",F72+F73*'Common input data'!$C$7+F74*'Common input data'!$D$7,IF($F$1="GTP100 with fb",F72+F73*'Common input data'!$C$8+F74*'Common input data'!$D$8,F72+F73*'Common input data'!$C$9+F74*'Common input data'!$D$9))))</f>
        <v>211044591.32906923</v>
      </c>
      <c r="G71" s="510"/>
      <c r="H71" s="465"/>
      <c r="I71" s="465"/>
      <c r="J71" s="465"/>
      <c r="K71" s="465"/>
      <c r="L71" s="465"/>
      <c r="N71" s="465"/>
      <c r="O71" s="465"/>
      <c r="P71" s="465"/>
      <c r="Q71" s="465"/>
      <c r="R71" s="111"/>
      <c r="S71" s="111"/>
      <c r="T71" s="14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c r="IW71" s="64"/>
      <c r="IX71" s="64"/>
      <c r="IY71" s="64"/>
      <c r="IZ71" s="64"/>
      <c r="JA71" s="64"/>
      <c r="JB71" s="64"/>
      <c r="JC71" s="64"/>
      <c r="JD71" s="64"/>
      <c r="JE71" s="64"/>
      <c r="JF71" s="64"/>
      <c r="JG71" s="64"/>
      <c r="JH71" s="64"/>
      <c r="JI71" s="64"/>
      <c r="JJ71" s="64"/>
      <c r="JK71" s="64"/>
      <c r="JL71" s="64"/>
      <c r="JM71" s="64"/>
      <c r="JN71" s="64"/>
      <c r="JO71" s="64"/>
      <c r="JP71" s="64"/>
      <c r="JQ71" s="64"/>
      <c r="JR71" s="64"/>
      <c r="JS71" s="64"/>
      <c r="JT71" s="64"/>
      <c r="JU71" s="64"/>
      <c r="JV71" s="64"/>
      <c r="JW71" s="64"/>
      <c r="JX71" s="64"/>
      <c r="JY71" s="64"/>
      <c r="JZ71" s="64"/>
      <c r="KA71" s="64"/>
      <c r="KB71" s="64"/>
      <c r="KC71" s="64"/>
      <c r="KD71" s="64"/>
      <c r="KE71" s="64"/>
      <c r="KF71" s="64"/>
      <c r="KG71" s="64"/>
      <c r="KH71" s="64"/>
      <c r="KI71" s="64"/>
      <c r="KJ71" s="64"/>
      <c r="KK71" s="64"/>
      <c r="KL71" s="64"/>
      <c r="KM71" s="64"/>
      <c r="KN71" s="64"/>
      <c r="KO71" s="64"/>
      <c r="KP71" s="64"/>
      <c r="KQ71" s="64"/>
      <c r="KR71" s="64"/>
      <c r="KS71" s="64"/>
      <c r="KT71" s="64"/>
      <c r="KU71" s="64"/>
      <c r="KV71" s="64"/>
      <c r="KW71" s="64"/>
      <c r="KX71" s="64"/>
      <c r="KY71" s="64"/>
      <c r="KZ71" s="64"/>
      <c r="LA71" s="64"/>
      <c r="LB71" s="64"/>
      <c r="LC71" s="64"/>
      <c r="LD71" s="64"/>
      <c r="LE71" s="64"/>
      <c r="LF71" s="64"/>
      <c r="LG71" s="64"/>
      <c r="LH71" s="64"/>
      <c r="LI71" s="64"/>
      <c r="LJ71" s="64"/>
      <c r="LK71" s="64"/>
      <c r="LL71" s="64"/>
      <c r="LM71" s="64"/>
      <c r="LN71" s="64"/>
      <c r="LO71" s="64"/>
      <c r="LP71" s="64"/>
      <c r="LQ71" s="64"/>
      <c r="LR71" s="64"/>
      <c r="LS71" s="64"/>
      <c r="LT71" s="64"/>
      <c r="LU71" s="64"/>
      <c r="LV71" s="64"/>
      <c r="LW71" s="64"/>
      <c r="LX71" s="64"/>
      <c r="LY71" s="64"/>
      <c r="LZ71" s="64"/>
      <c r="MA71" s="64"/>
      <c r="MB71" s="64"/>
      <c r="MC71" s="64"/>
      <c r="MD71" s="64"/>
      <c r="ME71" s="64"/>
      <c r="MF71" s="64"/>
      <c r="MG71" s="64"/>
      <c r="MH71" s="64"/>
      <c r="MI71" s="64"/>
      <c r="MJ71" s="64"/>
      <c r="MK71" s="64"/>
      <c r="ML71" s="64"/>
      <c r="MM71" s="64"/>
      <c r="MN71" s="64"/>
      <c r="MO71" s="64"/>
      <c r="MP71" s="64"/>
      <c r="MQ71" s="64"/>
      <c r="MR71" s="64"/>
      <c r="MS71" s="64"/>
      <c r="MT71" s="64"/>
      <c r="MU71" s="64"/>
      <c r="MV71" s="64"/>
      <c r="MW71" s="64"/>
      <c r="MX71" s="64"/>
      <c r="MY71" s="64"/>
      <c r="MZ71" s="64"/>
      <c r="NA71" s="64"/>
      <c r="NB71" s="64"/>
      <c r="NC71" s="64"/>
      <c r="ND71" s="64"/>
      <c r="NE71" s="64"/>
      <c r="NF71" s="64"/>
      <c r="NG71" s="64"/>
      <c r="NH71" s="64"/>
      <c r="NI71" s="64"/>
      <c r="NJ71" s="64"/>
      <c r="NK71" s="64"/>
      <c r="NL71" s="64"/>
      <c r="NM71" s="64"/>
      <c r="NN71" s="64"/>
      <c r="NO71" s="64"/>
      <c r="NP71" s="64"/>
      <c r="NQ71" s="64"/>
      <c r="NR71" s="64"/>
      <c r="NS71" s="64"/>
      <c r="NT71" s="64"/>
      <c r="NU71" s="64"/>
      <c r="NV71" s="64"/>
      <c r="NW71" s="64"/>
      <c r="NX71" s="64"/>
      <c r="NY71" s="64"/>
      <c r="NZ71" s="64"/>
      <c r="OA71" s="64"/>
      <c r="OB71" s="64"/>
      <c r="OC71" s="64"/>
      <c r="OD71" s="64"/>
      <c r="OE71" s="64"/>
      <c r="OF71" s="64"/>
      <c r="OG71" s="64"/>
      <c r="OH71" s="64"/>
      <c r="OI71" s="64"/>
      <c r="OJ71" s="64"/>
      <c r="OK71" s="64"/>
      <c r="OL71" s="64"/>
    </row>
    <row r="72" spans="1:402" x14ac:dyDescent="0.3">
      <c r="A72" s="144"/>
      <c r="D72" s="83" t="s">
        <v>164</v>
      </c>
      <c r="E72" s="466">
        <f>IF(AND($F$2="No",$F$3="No"),SUM(I72:L72),IF(AND($F$2="Yes", $F$3="No"), SUM(I72:L72)+N72, IF(AND($F$2="No", $F$3="Yes"),SUM(I72:L72)+M72, SUM(I72:L72)+N72+M72)))</f>
        <v>-13346626.544151839</v>
      </c>
      <c r="F72" s="89">
        <f>IF(AND($F$2="No",$F$3="No"),SUM(H72:L72,O72),IF(AND($F$2="Yes", $F$3="No"), SUM(H72:L72,O72)+N72, IF(AND($F$2="No", $F$3="Yes"),SUM(H72:L72,O72)+M72, SUM(H72:L72,O72)+N72+M72)))</f>
        <v>657574.95566791669</v>
      </c>
      <c r="G72" s="491"/>
      <c r="H72" s="89">
        <f>('Input data meat and eggs'!S393*'Input data meat and eggs'!B48+'Input data meat and eggs'!T393*'Input data meat and eggs'!B47+'Input data meat and eggs'!U393*'Input data meat and eggs'!B35+'Input data meat and eggs'!V393*SUMPRODUCT('Input data meat and eggs'!B37:B46,'Input data meat and eggs'!E65:E74))*'Input data meat and eggs'!$C$393</f>
        <v>14004201.499819756</v>
      </c>
      <c r="I72" s="89">
        <v>0</v>
      </c>
      <c r="J72" s="89">
        <v>0</v>
      </c>
      <c r="K72" s="89">
        <v>0</v>
      </c>
      <c r="L72" s="89">
        <v>0</v>
      </c>
      <c r="M72" s="89">
        <f>(('Input data meat and eggs'!S393+'Input data meat and eggs'!T393)*'Common input data'!F13+
'Input data meat and eggs'!U393*'Common input data'!B13+'Input data meat and eggs'!V393*('Input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eggs'!$C$393</f>
        <v>-13538350.236576065</v>
      </c>
      <c r="N72" s="89">
        <f>('Input data meat and eggs'!V393*('Input data meat and eggs'!E67*'Common input data'!B21*'Common input data'!G30/'Common input data'!F30+'Input data meat and eggs'!E71*'Common input data'!C21*'Common input data'!J31/'Common input data'!I31))*'Input data meat and eggs'!$C$393</f>
        <v>191723.69242422699</v>
      </c>
      <c r="O72" s="89">
        <v>0</v>
      </c>
      <c r="P72" s="89">
        <v>0</v>
      </c>
      <c r="Q72" s="89">
        <f>SUM(F72+P72)</f>
        <v>657574.95566791669</v>
      </c>
      <c r="R72" s="90"/>
      <c r="S72" s="90"/>
      <c r="T72" s="144"/>
    </row>
    <row r="73" spans="1:402" x14ac:dyDescent="0.3">
      <c r="A73" s="144"/>
      <c r="C73" s="84"/>
      <c r="D73" s="83" t="s">
        <v>165</v>
      </c>
      <c r="E73" s="466">
        <f>SUM(I73:L73)</f>
        <v>4991166.4436073899</v>
      </c>
      <c r="F73" s="89">
        <f>SUM(H73:L73,O73)</f>
        <v>5000010.9924680712</v>
      </c>
      <c r="G73" s="491"/>
      <c r="H73" s="89">
        <f>('Input data meat and eggs'!S393*'Input data meat and eggs'!C48+'Input data meat and eggs'!T393*'Input data meat and eggs'!C47+'Input data meat and eggs'!U393*'Input data meat and eggs'!C35+'Input data meat and eggs'!V393*SUMPRODUCT('Input data meat and eggs'!C37:C46,'Input data meat and eggs'!E65:E74))*'Input data meat and eggs'!$C$393</f>
        <v>8844.5488606816016</v>
      </c>
      <c r="I73" s="89">
        <v>0</v>
      </c>
      <c r="J73" s="89">
        <f>('Input data meat and eggs'!M393*'Input data meat and eggs'!G393/12*'Input data meat and eggs'!$B$451*'Input data meat and eggs'!$B$452*'Input data meat and eggs'!$B$453*
('Input data meat and eggs'!$O$393*'Input data meat and eggs'!$B$443
+'Input data meat and eggs'!$P$393*'Input data meat and eggs'!$C$443+
'Input data meat and eggs'!$Q$393*'Input data meat and eggs'!$D$443+
'Input data meat and eggs'!$R$393*'Input data meat and eggs'!$E$443))*'Input data meat and eggs'!$C$393</f>
        <v>291513.55172679911</v>
      </c>
      <c r="K73" s="89">
        <v>0</v>
      </c>
      <c r="L73" s="89">
        <f>('Input data meat and eggs'!L393*'Input data meat and eggs'!G393/12)*'Input data meat and eggs'!$C$393</f>
        <v>4699652.8918805905</v>
      </c>
      <c r="M73" s="173">
        <v>0</v>
      </c>
      <c r="N73" s="89">
        <v>0</v>
      </c>
      <c r="O73" s="89">
        <v>0</v>
      </c>
      <c r="P73" s="89">
        <v>0</v>
      </c>
      <c r="Q73" s="89">
        <f>SUM(F73+P73)</f>
        <v>5000010.9924680712</v>
      </c>
      <c r="R73" s="90"/>
      <c r="S73" s="90"/>
      <c r="T73" s="144"/>
    </row>
    <row r="74" spans="1:402" x14ac:dyDescent="0.3">
      <c r="A74" s="144"/>
      <c r="C74" s="85"/>
      <c r="D74" s="84" t="s">
        <v>166</v>
      </c>
      <c r="E74" s="466">
        <f>SUM(I74:L74)</f>
        <v>120520.50166841736</v>
      </c>
      <c r="F74" s="89">
        <f>SUM(H74:L74,O74)</f>
        <v>135525.64640767415</v>
      </c>
      <c r="G74" s="491"/>
      <c r="H74" s="89">
        <f>(('Input data meat and eggs'!S393*'Input data meat and eggs'!D48+'Input data meat and eggs'!T393*'Input data meat and eggs'!D47+'Input data meat and eggs'!U393*'Input data meat and eggs'!D35+'Input data meat and eggs'!V393*SUMPRODUCT('Input data meat and eggs'!D37:D46,'Input data meat and eggs'!E65:E74))*'Input data meat and eggs'!B58)*'Input data meat and eggs'!$C$393</f>
        <v>15005.144739256788</v>
      </c>
      <c r="I74" s="89">
        <f>(('Input data meat and eggs'!S393*'Input data meat and eggs'!D48+'Input data meat and eggs'!T393*'Input data meat and eggs'!D47+'Input data meat and eggs'!U393*'Input data meat and eggs'!D35+'Input data meat and eggs'!V393*SUMPRODUCT('Input data meat and eggs'!D37:D46,'Input data meat and eggs'!E65:E74))*'Input data meat and eggs'!C58)*'Input data meat and eggs'!$C$393</f>
        <v>37926.957853431748</v>
      </c>
      <c r="J74" s="89">
        <f>('Input data meat and eggs'!K393*'Input data meat and eggs'!G393/12*('Input data meat and eggs'!$O$393*'Input data meat and eggs'!$B$445+'Input data meat and eggs'!$P$393*'Input data meat and eggs'!$C$445+'Input data meat and eggs'!$Q$393*'Input data meat and eggs'!$D$445+'Input data meat and eggs'!$R$393*'Input data meat and eggs'!$E$445)*44/28)*'Input data meat and eggs'!$C$393</f>
        <v>76765.027271098195</v>
      </c>
      <c r="K74" s="89">
        <f>('Input data meat and eggs'!$B$446*44/28*'Input data meat and eggs'!K393*'Input data meat and eggs'!G393/12*('Input data meat and eggs'!O393*'Input data meat and eggs'!B457+'Input data meat and eggs'!P393*'Input data meat and eggs'!C457+'Input data meat and eggs'!Q393*'Input data meat and eggs'!D457))*'Input data meat and eggs'!$C$393</f>
        <v>5828.5165438874146</v>
      </c>
      <c r="L74" s="89">
        <v>0</v>
      </c>
      <c r="M74" s="89">
        <v>0</v>
      </c>
      <c r="N74" s="89">
        <v>0</v>
      </c>
      <c r="O74" s="89">
        <v>0</v>
      </c>
      <c r="P74" s="89">
        <v>0</v>
      </c>
      <c r="Q74" s="89">
        <f>SUM(F74+P74)</f>
        <v>135525.64640767415</v>
      </c>
      <c r="R74" s="90"/>
      <c r="S74" s="90"/>
      <c r="T74" s="144"/>
    </row>
    <row r="75" spans="1:402" s="102" customFormat="1" x14ac:dyDescent="0.3">
      <c r="A75" s="375"/>
      <c r="B75" s="111" t="s">
        <v>693</v>
      </c>
      <c r="D75" s="269" t="s">
        <v>473</v>
      </c>
      <c r="E75" s="464">
        <f>IF($F$1="GWP100 without fb",E76+E77*'Common input data'!$C$5+E78*'Common input data'!$D$5,IF($F$1="GWP100 with fb",E76+E77*'Common input data'!$C$6+E78*'Common input data'!$D$6,IF($F$1="GTP100 without fb",E76+E77*'Common input data'!$C$7+E78*'Common input data'!$D$7,IF($F$1="GTP100 with fb",E76+E77*'Common input data'!$C$8+E78*'Common input data'!$D$8,E76+E77*'Common input data'!$C$9+E78*'Common input data'!$D$9))))</f>
        <v>220134294.28212729</v>
      </c>
      <c r="F75" s="465">
        <f>IF($F$1="GWP100 without fb",F76+F77*'Common input data'!$C$5+F78*'Common input data'!$D$5,IF($F$1="GWP100 with fb",F76+F77*'Common input data'!$C$6+F78*'Common input data'!$D$6,IF($F$1="GTP100 without fb",F76+F77*'Common input data'!$C$7+F78*'Common input data'!$D$7,IF($F$1="GTP100 with fb",F76+F77*'Common input data'!$C$8+F78*'Common input data'!$D$8,F76+F77*'Common input data'!$C$9+F78*'Common input data'!$D$9))))</f>
        <v>245948729.13122642</v>
      </c>
      <c r="G75" s="510"/>
      <c r="H75" s="465"/>
      <c r="I75" s="465"/>
      <c r="J75" s="465"/>
      <c r="K75" s="465"/>
      <c r="L75" s="465"/>
      <c r="N75" s="465"/>
      <c r="O75" s="465"/>
      <c r="P75" s="465"/>
      <c r="Q75" s="465"/>
      <c r="R75" s="111"/>
      <c r="S75" s="111"/>
      <c r="T75" s="14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c r="IH75" s="64"/>
      <c r="II75" s="64"/>
      <c r="IJ75" s="64"/>
      <c r="IK75" s="64"/>
      <c r="IL75" s="64"/>
      <c r="IM75" s="64"/>
      <c r="IN75" s="64"/>
      <c r="IO75" s="64"/>
      <c r="IP75" s="64"/>
      <c r="IQ75" s="64"/>
      <c r="IR75" s="64"/>
      <c r="IS75" s="64"/>
      <c r="IT75" s="64"/>
      <c r="IU75" s="64"/>
      <c r="IV75" s="64"/>
      <c r="IW75" s="64"/>
      <c r="IX75" s="64"/>
      <c r="IY75" s="64"/>
      <c r="IZ75" s="64"/>
      <c r="JA75" s="64"/>
      <c r="JB75" s="64"/>
      <c r="JC75" s="64"/>
      <c r="JD75" s="64"/>
      <c r="JE75" s="64"/>
      <c r="JF75" s="64"/>
      <c r="JG75" s="64"/>
      <c r="JH75" s="64"/>
      <c r="JI75" s="64"/>
      <c r="JJ75" s="64"/>
      <c r="JK75" s="64"/>
      <c r="JL75" s="64"/>
      <c r="JM75" s="64"/>
      <c r="JN75" s="64"/>
      <c r="JO75" s="64"/>
      <c r="JP75" s="64"/>
      <c r="JQ75" s="64"/>
      <c r="JR75" s="64"/>
      <c r="JS75" s="64"/>
      <c r="JT75" s="64"/>
      <c r="JU75" s="64"/>
      <c r="JV75" s="64"/>
      <c r="JW75" s="64"/>
      <c r="JX75" s="64"/>
      <c r="JY75" s="64"/>
      <c r="JZ75" s="64"/>
      <c r="KA75" s="64"/>
      <c r="KB75" s="64"/>
      <c r="KC75" s="64"/>
      <c r="KD75" s="64"/>
      <c r="KE75" s="64"/>
      <c r="KF75" s="64"/>
      <c r="KG75" s="64"/>
      <c r="KH75" s="64"/>
      <c r="KI75" s="64"/>
      <c r="KJ75" s="64"/>
      <c r="KK75" s="64"/>
      <c r="KL75" s="64"/>
      <c r="KM75" s="64"/>
      <c r="KN75" s="64"/>
      <c r="KO75" s="64"/>
      <c r="KP75" s="64"/>
      <c r="KQ75" s="64"/>
      <c r="KR75" s="64"/>
      <c r="KS75" s="64"/>
      <c r="KT75" s="64"/>
      <c r="KU75" s="64"/>
      <c r="KV75" s="64"/>
      <c r="KW75" s="64"/>
      <c r="KX75" s="64"/>
      <c r="KY75" s="64"/>
      <c r="KZ75" s="64"/>
      <c r="LA75" s="64"/>
      <c r="LB75" s="64"/>
      <c r="LC75" s="64"/>
      <c r="LD75" s="64"/>
      <c r="LE75" s="64"/>
      <c r="LF75" s="64"/>
      <c r="LG75" s="64"/>
      <c r="LH75" s="64"/>
      <c r="LI75" s="64"/>
      <c r="LJ75" s="64"/>
      <c r="LK75" s="64"/>
      <c r="LL75" s="64"/>
      <c r="LM75" s="64"/>
      <c r="LN75" s="64"/>
      <c r="LO75" s="64"/>
      <c r="LP75" s="64"/>
      <c r="LQ75" s="64"/>
      <c r="LR75" s="64"/>
      <c r="LS75" s="64"/>
      <c r="LT75" s="64"/>
      <c r="LU75" s="64"/>
      <c r="LV75" s="64"/>
      <c r="LW75" s="64"/>
      <c r="LX75" s="64"/>
      <c r="LY75" s="64"/>
      <c r="LZ75" s="64"/>
      <c r="MA75" s="64"/>
      <c r="MB75" s="64"/>
      <c r="MC75" s="64"/>
      <c r="MD75" s="64"/>
      <c r="ME75" s="64"/>
      <c r="MF75" s="64"/>
      <c r="MG75" s="64"/>
      <c r="MH75" s="64"/>
      <c r="MI75" s="64"/>
      <c r="MJ75" s="64"/>
      <c r="MK75" s="64"/>
      <c r="ML75" s="64"/>
      <c r="MM75" s="64"/>
      <c r="MN75" s="64"/>
      <c r="MO75" s="64"/>
      <c r="MP75" s="64"/>
      <c r="MQ75" s="64"/>
      <c r="MR75" s="64"/>
      <c r="MS75" s="64"/>
      <c r="MT75" s="64"/>
      <c r="MU75" s="64"/>
      <c r="MV75" s="64"/>
      <c r="MW75" s="64"/>
      <c r="MX75" s="64"/>
      <c r="MY75" s="64"/>
      <c r="MZ75" s="64"/>
      <c r="NA75" s="64"/>
      <c r="NB75" s="64"/>
      <c r="NC75" s="64"/>
      <c r="ND75" s="64"/>
      <c r="NE75" s="64"/>
      <c r="NF75" s="64"/>
      <c r="NG75" s="64"/>
      <c r="NH75" s="64"/>
      <c r="NI75" s="64"/>
      <c r="NJ75" s="64"/>
      <c r="NK75" s="64"/>
      <c r="NL75" s="64"/>
      <c r="NM75" s="64"/>
      <c r="NN75" s="64"/>
      <c r="NO75" s="64"/>
      <c r="NP75" s="64"/>
      <c r="NQ75" s="64"/>
      <c r="NR75" s="64"/>
      <c r="NS75" s="64"/>
      <c r="NT75" s="64"/>
      <c r="NU75" s="64"/>
      <c r="NV75" s="64"/>
      <c r="NW75" s="64"/>
      <c r="NX75" s="64"/>
      <c r="NY75" s="64"/>
      <c r="NZ75" s="64"/>
      <c r="OA75" s="64"/>
      <c r="OB75" s="64"/>
      <c r="OC75" s="64"/>
      <c r="OD75" s="64"/>
      <c r="OE75" s="64"/>
      <c r="OF75" s="64"/>
      <c r="OG75" s="64"/>
      <c r="OH75" s="64"/>
      <c r="OI75" s="64"/>
      <c r="OJ75" s="64"/>
      <c r="OK75" s="64"/>
      <c r="OL75" s="64"/>
    </row>
    <row r="76" spans="1:402" x14ac:dyDescent="0.3">
      <c r="A76" s="66"/>
      <c r="D76" s="83" t="s">
        <v>164</v>
      </c>
      <c r="E76" s="466">
        <f>IF(AND($F$2="No",$F$3="No"),SUM(I76:L76),IF(AND($F$2="Yes", $F$3="No"), SUM(I76:L76)+N76, IF(AND($F$2="No", $F$3="Yes"),SUM(I76:L76)+M76, SUM(I76:L76)+N76+M76)))</f>
        <v>-13791265.283033893</v>
      </c>
      <c r="F76" s="89">
        <f>IF(AND($F$2="No",$F$3="No"),SUM(H76:L76,O76),IF(AND($F$2="Yes", $F$3="No"), SUM(H76:L76,O76)+N76, IF(AND($F$2="No", $F$3="Yes"),SUM(H76:L76,O76)+M76, SUM(H76:L76,O76)+N76+M76)))</f>
        <v>5289291.2652090415</v>
      </c>
      <c r="G76" s="491"/>
      <c r="H76" s="89">
        <f>('Input data meat and eggs'!S394*'Input data meat and eggs'!B48+'Input data meat and eggs'!T394*'Input data meat and eggs'!B47+'Input data meat and eggs'!U394*'Input data meat and eggs'!B35+'Input data meat and eggs'!V394*SUMPRODUCT('Input data meat and eggs'!B37:B46,'Input data meat and eggs'!E65:E74))*'Input data meat and eggs'!$E$394</f>
        <v>19080556.548242934</v>
      </c>
      <c r="I76" s="89">
        <v>0</v>
      </c>
      <c r="J76" s="224">
        <v>0</v>
      </c>
      <c r="K76" s="224">
        <v>0</v>
      </c>
      <c r="L76" s="224">
        <v>0</v>
      </c>
      <c r="M76" s="462">
        <f>(('Input data meat and eggs'!S394+'Input data meat and eggs'!T394)*'Common input data'!F13+
'Input data meat and eggs'!U394*'Common input data'!B13+'Input data meat and eggs'!V394*('Input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eggs'!$E$394</f>
        <v>-13926492.504233677</v>
      </c>
      <c r="N76" s="462">
        <f>('Input data meat and eggs'!V394*('Input data meat and eggs'!E67*'Common input data'!B21*'Common input data'!G30/'Common input data'!F30+'Input data meat and eggs'!E71*'Common input data'!C21*'Common input data'!J31/'Common input data'!I31))*'Input data meat and eggs'!$E$394</f>
        <v>135227.22119978431</v>
      </c>
      <c r="O76" s="224">
        <v>0</v>
      </c>
      <c r="P76" s="89">
        <v>0</v>
      </c>
      <c r="Q76" s="89">
        <f>SUM(F76+P76)</f>
        <v>5289291.2652090415</v>
      </c>
      <c r="R76" s="243"/>
      <c r="S76" s="243"/>
      <c r="T76" s="175"/>
      <c r="U76" s="188"/>
    </row>
    <row r="77" spans="1:402" x14ac:dyDescent="0.3">
      <c r="A77" s="66"/>
      <c r="D77" s="83" t="s">
        <v>165</v>
      </c>
      <c r="E77" s="466">
        <f>SUM(I77:L77)</f>
        <v>5592890.6307497118</v>
      </c>
      <c r="F77" s="89">
        <f>SUM(H77:L77,O77)</f>
        <v>5602588.3210482439</v>
      </c>
      <c r="G77" s="491"/>
      <c r="H77" s="89">
        <f>('Input data meat and eggs'!S394*'Input data meat and eggs'!C48+'Input data meat and eggs'!T394*'Input data meat and eggs'!C47+'Input data meat and eggs'!U394*'Input data meat and eggs'!C35+'Input data meat and eggs'!V394*SUMPRODUCT('Input data meat and eggs'!C37:C46,'Input data meat and eggs'!E65:E74))*'Input data meat and eggs'!$E$394</f>
        <v>9697.6902985328179</v>
      </c>
      <c r="I77" s="89">
        <v>0</v>
      </c>
      <c r="J77" s="224">
        <f>('Input data meat and eggs'!M394*'Input data meat and eggs'!G394/12*'Input data meat and eggs'!$B$451*'Input data meat and eggs'!$B$452*'Input data meat and eggs'!$B$453*
('Input data meat and eggs'!$O$394*'Input data meat and eggs'!$B$443
+'Input data meat and eggs'!$P$394*'Input data meat and eggs'!$C$443+
'Input data meat and eggs'!$Q$394*'Input data meat and eggs'!$D$443+
'Input data meat and eggs'!$R$394*'Input data meat and eggs'!$E$443))*'Input data meat and eggs'!$E$394</f>
        <v>326657.79244400526</v>
      </c>
      <c r="K77" s="224">
        <v>0</v>
      </c>
      <c r="L77" s="224">
        <f>('Input data meat and eggs'!L394*'Input data meat and eggs'!G394/12)*'Input data meat and eggs'!$E$394</f>
        <v>5266232.8383057062</v>
      </c>
      <c r="M77" s="224">
        <v>0</v>
      </c>
      <c r="N77" s="173">
        <v>0</v>
      </c>
      <c r="O77" s="224">
        <v>0</v>
      </c>
      <c r="P77" s="89">
        <v>0</v>
      </c>
      <c r="Q77" s="89">
        <f>SUM(F77+P77)</f>
        <v>5602588.3210482439</v>
      </c>
      <c r="R77" s="252"/>
      <c r="S77" s="252"/>
      <c r="T77" s="174"/>
      <c r="U77" s="157"/>
    </row>
    <row r="78" spans="1:402" x14ac:dyDescent="0.3">
      <c r="A78" s="66"/>
      <c r="D78" s="84" t="s">
        <v>166</v>
      </c>
      <c r="E78" s="466">
        <f>SUM(I78:L78)</f>
        <v>146870.06080426497</v>
      </c>
      <c r="F78" s="89">
        <f>SUM(H78:L78,O78)</f>
        <v>168360.51996770836</v>
      </c>
      <c r="G78" s="491"/>
      <c r="H78" s="89">
        <f>(('Input data meat and eggs'!S394*'Input data meat and eggs'!D48+'Input data meat and eggs'!T394*'Input data meat and eggs'!D47+'Input data meat and eggs'!U394*'Input data meat and eggs'!D35+'Input data meat and eggs'!V394*SUMPRODUCT('Input data meat and eggs'!D37:D46,'Input data meat and eggs'!E65:E74))*'Input data meat and eggs'!B58)*'Input data meat and eggs'!$E$394</f>
        <v>21490.459163443393</v>
      </c>
      <c r="I78" s="89">
        <f>(('Input data meat and eggs'!S394*'Input data meat and eggs'!D48+'Input data meat and eggs'!T394*'Input data meat and eggs'!D47+'Input data meat and eggs'!U394*'Input data meat and eggs'!D35+'Input data meat and eggs'!V394*SUMPRODUCT('Input data meat and eggs'!D37:D46,'Input data meat and eggs'!E65:E74))*'Input data meat and eggs'!C58)*'Input data meat and eggs'!$E$394</f>
        <v>54319.218715059491</v>
      </c>
      <c r="J78" s="461">
        <f>('Input data meat and eggs'!K394*'Input data meat and eggs'!G394/12*('Input data meat and eggs'!$O$394*'Input data meat and eggs'!$B$445+'Input data meat and eggs'!$P$394*'Input data meat and eggs'!$C$445+'Input data meat and eggs'!$Q$394*'Input data meat and eggs'!$D$445+'Input data meat and eggs'!$R$394*'Input data meat and eggs'!$E$445)*44/28)*'Input data meat and eggs'!$E$394</f>
        <v>86019.652248556304</v>
      </c>
      <c r="K78" s="461">
        <f>('Input data meat and eggs'!$B$446*44/28*'Input data meat and eggs'!K394*'Input data meat and eggs'!G394/12*('Input data meat and eggs'!O394*'Input data meat and eggs'!B457+'Input data meat and eggs'!P394*'Input data meat and eggs'!C457+'Input data meat and eggs'!Q394*'Input data meat and eggs'!D457))*'Input data meat and eggs'!$E$394</f>
        <v>6531.1898406491646</v>
      </c>
      <c r="L78" s="461">
        <v>0</v>
      </c>
      <c r="M78" s="461">
        <v>0</v>
      </c>
      <c r="N78" s="224">
        <v>0</v>
      </c>
      <c r="O78" s="461">
        <v>0</v>
      </c>
      <c r="P78" s="89">
        <v>0</v>
      </c>
      <c r="Q78" s="89">
        <f>SUM(F78+P78)</f>
        <v>168360.51996770836</v>
      </c>
      <c r="R78" s="252"/>
      <c r="S78" s="252"/>
      <c r="T78" s="301"/>
      <c r="U78" s="251"/>
    </row>
    <row r="79" spans="1:402" s="102" customFormat="1" x14ac:dyDescent="0.3">
      <c r="A79" s="375"/>
      <c r="B79" s="111" t="s">
        <v>694</v>
      </c>
      <c r="D79" s="269" t="s">
        <v>473</v>
      </c>
      <c r="E79" s="464">
        <f>IF($F$1="GWP100 without fb",E80+E81*'Common input data'!$C$5+E82*'Common input data'!$D$5,IF($F$1="GWP100 with fb",E80+E81*'Common input data'!$C$6+E82*'Common input data'!$D$6,IF($F$1="GTP100 without fb",E80+E81*'Common input data'!$C$7+E82*'Common input data'!$D$7,IF($F$1="GTP100 with fb",E80+E81*'Common input data'!$C$8+E82*'Common input data'!$D$8,E80+E81*'Common input data'!$C$9+E82*'Common input data'!$D$9))))</f>
        <v>294845335.39329749</v>
      </c>
      <c r="F79" s="465">
        <f>IF($F$1="GWP100 without fb",F80+F81*'Common input data'!$C$5+F82*'Common input data'!$D$5,IF($F$1="GWP100 with fb",F80+F81*'Common input data'!$C$6+F82*'Common input data'!$D$6,IF($F$1="GTP100 without fb",F80+F81*'Common input data'!$C$7+F82*'Common input data'!$D$7,IF($F$1="GTP100 with fb",F80+F81*'Common input data'!$C$8+F82*'Common input data'!$D$8,F80+F81*'Common input data'!$C$9+F82*'Common input data'!$D$9))))</f>
        <v>345525217.85977381</v>
      </c>
      <c r="G79" s="510"/>
      <c r="H79" s="465"/>
      <c r="I79" s="465"/>
      <c r="J79" s="465"/>
      <c r="K79" s="465"/>
      <c r="L79" s="465"/>
      <c r="N79" s="465"/>
      <c r="O79" s="465"/>
      <c r="P79" s="465"/>
      <c r="Q79" s="465"/>
      <c r="R79" s="496"/>
      <c r="S79" s="501"/>
      <c r="T79" s="512"/>
      <c r="U79" s="19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c r="IH79" s="64"/>
      <c r="II79" s="64"/>
      <c r="IJ79" s="64"/>
      <c r="IK79" s="64"/>
      <c r="IL79" s="64"/>
      <c r="IM79" s="64"/>
      <c r="IN79" s="64"/>
      <c r="IO79" s="64"/>
      <c r="IP79" s="64"/>
      <c r="IQ79" s="64"/>
      <c r="IR79" s="64"/>
      <c r="IS79" s="64"/>
      <c r="IT79" s="64"/>
      <c r="IU79" s="64"/>
      <c r="IV79" s="64"/>
      <c r="IW79" s="64"/>
      <c r="IX79" s="64"/>
      <c r="IY79" s="64"/>
      <c r="IZ79" s="64"/>
      <c r="JA79" s="64"/>
      <c r="JB79" s="64"/>
      <c r="JC79" s="64"/>
      <c r="JD79" s="64"/>
      <c r="JE79" s="64"/>
      <c r="JF79" s="64"/>
      <c r="JG79" s="64"/>
      <c r="JH79" s="64"/>
      <c r="JI79" s="64"/>
      <c r="JJ79" s="64"/>
      <c r="JK79" s="64"/>
      <c r="JL79" s="64"/>
      <c r="JM79" s="64"/>
      <c r="JN79" s="64"/>
      <c r="JO79" s="64"/>
      <c r="JP79" s="64"/>
      <c r="JQ79" s="64"/>
      <c r="JR79" s="64"/>
      <c r="JS79" s="64"/>
      <c r="JT79" s="64"/>
      <c r="JU79" s="64"/>
      <c r="JV79" s="64"/>
      <c r="JW79" s="64"/>
      <c r="JX79" s="64"/>
      <c r="JY79" s="64"/>
      <c r="JZ79" s="64"/>
      <c r="KA79" s="64"/>
      <c r="KB79" s="64"/>
      <c r="KC79" s="64"/>
      <c r="KD79" s="64"/>
      <c r="KE79" s="64"/>
      <c r="KF79" s="64"/>
      <c r="KG79" s="64"/>
      <c r="KH79" s="64"/>
      <c r="KI79" s="64"/>
      <c r="KJ79" s="64"/>
      <c r="KK79" s="64"/>
      <c r="KL79" s="64"/>
      <c r="KM79" s="64"/>
      <c r="KN79" s="64"/>
      <c r="KO79" s="64"/>
      <c r="KP79" s="64"/>
      <c r="KQ79" s="64"/>
      <c r="KR79" s="64"/>
      <c r="KS79" s="64"/>
      <c r="KT79" s="64"/>
      <c r="KU79" s="64"/>
      <c r="KV79" s="64"/>
      <c r="KW79" s="64"/>
      <c r="KX79" s="64"/>
      <c r="KY79" s="64"/>
      <c r="KZ79" s="64"/>
      <c r="LA79" s="64"/>
      <c r="LB79" s="64"/>
      <c r="LC79" s="64"/>
      <c r="LD79" s="64"/>
      <c r="LE79" s="64"/>
      <c r="LF79" s="64"/>
      <c r="LG79" s="64"/>
      <c r="LH79" s="64"/>
      <c r="LI79" s="64"/>
      <c r="LJ79" s="64"/>
      <c r="LK79" s="64"/>
      <c r="LL79" s="64"/>
      <c r="LM79" s="64"/>
      <c r="LN79" s="64"/>
      <c r="LO79" s="64"/>
      <c r="LP79" s="64"/>
      <c r="LQ79" s="64"/>
      <c r="LR79" s="64"/>
      <c r="LS79" s="64"/>
      <c r="LT79" s="64"/>
      <c r="LU79" s="64"/>
      <c r="LV79" s="64"/>
      <c r="LW79" s="64"/>
      <c r="LX79" s="64"/>
      <c r="LY79" s="64"/>
      <c r="LZ79" s="64"/>
      <c r="MA79" s="64"/>
      <c r="MB79" s="64"/>
      <c r="MC79" s="64"/>
      <c r="MD79" s="64"/>
      <c r="ME79" s="64"/>
      <c r="MF79" s="64"/>
      <c r="MG79" s="64"/>
      <c r="MH79" s="64"/>
      <c r="MI79" s="64"/>
      <c r="MJ79" s="64"/>
      <c r="MK79" s="64"/>
      <c r="ML79" s="64"/>
      <c r="MM79" s="64"/>
      <c r="MN79" s="64"/>
      <c r="MO79" s="64"/>
      <c r="MP79" s="64"/>
      <c r="MQ79" s="64"/>
      <c r="MR79" s="64"/>
      <c r="MS79" s="64"/>
      <c r="MT79" s="64"/>
      <c r="MU79" s="64"/>
      <c r="MV79" s="64"/>
      <c r="MW79" s="64"/>
      <c r="MX79" s="64"/>
      <c r="MY79" s="64"/>
      <c r="MZ79" s="64"/>
      <c r="NA79" s="64"/>
      <c r="NB79" s="64"/>
      <c r="NC79" s="64"/>
      <c r="ND79" s="64"/>
      <c r="NE79" s="64"/>
      <c r="NF79" s="64"/>
      <c r="NG79" s="64"/>
      <c r="NH79" s="64"/>
      <c r="NI79" s="64"/>
      <c r="NJ79" s="64"/>
      <c r="NK79" s="64"/>
      <c r="NL79" s="64"/>
      <c r="NM79" s="64"/>
      <c r="NN79" s="64"/>
      <c r="NO79" s="64"/>
      <c r="NP79" s="64"/>
      <c r="NQ79" s="64"/>
      <c r="NR79" s="64"/>
      <c r="NS79" s="64"/>
      <c r="NT79" s="64"/>
      <c r="NU79" s="64"/>
      <c r="NV79" s="64"/>
      <c r="NW79" s="64"/>
      <c r="NX79" s="64"/>
      <c r="NY79" s="64"/>
      <c r="NZ79" s="64"/>
      <c r="OA79" s="64"/>
      <c r="OB79" s="64"/>
      <c r="OC79" s="64"/>
      <c r="OD79" s="64"/>
      <c r="OE79" s="64"/>
      <c r="OF79" s="64"/>
      <c r="OG79" s="64"/>
      <c r="OH79" s="64"/>
      <c r="OI79" s="64"/>
      <c r="OJ79" s="64"/>
      <c r="OK79" s="64"/>
      <c r="OL79" s="64"/>
    </row>
    <row r="80" spans="1:402" x14ac:dyDescent="0.3">
      <c r="A80" s="107"/>
      <c r="D80" s="83" t="s">
        <v>164</v>
      </c>
      <c r="E80" s="466">
        <f>IF(AND($F$2="No",$F$3="No"),SUM(I80:L80),IF(AND($F$2="Yes", $F$3="No"), SUM(I80:L80)+N80, IF(AND($F$2="No", $F$3="Yes"),SUM(I80:L80)+M80, SUM(I80:L80)+N80+M80)))</f>
        <v>-1882655.0098591712</v>
      </c>
      <c r="F80" s="89">
        <f>IF(AND($F$2="No",$F$3="No"),SUM(H80:L80,O80),IF(AND($F$2="Yes", $F$3="No"), SUM(H80:L80,O80)+N80, IF(AND($F$2="No", $F$3="Yes"),SUM(H80:L80,O80)+M80, SUM(H80:L80,O80)+N80+M80)))</f>
        <v>35578343.805762023</v>
      </c>
      <c r="G80" s="491"/>
      <c r="H80" s="89">
        <f>('Input data meat and eggs'!S395*'Input data meat and eggs'!B48+'Input data meat and eggs'!T395*'Input data meat and eggs'!B47+'Input data meat and eggs'!U395*'Input data meat and eggs'!B35+'Input data meat and eggs'!V395*SUMPRODUCT('Input data meat and eggs'!B37:B46,'Input data meat and eggs'!E65:E74))*'Input data meat and eggs'!$E$395</f>
        <v>37460998.815621197</v>
      </c>
      <c r="I80" s="89">
        <v>0</v>
      </c>
      <c r="J80" s="89">
        <v>0</v>
      </c>
      <c r="K80" s="173">
        <v>0</v>
      </c>
      <c r="L80" s="173">
        <v>0</v>
      </c>
      <c r="M80" s="173">
        <f>(('Input data meat and eggs'!S395+'Input data meat and eggs'!T395)*'Common input data'!F13+
'Input data meat and eggs'!U395*'Common input data'!B13+'Input data meat and eggs'!V395*('Input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eggs'!$E$395</f>
        <v>-5246804.9854521891</v>
      </c>
      <c r="N80" s="173">
        <f>('Input data meat and eggs'!V395*('Input data meat and eggs'!E67*'Common input data'!B21*'Common input data'!G30/'Common input data'!F30+'Input data meat and eggs'!E71*'Common input data'!C21*'Common input data'!J31/'Common input data'!I31))*'Input data meat and eggs'!$E$395</f>
        <v>3364149.9755930179</v>
      </c>
      <c r="O80" s="173">
        <v>0</v>
      </c>
      <c r="P80" s="89">
        <v>0</v>
      </c>
      <c r="Q80" s="89">
        <f>SUM(F80+P80)</f>
        <v>35578343.805762023</v>
      </c>
      <c r="R80" s="206"/>
      <c r="S80" s="173"/>
      <c r="T80" s="513"/>
      <c r="U80" s="182"/>
    </row>
    <row r="81" spans="1:402" x14ac:dyDescent="0.3">
      <c r="A81" s="107"/>
      <c r="D81" s="83" t="s">
        <v>165</v>
      </c>
      <c r="E81" s="466">
        <f>SUM(I81:L81)</f>
        <v>6831947.9349650275</v>
      </c>
      <c r="F81" s="89">
        <f>SUM(H81:L81,O81)</f>
        <v>6873431.9803178795</v>
      </c>
      <c r="G81" s="491"/>
      <c r="H81" s="89">
        <f>('Input data meat and eggs'!S395*'Input data meat and eggs'!C48+'Input data meat and eggs'!T395*'Input data meat and eggs'!C47+'Input data meat and eggs'!U395*'Input data meat and eggs'!C35+'Input data meat and eggs'!V395*SUMPRODUCT('Input data meat and eggs'!C37:C46,'Input data meat and eggs'!E65:E74))*'Input data meat and eggs'!$E$395</f>
        <v>41484.045352852321</v>
      </c>
      <c r="I81" s="89">
        <v>0</v>
      </c>
      <c r="J81" s="173">
        <f>('Input data meat and eggs'!M395*'Input data meat and eggs'!G395/12*'Input data meat and eggs'!$B$451*'Input data meat and eggs'!$B$452*'Input data meat and eggs'!$B$453*
('Input data meat and eggs'!$O$395*'Input data meat and eggs'!$B$443
+'Input data meat and eggs'!$P$395*'Input data meat and eggs'!$C$443+
'Input data meat and eggs'!$Q$395*'Input data meat and eggs'!$D$443+
'Input data meat and eggs'!$R$395*'Input data meat and eggs'!$E$443))*'Input data meat and eggs'!$E$395</f>
        <v>426122.19208501559</v>
      </c>
      <c r="K81" s="173">
        <v>0</v>
      </c>
      <c r="L81" s="173">
        <f>('Input data meat and eggs'!L395*'Input data meat and eggs'!G395/12)*'Input data meat and eggs'!$E$395</f>
        <v>6405825.7428800119</v>
      </c>
      <c r="M81" s="173">
        <v>0</v>
      </c>
      <c r="N81" s="173">
        <v>0</v>
      </c>
      <c r="O81" s="173">
        <v>0</v>
      </c>
      <c r="P81" s="89">
        <v>0</v>
      </c>
      <c r="Q81" s="89">
        <f>SUM(F81+P81)</f>
        <v>6873431.9803178795</v>
      </c>
      <c r="R81" s="206"/>
      <c r="S81" s="173"/>
      <c r="T81" s="513"/>
      <c r="U81" s="182"/>
    </row>
    <row r="82" spans="1:402" x14ac:dyDescent="0.3">
      <c r="A82" s="107"/>
      <c r="D82" s="84" t="s">
        <v>166</v>
      </c>
      <c r="E82" s="466">
        <f>SUM(I82:L82)</f>
        <v>216247.5188400863</v>
      </c>
      <c r="F82" s="89">
        <f>SUM(H82:L82,O82)</f>
        <v>255873.10980940898</v>
      </c>
      <c r="G82" s="491"/>
      <c r="H82" s="89">
        <f>(('Input data meat and eggs'!S395*'Input data meat and eggs'!D48+'Input data meat and eggs'!T395*'Input data meat and eggs'!D47+'Input data meat and eggs'!U395*'Input data meat and eggs'!D35+'Input data meat and eggs'!V395*SUMPRODUCT('Input data meat and eggs'!D37:D46,'Input data meat and eggs'!E65:E74))*'Input data meat and eggs'!B58)*'Input data meat and eggs'!$E$395</f>
        <v>39625.590969322693</v>
      </c>
      <c r="I82" s="89">
        <f>(('Input data meat and eggs'!S395*'Input data meat and eggs'!D48+'Input data meat and eggs'!T395*'Input data meat and eggs'!D47+'Input data meat and eggs'!U395*'Input data meat and eggs'!D35+'Input data meat and eggs'!V395*SUMPRODUCT('Input data meat and eggs'!D37:D46,'Input data meat and eggs'!E65:E74))*'Input data meat and eggs'!C58)*'Input data meat and eggs'!$E$395</f>
        <v>100157.52228493772</v>
      </c>
      <c r="J82" s="173">
        <f>('Input data meat and eggs'!K395*'Input data meat and eggs'!G395/12*('Input data meat and eggs'!$O$395*'Input data meat and eggs'!$B$445+'Input data meat and eggs'!$P$395*'Input data meat and eggs'!$C$445+'Input data meat and eggs'!$Q$395*'Input data meat and eggs'!$D$445+'Input data meat and eggs'!$R$395*'Input data meat and eggs'!$E$445)*44/28)*'Input data meat and eggs'!$E$395</f>
        <v>107047.80729526089</v>
      </c>
      <c r="K82" s="173">
        <f>('Input data meat and eggs'!$B$446*44/28*'Input data meat and eggs'!K395*'Input data meat and eggs'!G395/12*('Input data meat and eggs'!O395*'Input data meat and eggs'!B457+'Input data meat and eggs'!P395*'Input data meat and eggs'!C457+'Input data meat and eggs'!Q395*'Input data meat and eggs'!D457))*'Input data meat and eggs'!$E$395</f>
        <v>9042.1892598876857</v>
      </c>
      <c r="L82" s="173">
        <v>0</v>
      </c>
      <c r="M82" s="173">
        <v>0</v>
      </c>
      <c r="N82" s="173">
        <v>0</v>
      </c>
      <c r="O82" s="173">
        <v>0</v>
      </c>
      <c r="P82" s="89">
        <v>0</v>
      </c>
      <c r="Q82" s="89">
        <f>SUM(F82+P82)</f>
        <v>255873.10980940898</v>
      </c>
      <c r="R82" s="206"/>
      <c r="S82" s="173"/>
      <c r="T82" s="513"/>
      <c r="U82" s="182"/>
    </row>
    <row r="83" spans="1:402" s="102" customFormat="1" x14ac:dyDescent="0.3">
      <c r="A83" s="498"/>
      <c r="B83" s="111" t="s">
        <v>695</v>
      </c>
      <c r="D83" s="269" t="s">
        <v>473</v>
      </c>
      <c r="E83" s="464">
        <f>IF($F$1="GWP100 without fb",E84+E85*'Common input data'!$C$5+E86*'Common input data'!$D$5,IF($F$1="GWP100 with fb",E84+E85*'Common input data'!$C$6+E86*'Common input data'!$D$6,IF($F$1="GTP100 without fb",E84+E85*'Common input data'!$C$7+E86*'Common input data'!$D$7,IF($F$1="GTP100 with fb",E84+E85*'Common input data'!$C$8+E86*'Common input data'!$D$8,E84+E85*'Common input data'!$C$9+E86*'Common input data'!$D$9))))</f>
        <v>55896164.154251374</v>
      </c>
      <c r="F83" s="465">
        <f>IF($F$1="GWP100 without fb",F84+F85*'Common input data'!$C$5+F86*'Common input data'!$D$5,IF($F$1="GWP100 with fb",F84+F85*'Common input data'!$C$6+F86*'Common input data'!$D$6,IF($F$1="GTP100 without fb",F84+F85*'Common input data'!$C$7+F86*'Common input data'!$D$7,IF($F$1="GTP100 with fb",F84+F85*'Common input data'!$C$8+F86*'Common input data'!$D$8,F84+F85*'Common input data'!$C$9+F86*'Common input data'!$D$9))))</f>
        <v>62116419.124727957</v>
      </c>
      <c r="G83" s="510"/>
      <c r="H83" s="465"/>
      <c r="I83" s="465"/>
      <c r="J83" s="465"/>
      <c r="K83" s="465"/>
      <c r="L83" s="465"/>
      <c r="N83" s="465"/>
      <c r="O83" s="465"/>
      <c r="P83" s="465"/>
      <c r="Q83" s="465"/>
      <c r="R83" s="111"/>
      <c r="S83" s="111"/>
      <c r="T83" s="14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c r="GV83" s="64"/>
      <c r="GW83" s="64"/>
      <c r="GX83" s="64"/>
      <c r="GY83" s="64"/>
      <c r="GZ83" s="64"/>
      <c r="HA83" s="64"/>
      <c r="HB83" s="64"/>
      <c r="HC83" s="64"/>
      <c r="HD83" s="64"/>
      <c r="HE83" s="64"/>
      <c r="HF83" s="64"/>
      <c r="HG83" s="64"/>
      <c r="HH83" s="64"/>
      <c r="HI83" s="64"/>
      <c r="HJ83" s="64"/>
      <c r="HK83" s="64"/>
      <c r="HL83" s="64"/>
      <c r="HM83" s="64"/>
      <c r="HN83" s="64"/>
      <c r="HO83" s="64"/>
      <c r="HP83" s="64"/>
      <c r="HQ83" s="64"/>
      <c r="HR83" s="64"/>
      <c r="HS83" s="64"/>
      <c r="HT83" s="64"/>
      <c r="HU83" s="64"/>
      <c r="HV83" s="64"/>
      <c r="HW83" s="64"/>
      <c r="HX83" s="64"/>
      <c r="HY83" s="64"/>
      <c r="HZ83" s="64"/>
      <c r="IA83" s="64"/>
      <c r="IB83" s="64"/>
      <c r="IC83" s="64"/>
      <c r="ID83" s="64"/>
      <c r="IE83" s="64"/>
      <c r="IF83" s="64"/>
      <c r="IG83" s="64"/>
      <c r="IH83" s="64"/>
      <c r="II83" s="64"/>
      <c r="IJ83" s="64"/>
      <c r="IK83" s="64"/>
      <c r="IL83" s="64"/>
      <c r="IM83" s="64"/>
      <c r="IN83" s="64"/>
      <c r="IO83" s="64"/>
      <c r="IP83" s="64"/>
      <c r="IQ83" s="64"/>
      <c r="IR83" s="64"/>
      <c r="IS83" s="64"/>
      <c r="IT83" s="64"/>
      <c r="IU83" s="64"/>
      <c r="IV83" s="64"/>
      <c r="IW83" s="64"/>
      <c r="IX83" s="64"/>
      <c r="IY83" s="64"/>
      <c r="IZ83" s="64"/>
      <c r="JA83" s="64"/>
      <c r="JB83" s="64"/>
      <c r="JC83" s="64"/>
      <c r="JD83" s="64"/>
      <c r="JE83" s="64"/>
      <c r="JF83" s="64"/>
      <c r="JG83" s="64"/>
      <c r="JH83" s="64"/>
      <c r="JI83" s="64"/>
      <c r="JJ83" s="64"/>
      <c r="JK83" s="64"/>
      <c r="JL83" s="64"/>
      <c r="JM83" s="64"/>
      <c r="JN83" s="64"/>
      <c r="JO83" s="64"/>
      <c r="JP83" s="64"/>
      <c r="JQ83" s="64"/>
      <c r="JR83" s="64"/>
      <c r="JS83" s="64"/>
      <c r="JT83" s="64"/>
      <c r="JU83" s="64"/>
      <c r="JV83" s="64"/>
      <c r="JW83" s="64"/>
      <c r="JX83" s="64"/>
      <c r="JY83" s="64"/>
      <c r="JZ83" s="64"/>
      <c r="KA83" s="64"/>
      <c r="KB83" s="64"/>
      <c r="KC83" s="64"/>
      <c r="KD83" s="64"/>
      <c r="KE83" s="64"/>
      <c r="KF83" s="64"/>
      <c r="KG83" s="64"/>
      <c r="KH83" s="64"/>
      <c r="KI83" s="64"/>
      <c r="KJ83" s="64"/>
      <c r="KK83" s="64"/>
      <c r="KL83" s="64"/>
      <c r="KM83" s="64"/>
      <c r="KN83" s="64"/>
      <c r="KO83" s="64"/>
      <c r="KP83" s="64"/>
      <c r="KQ83" s="64"/>
      <c r="KR83" s="64"/>
      <c r="KS83" s="64"/>
      <c r="KT83" s="64"/>
      <c r="KU83" s="64"/>
      <c r="KV83" s="64"/>
      <c r="KW83" s="64"/>
      <c r="KX83" s="64"/>
      <c r="KY83" s="64"/>
      <c r="KZ83" s="64"/>
      <c r="LA83" s="64"/>
      <c r="LB83" s="64"/>
      <c r="LC83" s="64"/>
      <c r="LD83" s="64"/>
      <c r="LE83" s="64"/>
      <c r="LF83" s="64"/>
      <c r="LG83" s="64"/>
      <c r="LH83" s="64"/>
      <c r="LI83" s="64"/>
      <c r="LJ83" s="64"/>
      <c r="LK83" s="64"/>
      <c r="LL83" s="64"/>
      <c r="LM83" s="64"/>
      <c r="LN83" s="64"/>
      <c r="LO83" s="64"/>
      <c r="LP83" s="64"/>
      <c r="LQ83" s="64"/>
      <c r="LR83" s="64"/>
      <c r="LS83" s="64"/>
      <c r="LT83" s="64"/>
      <c r="LU83" s="64"/>
      <c r="LV83" s="64"/>
      <c r="LW83" s="64"/>
      <c r="LX83" s="64"/>
      <c r="LY83" s="64"/>
      <c r="LZ83" s="64"/>
      <c r="MA83" s="64"/>
      <c r="MB83" s="64"/>
      <c r="MC83" s="64"/>
      <c r="MD83" s="64"/>
      <c r="ME83" s="64"/>
      <c r="MF83" s="64"/>
      <c r="MG83" s="64"/>
      <c r="MH83" s="64"/>
      <c r="MI83" s="64"/>
      <c r="MJ83" s="64"/>
      <c r="MK83" s="64"/>
      <c r="ML83" s="64"/>
      <c r="MM83" s="64"/>
      <c r="MN83" s="64"/>
      <c r="MO83" s="64"/>
      <c r="MP83" s="64"/>
      <c r="MQ83" s="64"/>
      <c r="MR83" s="64"/>
      <c r="MS83" s="64"/>
      <c r="MT83" s="64"/>
      <c r="MU83" s="64"/>
      <c r="MV83" s="64"/>
      <c r="MW83" s="64"/>
      <c r="MX83" s="64"/>
      <c r="MY83" s="64"/>
      <c r="MZ83" s="64"/>
      <c r="NA83" s="64"/>
      <c r="NB83" s="64"/>
      <c r="NC83" s="64"/>
      <c r="ND83" s="64"/>
      <c r="NE83" s="64"/>
      <c r="NF83" s="64"/>
      <c r="NG83" s="64"/>
      <c r="NH83" s="64"/>
      <c r="NI83" s="64"/>
      <c r="NJ83" s="64"/>
      <c r="NK83" s="64"/>
      <c r="NL83" s="64"/>
      <c r="NM83" s="64"/>
      <c r="NN83" s="64"/>
      <c r="NO83" s="64"/>
      <c r="NP83" s="64"/>
      <c r="NQ83" s="64"/>
      <c r="NR83" s="64"/>
      <c r="NS83" s="64"/>
      <c r="NT83" s="64"/>
      <c r="NU83" s="64"/>
      <c r="NV83" s="64"/>
      <c r="NW83" s="64"/>
      <c r="NX83" s="64"/>
      <c r="NY83" s="64"/>
      <c r="NZ83" s="64"/>
      <c r="OA83" s="64"/>
      <c r="OB83" s="64"/>
      <c r="OC83" s="64"/>
      <c r="OD83" s="64"/>
      <c r="OE83" s="64"/>
      <c r="OF83" s="64"/>
      <c r="OG83" s="64"/>
      <c r="OH83" s="64"/>
      <c r="OI83" s="64"/>
      <c r="OJ83" s="64"/>
      <c r="OK83" s="64"/>
      <c r="OL83" s="64"/>
    </row>
    <row r="84" spans="1:402" x14ac:dyDescent="0.3">
      <c r="A84" s="107"/>
      <c r="D84" s="83" t="s">
        <v>164</v>
      </c>
      <c r="E84" s="466">
        <f>IF(AND($F$2="No",$F$3="No"),SUM(I84:L84),IF(AND($F$2="Yes", $F$3="No"), SUM(I84:L84)+N84, IF(AND($F$2="No", $F$3="Yes"),SUM(I84:L84)+M84, SUM(I84:L84)+N84+M84)))</f>
        <v>-237216.28889350779</v>
      </c>
      <c r="F84" s="89">
        <f>IF(AND($F$2="No",$F$3="No"),SUM(H84:L84,O84),IF(AND($F$2="Yes", $F$3="No"), SUM(H84:L84,O84)+N84, IF(AND($F$2="No", $F$3="Yes"),SUM(H84:L84,O84)+M84, SUM(H84:L84,O84)+N84+M84)))</f>
        <v>4361102.147411013</v>
      </c>
      <c r="G84" s="491"/>
      <c r="H84" s="89">
        <f>('Input data meat and eggs'!S396*'Input data meat and eggs'!B48+'Input data meat and eggs'!T396*'Input data meat and eggs'!B47+'Input data meat and eggs'!U396*'Input data meat and eggs'!B35+'Input data meat and eggs'!V396*SUMPRODUCT('Input data meat and eggs'!B37:B46,'Input data meat and eggs'!E65:E74))*'Input data meat and eggs'!$E$396</f>
        <v>4598318.4363045208</v>
      </c>
      <c r="I84" s="89">
        <v>0</v>
      </c>
      <c r="J84" s="89">
        <v>0</v>
      </c>
      <c r="K84" s="89">
        <v>0</v>
      </c>
      <c r="L84" s="89">
        <v>0</v>
      </c>
      <c r="M84" s="89">
        <f>(('Input data meat and eggs'!S396+'Input data meat and eggs'!T396)*'Common input data'!F13+
'Input data meat and eggs'!U396*'Common input data'!B13+'Input data meat and eggs'!V396*('Input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eggs'!$E$396</f>
        <v>-651522.85162339383</v>
      </c>
      <c r="N84" s="89">
        <f>('Input data meat and eggs'!V396*('Input data meat and eggs'!E67*'Common input data'!B21*'Common input data'!G30/'Common input data'!F30+'Input data meat and eggs'!E71*'Common input data'!C21*'Common input data'!J31/'Common input data'!I31))*'Input data meat and eggs'!$E$396</f>
        <v>414306.56272988603</v>
      </c>
      <c r="O84" s="89">
        <v>0</v>
      </c>
      <c r="P84" s="89">
        <v>0</v>
      </c>
      <c r="Q84" s="89">
        <f>SUM(F84+P84)</f>
        <v>4361102.147411013</v>
      </c>
      <c r="R84" s="84"/>
      <c r="S84" s="84"/>
      <c r="T84" s="144"/>
    </row>
    <row r="85" spans="1:402" x14ac:dyDescent="0.3">
      <c r="A85" s="107"/>
      <c r="D85" s="83" t="s">
        <v>165</v>
      </c>
      <c r="E85" s="466">
        <f>SUM(I85:L85)</f>
        <v>1343258.6572694718</v>
      </c>
      <c r="F85" s="89">
        <f>SUM(H85:L85,O85)</f>
        <v>1348365.2492783139</v>
      </c>
      <c r="G85" s="491"/>
      <c r="H85" s="89">
        <f>('Input data meat and eggs'!S396*'Input data meat and eggs'!C48+'Input data meat and eggs'!T396*'Input data meat and eggs'!C47+'Input data meat and eggs'!U396*'Input data meat and eggs'!C35+'Input data meat and eggs'!V396*SUMPRODUCT('Input data meat and eggs'!C37:C46,'Input data meat and eggs'!E65:E74))*'Input data meat and eggs'!$E$396</f>
        <v>5106.5920088422918</v>
      </c>
      <c r="I85" s="89">
        <v>0</v>
      </c>
      <c r="J85" s="89">
        <f>('Input data meat and eggs'!M396*'Input data meat and eggs'!G396/12*'Input data meat and eggs'!$B$451*'Input data meat and eggs'!$B$452*'Input data meat and eggs'!$B$453*
('Input data meat and eggs'!$O$396*'Input data meat and eggs'!$B$443
+'Input data meat and eggs'!$P$396*'Input data meat and eggs'!$C$443+
'Input data meat and eggs'!$Q$396*'Input data meat and eggs'!$D$443+
'Input data meat and eggs'!$R$396*'Input data meat and eggs'!$E$443))*'Input data meat and eggs'!$E$396</f>
        <v>83781.716286714072</v>
      </c>
      <c r="K85" s="89">
        <v>0</v>
      </c>
      <c r="L85" s="89">
        <f>('Input data meat and eggs'!L396*'Input data meat and eggs'!G396/12)*'Input data meat and eggs'!$E$396</f>
        <v>1259476.9409827576</v>
      </c>
      <c r="M85" s="89">
        <v>0</v>
      </c>
      <c r="N85" s="89">
        <v>0</v>
      </c>
      <c r="O85" s="89">
        <v>0</v>
      </c>
      <c r="P85" s="89">
        <v>0</v>
      </c>
      <c r="Q85" s="89">
        <f>SUM(F85+P85)</f>
        <v>1348365.2492783139</v>
      </c>
      <c r="R85" s="84"/>
      <c r="S85" s="84"/>
      <c r="T85" s="144"/>
    </row>
    <row r="86" spans="1:402" x14ac:dyDescent="0.3">
      <c r="A86" s="107"/>
      <c r="D86" s="84" t="s">
        <v>166</v>
      </c>
      <c r="E86" s="466">
        <f>SUM(I86:L86)</f>
        <v>35109.349315378669</v>
      </c>
      <c r="F86" s="89">
        <f>SUM(H86:L86,O86)</f>
        <v>39969.458059913661</v>
      </c>
      <c r="G86" s="491"/>
      <c r="H86" s="89">
        <f>(('Input data meat and eggs'!S396*'Input data meat and eggs'!D48+'Input data meat and eggs'!T396*'Input data meat and eggs'!D47+'Input data meat and eggs'!U396*'Input data meat and eggs'!D35+'Input data meat and eggs'!V396*SUMPRODUCT('Input data meat and eggs'!D37:D46,'Input data meat and eggs'!E65:E74))*'Input data meat and eggs'!B58)*'Input data meat and eggs'!$E$396</f>
        <v>4860.1087445349931</v>
      </c>
      <c r="I86" s="89">
        <f>(('Input data meat and eggs'!S396*'Input data meat and eggs'!D48+'Input data meat and eggs'!T396*'Input data meat and eggs'!D47+'Input data meat and eggs'!U396*'Input data meat and eggs'!D35+'Input data meat and eggs'!V396*SUMPRODUCT('Input data meat and eggs'!D37:D46,'Input data meat and eggs'!E65:E74))*'Input data meat and eggs'!C58)*'Input data meat and eggs'!$E$396</f>
        <v>12284.395966859809</v>
      </c>
      <c r="J86" s="89">
        <f>('Input data meat and eggs'!K396*'Input data meat and eggs'!G396/12*('Input data meat and eggs'!$O$396*'Input data meat and eggs'!$B$445+'Input data meat and eggs'!$P$396*'Input data meat and eggs'!$C$445+'Input data meat and eggs'!$Q$396*'Input data meat and eggs'!$D$445+'Input data meat and eggs'!$R$396*'Input data meat and eggs'!$E$445)*44/28)*'Input data meat and eggs'!$E$396</f>
        <v>21047.129641483345</v>
      </c>
      <c r="K86" s="89">
        <f>('Input data meat and eggs'!$B$446*44/28*'Input data meat and eggs'!K396*'Input data meat and eggs'!G396/12*('Input data meat and eggs'!O396*'Input data meat and eggs'!B457+'Input data meat and eggs'!P396*'Input data meat and eggs'!C457+'Input data meat and eggs'!Q396*'Input data meat and eggs'!D457))*'Input data meat and eggs'!$E$396</f>
        <v>1777.8237070355176</v>
      </c>
      <c r="L86" s="89">
        <v>0</v>
      </c>
      <c r="M86" s="89">
        <v>0</v>
      </c>
      <c r="N86" s="89">
        <v>0</v>
      </c>
      <c r="O86" s="89">
        <v>0</v>
      </c>
      <c r="P86" s="89">
        <v>0</v>
      </c>
      <c r="Q86" s="89">
        <f>SUM(F86+P86)</f>
        <v>39969.458059913661</v>
      </c>
      <c r="R86" s="84"/>
      <c r="S86" s="84"/>
      <c r="T86" s="144"/>
    </row>
    <row r="87" spans="1:402" s="102" customFormat="1" x14ac:dyDescent="0.3">
      <c r="A87" s="498"/>
      <c r="B87" s="111" t="s">
        <v>696</v>
      </c>
      <c r="D87" s="269" t="s">
        <v>473</v>
      </c>
      <c r="E87" s="464">
        <f>IF($F$1="GWP100 without fb",E88+E89*'Common input data'!$C$5+E90*'Common input data'!$D$5,IF($F$1="GWP100 with fb",E88+E89*'Common input data'!$C$6+E90*'Common input data'!$D$6,IF($F$1="GTP100 without fb",E88+E89*'Common input data'!$C$7+E90*'Common input data'!$D$7,IF($F$1="GTP100 with fb",E88+E89*'Common input data'!$C$8+E90*'Common input data'!$D$8,E88+E89*'Common input data'!$C$9+E90*'Common input data'!$D$9))))</f>
        <v>46001165.683456309</v>
      </c>
      <c r="F87" s="465">
        <f>IF($F$1="GWP100 without fb",F88+F89*'Common input data'!$C$5+F90*'Common input data'!$D$5,IF($F$1="GWP100 with fb",F88+F89*'Common input data'!$C$6+F90*'Common input data'!$D$6,IF($F$1="GTP100 without fb",F88+F89*'Common input data'!$C$7+F90*'Common input data'!$D$7,IF($F$1="GTP100 with fb",F88+F89*'Common input data'!$C$8+F90*'Common input data'!$D$8,F88+F89*'Common input data'!$C$9+F90*'Common input data'!$D$9))))</f>
        <v>52614383.02125822</v>
      </c>
      <c r="G87" s="510"/>
      <c r="H87" s="465"/>
      <c r="I87" s="465"/>
      <c r="J87" s="465"/>
      <c r="K87" s="465"/>
      <c r="L87" s="465"/>
      <c r="N87" s="465"/>
      <c r="O87" s="465"/>
      <c r="P87" s="465"/>
      <c r="Q87" s="465"/>
      <c r="R87" s="111"/>
      <c r="S87" s="111"/>
      <c r="T87" s="14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c r="IO87" s="64"/>
      <c r="IP87" s="64"/>
      <c r="IQ87" s="64"/>
      <c r="IR87" s="64"/>
      <c r="IS87" s="64"/>
      <c r="IT87" s="64"/>
      <c r="IU87" s="64"/>
      <c r="IV87" s="64"/>
      <c r="IW87" s="64"/>
      <c r="IX87" s="64"/>
      <c r="IY87" s="64"/>
      <c r="IZ87" s="64"/>
      <c r="JA87" s="64"/>
      <c r="JB87" s="64"/>
      <c r="JC87" s="64"/>
      <c r="JD87" s="64"/>
      <c r="JE87" s="64"/>
      <c r="JF87" s="64"/>
      <c r="JG87" s="64"/>
      <c r="JH87" s="64"/>
      <c r="JI87" s="64"/>
      <c r="JJ87" s="64"/>
      <c r="JK87" s="64"/>
      <c r="JL87" s="64"/>
      <c r="JM87" s="64"/>
      <c r="JN87" s="64"/>
      <c r="JO87" s="64"/>
      <c r="JP87" s="64"/>
      <c r="JQ87" s="64"/>
      <c r="JR87" s="64"/>
      <c r="JS87" s="64"/>
      <c r="JT87" s="64"/>
      <c r="JU87" s="64"/>
      <c r="JV87" s="64"/>
      <c r="JW87" s="64"/>
      <c r="JX87" s="64"/>
      <c r="JY87" s="64"/>
      <c r="JZ87" s="64"/>
      <c r="KA87" s="64"/>
      <c r="KB87" s="64"/>
      <c r="KC87" s="64"/>
      <c r="KD87" s="64"/>
      <c r="KE87" s="64"/>
      <c r="KF87" s="64"/>
      <c r="KG87" s="64"/>
      <c r="KH87" s="64"/>
      <c r="KI87" s="64"/>
      <c r="KJ87" s="64"/>
      <c r="KK87" s="64"/>
      <c r="KL87" s="64"/>
      <c r="KM87" s="64"/>
      <c r="KN87" s="64"/>
      <c r="KO87" s="64"/>
      <c r="KP87" s="64"/>
      <c r="KQ87" s="64"/>
      <c r="KR87" s="64"/>
      <c r="KS87" s="64"/>
      <c r="KT87" s="64"/>
      <c r="KU87" s="64"/>
      <c r="KV87" s="64"/>
      <c r="KW87" s="64"/>
      <c r="KX87" s="64"/>
      <c r="KY87" s="64"/>
      <c r="KZ87" s="64"/>
      <c r="LA87" s="64"/>
      <c r="LB87" s="64"/>
      <c r="LC87" s="64"/>
      <c r="LD87" s="64"/>
      <c r="LE87" s="64"/>
      <c r="LF87" s="64"/>
      <c r="LG87" s="64"/>
      <c r="LH87" s="64"/>
      <c r="LI87" s="64"/>
      <c r="LJ87" s="64"/>
      <c r="LK87" s="64"/>
      <c r="LL87" s="64"/>
      <c r="LM87" s="64"/>
      <c r="LN87" s="64"/>
      <c r="LO87" s="64"/>
      <c r="LP87" s="64"/>
      <c r="LQ87" s="64"/>
      <c r="LR87" s="64"/>
      <c r="LS87" s="64"/>
      <c r="LT87" s="64"/>
      <c r="LU87" s="64"/>
      <c r="LV87" s="64"/>
      <c r="LW87" s="64"/>
      <c r="LX87" s="64"/>
      <c r="LY87" s="64"/>
      <c r="LZ87" s="64"/>
      <c r="MA87" s="64"/>
      <c r="MB87" s="64"/>
      <c r="MC87" s="64"/>
      <c r="MD87" s="64"/>
      <c r="ME87" s="64"/>
      <c r="MF87" s="64"/>
      <c r="MG87" s="64"/>
      <c r="MH87" s="64"/>
      <c r="MI87" s="64"/>
      <c r="MJ87" s="64"/>
      <c r="MK87" s="64"/>
      <c r="ML87" s="64"/>
      <c r="MM87" s="64"/>
      <c r="MN87" s="64"/>
      <c r="MO87" s="64"/>
      <c r="MP87" s="64"/>
      <c r="MQ87" s="64"/>
      <c r="MR87" s="64"/>
      <c r="MS87" s="64"/>
      <c r="MT87" s="64"/>
      <c r="MU87" s="64"/>
      <c r="MV87" s="64"/>
      <c r="MW87" s="64"/>
      <c r="MX87" s="64"/>
      <c r="MY87" s="64"/>
      <c r="MZ87" s="64"/>
      <c r="NA87" s="64"/>
      <c r="NB87" s="64"/>
      <c r="NC87" s="64"/>
      <c r="ND87" s="64"/>
      <c r="NE87" s="64"/>
      <c r="NF87" s="64"/>
      <c r="NG87" s="64"/>
      <c r="NH87" s="64"/>
      <c r="NI87" s="64"/>
      <c r="NJ87" s="64"/>
      <c r="NK87" s="64"/>
      <c r="NL87" s="64"/>
      <c r="NM87" s="64"/>
      <c r="NN87" s="64"/>
      <c r="NO87" s="64"/>
      <c r="NP87" s="64"/>
      <c r="NQ87" s="64"/>
      <c r="NR87" s="64"/>
      <c r="NS87" s="64"/>
      <c r="NT87" s="64"/>
      <c r="NU87" s="64"/>
      <c r="NV87" s="64"/>
      <c r="NW87" s="64"/>
      <c r="NX87" s="64"/>
      <c r="NY87" s="64"/>
      <c r="NZ87" s="64"/>
      <c r="OA87" s="64"/>
      <c r="OB87" s="64"/>
      <c r="OC87" s="64"/>
      <c r="OD87" s="64"/>
      <c r="OE87" s="64"/>
      <c r="OF87" s="64"/>
      <c r="OG87" s="64"/>
      <c r="OH87" s="64"/>
      <c r="OI87" s="64"/>
      <c r="OJ87" s="64"/>
      <c r="OK87" s="64"/>
      <c r="OL87" s="64"/>
    </row>
    <row r="88" spans="1:402" x14ac:dyDescent="0.3">
      <c r="A88" s="107"/>
      <c r="D88" s="83" t="s">
        <v>164</v>
      </c>
      <c r="E88" s="466">
        <f>IF(AND($F$2="No",$F$3="No"),SUM(I88:L88),IF(AND($F$2="Yes", $F$3="No"), SUM(I88:L88)+N88, IF(AND($F$2="No", $F$3="Yes"),SUM(I88:L88)+M88, SUM(I88:L88)+N88+M88)))</f>
        <v>-4112792.1977543351</v>
      </c>
      <c r="F88" s="89">
        <f>IF(AND($F$2="No",$F$3="No"),SUM(H88:L88,O88),IF(AND($F$2="Yes", $F$3="No"), SUM(H88:L88,O88)+N88, IF(AND($F$2="No", $F$3="Yes"),SUM(H88:L88,O88)+M88, SUM(H88:L88,O88)+N88+M88)))</f>
        <v>860516.5751418937</v>
      </c>
      <c r="G88" s="491"/>
      <c r="H88" s="89">
        <f>('Input data meat and eggs'!S397*'Input data meat and eggs'!B48+'Input data meat and eggs'!T397*'Input data meat and eggs'!B47+'Input data meat and eggs'!U397*'Input data meat and eggs'!B35+'Input data meat and eggs'!V397*SUMPRODUCT('Input data meat and eggs'!B37:B46,'Input data meat and eggs'!E65:E74))*'Input data meat and eggs'!$E$397</f>
        <v>4973308.7728962284</v>
      </c>
      <c r="I88" s="89">
        <v>0</v>
      </c>
      <c r="J88" s="89">
        <v>0</v>
      </c>
      <c r="K88" s="89">
        <v>0</v>
      </c>
      <c r="L88" s="89">
        <v>0</v>
      </c>
      <c r="M88" s="89">
        <f>(('Input data meat and eggs'!S397+'Input data meat and eggs'!T397)*'Common input data'!F13+
'Input data meat and eggs'!U397*'Common input data'!B13+'Input data meat and eggs'!V397*('Input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eggs'!$E$397</f>
        <v>-4154437.0199363185</v>
      </c>
      <c r="N88" s="89">
        <f>('Input data meat and eggs'!V397*('Input data meat and eggs'!E67*'Common input data'!B21*'Common input data'!G30/'Common input data'!F30+'Input data meat and eggs'!E71*'Common input data'!C21*'Common input data'!J31/'Common input data'!I31))*'Input data meat and eggs'!$E$397</f>
        <v>41644.822181983436</v>
      </c>
      <c r="O88" s="89">
        <v>0</v>
      </c>
      <c r="P88" s="89">
        <v>0</v>
      </c>
      <c r="Q88" s="89">
        <f>SUM(F88+P88)</f>
        <v>860516.5751418937</v>
      </c>
      <c r="R88" s="84"/>
      <c r="S88" s="84"/>
      <c r="T88" s="144"/>
    </row>
    <row r="89" spans="1:402" x14ac:dyDescent="0.3">
      <c r="A89" s="107"/>
      <c r="D89" s="83" t="s">
        <v>165</v>
      </c>
      <c r="E89" s="466">
        <f>SUM(I89:L89)</f>
        <v>1182634.5319883113</v>
      </c>
      <c r="F89" s="89">
        <f>SUM(H89:L89,O89)</f>
        <v>1185300.7531835358</v>
      </c>
      <c r="G89" s="491"/>
      <c r="H89" s="89">
        <f>('Input data meat and eggs'!S397*'Input data meat and eggs'!C48+'Input data meat and eggs'!T397*'Input data meat and eggs'!C47+'Input data meat and eggs'!U397*'Input data meat and eggs'!C35+'Input data meat and eggs'!V397*SUMPRODUCT('Input data meat and eggs'!C37:C46,'Input data meat and eggs'!E65:E74))*'Input data meat and eggs'!$E$397</f>
        <v>2666.2211952244284</v>
      </c>
      <c r="I89" s="89">
        <v>0</v>
      </c>
      <c r="J89" s="89">
        <f>('Input data meat and eggs'!M397*'Input data meat and eggs'!G397/12*'Input data meat and eggs'!$B$451*'Input data meat and eggs'!$B$452*'Input data meat and eggs'!$B$453*
('Input data meat and eggs'!$O$397*'Input data meat and eggs'!$B$443
+'Input data meat and eggs'!$P$397*'Input data meat and eggs'!$C$443+
'Input data meat and eggs'!$Q$397*'Input data meat and eggs'!$D$443+
'Input data meat and eggs'!$R$397*'Input data meat and eggs'!$E$443))*'Input data meat and eggs'!$E$397</f>
        <v>73763.269861463821</v>
      </c>
      <c r="K89" s="89">
        <v>0</v>
      </c>
      <c r="L89" s="89">
        <f>('Input data meat and eggs'!L397*'Input data meat and eggs'!G397/12)*'Input data meat and eggs'!$E$397</f>
        <v>1108871.2621268474</v>
      </c>
      <c r="M89" s="89">
        <v>0</v>
      </c>
      <c r="N89" s="89">
        <v>0</v>
      </c>
      <c r="O89" s="89">
        <v>0</v>
      </c>
      <c r="P89" s="89">
        <v>0</v>
      </c>
      <c r="Q89" s="89">
        <f>SUM(F89+P89)</f>
        <v>1185300.7531835358</v>
      </c>
      <c r="R89" s="84"/>
      <c r="S89" s="84"/>
      <c r="T89" s="144"/>
    </row>
    <row r="90" spans="1:402" x14ac:dyDescent="0.3">
      <c r="A90" s="107"/>
      <c r="D90" s="84" t="s">
        <v>166</v>
      </c>
      <c r="E90" s="466">
        <f>SUM(I90:L90)</f>
        <v>33236.187226872695</v>
      </c>
      <c r="F90" s="89">
        <f>SUM(H90:L90,O90)</f>
        <v>38435.036368711772</v>
      </c>
      <c r="G90" s="491"/>
      <c r="H90" s="89">
        <f>(('Input data meat and eggs'!S397*'Input data meat and eggs'!D48+'Input data meat and eggs'!T397*'Input data meat and eggs'!D47+'Input data meat and eggs'!U397*'Input data meat and eggs'!D35+'Input data meat and eggs'!V397*SUMPRODUCT('Input data meat and eggs'!D37:D46,'Input data meat and eggs'!E65:E74))*'Input data meat and eggs'!B58)*'Input data meat and eggs'!$E$397</f>
        <v>5198.8491418390786</v>
      </c>
      <c r="I90" s="89">
        <f>(('Input data meat and eggs'!S397*'Input data meat and eggs'!D48+'Input data meat and eggs'!T397*'Input data meat and eggs'!D47+'Input data meat and eggs'!U397*'Input data meat and eggs'!D35+'Input data meat and eggs'!V397*SUMPRODUCT('Input data meat and eggs'!D37:D46,'Input data meat and eggs'!E65:E74))*'Input data meat and eggs'!C58)*'Input data meat and eggs'!$E$397</f>
        <v>13140.595156874628</v>
      </c>
      <c r="J90" s="89">
        <f>('Input data meat and eggs'!K397*'Input data meat and eggs'!G397/12*('Input data meat and eggs'!$O$397*'Input data meat and eggs'!$B$445+'Input data meat and eggs'!$P$397*'Input data meat and eggs'!$C$445+'Input data meat and eggs'!$Q$397*'Input data meat and eggs'!$D$445+'Input data meat and eggs'!$R$397*'Input data meat and eggs'!$E$445)*44/28)*'Input data meat and eggs'!$E$397</f>
        <v>18530.356888859093</v>
      </c>
      <c r="K90" s="89">
        <f>('Input data meat and eggs'!$B$446*44/28*'Input data meat and eggs'!K397*'Input data meat and eggs'!G397/12*('Input data meat and eggs'!O397*'Input data meat and eggs'!B457+'Input data meat and eggs'!P397*'Input data meat and eggs'!C457+'Input data meat and eggs'!Q397*'Input data meat and eggs'!D457))*'Input data meat and eggs'!$E$397</f>
        <v>1565.2351811389719</v>
      </c>
      <c r="L90" s="89">
        <v>0</v>
      </c>
      <c r="M90" s="89">
        <v>0</v>
      </c>
      <c r="N90" s="89">
        <v>0</v>
      </c>
      <c r="O90" s="89">
        <v>0</v>
      </c>
      <c r="P90" s="89">
        <v>0</v>
      </c>
      <c r="Q90" s="89">
        <f>SUM(F90+P90)</f>
        <v>38435.036368711772</v>
      </c>
      <c r="R90" s="84"/>
      <c r="S90" s="84"/>
      <c r="T90" s="144"/>
    </row>
    <row r="91" spans="1:402" s="102" customFormat="1" x14ac:dyDescent="0.3">
      <c r="A91" s="498"/>
      <c r="B91" s="111" t="s">
        <v>697</v>
      </c>
      <c r="D91" s="269" t="s">
        <v>473</v>
      </c>
      <c r="E91" s="464">
        <f>IF($F$1="GWP100 without fb",E92+E93*'Common input data'!$C$5+E94*'Common input data'!$D$5,IF($F$1="GWP100 with fb",E92+E93*'Common input data'!$C$6+E94*'Common input data'!$D$6,IF($F$1="GTP100 without fb",E92+E93*'Common input data'!$C$7+E94*'Common input data'!$D$7,IF($F$1="GTP100 with fb",E92+E93*'Common input data'!$C$8+E94*'Common input data'!$D$8,E92+E93*'Common input data'!$C$9+E94*'Common input data'!$D$9))))</f>
        <v>6645550.0295470254</v>
      </c>
      <c r="F91" s="465">
        <f>IF($F$1="GWP100 without fb",F92+F93*'Common input data'!$C$5+F94*'Common input data'!$D$5,IF($F$1="GWP100 with fb",F92+F93*'Common input data'!$C$6+F94*'Common input data'!$D$6,IF($F$1="GTP100 without fb",F92+F93*'Common input data'!$C$7+F94*'Common input data'!$D$7,IF($F$1="GTP100 with fb",F92+F93*'Common input data'!$C$8+F94*'Common input data'!$D$8,F92+F93*'Common input data'!$C$9+F94*'Common input data'!$D$9))))</f>
        <v>8427073.5444691256</v>
      </c>
      <c r="G91" s="510"/>
      <c r="H91" s="465"/>
      <c r="I91" s="465"/>
      <c r="J91" s="465"/>
      <c r="K91" s="465"/>
      <c r="L91" s="465"/>
      <c r="N91" s="465"/>
      <c r="O91" s="465"/>
      <c r="P91" s="465"/>
      <c r="Q91" s="465"/>
      <c r="R91" s="111"/>
      <c r="S91" s="111"/>
      <c r="T91" s="14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c r="IH91" s="64"/>
      <c r="II91" s="64"/>
      <c r="IJ91" s="64"/>
      <c r="IK91" s="64"/>
      <c r="IL91" s="64"/>
      <c r="IM91" s="64"/>
      <c r="IN91" s="64"/>
      <c r="IO91" s="64"/>
      <c r="IP91" s="64"/>
      <c r="IQ91" s="64"/>
      <c r="IR91" s="64"/>
      <c r="IS91" s="64"/>
      <c r="IT91" s="64"/>
      <c r="IU91" s="64"/>
      <c r="IV91" s="64"/>
      <c r="IW91" s="64"/>
      <c r="IX91" s="64"/>
      <c r="IY91" s="64"/>
      <c r="IZ91" s="64"/>
      <c r="JA91" s="64"/>
      <c r="JB91" s="64"/>
      <c r="JC91" s="64"/>
      <c r="JD91" s="64"/>
      <c r="JE91" s="64"/>
      <c r="JF91" s="64"/>
      <c r="JG91" s="64"/>
      <c r="JH91" s="64"/>
      <c r="JI91" s="64"/>
      <c r="JJ91" s="64"/>
      <c r="JK91" s="64"/>
      <c r="JL91" s="64"/>
      <c r="JM91" s="64"/>
      <c r="JN91" s="64"/>
      <c r="JO91" s="64"/>
      <c r="JP91" s="64"/>
      <c r="JQ91" s="64"/>
      <c r="JR91" s="64"/>
      <c r="JS91" s="64"/>
      <c r="JT91" s="64"/>
      <c r="JU91" s="64"/>
      <c r="JV91" s="64"/>
      <c r="JW91" s="64"/>
      <c r="JX91" s="64"/>
      <c r="JY91" s="64"/>
      <c r="JZ91" s="64"/>
      <c r="KA91" s="64"/>
      <c r="KB91" s="64"/>
      <c r="KC91" s="64"/>
      <c r="KD91" s="64"/>
      <c r="KE91" s="64"/>
      <c r="KF91" s="64"/>
      <c r="KG91" s="64"/>
      <c r="KH91" s="64"/>
      <c r="KI91" s="64"/>
      <c r="KJ91" s="64"/>
      <c r="KK91" s="64"/>
      <c r="KL91" s="64"/>
      <c r="KM91" s="64"/>
      <c r="KN91" s="64"/>
      <c r="KO91" s="64"/>
      <c r="KP91" s="64"/>
      <c r="KQ91" s="64"/>
      <c r="KR91" s="64"/>
      <c r="KS91" s="64"/>
      <c r="KT91" s="64"/>
      <c r="KU91" s="64"/>
      <c r="KV91" s="64"/>
      <c r="KW91" s="64"/>
      <c r="KX91" s="64"/>
      <c r="KY91" s="64"/>
      <c r="KZ91" s="64"/>
      <c r="LA91" s="64"/>
      <c r="LB91" s="64"/>
      <c r="LC91" s="64"/>
      <c r="LD91" s="64"/>
      <c r="LE91" s="64"/>
      <c r="LF91" s="64"/>
      <c r="LG91" s="64"/>
      <c r="LH91" s="64"/>
      <c r="LI91" s="64"/>
      <c r="LJ91" s="64"/>
      <c r="LK91" s="64"/>
      <c r="LL91" s="64"/>
      <c r="LM91" s="64"/>
      <c r="LN91" s="64"/>
      <c r="LO91" s="64"/>
      <c r="LP91" s="64"/>
      <c r="LQ91" s="64"/>
      <c r="LR91" s="64"/>
      <c r="LS91" s="64"/>
      <c r="LT91" s="64"/>
      <c r="LU91" s="64"/>
      <c r="LV91" s="64"/>
      <c r="LW91" s="64"/>
      <c r="LX91" s="64"/>
      <c r="LY91" s="64"/>
      <c r="LZ91" s="64"/>
      <c r="MA91" s="64"/>
      <c r="MB91" s="64"/>
      <c r="MC91" s="64"/>
      <c r="MD91" s="64"/>
      <c r="ME91" s="64"/>
      <c r="MF91" s="64"/>
      <c r="MG91" s="64"/>
      <c r="MH91" s="64"/>
      <c r="MI91" s="64"/>
      <c r="MJ91" s="64"/>
      <c r="MK91" s="64"/>
      <c r="ML91" s="64"/>
      <c r="MM91" s="64"/>
      <c r="MN91" s="64"/>
      <c r="MO91" s="64"/>
      <c r="MP91" s="64"/>
      <c r="MQ91" s="64"/>
      <c r="MR91" s="64"/>
      <c r="MS91" s="64"/>
      <c r="MT91" s="64"/>
      <c r="MU91" s="64"/>
      <c r="MV91" s="64"/>
      <c r="MW91" s="64"/>
      <c r="MX91" s="64"/>
      <c r="MY91" s="64"/>
      <c r="MZ91" s="64"/>
      <c r="NA91" s="64"/>
      <c r="NB91" s="64"/>
      <c r="NC91" s="64"/>
      <c r="ND91" s="64"/>
      <c r="NE91" s="64"/>
      <c r="NF91" s="64"/>
      <c r="NG91" s="64"/>
      <c r="NH91" s="64"/>
      <c r="NI91" s="64"/>
      <c r="NJ91" s="64"/>
      <c r="NK91" s="64"/>
      <c r="NL91" s="64"/>
      <c r="NM91" s="64"/>
      <c r="NN91" s="64"/>
      <c r="NO91" s="64"/>
      <c r="NP91" s="64"/>
      <c r="NQ91" s="64"/>
      <c r="NR91" s="64"/>
      <c r="NS91" s="64"/>
      <c r="NT91" s="64"/>
      <c r="NU91" s="64"/>
      <c r="NV91" s="64"/>
      <c r="NW91" s="64"/>
      <c r="NX91" s="64"/>
      <c r="NY91" s="64"/>
      <c r="NZ91" s="64"/>
      <c r="OA91" s="64"/>
      <c r="OB91" s="64"/>
      <c r="OC91" s="64"/>
      <c r="OD91" s="64"/>
      <c r="OE91" s="64"/>
      <c r="OF91" s="64"/>
      <c r="OG91" s="64"/>
      <c r="OH91" s="64"/>
      <c r="OI91" s="64"/>
      <c r="OJ91" s="64"/>
      <c r="OK91" s="64"/>
      <c r="OL91" s="64"/>
    </row>
    <row r="92" spans="1:402" x14ac:dyDescent="0.3">
      <c r="A92" s="107"/>
      <c r="D92" s="83" t="s">
        <v>164</v>
      </c>
      <c r="E92" s="466">
        <f>IF(AND($F$2="No",$F$3="No"),SUM(I92:L92),IF(AND($F$2="Yes", $F$3="No"), SUM(I92:L92)+N92, IF(AND($F$2="No", $F$3="Yes"),SUM(I92:L92)+M92, SUM(I92:L92)+N92+M92)))</f>
        <v>-56153.750521784474</v>
      </c>
      <c r="F92" s="89">
        <f>IF(AND($F$2="No",$F$3="No"),SUM(H92:L92,O92),IF(AND($F$2="Yes", $F$3="No"), SUM(H92:L92,O92)+N92, IF(AND($F$2="No", $F$3="Yes"),SUM(H92:L92,O92)+M92, SUM(H92:L92,O92)+N92+M92)))</f>
        <v>1264521.1453305888</v>
      </c>
      <c r="G92" s="491"/>
      <c r="H92" s="89">
        <f>('Input data meat and eggs'!S398*'Input data meat and eggs'!B48+'Input data meat and eggs'!T398*'Input data meat and eggs'!B47+'Input data meat and eggs'!U398*'Input data meat and eggs'!B35+'Input data meat and eggs'!V398*SUMPRODUCT('Input data meat and eggs'!B37:B46,'Input data meat and eggs'!E65:E74))*'Input data meat and eggs'!$E$398</f>
        <v>1320674.8958523734</v>
      </c>
      <c r="I92" s="89">
        <v>0</v>
      </c>
      <c r="J92" s="89">
        <v>0</v>
      </c>
      <c r="K92" s="89">
        <v>0</v>
      </c>
      <c r="L92" s="89">
        <v>0</v>
      </c>
      <c r="M92" s="89">
        <f>(('Input data meat and eggs'!S398+'Input data meat and eggs'!T398)*'Common input data'!F13+
'Input data meat and eggs'!U398*'Common input data'!B13+'Input data meat and eggs'!V398*('Input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eggs'!$E$398</f>
        <v>-187613.98223408929</v>
      </c>
      <c r="N92" s="89">
        <f>('Input data meat and eggs'!V398*('Input data meat and eggs'!E67*'Common input data'!B21*'Common input data'!G30/'Common input data'!F30+'Input data meat and eggs'!E71*'Common input data'!C21*'Common input data'!J31/'Common input data'!I31))*'Input data meat and eggs'!$E$398</f>
        <v>131460.23171230481</v>
      </c>
      <c r="O92" s="89">
        <v>0</v>
      </c>
      <c r="P92" s="89">
        <v>0</v>
      </c>
      <c r="Q92" s="89">
        <f>SUM(F92+P92)</f>
        <v>1264521.1453305888</v>
      </c>
      <c r="R92" s="84"/>
      <c r="S92" s="84"/>
      <c r="T92" s="144"/>
    </row>
    <row r="93" spans="1:402" x14ac:dyDescent="0.3">
      <c r="A93" s="107"/>
      <c r="D93" s="83" t="s">
        <v>165</v>
      </c>
      <c r="E93" s="466">
        <f>SUM(I93:L93)</f>
        <v>139745.98691032585</v>
      </c>
      <c r="F93" s="89">
        <f>SUM(H93:L93,O93)</f>
        <v>141325.96212317966</v>
      </c>
      <c r="G93" s="491"/>
      <c r="H93" s="89">
        <f>('Input data meat and eggs'!S398*'Input data meat and eggs'!C48+'Input data meat and eggs'!T398*'Input data meat and eggs'!C47+'Input data meat and eggs'!U398*'Input data meat and eggs'!C35+'Input data meat and eggs'!V398*SUMPRODUCT('Input data meat and eggs'!C37:C46,'Input data meat and eggs'!E65:E74))*'Input data meat and eggs'!$E$398</f>
        <v>1579.9752128538198</v>
      </c>
      <c r="I93" s="89">
        <v>0</v>
      </c>
      <c r="J93" s="89">
        <f>('Input data meat and eggs'!M398*'Input data meat and eggs'!G398/12*'Input data meat and eggs'!$B$451*'Input data meat and eggs'!$B$452*'Input data meat and eggs'!$B$453*
('Input data meat and eggs'!$O$398*'Input data meat and eggs'!$B$443
+'Input data meat and eggs'!$P$398*'Input data meat and eggs'!$C$443+
'Input data meat and eggs'!$Q$398*'Input data meat and eggs'!$D$443+
'Input data meat and eggs'!$R$398*'Input data meat and eggs'!$E$443))*'Input data meat and eggs'!$E$398</f>
        <v>11085.029574407699</v>
      </c>
      <c r="K93" s="89">
        <v>0</v>
      </c>
      <c r="L93" s="89">
        <f>('Input data meat and eggs'!L398*'Input data meat and eggs'!G398/12)*'Input data meat and eggs'!$E$398</f>
        <v>128660.95733591815</v>
      </c>
      <c r="M93" s="89">
        <v>0</v>
      </c>
      <c r="N93" s="89">
        <v>0</v>
      </c>
      <c r="O93" s="89">
        <v>0</v>
      </c>
      <c r="P93" s="89">
        <v>0</v>
      </c>
      <c r="Q93" s="89">
        <f>SUM(F93+P93)</f>
        <v>141325.96212317966</v>
      </c>
      <c r="R93" s="84"/>
      <c r="S93" s="84"/>
      <c r="T93" s="144"/>
    </row>
    <row r="94" spans="1:402" x14ac:dyDescent="0.3">
      <c r="A94" s="66"/>
      <c r="D94" s="84" t="s">
        <v>166</v>
      </c>
      <c r="E94" s="466">
        <f>SUM(I94:L94)</f>
        <v>6544.7658560997688</v>
      </c>
      <c r="F94" s="89">
        <f>SUM(H94:L94,O94)</f>
        <v>7910.9721038604994</v>
      </c>
      <c r="G94" s="491"/>
      <c r="H94" s="89">
        <f>(('Input data meat and eggs'!S398*'Input data meat and eggs'!D48+'Input data meat and eggs'!T398*'Input data meat and eggs'!D47+'Input data meat and eggs'!U398*'Input data meat and eggs'!D35+'Input data meat and eggs'!V398*SUMPRODUCT('Input data meat and eggs'!D37:D46,'Input data meat and eggs'!E65:E74))*'Input data meat and eggs'!B58)*'Input data meat and eggs'!$E$398</f>
        <v>1366.2062477607301</v>
      </c>
      <c r="I94" s="89">
        <f>(('Input data meat and eggs'!S398*'Input data meat and eggs'!D48+'Input data meat and eggs'!T398*'Input data meat and eggs'!D47+'Input data meat and eggs'!U398*'Input data meat and eggs'!D35+'Input data meat and eggs'!V398*SUMPRODUCT('Input data meat and eggs'!D37:D46,'Input data meat and eggs'!E65:E74))*'Input data meat and eggs'!C58)*'Input data meat and eggs'!$E$398</f>
        <v>3453.2187245321315</v>
      </c>
      <c r="J94" s="89">
        <f>('Input data meat and eggs'!K398*'Input data meat and eggs'!G398/12*('Input data meat and eggs'!$O$398*'Input data meat and eggs'!$B$445+'Input data meat and eggs'!$P$398*'Input data meat and eggs'!$C$445+'Input data meat and eggs'!$Q$398*'Input data meat and eggs'!$D$445+'Input data meat and eggs'!$R$398*'Input data meat and eggs'!$E$445)*44/28)*'Input data meat and eggs'!$E$398</f>
        <v>2703.7285352864196</v>
      </c>
      <c r="K94" s="89">
        <f>('Input data meat and eggs'!$B$446*44/28*'Input data meat and eggs'!K398*'Input data meat and eggs'!G398/12*('Input data meat and eggs'!O398*'Input data meat and eggs'!B457+'Input data meat and eggs'!P398*'Input data meat and eggs'!C457+'Input data meat and eggs'!Q398*'Input data meat and eggs'!D457))*'Input data meat and eggs'!$E$398</f>
        <v>387.81859628121799</v>
      </c>
      <c r="L94" s="89">
        <v>0</v>
      </c>
      <c r="M94" s="89">
        <v>0</v>
      </c>
      <c r="N94" s="89">
        <v>0</v>
      </c>
      <c r="O94" s="89">
        <v>0</v>
      </c>
      <c r="P94" s="89">
        <v>0</v>
      </c>
      <c r="Q94" s="89">
        <f>SUM(F94+P94)</f>
        <v>7910.9721038604994</v>
      </c>
      <c r="R94" s="84"/>
      <c r="S94" s="84"/>
      <c r="T94" s="144"/>
    </row>
    <row r="95" spans="1:402" s="102" customFormat="1" x14ac:dyDescent="0.3">
      <c r="A95" s="498"/>
      <c r="B95" s="210" t="s">
        <v>422</v>
      </c>
      <c r="C95" s="153"/>
      <c r="D95" s="269" t="s">
        <v>473</v>
      </c>
      <c r="E95" s="464">
        <f>IF($F$1="GWP100 without fb",E96+E97*'Common input data'!$C$5+E98*'Common input data'!$D$5,IF($F$1="GWP100 with fb",E96+E97*'Common input data'!$C$6+E98*'Common input data'!$D$6,IF($F$1="GTP100 without fb",E96+E97*'Common input data'!$C$7+E98*'Common input data'!$D$7,IF($F$1="GTP100 with fb",E96+E97*'Common input data'!$C$8+E98*'Common input data'!$D$8,E96+E97*'Common input data'!$C$9+E98*'Common input data'!$D$9))))</f>
        <v>6627.4728642933269</v>
      </c>
      <c r="F95" s="465">
        <f>IF($F$1="GWP100 without fb",F96+F97*'Common input data'!$C$5+F98*'Common input data'!$D$5,IF($F$1="GWP100 with fb",F96+F97*'Common input data'!$C$6+F98*'Common input data'!$D$6,IF($F$1="GTP100 without fb",F96+F97*'Common input data'!$C$7+F98*'Common input data'!$D$7,IF($F$1="GTP100 with fb",F96+F97*'Common input data'!$C$8+F98*'Common input data'!$D$8,F96+F97*'Common input data'!$C$9+F98*'Common input data'!$D$9))))</f>
        <v>8678.7792825453434</v>
      </c>
      <c r="G95" s="510"/>
      <c r="H95" s="111"/>
      <c r="I95" s="111"/>
      <c r="J95" s="111"/>
      <c r="K95" s="111"/>
      <c r="L95" s="111"/>
      <c r="M95" s="855"/>
      <c r="N95" s="111"/>
      <c r="O95" s="111"/>
      <c r="P95" s="111"/>
      <c r="Q95" s="111"/>
      <c r="R95" s="111"/>
      <c r="S95" s="111"/>
      <c r="T95" s="14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c r="IW95" s="64"/>
      <c r="IX95" s="64"/>
      <c r="IY95" s="64"/>
      <c r="IZ95" s="64"/>
      <c r="JA95" s="64"/>
      <c r="JB95" s="64"/>
      <c r="JC95" s="64"/>
      <c r="JD95" s="64"/>
      <c r="JE95" s="64"/>
      <c r="JF95" s="64"/>
      <c r="JG95" s="64"/>
      <c r="JH95" s="64"/>
      <c r="JI95" s="64"/>
      <c r="JJ95" s="64"/>
      <c r="JK95" s="64"/>
      <c r="JL95" s="64"/>
      <c r="JM95" s="64"/>
      <c r="JN95" s="64"/>
      <c r="JO95" s="64"/>
      <c r="JP95" s="64"/>
      <c r="JQ95" s="64"/>
      <c r="JR95" s="64"/>
      <c r="JS95" s="64"/>
      <c r="JT95" s="64"/>
      <c r="JU95" s="64"/>
      <c r="JV95" s="64"/>
      <c r="JW95" s="64"/>
      <c r="JX95" s="64"/>
      <c r="JY95" s="64"/>
      <c r="JZ95" s="64"/>
      <c r="KA95" s="64"/>
      <c r="KB95" s="64"/>
      <c r="KC95" s="64"/>
      <c r="KD95" s="64"/>
      <c r="KE95" s="64"/>
      <c r="KF95" s="64"/>
      <c r="KG95" s="64"/>
      <c r="KH95" s="64"/>
      <c r="KI95" s="64"/>
      <c r="KJ95" s="64"/>
      <c r="KK95" s="64"/>
      <c r="KL95" s="64"/>
      <c r="KM95" s="64"/>
      <c r="KN95" s="64"/>
      <c r="KO95" s="64"/>
      <c r="KP95" s="64"/>
      <c r="KQ95" s="64"/>
      <c r="KR95" s="64"/>
      <c r="KS95" s="64"/>
      <c r="KT95" s="64"/>
      <c r="KU95" s="64"/>
      <c r="KV95" s="64"/>
      <c r="KW95" s="64"/>
      <c r="KX95" s="64"/>
      <c r="KY95" s="64"/>
      <c r="KZ95" s="64"/>
      <c r="LA95" s="64"/>
      <c r="LB95" s="64"/>
      <c r="LC95" s="64"/>
      <c r="LD95" s="64"/>
      <c r="LE95" s="64"/>
      <c r="LF95" s="64"/>
      <c r="LG95" s="64"/>
      <c r="LH95" s="64"/>
      <c r="LI95" s="64"/>
      <c r="LJ95" s="64"/>
      <c r="LK95" s="64"/>
      <c r="LL95" s="64"/>
      <c r="LM95" s="64"/>
      <c r="LN95" s="64"/>
      <c r="LO95" s="64"/>
      <c r="LP95" s="64"/>
      <c r="LQ95" s="64"/>
      <c r="LR95" s="64"/>
      <c r="LS95" s="64"/>
      <c r="LT95" s="64"/>
      <c r="LU95" s="64"/>
      <c r="LV95" s="64"/>
      <c r="LW95" s="64"/>
      <c r="LX95" s="64"/>
      <c r="LY95" s="64"/>
      <c r="LZ95" s="64"/>
      <c r="MA95" s="64"/>
      <c r="MB95" s="64"/>
      <c r="MC95" s="64"/>
      <c r="MD95" s="64"/>
      <c r="ME95" s="64"/>
      <c r="MF95" s="64"/>
      <c r="MG95" s="64"/>
      <c r="MH95" s="64"/>
      <c r="MI95" s="64"/>
      <c r="MJ95" s="64"/>
      <c r="MK95" s="64"/>
      <c r="ML95" s="64"/>
      <c r="MM95" s="64"/>
      <c r="MN95" s="64"/>
      <c r="MO95" s="64"/>
      <c r="MP95" s="64"/>
      <c r="MQ95" s="64"/>
      <c r="MR95" s="64"/>
      <c r="MS95" s="64"/>
      <c r="MT95" s="64"/>
      <c r="MU95" s="64"/>
      <c r="MV95" s="64"/>
      <c r="MW95" s="64"/>
      <c r="MX95" s="64"/>
      <c r="MY95" s="64"/>
      <c r="MZ95" s="64"/>
      <c r="NA95" s="64"/>
      <c r="NB95" s="64"/>
      <c r="NC95" s="64"/>
      <c r="ND95" s="64"/>
      <c r="NE95" s="64"/>
      <c r="NF95" s="64"/>
      <c r="NG95" s="64"/>
      <c r="NH95" s="64"/>
      <c r="NI95" s="64"/>
      <c r="NJ95" s="64"/>
      <c r="NK95" s="64"/>
      <c r="NL95" s="64"/>
      <c r="NM95" s="64"/>
      <c r="NN95" s="64"/>
      <c r="NO95" s="64"/>
      <c r="NP95" s="64"/>
      <c r="NQ95" s="64"/>
      <c r="NR95" s="64"/>
      <c r="NS95" s="64"/>
      <c r="NT95" s="64"/>
      <c r="NU95" s="64"/>
      <c r="NV95" s="64"/>
      <c r="NW95" s="64"/>
      <c r="NX95" s="64"/>
      <c r="NY95" s="64"/>
      <c r="NZ95" s="64"/>
      <c r="OA95" s="64"/>
      <c r="OB95" s="64"/>
      <c r="OC95" s="64"/>
      <c r="OD95" s="64"/>
      <c r="OE95" s="64"/>
      <c r="OF95" s="64"/>
      <c r="OG95" s="64"/>
      <c r="OH95" s="64"/>
      <c r="OI95" s="64"/>
      <c r="OJ95" s="64"/>
      <c r="OK95" s="64"/>
      <c r="OL95" s="64"/>
    </row>
    <row r="96" spans="1:402" x14ac:dyDescent="0.3">
      <c r="A96" s="66"/>
      <c r="D96" s="83" t="s">
        <v>164</v>
      </c>
      <c r="E96" s="466">
        <f>IF(AND($F$2="No",$F$3="No"),SUM(I96:L96),IF(AND($F$2="Yes", $F$3="No"), SUM(I96:L96)+N96, IF(AND($F$2="No", $F$3="Yes"),SUM(I96:L96)+M96, SUM(I96:L96)+N96+M96)))</f>
        <v>40.97784022566745</v>
      </c>
      <c r="F96" s="89">
        <f>IF(AND($F$2="No",$F$3="No"),SUM(H96:L96,O96),IF(AND($F$2="Yes", $F$3="No"), SUM(H96:L96,O96)+N96, IF(AND($F$2="No", $F$3="Yes"),SUM(H96:L96,O96)+M96, SUM(H96:L96,O96)+N96+M96)))</f>
        <v>1595.7450016708726</v>
      </c>
      <c r="G96" s="491"/>
      <c r="H96" s="89">
        <f>'Input data meat and eggs'!S401*'Input data meat and eggs'!B48+'Input data meat and eggs'!T401*'Input data meat and eggs'!B47+'Input data meat and eggs'!U401*'Input data meat and eggs'!B35+'Input data meat and eggs'!V401*SUMPRODUCT('Input data meat and eggs'!B37:B46,'Input data meat and eggs'!F65:F74)</f>
        <v>1463.8199614452053</v>
      </c>
      <c r="I96" s="89">
        <v>0</v>
      </c>
      <c r="J96" s="89">
        <v>0</v>
      </c>
      <c r="K96" s="89">
        <v>0</v>
      </c>
      <c r="L96" s="89">
        <v>0</v>
      </c>
      <c r="M96" s="89">
        <f>('Input data meat and eggs'!S401+'Input data meat and eggs'!T401)*'Common input data'!F13+
'Input data meat and eggs'!U401*'Common input data'!B13+'Input data meat and eggs'!V401*('Input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f>
        <v>-127.62492155615416</v>
      </c>
      <c r="N96" s="89">
        <f>'Input data meat and eggs'!V401*('Input data meat and eggs'!F67*'Common input data'!B21*'Common input data'!G30/'Common input data'!F30+'Input data meat and eggs'!F71*'Common input data'!C21*'Common input data'!J31/'Common input data'!I31)</f>
        <v>168.60276178182161</v>
      </c>
      <c r="O96" s="89">
        <f>'Input data meat and eggs'!B82*'Common input data'!B63</f>
        <v>90.947200000000009</v>
      </c>
      <c r="P96" s="89">
        <f>('Input data meat and eggs'!B92*'Common input data'!B63+'Input data meat and eggs'!C92*3.6*'Common input data'!B49)*'Input data meat and eggs'!$F$401</f>
        <v>110.93048037735849</v>
      </c>
      <c r="Q96" s="85"/>
      <c r="R96" s="85"/>
      <c r="S96" s="85"/>
      <c r="T96" s="144"/>
    </row>
    <row r="97" spans="1:402" x14ac:dyDescent="0.3">
      <c r="A97" s="107"/>
      <c r="C97" s="84"/>
      <c r="D97" s="83" t="s">
        <v>165</v>
      </c>
      <c r="E97" s="466">
        <f>SUM(I97:L97)</f>
        <v>144.80339575924</v>
      </c>
      <c r="F97" s="89">
        <f>SUM(H97:L97,O97)</f>
        <v>146.56812697276717</v>
      </c>
      <c r="G97" s="491"/>
      <c r="H97" s="89">
        <f>'Input data meat and eggs'!S401*'Input data meat and eggs'!C48+'Input data meat and eggs'!T401*'Input data meat and eggs'!C47+'Input data meat and eggs'!U401*'Input data meat and eggs'!C35+'Input data meat and eggs'!V401*SUMPRODUCT('Input data meat and eggs'!C37:C46,'Input data meat and eggs'!F65:F74)</f>
        <v>1.7647312135271771</v>
      </c>
      <c r="I97" s="89">
        <v>0</v>
      </c>
      <c r="J97" s="89">
        <f>'Input data meat and eggs'!M401*'Input data meat and eggs'!G401/12*'Input data meat and eggs'!$B$450*'Input data meat and eggs'!$B$452*'Input data meat and eggs'!$B$453*
('Input data meat and eggs'!$O$401*'Input data meat and eggs'!$B$443
+'Input data meat and eggs'!$P$401*'Input data meat and eggs'!$C$443+
'Input data meat and eggs'!$Q$401*'Input data meat and eggs'!$D$443+
'Input data meat and eggs'!$R$401*'Input data meat and eggs'!$E$443)</f>
        <v>8.9833957592400022</v>
      </c>
      <c r="K97" s="89">
        <v>0</v>
      </c>
      <c r="L97" s="89">
        <f>'Input data meat and eggs'!L401*'Input data meat and eggs'!G401/12</f>
        <v>135.82</v>
      </c>
      <c r="M97" s="89">
        <v>0</v>
      </c>
      <c r="N97" s="89">
        <v>0</v>
      </c>
      <c r="O97" s="89">
        <v>0</v>
      </c>
      <c r="P97" s="89">
        <f>('Input data meat and eggs'!C92*3.6*'Common input data'!B50)*'Input data meat and eggs'!$F$401</f>
        <v>3.0067964150943399E-2</v>
      </c>
      <c r="Q97" s="85"/>
      <c r="R97" s="85"/>
      <c r="S97" s="85"/>
      <c r="T97" s="144"/>
    </row>
    <row r="98" spans="1:402" x14ac:dyDescent="0.3">
      <c r="A98" s="107"/>
      <c r="C98" s="85"/>
      <c r="D98" s="84" t="s">
        <v>166</v>
      </c>
      <c r="E98" s="466">
        <f>SUM(I98:L98)</f>
        <v>5.5811394907835554</v>
      </c>
      <c r="F98" s="89">
        <f>SUM(H98:L98,O98)</f>
        <v>7.0460334355717729</v>
      </c>
      <c r="G98" s="491"/>
      <c r="H98" s="89">
        <f>('Input data meat and eggs'!S401*'Input data meat and eggs'!D48+'Input data meat and eggs'!T401*'Input data meat and eggs'!D47+'Input data meat and eggs'!U401*'Input data meat and eggs'!D35+'Input data meat and eggs'!V401*SUMPRODUCT('Input data meat and eggs'!D37:D46,'Input data meat and eggs'!F65:F74))*'Input data meat and eggs'!B58</f>
        <v>1.464893944788217</v>
      </c>
      <c r="I98" s="89">
        <f>('Input data meat and eggs'!S401*'Input data meat and eggs'!D48+'Input data meat and eggs'!T401*'Input data meat and eggs'!D47+'Input data meat and eggs'!U401*'Input data meat and eggs'!D35+'Input data meat and eggs'!V401*SUMPRODUCT('Input data meat and eggs'!D37:D46,'Input data meat and eggs'!F65:F74))*'Input data meat and eggs'!C58</f>
        <v>3.7026614450692694</v>
      </c>
      <c r="J98" s="89">
        <f>'Input data meat and eggs'!K401*'Input data meat and eggs'!G401/12*('Input data meat and eggs'!$O$401*'Input data meat and eggs'!$B$445+'Input data meat and eggs'!$P$401*'Input data meat and eggs'!$C$445+'Input data meat and eggs'!$Q$401*'Input data meat and eggs'!$D$445+'Input data meat and eggs'!$R$401*'Input data meat and eggs'!$E$445)*44/28</f>
        <v>1.7262928571428571</v>
      </c>
      <c r="K98" s="89">
        <f>'Input data meat and eggs'!$B$446*44/28*'Input data meat and eggs'!K401*'Input data meat and eggs'!G401/12*('Input data meat and eggs'!O401*'Input data meat and eggs'!B457+'Input data meat and eggs'!P401*'Input data meat and eggs'!C457+'Input data meat and eggs'!Q401*'Input data meat and eggs'!D457)</f>
        <v>0.15218518857142863</v>
      </c>
      <c r="L98" s="89">
        <v>0</v>
      </c>
      <c r="M98" s="89">
        <v>0</v>
      </c>
      <c r="N98" s="89">
        <v>0</v>
      </c>
      <c r="O98" s="89">
        <v>0</v>
      </c>
      <c r="P98" s="89">
        <f>('Input data meat and eggs'!C92*3.6*'Common input data'!B51)*'Input data meat and eggs'!$F$401</f>
        <v>2.8030024358490562E-3</v>
      </c>
      <c r="Q98" s="85"/>
      <c r="R98" s="85"/>
      <c r="S98" s="85"/>
      <c r="T98" s="144"/>
    </row>
    <row r="99" spans="1:402" s="102" customFormat="1" x14ac:dyDescent="0.3">
      <c r="A99" s="498"/>
      <c r="B99" s="150" t="s">
        <v>704</v>
      </c>
      <c r="C99" s="153"/>
      <c r="D99" s="269" t="s">
        <v>473</v>
      </c>
      <c r="E99" s="464">
        <f>IF($F$1="GWP100 without fb",E100+E101*'Common input data'!$C$5+E102*'Common input data'!$D$5,IF($F$1="GWP100 with fb",E100+E101*'Common input data'!$C$6+E102*'Common input data'!$D$6,IF($F$1="GTP100 without fb",E100+E101*'Common input data'!$C$7+E102*'Common input data'!$D$7,IF($F$1="GTP100 with fb",E100+E101*'Common input data'!$C$8+E102*'Common input data'!$D$8,E100+E101*'Common input data'!$C$9+E102*'Common input data'!$D$9))))</f>
        <v>2514.7186610510194</v>
      </c>
      <c r="F99" s="465">
        <f>IF($F$1="GWP100 without fb",F100+F101*'Common input data'!$C$5+F102*'Common input data'!$D$5,IF($F$1="GWP100 with fb",F100+F101*'Common input data'!$C$6+F102*'Common input data'!$D$6,IF($F$1="GTP100 without fb",F100+F101*'Common input data'!$C$7+F102*'Common input data'!$D$7,IF($F$1="GTP100 with fb",F100+F101*'Common input data'!$C$8+F102*'Common input data'!$D$8,F100+F101*'Common input data'!$C$9+F102*'Common input data'!$D$9))))</f>
        <v>3417.7390303533616</v>
      </c>
      <c r="G99" s="510"/>
      <c r="H99" s="387"/>
      <c r="I99" s="387"/>
      <c r="J99" s="387"/>
      <c r="K99" s="387"/>
      <c r="L99" s="387"/>
      <c r="N99" s="387"/>
      <c r="O99" s="387"/>
      <c r="P99" s="387"/>
      <c r="Q99" s="104"/>
      <c r="R99" s="104"/>
      <c r="S99" s="104"/>
      <c r="T99" s="14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c r="GV99" s="64"/>
      <c r="GW99" s="64"/>
      <c r="GX99" s="64"/>
      <c r="GY99" s="64"/>
      <c r="GZ99" s="64"/>
      <c r="HA99" s="64"/>
      <c r="HB99" s="64"/>
      <c r="HC99" s="64"/>
      <c r="HD99" s="64"/>
      <c r="HE99" s="64"/>
      <c r="HF99" s="64"/>
      <c r="HG99" s="64"/>
      <c r="HH99" s="64"/>
      <c r="HI99" s="64"/>
      <c r="HJ99" s="64"/>
      <c r="HK99" s="64"/>
      <c r="HL99" s="64"/>
      <c r="HM99" s="64"/>
      <c r="HN99" s="64"/>
      <c r="HO99" s="64"/>
      <c r="HP99" s="64"/>
      <c r="HQ99" s="64"/>
      <c r="HR99" s="64"/>
      <c r="HS99" s="64"/>
      <c r="HT99" s="64"/>
      <c r="HU99" s="64"/>
      <c r="HV99" s="64"/>
      <c r="HW99" s="64"/>
      <c r="HX99" s="64"/>
      <c r="HY99" s="64"/>
      <c r="HZ99" s="64"/>
      <c r="IA99" s="64"/>
      <c r="IB99" s="64"/>
      <c r="IC99" s="64"/>
      <c r="ID99" s="64"/>
      <c r="IE99" s="64"/>
      <c r="IF99" s="64"/>
      <c r="IG99" s="64"/>
      <c r="IH99" s="64"/>
      <c r="II99" s="64"/>
      <c r="IJ99" s="64"/>
      <c r="IK99" s="64"/>
      <c r="IL99" s="64"/>
      <c r="IM99" s="64"/>
      <c r="IN99" s="64"/>
      <c r="IO99" s="64"/>
      <c r="IP99" s="64"/>
      <c r="IQ99" s="64"/>
      <c r="IR99" s="64"/>
      <c r="IS99" s="64"/>
      <c r="IT99" s="64"/>
      <c r="IU99" s="64"/>
      <c r="IV99" s="64"/>
      <c r="IW99" s="64"/>
      <c r="IX99" s="64"/>
      <c r="IY99" s="64"/>
      <c r="IZ99" s="64"/>
      <c r="JA99" s="64"/>
      <c r="JB99" s="64"/>
      <c r="JC99" s="64"/>
      <c r="JD99" s="64"/>
      <c r="JE99" s="64"/>
      <c r="JF99" s="64"/>
      <c r="JG99" s="64"/>
      <c r="JH99" s="64"/>
      <c r="JI99" s="64"/>
      <c r="JJ99" s="64"/>
      <c r="JK99" s="64"/>
      <c r="JL99" s="64"/>
      <c r="JM99" s="64"/>
      <c r="JN99" s="64"/>
      <c r="JO99" s="64"/>
      <c r="JP99" s="64"/>
      <c r="JQ99" s="64"/>
      <c r="JR99" s="64"/>
      <c r="JS99" s="64"/>
      <c r="JT99" s="64"/>
      <c r="JU99" s="64"/>
      <c r="JV99" s="64"/>
      <c r="JW99" s="64"/>
      <c r="JX99" s="64"/>
      <c r="JY99" s="64"/>
      <c r="JZ99" s="64"/>
      <c r="KA99" s="64"/>
      <c r="KB99" s="64"/>
      <c r="KC99" s="64"/>
      <c r="KD99" s="64"/>
      <c r="KE99" s="64"/>
      <c r="KF99" s="64"/>
      <c r="KG99" s="64"/>
      <c r="KH99" s="64"/>
      <c r="KI99" s="64"/>
      <c r="KJ99" s="64"/>
      <c r="KK99" s="64"/>
      <c r="KL99" s="64"/>
      <c r="KM99" s="64"/>
      <c r="KN99" s="64"/>
      <c r="KO99" s="64"/>
      <c r="KP99" s="64"/>
      <c r="KQ99" s="64"/>
      <c r="KR99" s="64"/>
      <c r="KS99" s="64"/>
      <c r="KT99" s="64"/>
      <c r="KU99" s="64"/>
      <c r="KV99" s="64"/>
      <c r="KW99" s="64"/>
      <c r="KX99" s="64"/>
      <c r="KY99" s="64"/>
      <c r="KZ99" s="64"/>
      <c r="LA99" s="64"/>
      <c r="LB99" s="64"/>
      <c r="LC99" s="64"/>
      <c r="LD99" s="64"/>
      <c r="LE99" s="64"/>
      <c r="LF99" s="64"/>
      <c r="LG99" s="64"/>
      <c r="LH99" s="64"/>
      <c r="LI99" s="64"/>
      <c r="LJ99" s="64"/>
      <c r="LK99" s="64"/>
      <c r="LL99" s="64"/>
      <c r="LM99" s="64"/>
      <c r="LN99" s="64"/>
      <c r="LO99" s="64"/>
      <c r="LP99" s="64"/>
      <c r="LQ99" s="64"/>
      <c r="LR99" s="64"/>
      <c r="LS99" s="64"/>
      <c r="LT99" s="64"/>
      <c r="LU99" s="64"/>
      <c r="LV99" s="64"/>
      <c r="LW99" s="64"/>
      <c r="LX99" s="64"/>
      <c r="LY99" s="64"/>
      <c r="LZ99" s="64"/>
      <c r="MA99" s="64"/>
      <c r="MB99" s="64"/>
      <c r="MC99" s="64"/>
      <c r="MD99" s="64"/>
      <c r="ME99" s="64"/>
      <c r="MF99" s="64"/>
      <c r="MG99" s="64"/>
      <c r="MH99" s="64"/>
      <c r="MI99" s="64"/>
      <c r="MJ99" s="64"/>
      <c r="MK99" s="64"/>
      <c r="ML99" s="64"/>
      <c r="MM99" s="64"/>
      <c r="MN99" s="64"/>
      <c r="MO99" s="64"/>
      <c r="MP99" s="64"/>
      <c r="MQ99" s="64"/>
      <c r="MR99" s="64"/>
      <c r="MS99" s="64"/>
      <c r="MT99" s="64"/>
      <c r="MU99" s="64"/>
      <c r="MV99" s="64"/>
      <c r="MW99" s="64"/>
      <c r="MX99" s="64"/>
      <c r="MY99" s="64"/>
      <c r="MZ99" s="64"/>
      <c r="NA99" s="64"/>
      <c r="NB99" s="64"/>
      <c r="NC99" s="64"/>
      <c r="ND99" s="64"/>
      <c r="NE99" s="64"/>
      <c r="NF99" s="64"/>
      <c r="NG99" s="64"/>
      <c r="NH99" s="64"/>
      <c r="NI99" s="64"/>
      <c r="NJ99" s="64"/>
      <c r="NK99" s="64"/>
      <c r="NL99" s="64"/>
      <c r="NM99" s="64"/>
      <c r="NN99" s="64"/>
      <c r="NO99" s="64"/>
      <c r="NP99" s="64"/>
      <c r="NQ99" s="64"/>
      <c r="NR99" s="64"/>
      <c r="NS99" s="64"/>
      <c r="NT99" s="64"/>
      <c r="NU99" s="64"/>
      <c r="NV99" s="64"/>
      <c r="NW99" s="64"/>
      <c r="NX99" s="64"/>
      <c r="NY99" s="64"/>
      <c r="NZ99" s="64"/>
      <c r="OA99" s="64"/>
      <c r="OB99" s="64"/>
      <c r="OC99" s="64"/>
      <c r="OD99" s="64"/>
      <c r="OE99" s="64"/>
      <c r="OF99" s="64"/>
      <c r="OG99" s="64"/>
      <c r="OH99" s="64"/>
      <c r="OI99" s="64"/>
      <c r="OJ99" s="64"/>
      <c r="OK99" s="64"/>
      <c r="OL99" s="64"/>
    </row>
    <row r="100" spans="1:402" x14ac:dyDescent="0.3">
      <c r="A100" s="107"/>
      <c r="D100" s="83" t="s">
        <v>164</v>
      </c>
      <c r="E100" s="466">
        <f>IF(AND($F$2="No",$F$3="No"),SUM(I100:L100),IF(AND($F$2="Yes", $F$3="No"), SUM(I100:L100)+N100, IF(AND($F$2="No", $F$3="Yes"),SUM(I100:L100)+M100, SUM(I100:L100)+N100+M100)))</f>
        <v>-390.13488738786543</v>
      </c>
      <c r="F100" s="89">
        <f>IF(AND($F$2="No",$F$3="No"),SUM(H100:L100,O100),IF(AND($F$2="Yes", $F$3="No"), SUM(H100:L100,O100)+N100, IF(AND($F$2="No", $F$3="Yes"),SUM(H100:L100,O100)+M100, SUM(H100:L100,O100)+N100+M100)))</f>
        <v>340.04937424792183</v>
      </c>
      <c r="G100" s="491"/>
      <c r="H100" s="89">
        <f>'Input data meat and eggs'!S402*'Input data meat and eggs'!B48+'Input data meat and eggs'!T402*'Input data meat and eggs'!B47+'Input data meat and eggs'!U402*'Input data meat and eggs'!B35+'Input data meat and eggs'!V402*SUMPRODUCT('Input data meat and eggs'!B37:B46,'Input data meat and eggs'!F65:F74)</f>
        <v>520.04758413578725</v>
      </c>
      <c r="I100" s="89">
        <v>0</v>
      </c>
      <c r="J100" s="89">
        <v>0</v>
      </c>
      <c r="K100" s="89">
        <v>0</v>
      </c>
      <c r="L100" s="89">
        <v>0</v>
      </c>
      <c r="M100" s="89">
        <f>('Input data meat and eggs'!S402+'Input data meat and eggs'!T402)*'Common input data'!F13+
'Input data meat and eggs'!U402*'Common input data'!B13+'Input data meat and eggs'!V402*('Input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f>
        <v>-394.5718021715976</v>
      </c>
      <c r="N100" s="89">
        <f>'Input data meat and eggs'!V402*('Input data meat and eggs'!F67*'Common input data'!B21*'Common input data'!G30/'Common input data'!F30+'Input data meat and eggs'!F71*'Common input data'!C21*'Common input data'!J31/'Common input data'!I31)</f>
        <v>4.4369147837321474</v>
      </c>
      <c r="O100" s="89">
        <f>('Input data meat and eggs'!B83*'Common input data'!B63)*'Input data meat and eggs'!F402</f>
        <v>210.13667750000002</v>
      </c>
      <c r="P100" s="89">
        <v>0</v>
      </c>
      <c r="Q100" s="85"/>
      <c r="R100" s="85"/>
      <c r="S100" s="85"/>
      <c r="T100" s="144"/>
    </row>
    <row r="101" spans="1:402" x14ac:dyDescent="0.3">
      <c r="A101" s="107"/>
      <c r="C101" s="84"/>
      <c r="D101" s="83" t="s">
        <v>165</v>
      </c>
      <c r="E101" s="466">
        <f>SUM(I101:L101)</f>
        <v>64.132225450933333</v>
      </c>
      <c r="F101" s="89">
        <f>SUM(H101:L101,O101)</f>
        <v>64.396567500226212</v>
      </c>
      <c r="G101" s="491"/>
      <c r="H101" s="89">
        <f>'Input data meat and eggs'!S402*'Input data meat and eggs'!C48+'Input data meat and eggs'!T402*'Input data meat and eggs'!C47+'Input data meat and eggs'!U402*'Input data meat and eggs'!C35+'Input data meat and eggs'!V402*SUMPRODUCT('Input data meat and eggs'!C37:C46,'Input data meat and eggs'!F65:F74)</f>
        <v>0.26434204929289279</v>
      </c>
      <c r="I101" s="89">
        <v>0</v>
      </c>
      <c r="J101" s="89">
        <f>'Input data meat and eggs'!M402*'Input data meat and eggs'!G402/12*'Input data meat and eggs'!$B$450*'Input data meat and eggs'!$B$452*'Input data meat and eggs'!$B$453*
('Input data meat and eggs'!$O$402*'Input data meat and eggs'!$B$443
+'Input data meat and eggs'!$P$402*'Input data meat and eggs'!$C$443+
'Input data meat and eggs'!$Q$402*'Input data meat and eggs'!$D$443+
'Input data meat and eggs'!$R$402*'Input data meat and eggs'!$E$443)</f>
        <v>4.8988921175999991</v>
      </c>
      <c r="K101" s="89">
        <v>0</v>
      </c>
      <c r="L101" s="89">
        <f>'Input data meat and eggs'!L402*'Input data meat and eggs'!G402/12</f>
        <v>59.233333333333327</v>
      </c>
      <c r="M101" s="89">
        <v>0</v>
      </c>
      <c r="N101" s="89">
        <v>0</v>
      </c>
      <c r="O101" s="89">
        <v>0</v>
      </c>
      <c r="P101" s="89">
        <v>0</v>
      </c>
      <c r="Q101" s="85"/>
      <c r="R101" s="85"/>
      <c r="S101" s="85"/>
      <c r="T101" s="144"/>
    </row>
    <row r="102" spans="1:402" x14ac:dyDescent="0.3">
      <c r="A102" s="107"/>
      <c r="C102" s="85"/>
      <c r="D102" s="84" t="s">
        <v>166</v>
      </c>
      <c r="E102" s="466">
        <f>SUM(I102:L102)</f>
        <v>2.430731151366281</v>
      </c>
      <c r="F102" s="89">
        <f>SUM(H102:L102,O102)</f>
        <v>2.9805582587172785</v>
      </c>
      <c r="G102" s="491"/>
      <c r="H102" s="89">
        <f>('Input data meat and eggs'!S402*'Input data meat and eggs'!D48+'Input data meat and eggs'!T402*'Input data meat and eggs'!D47+'Input data meat and eggs'!U402*'Input data meat and eggs'!D35+'Input data meat and eggs'!V402*SUMPRODUCT('Input data meat and eggs'!D37:D46,'Input data meat and eggs'!F65:F74))*'Input data meat and eggs'!B58</f>
        <v>0.5498271073509976</v>
      </c>
      <c r="I102" s="89">
        <f>('Input data meat and eggs'!S402*'Input data meat and eggs'!D48+'Input data meat and eggs'!T402*'Input data meat and eggs'!D47+'Input data meat and eggs'!U402*'Input data meat and eggs'!D35+'Input data meat and eggs'!V402*SUMPRODUCT('Input data meat and eggs'!D37:D46,'Input data meat and eggs'!F65:F74))*'Input data meat and eggs'!C58</f>
        <v>1.3897413113662809</v>
      </c>
      <c r="J102" s="89">
        <f>'Input data meat and eggs'!K402*'Input data meat and eggs'!G402/12*('Input data meat and eggs'!$O$402*'Input data meat and eggs'!$B$445+'Input data meat and eggs'!$P$402*'Input data meat and eggs'!$C$445+'Input data meat and eggs'!$Q$402*'Input data meat and eggs'!$D$445+'Input data meat and eggs'!$R$402*'Input data meat and eggs'!$E$445)*44/28</f>
        <v>0.96752857142857152</v>
      </c>
      <c r="K102" s="89">
        <f>'Input data meat and eggs'!$B$446*44/28*'Input data meat and eggs'!K402*'Input data meat and eggs'!G402/12*('Input data meat and eggs'!O402*'Input data meat and eggs'!B457+'Input data meat and eggs'!P402*'Input data meat and eggs'!C457+'Input data meat and eggs'!Q402*'Input data meat and eggs'!D457)</f>
        <v>7.3461268571428595E-2</v>
      </c>
      <c r="L102" s="89">
        <v>0</v>
      </c>
      <c r="M102" s="89">
        <v>0</v>
      </c>
      <c r="N102" s="89">
        <v>0</v>
      </c>
      <c r="O102" s="89">
        <v>0</v>
      </c>
      <c r="P102" s="89">
        <v>0</v>
      </c>
      <c r="Q102" s="85"/>
      <c r="R102" s="85"/>
      <c r="S102" s="85"/>
      <c r="T102" s="144"/>
    </row>
    <row r="103" spans="1:402" s="102" customFormat="1" x14ac:dyDescent="0.3">
      <c r="A103" s="498"/>
      <c r="B103" s="111" t="s">
        <v>686</v>
      </c>
      <c r="C103" s="104"/>
      <c r="D103" s="269" t="s">
        <v>473</v>
      </c>
      <c r="E103" s="464">
        <f>IF($F$1="GWP100 without fb",E104+E105*'Common input data'!$C$5+E106*'Common input data'!$D$5,IF($F$1="GWP100 with fb",E104+E105*'Common input data'!$C$6+E106*'Common input data'!$D$6,IF($F$1="GTP100 without fb",E104+E105*'Common input data'!$C$7+E106*'Common input data'!$D$7,IF($F$1="GTP100 with fb",E104+E105*'Common input data'!$C$8+E106*'Common input data'!$D$8,E104+E105*'Common input data'!$C$9+E106*'Common input data'!$D$9))))</f>
        <v>2978762340.1419868</v>
      </c>
      <c r="F103" s="465">
        <f>IF($F$1="GWP100 without fb",F104+F105*'Common input data'!$C$5+F106*'Common input data'!$D$5,IF($F$1="GWP100 with fb",F104+F105*'Common input data'!$C$6+F106*'Common input data'!$D$6,IF($F$1="GTP100 without fb",F104+F105*'Common input data'!$C$7+F106*'Common input data'!$D$7,IF($F$1="GTP100 with fb",F104+F105*'Common input data'!$C$8+F106*'Common input data'!$D$8,F104+F105*'Common input data'!$C$9+F106*'Common input data'!$D$9))))</f>
        <v>3930866217.7476377</v>
      </c>
      <c r="G103" s="510"/>
      <c r="H103" s="387"/>
      <c r="I103" s="387"/>
      <c r="J103" s="387"/>
      <c r="K103" s="387"/>
      <c r="L103" s="387"/>
      <c r="M103" s="387"/>
      <c r="N103" s="387"/>
      <c r="O103" s="387"/>
      <c r="P103" s="387"/>
      <c r="Q103" s="104"/>
      <c r="R103" s="104"/>
      <c r="S103" s="104"/>
      <c r="T103" s="14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c r="BV103" s="64"/>
      <c r="BW103" s="64"/>
      <c r="BX103" s="64"/>
      <c r="BY103" s="64"/>
      <c r="BZ103" s="64"/>
      <c r="CA103" s="64"/>
      <c r="CB103" s="64"/>
      <c r="CC103" s="64"/>
      <c r="CD103" s="64"/>
      <c r="CE103" s="64"/>
      <c r="CF103" s="64"/>
      <c r="CG103" s="64"/>
      <c r="CH103" s="64"/>
      <c r="CI103" s="64"/>
      <c r="CJ103" s="64"/>
      <c r="CK103" s="64"/>
      <c r="CL103" s="64"/>
      <c r="CM103" s="64"/>
      <c r="CN103" s="64"/>
      <c r="CO103" s="64"/>
      <c r="CP103" s="64"/>
      <c r="CQ103" s="64"/>
      <c r="CR103" s="64"/>
      <c r="CS103" s="64"/>
      <c r="CT103" s="64"/>
      <c r="CU103" s="64"/>
      <c r="CV103" s="64"/>
      <c r="CW103" s="64"/>
      <c r="CX103" s="64"/>
      <c r="CY103" s="64"/>
      <c r="CZ103" s="64"/>
      <c r="DA103" s="64"/>
      <c r="DB103" s="64"/>
      <c r="DC103" s="64"/>
      <c r="DD103" s="64"/>
      <c r="DE103" s="64"/>
      <c r="DF103" s="64"/>
      <c r="DG103" s="64"/>
      <c r="DH103" s="64"/>
      <c r="DI103" s="64"/>
      <c r="DJ103" s="64"/>
      <c r="DK103" s="64"/>
      <c r="DL103" s="64"/>
      <c r="DM103" s="64"/>
      <c r="DN103" s="64"/>
      <c r="DO103" s="64"/>
      <c r="DP103" s="64"/>
      <c r="DQ103" s="64"/>
      <c r="DR103" s="64"/>
      <c r="DS103" s="64"/>
      <c r="DT103" s="64"/>
      <c r="DU103" s="64"/>
      <c r="DV103" s="64"/>
      <c r="DW103" s="64"/>
      <c r="DX103" s="64"/>
      <c r="DY103" s="64"/>
      <c r="DZ103" s="64"/>
      <c r="EA103" s="64"/>
      <c r="EB103" s="64"/>
      <c r="EC103" s="64"/>
      <c r="ED103" s="64"/>
      <c r="EE103" s="64"/>
      <c r="EF103" s="64"/>
      <c r="EG103" s="64"/>
      <c r="EH103" s="64"/>
      <c r="EI103" s="64"/>
      <c r="EJ103" s="64"/>
      <c r="EK103" s="64"/>
      <c r="EL103" s="64"/>
      <c r="EM103" s="64"/>
      <c r="EN103" s="64"/>
      <c r="EO103" s="64"/>
      <c r="EP103" s="64"/>
      <c r="EQ103" s="64"/>
      <c r="ER103" s="64"/>
      <c r="ES103" s="64"/>
      <c r="ET103" s="64"/>
      <c r="EU103" s="64"/>
      <c r="EV103" s="64"/>
      <c r="EW103" s="64"/>
      <c r="EX103" s="64"/>
      <c r="EY103" s="64"/>
      <c r="EZ103" s="64"/>
      <c r="FA103" s="64"/>
      <c r="FB103" s="64"/>
      <c r="FC103" s="64"/>
      <c r="FD103" s="64"/>
      <c r="FE103" s="64"/>
      <c r="FF103" s="64"/>
      <c r="FG103" s="64"/>
      <c r="FH103" s="64"/>
      <c r="FI103" s="64"/>
      <c r="FJ103" s="64"/>
      <c r="FK103" s="64"/>
      <c r="FL103" s="64"/>
      <c r="FM103" s="64"/>
      <c r="FN103" s="64"/>
      <c r="FO103" s="64"/>
      <c r="FP103" s="64"/>
      <c r="FQ103" s="64"/>
      <c r="FR103" s="64"/>
      <c r="FS103" s="64"/>
      <c r="FT103" s="64"/>
      <c r="FU103" s="64"/>
      <c r="FV103" s="64"/>
      <c r="FW103" s="64"/>
      <c r="FX103" s="64"/>
      <c r="FY103" s="64"/>
      <c r="FZ103" s="64"/>
      <c r="GA103" s="64"/>
      <c r="GB103" s="64"/>
      <c r="GC103" s="64"/>
      <c r="GD103" s="64"/>
      <c r="GE103" s="64"/>
      <c r="GF103" s="64"/>
      <c r="GG103" s="64"/>
      <c r="GH103" s="64"/>
      <c r="GI103" s="64"/>
      <c r="GJ103" s="64"/>
      <c r="GK103" s="64"/>
      <c r="GL103" s="64"/>
      <c r="GM103" s="64"/>
      <c r="GN103" s="64"/>
      <c r="GO103" s="64"/>
      <c r="GP103" s="64"/>
      <c r="GQ103" s="64"/>
      <c r="GR103" s="64"/>
      <c r="GS103" s="64"/>
      <c r="GT103" s="64"/>
      <c r="GU103" s="64"/>
      <c r="GV103" s="64"/>
      <c r="GW103" s="64"/>
      <c r="GX103" s="64"/>
      <c r="GY103" s="64"/>
      <c r="GZ103" s="64"/>
      <c r="HA103" s="64"/>
      <c r="HB103" s="64"/>
      <c r="HC103" s="64"/>
      <c r="HD103" s="64"/>
      <c r="HE103" s="64"/>
      <c r="HF103" s="64"/>
      <c r="HG103" s="64"/>
      <c r="HH103" s="64"/>
      <c r="HI103" s="64"/>
      <c r="HJ103" s="64"/>
      <c r="HK103" s="64"/>
      <c r="HL103" s="64"/>
      <c r="HM103" s="64"/>
      <c r="HN103" s="64"/>
      <c r="HO103" s="64"/>
      <c r="HP103" s="64"/>
      <c r="HQ103" s="64"/>
      <c r="HR103" s="64"/>
      <c r="HS103" s="64"/>
      <c r="HT103" s="64"/>
      <c r="HU103" s="64"/>
      <c r="HV103" s="64"/>
      <c r="HW103" s="64"/>
      <c r="HX103" s="64"/>
      <c r="HY103" s="64"/>
      <c r="HZ103" s="64"/>
      <c r="IA103" s="64"/>
      <c r="IB103" s="64"/>
      <c r="IC103" s="64"/>
      <c r="ID103" s="64"/>
      <c r="IE103" s="64"/>
      <c r="IF103" s="64"/>
      <c r="IG103" s="64"/>
      <c r="IH103" s="64"/>
      <c r="II103" s="64"/>
      <c r="IJ103" s="64"/>
      <c r="IK103" s="64"/>
      <c r="IL103" s="64"/>
      <c r="IM103" s="64"/>
      <c r="IN103" s="64"/>
      <c r="IO103" s="64"/>
      <c r="IP103" s="64"/>
      <c r="IQ103" s="64"/>
      <c r="IR103" s="64"/>
      <c r="IS103" s="64"/>
      <c r="IT103" s="64"/>
      <c r="IU103" s="64"/>
      <c r="IV103" s="64"/>
      <c r="IW103" s="64"/>
      <c r="IX103" s="64"/>
      <c r="IY103" s="64"/>
      <c r="IZ103" s="64"/>
      <c r="JA103" s="64"/>
      <c r="JB103" s="64"/>
      <c r="JC103" s="64"/>
      <c r="JD103" s="64"/>
      <c r="JE103" s="64"/>
      <c r="JF103" s="64"/>
      <c r="JG103" s="64"/>
      <c r="JH103" s="64"/>
      <c r="JI103" s="64"/>
      <c r="JJ103" s="64"/>
      <c r="JK103" s="64"/>
      <c r="JL103" s="64"/>
      <c r="JM103" s="64"/>
      <c r="JN103" s="64"/>
      <c r="JO103" s="64"/>
      <c r="JP103" s="64"/>
      <c r="JQ103" s="64"/>
      <c r="JR103" s="64"/>
      <c r="JS103" s="64"/>
      <c r="JT103" s="64"/>
      <c r="JU103" s="64"/>
      <c r="JV103" s="64"/>
      <c r="JW103" s="64"/>
      <c r="JX103" s="64"/>
      <c r="JY103" s="64"/>
      <c r="JZ103" s="64"/>
      <c r="KA103" s="64"/>
      <c r="KB103" s="64"/>
      <c r="KC103" s="64"/>
      <c r="KD103" s="64"/>
      <c r="KE103" s="64"/>
      <c r="KF103" s="64"/>
      <c r="KG103" s="64"/>
      <c r="KH103" s="64"/>
      <c r="KI103" s="64"/>
      <c r="KJ103" s="64"/>
      <c r="KK103" s="64"/>
      <c r="KL103" s="64"/>
      <c r="KM103" s="64"/>
      <c r="KN103" s="64"/>
      <c r="KO103" s="64"/>
      <c r="KP103" s="64"/>
      <c r="KQ103" s="64"/>
      <c r="KR103" s="64"/>
      <c r="KS103" s="64"/>
      <c r="KT103" s="64"/>
      <c r="KU103" s="64"/>
      <c r="KV103" s="64"/>
      <c r="KW103" s="64"/>
      <c r="KX103" s="64"/>
      <c r="KY103" s="64"/>
      <c r="KZ103" s="64"/>
      <c r="LA103" s="64"/>
      <c r="LB103" s="64"/>
      <c r="LC103" s="64"/>
      <c r="LD103" s="64"/>
      <c r="LE103" s="64"/>
      <c r="LF103" s="64"/>
      <c r="LG103" s="64"/>
      <c r="LH103" s="64"/>
      <c r="LI103" s="64"/>
      <c r="LJ103" s="64"/>
      <c r="LK103" s="64"/>
      <c r="LL103" s="64"/>
      <c r="LM103" s="64"/>
      <c r="LN103" s="64"/>
      <c r="LO103" s="64"/>
      <c r="LP103" s="64"/>
      <c r="LQ103" s="64"/>
      <c r="LR103" s="64"/>
      <c r="LS103" s="64"/>
      <c r="LT103" s="64"/>
      <c r="LU103" s="64"/>
      <c r="LV103" s="64"/>
      <c r="LW103" s="64"/>
      <c r="LX103" s="64"/>
      <c r="LY103" s="64"/>
      <c r="LZ103" s="64"/>
      <c r="MA103" s="64"/>
      <c r="MB103" s="64"/>
      <c r="MC103" s="64"/>
      <c r="MD103" s="64"/>
      <c r="ME103" s="64"/>
      <c r="MF103" s="64"/>
      <c r="MG103" s="64"/>
      <c r="MH103" s="64"/>
      <c r="MI103" s="64"/>
      <c r="MJ103" s="64"/>
      <c r="MK103" s="64"/>
      <c r="ML103" s="64"/>
      <c r="MM103" s="64"/>
      <c r="MN103" s="64"/>
      <c r="MO103" s="64"/>
      <c r="MP103" s="64"/>
      <c r="MQ103" s="64"/>
      <c r="MR103" s="64"/>
      <c r="MS103" s="64"/>
      <c r="MT103" s="64"/>
      <c r="MU103" s="64"/>
      <c r="MV103" s="64"/>
      <c r="MW103" s="64"/>
      <c r="MX103" s="64"/>
      <c r="MY103" s="64"/>
      <c r="MZ103" s="64"/>
      <c r="NA103" s="64"/>
      <c r="NB103" s="64"/>
      <c r="NC103" s="64"/>
      <c r="ND103" s="64"/>
      <c r="NE103" s="64"/>
      <c r="NF103" s="64"/>
      <c r="NG103" s="64"/>
      <c r="NH103" s="64"/>
      <c r="NI103" s="64"/>
      <c r="NJ103" s="64"/>
      <c r="NK103" s="64"/>
      <c r="NL103" s="64"/>
      <c r="NM103" s="64"/>
      <c r="NN103" s="64"/>
      <c r="NO103" s="64"/>
      <c r="NP103" s="64"/>
      <c r="NQ103" s="64"/>
      <c r="NR103" s="64"/>
      <c r="NS103" s="64"/>
      <c r="NT103" s="64"/>
      <c r="NU103" s="64"/>
      <c r="NV103" s="64"/>
      <c r="NW103" s="64"/>
      <c r="NX103" s="64"/>
      <c r="NY103" s="64"/>
      <c r="NZ103" s="64"/>
      <c r="OA103" s="64"/>
      <c r="OB103" s="64"/>
      <c r="OC103" s="64"/>
      <c r="OD103" s="64"/>
      <c r="OE103" s="64"/>
      <c r="OF103" s="64"/>
      <c r="OG103" s="64"/>
      <c r="OH103" s="64"/>
      <c r="OI103" s="64"/>
      <c r="OJ103" s="64"/>
      <c r="OK103" s="64"/>
      <c r="OL103" s="64"/>
    </row>
    <row r="104" spans="1:402" x14ac:dyDescent="0.3">
      <c r="A104" s="107"/>
      <c r="C104" s="85"/>
      <c r="D104" s="83" t="s">
        <v>164</v>
      </c>
      <c r="E104" s="466">
        <f>IF(AND($F$2="No",$F$3="No"),SUM(I104:L104),IF(AND($F$2="Yes", $F$3="No"), SUM(I104:L104)+N104, IF(AND($F$2="No", $F$3="Yes"),SUM(I104:L104)+M104, SUM(I104:L104)+N104+M104)))</f>
        <v>-79623823.77556999</v>
      </c>
      <c r="F104" s="89">
        <f>IF(AND($F$2="No",$F$3="No"),SUM(H104:L104,O104),IF(AND($F$2="Yes", $F$3="No"), SUM(H104:L104,O104)+N104, IF(AND($F$2="No", $F$3="Yes"),SUM(H104:L104,O104)+M104, SUM(H104:L104,O104)+N104+M104)))</f>
        <v>653069949.46834123</v>
      </c>
      <c r="G104" s="491"/>
      <c r="H104" s="89">
        <f>H96*'Input data meat and eggs'!$C$401+H100*'Input data meat and eggs'!$C$402</f>
        <v>649372940.1934551</v>
      </c>
      <c r="I104" s="89">
        <f>I96*'Input data meat and eggs'!$C$401+I100*'Input data meat and eggs'!$C$402</f>
        <v>0</v>
      </c>
      <c r="J104" s="89">
        <f>J96*'Input data meat and eggs'!$C$401+J100*'Input data meat and eggs'!$C$402</f>
        <v>0</v>
      </c>
      <c r="K104" s="89">
        <f>K96*'Input data meat and eggs'!$C$401+K100*'Input data meat and eggs'!$C$402</f>
        <v>0</v>
      </c>
      <c r="L104" s="89">
        <f>L96*'Input data meat and eggs'!$C$401+L100*'Input data meat and eggs'!$C$402</f>
        <v>0</v>
      </c>
      <c r="M104" s="89">
        <f>M96*'Input data meat and eggs'!$C$401+M100*'Input data meat and eggs'!$C$402</f>
        <v>-141015040.35943648</v>
      </c>
      <c r="N104" s="89">
        <f>N96*'Input data meat and eggs'!$C$401+N100*'Input data meat and eggs'!$C$402</f>
        <v>61391216.583866492</v>
      </c>
      <c r="O104" s="89">
        <f>O96*'Input data meat and eggs'!$C$401+O100*'Input data meat and eggs'!$C$402</f>
        <v>83320833.050456122</v>
      </c>
      <c r="P104" s="89">
        <f>P96*'Input data meat and eggs'!$E$401+P100*'Input data meat and eggs'!$E$402</f>
        <v>11114834.784081962</v>
      </c>
      <c r="Q104" s="85"/>
      <c r="R104" s="85"/>
      <c r="S104" s="85"/>
      <c r="T104" s="144"/>
    </row>
    <row r="105" spans="1:402" x14ac:dyDescent="0.3">
      <c r="A105" s="107"/>
      <c r="C105" s="85"/>
      <c r="D105" s="83" t="s">
        <v>165</v>
      </c>
      <c r="E105" s="466">
        <f>SUM(I105:L105)</f>
        <v>67303384.487600505</v>
      </c>
      <c r="F105" s="89">
        <f>SUM(H105:L105,O105)</f>
        <v>67998614.363931358</v>
      </c>
      <c r="G105" s="491"/>
      <c r="H105" s="89">
        <f>H97*'Input data meat and eggs'!$C$401+H101*'Input data meat and eggs'!$C$402</f>
        <v>695229.87633084913</v>
      </c>
      <c r="I105" s="89">
        <f>I97*'Input data meat and eggs'!$C$401+I101*'Input data meat and eggs'!$C$402</f>
        <v>0</v>
      </c>
      <c r="J105" s="89">
        <f>J97*'Input data meat and eggs'!$C$401+J101*'Input data meat and eggs'!$C$402</f>
        <v>4397795.6434693802</v>
      </c>
      <c r="K105" s="89">
        <f>K97*'Input data meat and eggs'!$C$401+K101*'Input data meat and eggs'!$C$402</f>
        <v>0</v>
      </c>
      <c r="L105" s="89">
        <f>L97*'Input data meat and eggs'!$C$401+L101*'Input data meat and eggs'!$C$402</f>
        <v>62905588.844131127</v>
      </c>
      <c r="M105" s="89">
        <f>M97*'Input data meat and eggs'!$C$401+M101*'Input data meat and eggs'!$C$402</f>
        <v>0</v>
      </c>
      <c r="N105" s="89">
        <f>N97*'Input data meat and eggs'!$C$401+N101*'Input data meat and eggs'!$C$402</f>
        <v>0</v>
      </c>
      <c r="O105" s="89">
        <f>O97*'Input data meat and eggs'!$C$401+O101*'Input data meat and eggs'!$C$402</f>
        <v>0</v>
      </c>
      <c r="P105" s="89">
        <f>P97*'Input data meat and eggs'!$E$401+P101*'Input data meat and eggs'!$E$402</f>
        <v>3012.7017632535849</v>
      </c>
      <c r="Q105" s="85"/>
      <c r="R105" s="85"/>
      <c r="S105" s="85"/>
      <c r="T105" s="144"/>
    </row>
    <row r="106" spans="1:402" x14ac:dyDescent="0.3">
      <c r="A106" s="107"/>
      <c r="C106" s="85"/>
      <c r="D106" s="84" t="s">
        <v>166</v>
      </c>
      <c r="E106" s="466">
        <f>SUM(I106:L106)</f>
        <v>2584131.1789903999</v>
      </c>
      <c r="F106" s="89">
        <f>SUM(H106:L106,O106)</f>
        <v>3241085.1674685567</v>
      </c>
      <c r="G106" s="491"/>
      <c r="H106" s="89">
        <f>H98*'Input data meat and eggs'!$C$401+H102*'Input data meat and eggs'!$C$402</f>
        <v>656953.98847815697</v>
      </c>
      <c r="I106" s="89">
        <f>I98*'Input data meat and eggs'!$C$401+I102*'Input data meat and eggs'!$C$402</f>
        <v>1660514.8877683578</v>
      </c>
      <c r="J106" s="89">
        <f>J98*'Input data meat and eggs'!$C$401+J102*'Input data meat and eggs'!$C$402</f>
        <v>851417.46163458214</v>
      </c>
      <c r="K106" s="89">
        <f>K98*'Input data meat and eggs'!$C$401+K102*'Input data meat and eggs'!$C$402</f>
        <v>72198.829587460117</v>
      </c>
      <c r="L106" s="89">
        <f>L98*'Input data meat and eggs'!$C$401+L102*'Input data meat and eggs'!$C$402</f>
        <v>0</v>
      </c>
      <c r="M106" s="89">
        <f>M98*'Input data meat and eggs'!$C$401+M102*'Input data meat and eggs'!$C$402</f>
        <v>0</v>
      </c>
      <c r="N106" s="89">
        <f>N98*'Input data meat and eggs'!$C$401+N102*'Input data meat and eggs'!$C$402</f>
        <v>0</v>
      </c>
      <c r="O106" s="89">
        <f>O98*'Input data meat and eggs'!$C$401+O102*'Input data meat and eggs'!$C$402</f>
        <v>0</v>
      </c>
      <c r="P106" s="89">
        <f>P98*'Input data meat and eggs'!$E$401+P102*'Input data meat and eggs'!$E$402</f>
        <v>280.85075326330639</v>
      </c>
      <c r="Q106" s="85"/>
      <c r="R106" s="85"/>
      <c r="S106" s="85"/>
      <c r="T106" s="144"/>
    </row>
    <row r="107" spans="1:402" s="102" customFormat="1" x14ac:dyDescent="0.3">
      <c r="A107" s="498"/>
      <c r="B107" s="111" t="s">
        <v>687</v>
      </c>
      <c r="C107" s="104">
        <f>'Input data meat and eggs'!D5</f>
        <v>0.12282349568401872</v>
      </c>
      <c r="D107" s="269" t="s">
        <v>473</v>
      </c>
      <c r="E107" s="320">
        <f>IF($F$1="GWP100 without fb",E108+E109*'Common input data'!$C$5+E110*'Common input data'!$D$5,IF($F$1="GWP100 with fb",E108+E109*'Common input data'!$C$6+E110*'Common input data'!$D$6,IF($F$1="GTP100 without fb",E108+E109*'Common input data'!$C$7+E110*'Common input data'!$D$7,IF($F$1="GTP100 with fb",E108+E109*'Common input data'!$C$8+E110*'Common input data'!$D$8,E108+E109*'Common input data'!$C$9+E110*'Common input data'!$D$9))))</f>
        <v>7.40763372342479</v>
      </c>
      <c r="F107" s="302">
        <f>IF($F$1="GWP100 without fb",F108+F109*'Common input data'!$C$5+F110*'Common input data'!$D$5,IF($F$1="GWP100 with fb",F108+F109*'Common input data'!$C$6+F110*'Common input data'!$D$6,IF($F$1="GTP100 without fb",F108+F109*'Common input data'!$C$7+F110*'Common input data'!$D$7,IF($F$1="GTP100 with fb",F108+F109*'Common input data'!$C$8+F110*'Common input data'!$D$8,F108+F109*'Common input data'!$C$9+F110*'Common input data'!$D$9))))</f>
        <v>9.7753408402063666</v>
      </c>
      <c r="G107" s="321">
        <f>IF($F$1="GWP100 without fb",G108+G109*'Common input data'!$C$5+G110*'Common input data'!$D$5,IF($F$1="GWP100 with fb",G108+G109*'Common input data'!$C$6+G110*'Common input data'!$D$6,IF($F$1="GTP100 without fb",G108+G109*'Common input data'!$C$7+G110*'Common input data'!$D$7,IF($F$1="GTP100 with fb",G108+G109*'Common input data'!$C$8+G110*'Common input data'!$D$8,G108+G109*'Common input data'!$C$9+G110*'Common input data'!$D$9))))</f>
        <v>10.89193448278227</v>
      </c>
      <c r="H107" s="502"/>
      <c r="I107" s="502"/>
      <c r="J107" s="502"/>
      <c r="K107" s="502"/>
      <c r="L107" s="502"/>
      <c r="M107" s="502"/>
      <c r="N107" s="502"/>
      <c r="O107" s="502"/>
      <c r="P107" s="502"/>
      <c r="Q107" s="502"/>
      <c r="R107" s="502"/>
      <c r="S107" s="502"/>
      <c r="T107" s="107"/>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4"/>
      <c r="CA107" s="64"/>
      <c r="CB107" s="64"/>
      <c r="CC107" s="64"/>
      <c r="CD107" s="64"/>
      <c r="CE107" s="64"/>
      <c r="CF107" s="64"/>
      <c r="CG107" s="64"/>
      <c r="CH107" s="64"/>
      <c r="CI107" s="64"/>
      <c r="CJ107" s="64"/>
      <c r="CK107" s="64"/>
      <c r="CL107" s="64"/>
      <c r="CM107" s="64"/>
      <c r="CN107" s="64"/>
      <c r="CO107" s="64"/>
      <c r="CP107" s="64"/>
      <c r="CQ107" s="64"/>
      <c r="CR107" s="64"/>
      <c r="CS107" s="64"/>
      <c r="CT107" s="64"/>
      <c r="CU107" s="64"/>
      <c r="CV107" s="64"/>
      <c r="CW107" s="64"/>
      <c r="CX107" s="64"/>
      <c r="CY107" s="64"/>
      <c r="CZ107" s="64"/>
      <c r="DA107" s="64"/>
      <c r="DB107" s="64"/>
      <c r="DC107" s="64"/>
      <c r="DD107" s="64"/>
      <c r="DE107" s="64"/>
      <c r="DF107" s="64"/>
      <c r="DG107" s="64"/>
      <c r="DH107" s="64"/>
      <c r="DI107" s="64"/>
      <c r="DJ107" s="64"/>
      <c r="DK107" s="64"/>
      <c r="DL107" s="64"/>
      <c r="DM107" s="64"/>
      <c r="DN107" s="64"/>
      <c r="DO107" s="64"/>
      <c r="DP107" s="64"/>
      <c r="DQ107" s="64"/>
      <c r="DR107" s="64"/>
      <c r="DS107" s="64"/>
      <c r="DT107" s="64"/>
      <c r="DU107" s="64"/>
      <c r="DV107" s="64"/>
      <c r="DW107" s="64"/>
      <c r="DX107" s="64"/>
      <c r="DY107" s="64"/>
      <c r="DZ107" s="64"/>
      <c r="EA107" s="64"/>
      <c r="EB107" s="64"/>
      <c r="EC107" s="64"/>
      <c r="ED107" s="64"/>
      <c r="EE107" s="64"/>
      <c r="EF107" s="64"/>
      <c r="EG107" s="64"/>
      <c r="EH107" s="64"/>
      <c r="EI107" s="64"/>
      <c r="EJ107" s="64"/>
      <c r="EK107" s="64"/>
      <c r="EL107" s="64"/>
      <c r="EM107" s="64"/>
      <c r="EN107" s="64"/>
      <c r="EO107" s="64"/>
      <c r="EP107" s="64"/>
      <c r="EQ107" s="64"/>
      <c r="ER107" s="64"/>
      <c r="ES107" s="64"/>
      <c r="ET107" s="64"/>
      <c r="EU107" s="64"/>
      <c r="EV107" s="64"/>
      <c r="EW107" s="64"/>
      <c r="EX107" s="64"/>
      <c r="EY107" s="64"/>
      <c r="EZ107" s="64"/>
      <c r="FA107" s="64"/>
      <c r="FB107" s="64"/>
      <c r="FC107" s="64"/>
      <c r="FD107" s="64"/>
      <c r="FE107" s="64"/>
      <c r="FF107" s="64"/>
      <c r="FG107" s="64"/>
      <c r="FH107" s="64"/>
      <c r="FI107" s="64"/>
      <c r="FJ107" s="64"/>
      <c r="FK107" s="64"/>
      <c r="FL107" s="64"/>
      <c r="FM107" s="64"/>
      <c r="FN107" s="64"/>
      <c r="FO107" s="64"/>
      <c r="FP107" s="64"/>
      <c r="FQ107" s="64"/>
      <c r="FR107" s="64"/>
      <c r="FS107" s="64"/>
      <c r="FT107" s="64"/>
      <c r="FU107" s="64"/>
      <c r="FV107" s="64"/>
      <c r="FW107" s="64"/>
      <c r="FX107" s="64"/>
      <c r="FY107" s="64"/>
      <c r="FZ107" s="64"/>
      <c r="GA107" s="64"/>
      <c r="GB107" s="64"/>
      <c r="GC107" s="64"/>
      <c r="GD107" s="64"/>
      <c r="GE107" s="64"/>
      <c r="GF107" s="64"/>
      <c r="GG107" s="64"/>
      <c r="GH107" s="64"/>
      <c r="GI107" s="64"/>
      <c r="GJ107" s="64"/>
      <c r="GK107" s="64"/>
      <c r="GL107" s="64"/>
      <c r="GM107" s="64"/>
      <c r="GN107" s="64"/>
      <c r="GO107" s="64"/>
      <c r="GP107" s="64"/>
      <c r="GQ107" s="64"/>
      <c r="GR107" s="64"/>
      <c r="GS107" s="64"/>
      <c r="GT107" s="64"/>
      <c r="GU107" s="64"/>
      <c r="GV107" s="64"/>
      <c r="GW107" s="64"/>
      <c r="GX107" s="64"/>
      <c r="GY107" s="64"/>
      <c r="GZ107" s="64"/>
      <c r="HA107" s="64"/>
      <c r="HB107" s="64"/>
      <c r="HC107" s="64"/>
      <c r="HD107" s="64"/>
      <c r="HE107" s="64"/>
      <c r="HF107" s="64"/>
      <c r="HG107" s="64"/>
      <c r="HH107" s="64"/>
      <c r="HI107" s="64"/>
      <c r="HJ107" s="64"/>
      <c r="HK107" s="64"/>
      <c r="HL107" s="64"/>
      <c r="HM107" s="64"/>
      <c r="HN107" s="64"/>
      <c r="HO107" s="64"/>
      <c r="HP107" s="64"/>
      <c r="HQ107" s="64"/>
      <c r="HR107" s="64"/>
      <c r="HS107" s="64"/>
      <c r="HT107" s="64"/>
      <c r="HU107" s="64"/>
      <c r="HV107" s="64"/>
      <c r="HW107" s="64"/>
      <c r="HX107" s="64"/>
      <c r="HY107" s="64"/>
      <c r="HZ107" s="64"/>
      <c r="IA107" s="64"/>
      <c r="IB107" s="64"/>
      <c r="IC107" s="64"/>
      <c r="ID107" s="64"/>
      <c r="IE107" s="64"/>
      <c r="IF107" s="64"/>
      <c r="IG107" s="64"/>
      <c r="IH107" s="64"/>
      <c r="II107" s="64"/>
      <c r="IJ107" s="64"/>
      <c r="IK107" s="64"/>
      <c r="IL107" s="64"/>
      <c r="IM107" s="64"/>
      <c r="IN107" s="64"/>
      <c r="IO107" s="64"/>
      <c r="IP107" s="64"/>
      <c r="IQ107" s="64"/>
      <c r="IR107" s="64"/>
      <c r="IS107" s="64"/>
      <c r="IT107" s="64"/>
      <c r="IU107" s="64"/>
      <c r="IV107" s="64"/>
      <c r="IW107" s="64"/>
      <c r="IX107" s="64"/>
      <c r="IY107" s="64"/>
      <c r="IZ107" s="64"/>
      <c r="JA107" s="64"/>
      <c r="JB107" s="64"/>
      <c r="JC107" s="64"/>
      <c r="JD107" s="64"/>
      <c r="JE107" s="64"/>
      <c r="JF107" s="64"/>
      <c r="JG107" s="64"/>
      <c r="JH107" s="64"/>
      <c r="JI107" s="64"/>
      <c r="JJ107" s="64"/>
      <c r="JK107" s="64"/>
      <c r="JL107" s="64"/>
      <c r="JM107" s="64"/>
      <c r="JN107" s="64"/>
      <c r="JO107" s="64"/>
      <c r="JP107" s="64"/>
      <c r="JQ107" s="64"/>
      <c r="JR107" s="64"/>
      <c r="JS107" s="64"/>
      <c r="JT107" s="64"/>
      <c r="JU107" s="64"/>
      <c r="JV107" s="64"/>
      <c r="JW107" s="64"/>
      <c r="JX107" s="64"/>
      <c r="JY107" s="64"/>
      <c r="JZ107" s="64"/>
      <c r="KA107" s="64"/>
      <c r="KB107" s="64"/>
      <c r="KC107" s="64"/>
      <c r="KD107" s="64"/>
      <c r="KE107" s="64"/>
      <c r="KF107" s="64"/>
      <c r="KG107" s="64"/>
      <c r="KH107" s="64"/>
      <c r="KI107" s="64"/>
      <c r="KJ107" s="64"/>
      <c r="KK107" s="64"/>
      <c r="KL107" s="64"/>
      <c r="KM107" s="64"/>
      <c r="KN107" s="64"/>
      <c r="KO107" s="64"/>
      <c r="KP107" s="64"/>
      <c r="KQ107" s="64"/>
      <c r="KR107" s="64"/>
      <c r="KS107" s="64"/>
      <c r="KT107" s="64"/>
      <c r="KU107" s="64"/>
      <c r="KV107" s="64"/>
      <c r="KW107" s="64"/>
      <c r="KX107" s="64"/>
      <c r="KY107" s="64"/>
      <c r="KZ107" s="64"/>
      <c r="LA107" s="64"/>
      <c r="LB107" s="64"/>
      <c r="LC107" s="64"/>
      <c r="LD107" s="64"/>
      <c r="LE107" s="64"/>
      <c r="LF107" s="64"/>
      <c r="LG107" s="64"/>
      <c r="LH107" s="64"/>
      <c r="LI107" s="64"/>
      <c r="LJ107" s="64"/>
      <c r="LK107" s="64"/>
      <c r="LL107" s="64"/>
      <c r="LM107" s="64"/>
      <c r="LN107" s="64"/>
      <c r="LO107" s="64"/>
      <c r="LP107" s="64"/>
      <c r="LQ107" s="64"/>
      <c r="LR107" s="64"/>
      <c r="LS107" s="64"/>
      <c r="LT107" s="64"/>
      <c r="LU107" s="64"/>
      <c r="LV107" s="64"/>
      <c r="LW107" s="64"/>
      <c r="LX107" s="64"/>
      <c r="LY107" s="64"/>
      <c r="LZ107" s="64"/>
      <c r="MA107" s="64"/>
      <c r="MB107" s="64"/>
      <c r="MC107" s="64"/>
      <c r="MD107" s="64"/>
      <c r="ME107" s="64"/>
      <c r="MF107" s="64"/>
      <c r="MG107" s="64"/>
      <c r="MH107" s="64"/>
      <c r="MI107" s="64"/>
      <c r="MJ107" s="64"/>
      <c r="MK107" s="64"/>
      <c r="ML107" s="64"/>
      <c r="MM107" s="64"/>
      <c r="MN107" s="64"/>
      <c r="MO107" s="64"/>
      <c r="MP107" s="64"/>
      <c r="MQ107" s="64"/>
      <c r="MR107" s="64"/>
      <c r="MS107" s="64"/>
      <c r="MT107" s="64"/>
      <c r="MU107" s="64"/>
      <c r="MV107" s="64"/>
      <c r="MW107" s="64"/>
      <c r="MX107" s="64"/>
      <c r="MY107" s="64"/>
      <c r="MZ107" s="64"/>
      <c r="NA107" s="64"/>
      <c r="NB107" s="64"/>
      <c r="NC107" s="64"/>
      <c r="ND107" s="64"/>
      <c r="NE107" s="64"/>
      <c r="NF107" s="64"/>
      <c r="NG107" s="64"/>
      <c r="NH107" s="64"/>
      <c r="NI107" s="64"/>
      <c r="NJ107" s="64"/>
      <c r="NK107" s="64"/>
      <c r="NL107" s="64"/>
      <c r="NM107" s="64"/>
      <c r="NN107" s="64"/>
      <c r="NO107" s="64"/>
      <c r="NP107" s="64"/>
      <c r="NQ107" s="64"/>
      <c r="NR107" s="64"/>
      <c r="NS107" s="64"/>
      <c r="NT107" s="64"/>
      <c r="NU107" s="64"/>
      <c r="NV107" s="64"/>
      <c r="NW107" s="64"/>
      <c r="NX107" s="64"/>
      <c r="NY107" s="64"/>
      <c r="NZ107" s="64"/>
      <c r="OA107" s="64"/>
      <c r="OB107" s="64"/>
      <c r="OC107" s="64"/>
      <c r="OD107" s="64"/>
      <c r="OE107" s="64"/>
      <c r="OF107" s="64"/>
      <c r="OG107" s="64"/>
      <c r="OH107" s="64"/>
      <c r="OI107" s="64"/>
      <c r="OJ107" s="64"/>
      <c r="OK107" s="64"/>
      <c r="OL107" s="64"/>
    </row>
    <row r="108" spans="1:402" x14ac:dyDescent="0.3">
      <c r="A108" s="107"/>
      <c r="C108" s="85"/>
      <c r="D108" s="83" t="s">
        <v>164</v>
      </c>
      <c r="E108" s="258">
        <f>IF(AND($F$2="No",$F$3="No"),SUM(I108:L108),IF(AND($F$2="Yes", $F$3="No"), SUM(I108:L108)+N108, IF(AND($F$2="No", $F$3="Yes"),SUM(I108:L108)+M108, SUM(I108:L108)+N108+M108)))</f>
        <v>-0.19800979562533011</v>
      </c>
      <c r="F108" s="85">
        <f>IF(AND($F$2="No",$F$3="No"),SUM(H108:L108,O108),IF(AND($F$2="Yes", $F$3="No"), SUM(H108:L108,O108)+N108, IF(AND($F$2="No", $F$3="Yes"),SUM(H108:L108,O108)+M108, SUM(H108:L108,O108)+N108+M108)))</f>
        <v>1.6240647722189254</v>
      </c>
      <c r="G108" s="278">
        <f>SUM(Q108:S108)/(1-'Common input data'!B$126)</f>
        <v>1.9536242551905281</v>
      </c>
      <c r="H108" s="306">
        <f>H104*'Common input data'!$G$37/'Input data meat and eggs'!$H$401</f>
        <v>1.6148709905561844</v>
      </c>
      <c r="I108" s="306">
        <f>I104*'Common input data'!$G$37/'Input data meat and eggs'!$H$401</f>
        <v>0</v>
      </c>
      <c r="J108" s="306">
        <f>J104*'Common input data'!$G$37/'Input data meat and eggs'!$H$401</f>
        <v>0</v>
      </c>
      <c r="K108" s="306">
        <f>K104*'Common input data'!$G$37/'Input data meat and eggs'!$H$401</f>
        <v>0</v>
      </c>
      <c r="L108" s="306">
        <f>L104*'Common input data'!$G$37/'Input data meat and eggs'!$H$401</f>
        <v>0</v>
      </c>
      <c r="M108" s="306">
        <f>M104*'Common input data'!$G$37/'Input data meat and eggs'!$H$401</f>
        <v>-0.3506784527250596</v>
      </c>
      <c r="N108" s="306">
        <f>N104*'Common input data'!$G$37/'Input data meat and eggs'!$H$401</f>
        <v>0.15266865709972949</v>
      </c>
      <c r="O108" s="306">
        <f>O104*'Common input data'!$G$37/'Input data meat and eggs'!$H$401</f>
        <v>0.20720357728807109</v>
      </c>
      <c r="P108" s="306">
        <f>P104*'Common input data'!$G$37/'Input data meat and eggs'!$H$401</f>
        <v>2.7640548514835814E-2</v>
      </c>
      <c r="Q108" s="306">
        <f>(F108+P108)</f>
        <v>1.6517053207337613</v>
      </c>
      <c r="R108" s="495">
        <f>'Common input data'!B92</f>
        <v>0.1</v>
      </c>
      <c r="S108" s="495">
        <f>'Common input data'!C98</f>
        <v>0.03</v>
      </c>
      <c r="T108" s="107"/>
    </row>
    <row r="109" spans="1:402" x14ac:dyDescent="0.3">
      <c r="A109" s="107"/>
      <c r="C109" s="85"/>
      <c r="D109" s="83" t="s">
        <v>165</v>
      </c>
      <c r="E109" s="258">
        <f>SUM(I109:L109)</f>
        <v>0.16737113059083791</v>
      </c>
      <c r="F109" s="85">
        <f>SUM(H109:L109,O109)</f>
        <v>0.16910003934197895</v>
      </c>
      <c r="G109" s="278">
        <f>SUM(Q109:S109)/(1-'Common input data'!B$126)</f>
        <v>0.18542492475526468</v>
      </c>
      <c r="H109" s="306">
        <f>H105*'Common input data'!$G$37/'Input data meat and eggs'!$H$401</f>
        <v>1.7289087511410403E-3</v>
      </c>
      <c r="I109" s="306">
        <f>I105*'Common input data'!$G$37/'Input data meat and eggs'!$H$401</f>
        <v>0</v>
      </c>
      <c r="J109" s="306">
        <f>J105*'Common input data'!$G$37/'Input data meat and eggs'!$H$401</f>
        <v>1.0936508387487392E-2</v>
      </c>
      <c r="K109" s="306">
        <f>K105*'Common input data'!$G$37/'Input data meat and eggs'!$H$401</f>
        <v>0</v>
      </c>
      <c r="L109" s="306">
        <f>L105*'Common input data'!$G$37/'Input data meat and eggs'!$H$401</f>
        <v>0.15643462220335053</v>
      </c>
      <c r="M109" s="306">
        <f>M105*'Common input data'!$G$37/'Input data meat and eggs'!$H$401</f>
        <v>0</v>
      </c>
      <c r="N109" s="306">
        <f>N105*'Common input data'!$G$37/'Input data meat and eggs'!$H$401</f>
        <v>0</v>
      </c>
      <c r="O109" s="306">
        <f>O105*'Common input data'!$G$37/'Input data meat and eggs'!$H$401</f>
        <v>0</v>
      </c>
      <c r="P109" s="306">
        <f>P105*'Common input data'!$G$37/'Input data meat and eggs'!$H$401</f>
        <v>7.4920348224339434E-6</v>
      </c>
      <c r="Q109" s="306">
        <f>(F109+P109)</f>
        <v>0.16910753137680137</v>
      </c>
      <c r="R109" s="495">
        <v>0</v>
      </c>
      <c r="S109" s="495">
        <v>0</v>
      </c>
      <c r="T109" s="107"/>
    </row>
    <row r="110" spans="1:402" x14ac:dyDescent="0.3">
      <c r="A110" s="107"/>
      <c r="C110" s="85"/>
      <c r="D110" s="84" t="s">
        <v>166</v>
      </c>
      <c r="E110" s="258">
        <f>SUM(I110:L110)</f>
        <v>6.426258654233661E-3</v>
      </c>
      <c r="F110" s="85">
        <f>SUM(H110:L110,O110)</f>
        <v>8.0599823166448252E-3</v>
      </c>
      <c r="G110" s="278">
        <f>SUM(Q110:S110)/(1-'Common input data'!B$126)</f>
        <v>8.8384657245394061E-3</v>
      </c>
      <c r="H110" s="306">
        <f>H106*'Common input data'!$G$37/'Input data meat and eggs'!$H$401</f>
        <v>1.6337236624111645E-3</v>
      </c>
      <c r="I110" s="306">
        <f>I106*'Common input data'!$G$37/'Input data meat and eggs'!$H$401</f>
        <v>4.1293949218840671E-3</v>
      </c>
      <c r="J110" s="306">
        <f>J106*'Common input data'!$G$37/'Input data meat and eggs'!$H$401</f>
        <v>2.1173185307614816E-3</v>
      </c>
      <c r="K110" s="306">
        <f>K106*'Common input data'!$G$37/'Input data meat and eggs'!$H$401</f>
        <v>1.7954520158811198E-4</v>
      </c>
      <c r="L110" s="306">
        <f>L106*'Common input data'!$G$37/'Input data meat and eggs'!$H$401</f>
        <v>0</v>
      </c>
      <c r="M110" s="306">
        <f>M106*'Common input data'!$G$37/'Input data meat and eggs'!$H$401</f>
        <v>0</v>
      </c>
      <c r="N110" s="306">
        <f>N106*'Common input data'!$G$37/'Input data meat and eggs'!$H$401</f>
        <v>0</v>
      </c>
      <c r="O110" s="306">
        <f>O106*'Common input data'!$G$37/'Input data meat and eggs'!$H$401</f>
        <v>0</v>
      </c>
      <c r="P110" s="306">
        <f>P106*'Common input data'!$G$37/'Input data meat and eggs'!$H$401</f>
        <v>6.9842413511356419E-7</v>
      </c>
      <c r="Q110" s="306">
        <f>(F110+P110)</f>
        <v>8.060680740779938E-3</v>
      </c>
      <c r="R110" s="495">
        <v>0</v>
      </c>
      <c r="S110" s="495">
        <v>0</v>
      </c>
      <c r="T110" s="107"/>
    </row>
    <row r="111" spans="1:402" s="102" customFormat="1" x14ac:dyDescent="0.3">
      <c r="A111" s="498"/>
      <c r="B111" s="111" t="s">
        <v>681</v>
      </c>
      <c r="C111" s="104">
        <f>'Input data meat and eggs'!D6</f>
        <v>1.7060000177712573E-2</v>
      </c>
      <c r="D111" s="269" t="s">
        <v>473</v>
      </c>
      <c r="E111" s="320">
        <f>IF($F$1="GWP100 without fb",E112+E113*'Common input data'!$C$5+E114*'Common input data'!$D$5,IF($F$1="GWP100 with fb",E112+E113*'Common input data'!$C$6+E114*'Common input data'!$D$6,IF($F$1="GTP100 without fb",E112+E113*'Common input data'!$C$7+E114*'Common input data'!$D$7,IF($F$1="GTP100 with fb",E112+E113*'Common input data'!$C$8+E114*'Common input data'!$D$8,E112+E113*'Common input data'!$C$9+E114*'Common input data'!$D$9))))</f>
        <v>21.634087869353536</v>
      </c>
      <c r="F111" s="302">
        <f>IF($F$1="GWP100 without fb",F112+F113*'Common input data'!$C$5+F114*'Common input data'!$D$5,IF($F$1="GWP100 with fb",F112+F113*'Common input data'!$C$6+F114*'Common input data'!$D$6,IF($F$1="GTP100 without fb",F112+F113*'Common input data'!$C$7+F114*'Common input data'!$D$7,IF($F$1="GTP100 with fb",F112+F113*'Common input data'!$C$8+F114*'Common input data'!$D$8,F112+F113*'Common input data'!$C$9+F114*'Common input data'!$D$9))))</f>
        <v>24.864583234081266</v>
      </c>
      <c r="G111" s="321">
        <f>IF($F$1="GWP100 without fb",G112+G113*'Common input data'!$C$5+G114*'Common input data'!$D$5,IF($F$1="GWP100 with fb",G112+G113*'Common input data'!$C$6+G114*'Common input data'!$D$6,IF($F$1="GTP100 without fb",G112+G113*'Common input data'!$C$7+G114*'Common input data'!$D$7,IF($F$1="GTP100 with fb",G112+G113*'Common input data'!$C$8+G114*'Common input data'!$D$8,G112+G113*'Common input data'!$C$9+G114*'Common input data'!$D$9))))</f>
        <v>27.833788415886865</v>
      </c>
      <c r="H111" s="502"/>
      <c r="I111" s="502"/>
      <c r="J111" s="502"/>
      <c r="K111" s="502"/>
      <c r="L111" s="502"/>
      <c r="M111" s="502"/>
      <c r="N111" s="502"/>
      <c r="O111" s="502"/>
      <c r="P111" s="502"/>
      <c r="Q111" s="502"/>
      <c r="R111" s="502"/>
      <c r="S111" s="502"/>
      <c r="T111" s="107"/>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4"/>
      <c r="CA111" s="64"/>
      <c r="CB111" s="64"/>
      <c r="CC111" s="64"/>
      <c r="CD111" s="64"/>
      <c r="CE111" s="64"/>
      <c r="CF111" s="64"/>
      <c r="CG111" s="64"/>
      <c r="CH111" s="64"/>
      <c r="CI111" s="64"/>
      <c r="CJ111" s="64"/>
      <c r="CK111" s="64"/>
      <c r="CL111" s="64"/>
      <c r="CM111" s="64"/>
      <c r="CN111" s="64"/>
      <c r="CO111" s="64"/>
      <c r="CP111" s="64"/>
      <c r="CQ111" s="64"/>
      <c r="CR111" s="64"/>
      <c r="CS111" s="64"/>
      <c r="CT111" s="64"/>
      <c r="CU111" s="64"/>
      <c r="CV111" s="64"/>
      <c r="CW111" s="64"/>
      <c r="CX111" s="64"/>
      <c r="CY111" s="64"/>
      <c r="CZ111" s="64"/>
      <c r="DA111" s="64"/>
      <c r="DB111" s="64"/>
      <c r="DC111" s="64"/>
      <c r="DD111" s="64"/>
      <c r="DE111" s="64"/>
      <c r="DF111" s="64"/>
      <c r="DG111" s="64"/>
      <c r="DH111" s="64"/>
      <c r="DI111" s="64"/>
      <c r="DJ111" s="64"/>
      <c r="DK111" s="64"/>
      <c r="DL111" s="64"/>
      <c r="DM111" s="64"/>
      <c r="DN111" s="64"/>
      <c r="DO111" s="64"/>
      <c r="DP111" s="64"/>
      <c r="DQ111" s="64"/>
      <c r="DR111" s="64"/>
      <c r="DS111" s="64"/>
      <c r="DT111" s="64"/>
      <c r="DU111" s="64"/>
      <c r="DV111" s="64"/>
      <c r="DW111" s="64"/>
      <c r="DX111" s="64"/>
      <c r="DY111" s="64"/>
      <c r="DZ111" s="64"/>
      <c r="EA111" s="64"/>
      <c r="EB111" s="64"/>
      <c r="EC111" s="64"/>
      <c r="ED111" s="64"/>
      <c r="EE111" s="64"/>
      <c r="EF111" s="64"/>
      <c r="EG111" s="64"/>
      <c r="EH111" s="64"/>
      <c r="EI111" s="64"/>
      <c r="EJ111" s="64"/>
      <c r="EK111" s="64"/>
      <c r="EL111" s="64"/>
      <c r="EM111" s="64"/>
      <c r="EN111" s="64"/>
      <c r="EO111" s="64"/>
      <c r="EP111" s="64"/>
      <c r="EQ111" s="64"/>
      <c r="ER111" s="64"/>
      <c r="ES111" s="64"/>
      <c r="ET111" s="64"/>
      <c r="EU111" s="64"/>
      <c r="EV111" s="64"/>
      <c r="EW111" s="64"/>
      <c r="EX111" s="64"/>
      <c r="EY111" s="64"/>
      <c r="EZ111" s="64"/>
      <c r="FA111" s="64"/>
      <c r="FB111" s="64"/>
      <c r="FC111" s="64"/>
      <c r="FD111" s="64"/>
      <c r="FE111" s="64"/>
      <c r="FF111" s="64"/>
      <c r="FG111" s="64"/>
      <c r="FH111" s="64"/>
      <c r="FI111" s="64"/>
      <c r="FJ111" s="64"/>
      <c r="FK111" s="64"/>
      <c r="FL111" s="64"/>
      <c r="FM111" s="64"/>
      <c r="FN111" s="64"/>
      <c r="FO111" s="64"/>
      <c r="FP111" s="64"/>
      <c r="FQ111" s="64"/>
      <c r="FR111" s="64"/>
      <c r="FS111" s="64"/>
      <c r="FT111" s="64"/>
      <c r="FU111" s="64"/>
      <c r="FV111" s="64"/>
      <c r="FW111" s="64"/>
      <c r="FX111" s="64"/>
      <c r="FY111" s="64"/>
      <c r="FZ111" s="64"/>
      <c r="GA111" s="64"/>
      <c r="GB111" s="64"/>
      <c r="GC111" s="64"/>
      <c r="GD111" s="64"/>
      <c r="GE111" s="64"/>
      <c r="GF111" s="64"/>
      <c r="GG111" s="64"/>
      <c r="GH111" s="64"/>
      <c r="GI111" s="64"/>
      <c r="GJ111" s="64"/>
      <c r="GK111" s="64"/>
      <c r="GL111" s="64"/>
      <c r="GM111" s="64"/>
      <c r="GN111" s="64"/>
      <c r="GO111" s="64"/>
      <c r="GP111" s="64"/>
      <c r="GQ111" s="64"/>
      <c r="GR111" s="64"/>
      <c r="GS111" s="64"/>
      <c r="GT111" s="64"/>
      <c r="GU111" s="64"/>
      <c r="GV111" s="64"/>
      <c r="GW111" s="64"/>
      <c r="GX111" s="64"/>
      <c r="GY111" s="64"/>
      <c r="GZ111" s="64"/>
      <c r="HA111" s="64"/>
      <c r="HB111" s="64"/>
      <c r="HC111" s="64"/>
      <c r="HD111" s="64"/>
      <c r="HE111" s="64"/>
      <c r="HF111" s="64"/>
      <c r="HG111" s="64"/>
      <c r="HH111" s="64"/>
      <c r="HI111" s="64"/>
      <c r="HJ111" s="64"/>
      <c r="HK111" s="64"/>
      <c r="HL111" s="64"/>
      <c r="HM111" s="64"/>
      <c r="HN111" s="64"/>
      <c r="HO111" s="64"/>
      <c r="HP111" s="64"/>
      <c r="HQ111" s="64"/>
      <c r="HR111" s="64"/>
      <c r="HS111" s="64"/>
      <c r="HT111" s="64"/>
      <c r="HU111" s="64"/>
      <c r="HV111" s="64"/>
      <c r="HW111" s="64"/>
      <c r="HX111" s="64"/>
      <c r="HY111" s="64"/>
      <c r="HZ111" s="64"/>
      <c r="IA111" s="64"/>
      <c r="IB111" s="64"/>
      <c r="IC111" s="64"/>
      <c r="ID111" s="64"/>
      <c r="IE111" s="64"/>
      <c r="IF111" s="64"/>
      <c r="IG111" s="64"/>
      <c r="IH111" s="64"/>
      <c r="II111" s="64"/>
      <c r="IJ111" s="64"/>
      <c r="IK111" s="64"/>
      <c r="IL111" s="64"/>
      <c r="IM111" s="64"/>
      <c r="IN111" s="64"/>
      <c r="IO111" s="64"/>
      <c r="IP111" s="64"/>
      <c r="IQ111" s="64"/>
      <c r="IR111" s="64"/>
      <c r="IS111" s="64"/>
      <c r="IT111" s="64"/>
      <c r="IU111" s="64"/>
      <c r="IV111" s="64"/>
      <c r="IW111" s="64"/>
      <c r="IX111" s="64"/>
      <c r="IY111" s="64"/>
      <c r="IZ111" s="64"/>
      <c r="JA111" s="64"/>
      <c r="JB111" s="64"/>
      <c r="JC111" s="64"/>
      <c r="JD111" s="64"/>
      <c r="JE111" s="64"/>
      <c r="JF111" s="64"/>
      <c r="JG111" s="64"/>
      <c r="JH111" s="64"/>
      <c r="JI111" s="64"/>
      <c r="JJ111" s="64"/>
      <c r="JK111" s="64"/>
      <c r="JL111" s="64"/>
      <c r="JM111" s="64"/>
      <c r="JN111" s="64"/>
      <c r="JO111" s="64"/>
      <c r="JP111" s="64"/>
      <c r="JQ111" s="64"/>
      <c r="JR111" s="64"/>
      <c r="JS111" s="64"/>
      <c r="JT111" s="64"/>
      <c r="JU111" s="64"/>
      <c r="JV111" s="64"/>
      <c r="JW111" s="64"/>
      <c r="JX111" s="64"/>
      <c r="JY111" s="64"/>
      <c r="JZ111" s="64"/>
      <c r="KA111" s="64"/>
      <c r="KB111" s="64"/>
      <c r="KC111" s="64"/>
      <c r="KD111" s="64"/>
      <c r="KE111" s="64"/>
      <c r="KF111" s="64"/>
      <c r="KG111" s="64"/>
      <c r="KH111" s="64"/>
      <c r="KI111" s="64"/>
      <c r="KJ111" s="64"/>
      <c r="KK111" s="64"/>
      <c r="KL111" s="64"/>
      <c r="KM111" s="64"/>
      <c r="KN111" s="64"/>
      <c r="KO111" s="64"/>
      <c r="KP111" s="64"/>
      <c r="KQ111" s="64"/>
      <c r="KR111" s="64"/>
      <c r="KS111" s="64"/>
      <c r="KT111" s="64"/>
      <c r="KU111" s="64"/>
      <c r="KV111" s="64"/>
      <c r="KW111" s="64"/>
      <c r="KX111" s="64"/>
      <c r="KY111" s="64"/>
      <c r="KZ111" s="64"/>
      <c r="LA111" s="64"/>
      <c r="LB111" s="64"/>
      <c r="LC111" s="64"/>
      <c r="LD111" s="64"/>
      <c r="LE111" s="64"/>
      <c r="LF111" s="64"/>
      <c r="LG111" s="64"/>
      <c r="LH111" s="64"/>
      <c r="LI111" s="64"/>
      <c r="LJ111" s="64"/>
      <c r="LK111" s="64"/>
      <c r="LL111" s="64"/>
      <c r="LM111" s="64"/>
      <c r="LN111" s="64"/>
      <c r="LO111" s="64"/>
      <c r="LP111" s="64"/>
      <c r="LQ111" s="64"/>
      <c r="LR111" s="64"/>
      <c r="LS111" s="64"/>
      <c r="LT111" s="64"/>
      <c r="LU111" s="64"/>
      <c r="LV111" s="64"/>
      <c r="LW111" s="64"/>
      <c r="LX111" s="64"/>
      <c r="LY111" s="64"/>
      <c r="LZ111" s="64"/>
      <c r="MA111" s="64"/>
      <c r="MB111" s="64"/>
      <c r="MC111" s="64"/>
      <c r="MD111" s="64"/>
      <c r="ME111" s="64"/>
      <c r="MF111" s="64"/>
      <c r="MG111" s="64"/>
      <c r="MH111" s="64"/>
      <c r="MI111" s="64"/>
      <c r="MJ111" s="64"/>
      <c r="MK111" s="64"/>
      <c r="ML111" s="64"/>
      <c r="MM111" s="64"/>
      <c r="MN111" s="64"/>
      <c r="MO111" s="64"/>
      <c r="MP111" s="64"/>
      <c r="MQ111" s="64"/>
      <c r="MR111" s="64"/>
      <c r="MS111" s="64"/>
      <c r="MT111" s="64"/>
      <c r="MU111" s="64"/>
      <c r="MV111" s="64"/>
      <c r="MW111" s="64"/>
      <c r="MX111" s="64"/>
      <c r="MY111" s="64"/>
      <c r="MZ111" s="64"/>
      <c r="NA111" s="64"/>
      <c r="NB111" s="64"/>
      <c r="NC111" s="64"/>
      <c r="ND111" s="64"/>
      <c r="NE111" s="64"/>
      <c r="NF111" s="64"/>
      <c r="NG111" s="64"/>
      <c r="NH111" s="64"/>
      <c r="NI111" s="64"/>
      <c r="NJ111" s="64"/>
      <c r="NK111" s="64"/>
      <c r="NL111" s="64"/>
      <c r="NM111" s="64"/>
      <c r="NN111" s="64"/>
      <c r="NO111" s="64"/>
      <c r="NP111" s="64"/>
      <c r="NQ111" s="64"/>
      <c r="NR111" s="64"/>
      <c r="NS111" s="64"/>
      <c r="NT111" s="64"/>
      <c r="NU111" s="64"/>
      <c r="NV111" s="64"/>
      <c r="NW111" s="64"/>
      <c r="NX111" s="64"/>
      <c r="NY111" s="64"/>
      <c r="NZ111" s="64"/>
      <c r="OA111" s="64"/>
      <c r="OB111" s="64"/>
      <c r="OC111" s="64"/>
      <c r="OD111" s="64"/>
      <c r="OE111" s="64"/>
      <c r="OF111" s="64"/>
      <c r="OG111" s="64"/>
      <c r="OH111" s="64"/>
      <c r="OI111" s="64"/>
      <c r="OJ111" s="64"/>
      <c r="OK111" s="64"/>
      <c r="OL111" s="64"/>
    </row>
    <row r="112" spans="1:402" x14ac:dyDescent="0.3">
      <c r="A112" s="107"/>
      <c r="D112" s="83" t="s">
        <v>164</v>
      </c>
      <c r="E112" s="258">
        <f>IF(AND($F$2="No",$F$3="No"),SUM(I112:L112),IF(AND($F$2="Yes", $F$3="No"), SUM(I112:L112)+N112, IF(AND($F$2="No", $F$3="Yes"),SUM(I112:L112)+M112, SUM(I112:L112)+N112+M112)))</f>
        <v>-1.3956816348437211</v>
      </c>
      <c r="F112" s="85">
        <f>IF(AND($F$2="No",$F$3="No"),SUM(H112:L112,O112),IF(AND($F$2="Yes", $F$3="No"), SUM(H112:L112,O112)+N112, IF(AND($F$2="No", $F$3="Yes"),SUM(H112:L112,O112)+M112, SUM(H112:L112,O112)+N112+M112)))</f>
        <v>1.2165040398094011</v>
      </c>
      <c r="G112" s="278">
        <f>SUM(Q112:S112)/(1-'Common input data'!B$126)</f>
        <v>1.8968370181624106</v>
      </c>
      <c r="H112" s="306">
        <f>('Input data meat and eggs'!S403*'Input data meat and eggs'!B48+'Input data meat and eggs'!T403*'Input data meat and eggs'!B47+'Input data meat and eggs'!U403*'Input data meat and eggs'!B35+'Input data meat and eggs'!V403*SUMPRODUCT('Input data meat and eggs'!B37:B46,'Input data meat and eggs'!F65:F74))*'Input data meat and eggs'!$E$403/'Input data meat and eggs'!$H$403</f>
        <v>1.8604356746531219</v>
      </c>
      <c r="I112" s="306">
        <v>0</v>
      </c>
      <c r="J112" s="306">
        <v>0</v>
      </c>
      <c r="K112" s="306">
        <v>0</v>
      </c>
      <c r="L112" s="306">
        <v>0</v>
      </c>
      <c r="M112" s="306">
        <f>(('Input data meat and eggs'!S403+'Input data meat and eggs'!T403)*'Common input data'!F13+
'Input data meat and eggs'!U403*'Common input data'!B13+'Input data meat and eggs'!V403*('Input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data'!F29))*'Input data meat and eggs'!$E$403/'Input data meat and eggs'!$H$403</f>
        <v>-1.4115544026458609</v>
      </c>
      <c r="N112" s="306">
        <f>('Input data meat and eggs'!V403*('Input data meat and eggs'!F67*'Common input data'!B21*'Common input data'!G30/'Common input data'!F30+'Input data meat and eggs'!F71*'Common input data'!C21*'Common input data'!J31/'Common input data'!I31))*'Input data meat and eggs'!$E$403/'Input data meat and eggs'!$H$403</f>
        <v>1.587276780213983E-2</v>
      </c>
      <c r="O112" s="306">
        <f>'Input data meat and eggs'!B83*'Common input data'!B63</f>
        <v>0.75175000000000003</v>
      </c>
      <c r="P112" s="306">
        <f>'Input data meat and eggs'!B92*'Common input data'!B63+'Input data meat and eggs'!C92*3.6*'Common input data'!B49</f>
        <v>0.38341132075471701</v>
      </c>
      <c r="Q112" s="306">
        <f>(F112+P112)</f>
        <v>1.5999153605641181</v>
      </c>
      <c r="R112" s="306">
        <f>'Common input data'!B92</f>
        <v>0.1</v>
      </c>
      <c r="S112" s="306">
        <f>'Common input data'!C98</f>
        <v>0.03</v>
      </c>
      <c r="T112" s="107"/>
    </row>
    <row r="113" spans="1:402" x14ac:dyDescent="0.3">
      <c r="A113" s="107"/>
      <c r="D113" s="83" t="s">
        <v>165</v>
      </c>
      <c r="E113" s="258">
        <f>SUM(I113:L113)</f>
        <v>0.55483525399363365</v>
      </c>
      <c r="F113" s="85">
        <f>SUM(H113:L113,O113)</f>
        <v>0.55578092010923086</v>
      </c>
      <c r="G113" s="278">
        <f>SUM(Q113:S113)/(1-'Common input data'!B$126)</f>
        <v>0.60952285596220701</v>
      </c>
      <c r="H113" s="306">
        <f>('Input data meat and eggs'!S403*'Input data meat and eggs'!C48+'Input data meat and eggs'!T403*'Input data meat and eggs'!C47+'Input data meat and eggs'!U403*'Input data meat and eggs'!C35+'Input data meat and eggs'!V403*SUMPRODUCT('Input data meat and eggs'!C37:C46,'Input data meat and eggs'!F65:F74))*'Input data meat and eggs'!$E$403/'Input data meat and eggs'!$H$403</f>
        <v>9.4566611559722662E-4</v>
      </c>
      <c r="I113" s="306">
        <v>0</v>
      </c>
      <c r="J113" s="306">
        <f>('Input data meat and eggs'!M403*'Input data meat and eggs'!G403/12*'Input data meat and eggs'!$B$450*'Input data meat and eggs'!$B$452*'Input data meat and eggs'!$B$453*
('Input data meat and eggs'!$O$403*'Input data meat and eggs'!$B$443
+'Input data meat and eggs'!$P$403*'Input data meat and eggs'!$C$443+
'Input data meat and eggs'!$Q$403*'Input data meat and eggs'!$D$443+
'Input data meat and eggs'!$R$403*'Input data meat and eggs'!$E$443))*'Input data meat and eggs'!$E$403/'Input data meat and eggs'!$H$403</f>
        <v>4.2382406555274921E-2</v>
      </c>
      <c r="K113" s="306">
        <v>0</v>
      </c>
      <c r="L113" s="306">
        <f>('Input data meat and eggs'!L403*'Input data meat and eggs'!G403/12)*'Input data meat and eggs'!$E$403/'Input data meat and eggs'!$H$403</f>
        <v>0.51245284743835873</v>
      </c>
      <c r="M113" s="306">
        <v>0</v>
      </c>
      <c r="N113" s="306">
        <v>0</v>
      </c>
      <c r="O113" s="306">
        <v>0</v>
      </c>
      <c r="P113" s="306">
        <f>'Input data meat and eggs'!C92*3.6*'Common input data'!B50</f>
        <v>1.0392452830188681E-4</v>
      </c>
      <c r="Q113" s="306">
        <f>(F113+P113)</f>
        <v>0.55588484463753274</v>
      </c>
      <c r="R113" s="306">
        <v>0</v>
      </c>
      <c r="S113" s="306">
        <v>0</v>
      </c>
      <c r="T113" s="107"/>
    </row>
    <row r="114" spans="1:402" x14ac:dyDescent="0.3">
      <c r="A114" s="107"/>
      <c r="D114" s="84" t="s">
        <v>166</v>
      </c>
      <c r="E114" s="258">
        <f>SUM(I114:L114)</f>
        <v>1.3977754591992323E-2</v>
      </c>
      <c r="F114" s="85">
        <f>SUM(H114:L114,O114)</f>
        <v>1.5944724532073882E-2</v>
      </c>
      <c r="G114" s="278">
        <f>SUM(Q114:S114)/(1-'Common input data'!B$126)</f>
        <v>1.7493873473185945E-2</v>
      </c>
      <c r="H114" s="306">
        <f>(('Input data meat and eggs'!S403*'Input data meat and eggs'!D48+'Input data meat and eggs'!T403*'Input data meat and eggs'!D47+'Input data meat and eggs'!U403*'Input data meat and eggs'!D35+'Input data meat and eggs'!V403*SUMPRODUCT('Input data meat and eggs'!D37:D46,'Input data meat and eggs'!F65:F74))*'Input data meat and eggs'!B58)*'Input data meat and eggs'!$E$403/'Input data meat and eggs'!$H$403</f>
        <v>1.9669699400815567E-3</v>
      </c>
      <c r="I114" s="306">
        <f>(('Input data meat and eggs'!S403*'Input data meat and eggs'!D48+'Input data meat and eggs'!T403*'Input data meat and eggs'!D47+'Input data meat and eggs'!U403*'Input data meat and eggs'!D35+'Input data meat and eggs'!V403*SUMPRODUCT('Input data meat and eggs'!D37:D46,'Input data meat and eggs'!F65:F74))*'Input data meat and eggs'!C58)*'Input data meat and eggs'!$E$403/'Input data meat and eggs'!$H$403</f>
        <v>4.9717071919517788E-3</v>
      </c>
      <c r="J114" s="306">
        <f>('Input data meat and eggs'!K403*'Input data meat and eggs'!G403/12*('Input data meat and eggs'!$O$403*'Input data meat and eggs'!$B$445+'Input data meat and eggs'!$P$403*'Input data meat and eggs'!$C$445+'Input data meat and eggs'!$Q$403*'Input data meat and eggs'!$D$445+'Input data meat and eggs'!$R$403*'Input data meat and eggs'!$E$445)*44/28)*'Input data meat and eggs'!$E$403/'Input data meat and eggs'!$H$403</f>
        <v>8.3705026123782611E-3</v>
      </c>
      <c r="K114" s="306">
        <f>('Input data meat and eggs'!$B$446*44/28*'Input data meat and eggs'!K403*'Input data meat and eggs'!G403/12*('Input data meat and eggs'!O403*'Input data meat and eggs'!B457+'Input data meat and eggs'!P403*'Input data meat and eggs'!C457+'Input data meat and eggs'!Q403*'Input data meat and eggs'!D457))*'Input data meat and eggs'!$E$403/'Input data meat and eggs'!$H$403</f>
        <v>6.3554478766228342E-4</v>
      </c>
      <c r="L114" s="306">
        <v>0</v>
      </c>
      <c r="M114" s="306">
        <v>0</v>
      </c>
      <c r="N114" s="306">
        <v>0</v>
      </c>
      <c r="O114" s="306">
        <v>0</v>
      </c>
      <c r="P114" s="306">
        <f>'Input data meat and eggs'!C92*3.6*'Common input data'!B51</f>
        <v>9.6880754716981128E-6</v>
      </c>
      <c r="Q114" s="306">
        <f>(F114+P114)</f>
        <v>1.5954412607545581E-2</v>
      </c>
      <c r="R114" s="306">
        <v>0</v>
      </c>
      <c r="S114" s="306">
        <v>0</v>
      </c>
      <c r="T114" s="107"/>
    </row>
    <row r="115" spans="1:402" s="102" customFormat="1" x14ac:dyDescent="0.3">
      <c r="A115" s="498"/>
      <c r="B115" s="111" t="s">
        <v>682</v>
      </c>
      <c r="C115" s="104">
        <f>'Input data meat and eggs'!D7</f>
        <v>9.8431933909286409E-2</v>
      </c>
      <c r="D115" s="269" t="s">
        <v>473</v>
      </c>
      <c r="E115" s="320">
        <f>IF($F$1="GWP100 without fb",E116+E117*'Common input data'!$C$5+E118*'Common input data'!$D$5,IF($F$1="GWP100 with fb",E116+E117*'Common input data'!$C$6+E118*'Common input data'!$D$6,IF($F$1="GTP100 without fb",E116+E117*'Common input data'!$C$7+E118*'Common input data'!$D$7,IF($F$1="GTP100 with fb",E116+E117*'Common input data'!$C$8+E118*'Common input data'!$D$8,E116+E117*'Common input data'!$C$9+E118*'Common input data'!$D$9))))</f>
        <v>14.418811225514915</v>
      </c>
      <c r="F115" s="302">
        <f>IF($F$1="GWP100 without fb",F116+F117*'Common input data'!$C$5+F118*'Common input data'!$D$5,IF($F$1="GWP100 with fb",F116+F117*'Common input data'!$C$6+F118*'Common input data'!$D$6,IF($F$1="GTP100 without fb",F116+F117*'Common input data'!$C$7+F118*'Common input data'!$D$7,IF($F$1="GTP100 with fb",F116+F117*'Common input data'!$C$8+F118*'Common input data'!$D$8,F116+F117*'Common input data'!$C$9+F118*'Common input data'!$D$9))))</f>
        <v>17.950611185006832</v>
      </c>
      <c r="G115" s="321">
        <f>IF($F$1="GWP100 without fb",G116+G117*'Common input data'!$C$5+G118*'Common input data'!$D$5,IF($F$1="GWP100 with fb",G116+G117*'Common input data'!$C$6+G118*'Common input data'!$D$6,IF($F$1="GTP100 without fb",G116+G117*'Common input data'!$C$7+G118*'Common input data'!$D$7,IF($F$1="GTP100 with fb",G116+G117*'Common input data'!$C$8+G118*'Common input data'!$D$8,G116+G117*'Common input data'!$C$9+G118*'Common input data'!$D$9))))</f>
        <v>20.252678712954367</v>
      </c>
      <c r="H115" s="502"/>
      <c r="I115" s="502"/>
      <c r="J115" s="502"/>
      <c r="K115" s="502"/>
      <c r="L115" s="502"/>
      <c r="M115" s="502"/>
      <c r="N115" s="502"/>
      <c r="O115" s="502"/>
      <c r="P115" s="502"/>
      <c r="Q115" s="502"/>
      <c r="R115" s="502"/>
      <c r="S115" s="502"/>
      <c r="T115" s="107"/>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c r="AV115" s="64"/>
      <c r="AW115" s="64"/>
      <c r="AX115" s="64"/>
      <c r="AY115" s="64"/>
      <c r="AZ115" s="64"/>
      <c r="BA115" s="64"/>
      <c r="BB115" s="64"/>
      <c r="BC115" s="64"/>
      <c r="BD115" s="64"/>
      <c r="BE115" s="64"/>
      <c r="BF115" s="64"/>
      <c r="BG115" s="64"/>
      <c r="BH115" s="64"/>
      <c r="BI115" s="64"/>
      <c r="BJ115" s="64"/>
      <c r="BK115" s="64"/>
      <c r="BL115" s="64"/>
      <c r="BM115" s="64"/>
      <c r="BN115" s="64"/>
      <c r="BO115" s="64"/>
      <c r="BP115" s="64"/>
      <c r="BQ115" s="64"/>
      <c r="BR115" s="64"/>
      <c r="BS115" s="64"/>
      <c r="BT115" s="64"/>
      <c r="BU115" s="64"/>
      <c r="BV115" s="64"/>
      <c r="BW115" s="64"/>
      <c r="BX115" s="64"/>
      <c r="BY115" s="64"/>
      <c r="BZ115" s="64"/>
      <c r="CA115" s="64"/>
      <c r="CB115" s="64"/>
      <c r="CC115" s="64"/>
      <c r="CD115" s="64"/>
      <c r="CE115" s="64"/>
      <c r="CF115" s="64"/>
      <c r="CG115" s="64"/>
      <c r="CH115" s="64"/>
      <c r="CI115" s="64"/>
      <c r="CJ115" s="64"/>
      <c r="CK115" s="64"/>
      <c r="CL115" s="64"/>
      <c r="CM115" s="64"/>
      <c r="CN115" s="64"/>
      <c r="CO115" s="64"/>
      <c r="CP115" s="64"/>
      <c r="CQ115" s="64"/>
      <c r="CR115" s="64"/>
      <c r="CS115" s="64"/>
      <c r="CT115" s="64"/>
      <c r="CU115" s="64"/>
      <c r="CV115" s="64"/>
      <c r="CW115" s="64"/>
      <c r="CX115" s="64"/>
      <c r="CY115" s="64"/>
      <c r="CZ115" s="64"/>
      <c r="DA115" s="64"/>
      <c r="DB115" s="64"/>
      <c r="DC115" s="64"/>
      <c r="DD115" s="64"/>
      <c r="DE115" s="64"/>
      <c r="DF115" s="64"/>
      <c r="DG115" s="64"/>
      <c r="DH115" s="64"/>
      <c r="DI115" s="64"/>
      <c r="DJ115" s="64"/>
      <c r="DK115" s="64"/>
      <c r="DL115" s="64"/>
      <c r="DM115" s="64"/>
      <c r="DN115" s="64"/>
      <c r="DO115" s="64"/>
      <c r="DP115" s="64"/>
      <c r="DQ115" s="64"/>
      <c r="DR115" s="64"/>
      <c r="DS115" s="64"/>
      <c r="DT115" s="64"/>
      <c r="DU115" s="64"/>
      <c r="DV115" s="64"/>
      <c r="DW115" s="64"/>
      <c r="DX115" s="64"/>
      <c r="DY115" s="64"/>
      <c r="DZ115" s="64"/>
      <c r="EA115" s="64"/>
      <c r="EB115" s="64"/>
      <c r="EC115" s="64"/>
      <c r="ED115" s="64"/>
      <c r="EE115" s="64"/>
      <c r="EF115" s="64"/>
      <c r="EG115" s="64"/>
      <c r="EH115" s="64"/>
      <c r="EI115" s="64"/>
      <c r="EJ115" s="64"/>
      <c r="EK115" s="64"/>
      <c r="EL115" s="64"/>
      <c r="EM115" s="64"/>
      <c r="EN115" s="64"/>
      <c r="EO115" s="64"/>
      <c r="EP115" s="64"/>
      <c r="EQ115" s="64"/>
      <c r="ER115" s="64"/>
      <c r="ES115" s="64"/>
      <c r="ET115" s="64"/>
      <c r="EU115" s="64"/>
      <c r="EV115" s="64"/>
      <c r="EW115" s="64"/>
      <c r="EX115" s="64"/>
      <c r="EY115" s="64"/>
      <c r="EZ115" s="64"/>
      <c r="FA115" s="64"/>
      <c r="FB115" s="64"/>
      <c r="FC115" s="64"/>
      <c r="FD115" s="64"/>
      <c r="FE115" s="64"/>
      <c r="FF115" s="64"/>
      <c r="FG115" s="64"/>
      <c r="FH115" s="64"/>
      <c r="FI115" s="64"/>
      <c r="FJ115" s="64"/>
      <c r="FK115" s="64"/>
      <c r="FL115" s="64"/>
      <c r="FM115" s="64"/>
      <c r="FN115" s="64"/>
      <c r="FO115" s="64"/>
      <c r="FP115" s="64"/>
      <c r="FQ115" s="64"/>
      <c r="FR115" s="64"/>
      <c r="FS115" s="64"/>
      <c r="FT115" s="64"/>
      <c r="FU115" s="64"/>
      <c r="FV115" s="64"/>
      <c r="FW115" s="64"/>
      <c r="FX115" s="64"/>
      <c r="FY115" s="64"/>
      <c r="FZ115" s="64"/>
      <c r="GA115" s="64"/>
      <c r="GB115" s="64"/>
      <c r="GC115" s="64"/>
      <c r="GD115" s="64"/>
      <c r="GE115" s="64"/>
      <c r="GF115" s="64"/>
      <c r="GG115" s="64"/>
      <c r="GH115" s="64"/>
      <c r="GI115" s="64"/>
      <c r="GJ115" s="64"/>
      <c r="GK115" s="64"/>
      <c r="GL115" s="64"/>
      <c r="GM115" s="64"/>
      <c r="GN115" s="64"/>
      <c r="GO115" s="64"/>
      <c r="GP115" s="64"/>
      <c r="GQ115" s="64"/>
      <c r="GR115" s="64"/>
      <c r="GS115" s="64"/>
      <c r="GT115" s="64"/>
      <c r="GU115" s="64"/>
      <c r="GV115" s="64"/>
      <c r="GW115" s="64"/>
      <c r="GX115" s="64"/>
      <c r="GY115" s="64"/>
      <c r="GZ115" s="64"/>
      <c r="HA115" s="64"/>
      <c r="HB115" s="64"/>
      <c r="HC115" s="64"/>
      <c r="HD115" s="64"/>
      <c r="HE115" s="64"/>
      <c r="HF115" s="64"/>
      <c r="HG115" s="64"/>
      <c r="HH115" s="64"/>
      <c r="HI115" s="64"/>
      <c r="HJ115" s="64"/>
      <c r="HK115" s="64"/>
      <c r="HL115" s="64"/>
      <c r="HM115" s="64"/>
      <c r="HN115" s="64"/>
      <c r="HO115" s="64"/>
      <c r="HP115" s="64"/>
      <c r="HQ115" s="64"/>
      <c r="HR115" s="64"/>
      <c r="HS115" s="64"/>
      <c r="HT115" s="64"/>
      <c r="HU115" s="64"/>
      <c r="HV115" s="64"/>
      <c r="HW115" s="64"/>
      <c r="HX115" s="64"/>
      <c r="HY115" s="64"/>
      <c r="HZ115" s="64"/>
      <c r="IA115" s="64"/>
      <c r="IB115" s="64"/>
      <c r="IC115" s="64"/>
      <c r="ID115" s="64"/>
      <c r="IE115" s="64"/>
      <c r="IF115" s="64"/>
      <c r="IG115" s="64"/>
      <c r="IH115" s="64"/>
      <c r="II115" s="64"/>
      <c r="IJ115" s="64"/>
      <c r="IK115" s="64"/>
      <c r="IL115" s="64"/>
      <c r="IM115" s="64"/>
      <c r="IN115" s="64"/>
      <c r="IO115" s="64"/>
      <c r="IP115" s="64"/>
      <c r="IQ115" s="64"/>
      <c r="IR115" s="64"/>
      <c r="IS115" s="64"/>
      <c r="IT115" s="64"/>
      <c r="IU115" s="64"/>
      <c r="IV115" s="64"/>
      <c r="IW115" s="64"/>
      <c r="IX115" s="64"/>
      <c r="IY115" s="64"/>
      <c r="IZ115" s="64"/>
      <c r="JA115" s="64"/>
      <c r="JB115" s="64"/>
      <c r="JC115" s="64"/>
      <c r="JD115" s="64"/>
      <c r="JE115" s="64"/>
      <c r="JF115" s="64"/>
      <c r="JG115" s="64"/>
      <c r="JH115" s="64"/>
      <c r="JI115" s="64"/>
      <c r="JJ115" s="64"/>
      <c r="JK115" s="64"/>
      <c r="JL115" s="64"/>
      <c r="JM115" s="64"/>
      <c r="JN115" s="64"/>
      <c r="JO115" s="64"/>
      <c r="JP115" s="64"/>
      <c r="JQ115" s="64"/>
      <c r="JR115" s="64"/>
      <c r="JS115" s="64"/>
      <c r="JT115" s="64"/>
      <c r="JU115" s="64"/>
      <c r="JV115" s="64"/>
      <c r="JW115" s="64"/>
      <c r="JX115" s="64"/>
      <c r="JY115" s="64"/>
      <c r="JZ115" s="64"/>
      <c r="KA115" s="64"/>
      <c r="KB115" s="64"/>
      <c r="KC115" s="64"/>
      <c r="KD115" s="64"/>
      <c r="KE115" s="64"/>
      <c r="KF115" s="64"/>
      <c r="KG115" s="64"/>
      <c r="KH115" s="64"/>
      <c r="KI115" s="64"/>
      <c r="KJ115" s="64"/>
      <c r="KK115" s="64"/>
      <c r="KL115" s="64"/>
      <c r="KM115" s="64"/>
      <c r="KN115" s="64"/>
      <c r="KO115" s="64"/>
      <c r="KP115" s="64"/>
      <c r="KQ115" s="64"/>
      <c r="KR115" s="64"/>
      <c r="KS115" s="64"/>
      <c r="KT115" s="64"/>
      <c r="KU115" s="64"/>
      <c r="KV115" s="64"/>
      <c r="KW115" s="64"/>
      <c r="KX115" s="64"/>
      <c r="KY115" s="64"/>
      <c r="KZ115" s="64"/>
      <c r="LA115" s="64"/>
      <c r="LB115" s="64"/>
      <c r="LC115" s="64"/>
      <c r="LD115" s="64"/>
      <c r="LE115" s="64"/>
      <c r="LF115" s="64"/>
      <c r="LG115" s="64"/>
      <c r="LH115" s="64"/>
      <c r="LI115" s="64"/>
      <c r="LJ115" s="64"/>
      <c r="LK115" s="64"/>
      <c r="LL115" s="64"/>
      <c r="LM115" s="64"/>
      <c r="LN115" s="64"/>
      <c r="LO115" s="64"/>
      <c r="LP115" s="64"/>
      <c r="LQ115" s="64"/>
      <c r="LR115" s="64"/>
      <c r="LS115" s="64"/>
      <c r="LT115" s="64"/>
      <c r="LU115" s="64"/>
      <c r="LV115" s="64"/>
      <c r="LW115" s="64"/>
      <c r="LX115" s="64"/>
      <c r="LY115" s="64"/>
      <c r="LZ115" s="64"/>
      <c r="MA115" s="64"/>
      <c r="MB115" s="64"/>
      <c r="MC115" s="64"/>
      <c r="MD115" s="64"/>
      <c r="ME115" s="64"/>
      <c r="MF115" s="64"/>
      <c r="MG115" s="64"/>
      <c r="MH115" s="64"/>
      <c r="MI115" s="64"/>
      <c r="MJ115" s="64"/>
      <c r="MK115" s="64"/>
      <c r="ML115" s="64"/>
      <c r="MM115" s="64"/>
      <c r="MN115" s="64"/>
      <c r="MO115" s="64"/>
      <c r="MP115" s="64"/>
      <c r="MQ115" s="64"/>
      <c r="MR115" s="64"/>
      <c r="MS115" s="64"/>
      <c r="MT115" s="64"/>
      <c r="MU115" s="64"/>
      <c r="MV115" s="64"/>
      <c r="MW115" s="64"/>
      <c r="MX115" s="64"/>
      <c r="MY115" s="64"/>
      <c r="MZ115" s="64"/>
      <c r="NA115" s="64"/>
      <c r="NB115" s="64"/>
      <c r="NC115" s="64"/>
      <c r="ND115" s="64"/>
      <c r="NE115" s="64"/>
      <c r="NF115" s="64"/>
      <c r="NG115" s="64"/>
      <c r="NH115" s="64"/>
      <c r="NI115" s="64"/>
      <c r="NJ115" s="64"/>
      <c r="NK115" s="64"/>
      <c r="NL115" s="64"/>
      <c r="NM115" s="64"/>
      <c r="NN115" s="64"/>
      <c r="NO115" s="64"/>
      <c r="NP115" s="64"/>
      <c r="NQ115" s="64"/>
      <c r="NR115" s="64"/>
      <c r="NS115" s="64"/>
      <c r="NT115" s="64"/>
      <c r="NU115" s="64"/>
      <c r="NV115" s="64"/>
      <c r="NW115" s="64"/>
      <c r="NX115" s="64"/>
      <c r="NY115" s="64"/>
      <c r="NZ115" s="64"/>
      <c r="OA115" s="64"/>
      <c r="OB115" s="64"/>
      <c r="OC115" s="64"/>
      <c r="OD115" s="64"/>
      <c r="OE115" s="64"/>
      <c r="OF115" s="64"/>
      <c r="OG115" s="64"/>
      <c r="OH115" s="64"/>
      <c r="OI115" s="64"/>
      <c r="OJ115" s="64"/>
      <c r="OK115" s="64"/>
      <c r="OL115" s="64"/>
    </row>
    <row r="116" spans="1:402" x14ac:dyDescent="0.3">
      <c r="A116" s="107"/>
      <c r="D116" s="83" t="s">
        <v>164</v>
      </c>
      <c r="E116" s="258">
        <f>IF(AND($F$2="No",$F$3="No"),SUM(I116:L116),IF(AND($F$2="Yes", $F$3="No"), SUM(I116:L116)+N116, IF(AND($F$2="No", $F$3="Yes"),SUM(I116:L116)+M116, SUM(I116:L116)+N116+M116)))</f>
        <v>-3.8262176932091579E-2</v>
      </c>
      <c r="F116" s="85">
        <f>IF(AND($F$2="No",$F$3="No"),SUM(H116:L116,O116),IF(AND($F$2="Yes", $F$3="No"), SUM(H116:L116,O116)+N116, IF(AND($F$2="No", $F$3="Yes"),SUM(H116:L116,O116)+M116, SUM(H116:L116,O116)+N116+M116)))</f>
        <v>2.7127700918267288</v>
      </c>
      <c r="G116" s="278">
        <f>SUM(Q116:S116)/(1-'Common input data'!B$126)</f>
        <v>3.5374796190586033</v>
      </c>
      <c r="H116" s="306">
        <f>('Input data meat and eggs'!S404*'Input data meat and eggs'!B48+'Input data meat and eggs'!T404*'Input data meat and eggs'!B47+'Input data meat and eggs'!U404*'Input data meat and eggs'!B35+'Input data meat and eggs'!V404*SUMPRODUCT('Input data meat and eggs'!B37:B46,'Input data meat and eggs'!F65:F74))*'Input data meat and eggs'!$E$404/'Input data meat and eggs'!$H$404</f>
        <v>1.9992822687588205</v>
      </c>
      <c r="I116" s="306">
        <v>0</v>
      </c>
      <c r="J116" s="306">
        <v>0</v>
      </c>
      <c r="K116" s="306">
        <v>0</v>
      </c>
      <c r="L116" s="306">
        <v>0</v>
      </c>
      <c r="M116" s="306">
        <f>(('Input data meat and eggs'!S404+'Input data meat and eggs'!T404)*'Common input data'!F13+
'Input data meat and eggs'!U404*'Common input data'!B13+'Input data meat and eggs'!V404*('Input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data'!F29))*'Input data meat and eggs'!$E$404/'Input data meat and eggs'!$H$404</f>
        <v>-8.4080323659672815E-2</v>
      </c>
      <c r="N116" s="306">
        <f>('Input data meat and eggs'!V404*('Input data meat and eggs'!F67*'Common input data'!B21*'Common input data'!G30/'Common input data'!F30+'Input data meat and eggs'!F71*'Common input data'!C21*'Common input data'!J31/'Common input data'!I31))*'Input data meat and eggs'!$E$404/'Input data meat and eggs'!$H$404</f>
        <v>4.5818146727581235E-2</v>
      </c>
      <c r="O116" s="306">
        <f>'Input data meat and eggs'!B83*'Common input data'!B63</f>
        <v>0.75175000000000003</v>
      </c>
      <c r="P116" s="306">
        <f>'Input data meat and eggs'!B92*'Common input data'!B63+'Input data meat and eggs'!C92*3.6*'Common input data'!B49</f>
        <v>0.38341132075471701</v>
      </c>
      <c r="Q116" s="306">
        <f>(F116+P116)</f>
        <v>3.096181412581446</v>
      </c>
      <c r="R116" s="306">
        <f>'Common input data'!B92</f>
        <v>0.1</v>
      </c>
      <c r="S116" s="306">
        <f>'Common input data'!C98</f>
        <v>0.03</v>
      </c>
      <c r="T116" s="107"/>
    </row>
    <row r="117" spans="1:402" x14ac:dyDescent="0.3">
      <c r="A117" s="107"/>
      <c r="D117" s="83" t="s">
        <v>165</v>
      </c>
      <c r="E117" s="258">
        <f>SUM(I117:L117)</f>
        <v>0.34063733489221643</v>
      </c>
      <c r="F117" s="85">
        <f>SUM(H117:L117,O117)</f>
        <v>0.3415486625278974</v>
      </c>
      <c r="G117" s="278">
        <f>SUM(Q117:S117)/(1-'Common input data'!B$126)</f>
        <v>0.37461906475460449</v>
      </c>
      <c r="H117" s="306">
        <f>('Input data meat and eggs'!S404*'Input data meat and eggs'!C48+'Input data meat and eggs'!T404*'Input data meat and eggs'!C47+'Input data meat and eggs'!U404*'Input data meat and eggs'!C35+'Input data meat and eggs'!V404*SUMPRODUCT('Input data meat and eggs'!C37:C46,'Input data meat and eggs'!F65:F74))*'Input data meat and eggs'!$E$404/'Input data meat and eggs'!$H$404</f>
        <v>9.1132763568094351E-4</v>
      </c>
      <c r="I117" s="306">
        <v>0</v>
      </c>
      <c r="J117" s="306">
        <f>('Input data meat and eggs'!M404*'Input data meat and eggs'!G404/12*'Input data meat and eggs'!$B$450*'Input data meat and eggs'!$B$452*'Input data meat and eggs'!$B$453*
('Input data meat and eggs'!$O$404*'Input data meat and eggs'!$B$443
+'Input data meat and eggs'!$P$404*'Input data meat and eggs'!$C$443+
'Input data meat and eggs'!$Q$404*'Input data meat and eggs'!$D$443+
'Input data meat and eggs'!$R$404*'Input data meat and eggs'!$E$443))*'Input data meat and eggs'!$E$404/'Input data meat and eggs'!$H$404</f>
        <v>4.6801011153995105E-2</v>
      </c>
      <c r="K117" s="306">
        <v>0</v>
      </c>
      <c r="L117" s="306">
        <f>('Input data meat and eggs'!L404*'Input data meat and eggs'!G404/12)*'Input data meat and eggs'!$E$404/'Input data meat and eggs'!$H$404</f>
        <v>0.29383632373822133</v>
      </c>
      <c r="M117" s="306">
        <v>0</v>
      </c>
      <c r="N117" s="306">
        <v>0</v>
      </c>
      <c r="O117" s="306">
        <v>0</v>
      </c>
      <c r="P117" s="306">
        <f>'Input data meat and eggs'!C92*3.6*'Common input data'!B50</f>
        <v>1.0392452830188681E-4</v>
      </c>
      <c r="Q117" s="306">
        <f>(F117+P117)</f>
        <v>0.34165258705619928</v>
      </c>
      <c r="R117" s="306">
        <v>0</v>
      </c>
      <c r="S117" s="306">
        <v>0</v>
      </c>
      <c r="T117" s="107"/>
    </row>
    <row r="118" spans="1:402" x14ac:dyDescent="0.3">
      <c r="A118" s="107"/>
      <c r="D118" s="84" t="s">
        <v>166</v>
      </c>
      <c r="E118" s="258">
        <f>SUM(I118:L118)</f>
        <v>9.6490067654753341E-3</v>
      </c>
      <c r="F118" s="85">
        <f>SUM(H118:L118,O118)</f>
        <v>1.2165055594736889E-2</v>
      </c>
      <c r="G118" s="278">
        <f>SUM(Q118:S118)/(1-'Common input data'!B$126)</f>
        <v>1.334949963838661E-2</v>
      </c>
      <c r="H118" s="306">
        <f>(('Input data meat and eggs'!S404*'Input data meat and eggs'!D48+'Input data meat and eggs'!T404*'Input data meat and eggs'!D47+'Input data meat and eggs'!U404*'Input data meat and eggs'!D35+'Input data meat and eggs'!V404*SUMPRODUCT('Input data meat and eggs'!D37:D46,'Input data meat and eggs'!F65:F74))*'Input data meat and eggs'!B58)*'Input data meat and eggs'!$E$404/'Input data meat and eggs'!$H$404</f>
        <v>2.5160488292615539E-3</v>
      </c>
      <c r="I118" s="306">
        <f>(('Input data meat and eggs'!S404*'Input data meat and eggs'!D48+'Input data meat and eggs'!T404*'Input data meat and eggs'!D47+'Input data meat and eggs'!U404*'Input data meat and eggs'!D35+'Input data meat and eggs'!V404*SUMPRODUCT('Input data meat and eggs'!D37:D46,'Input data meat and eggs'!F65:F74))*'Input data meat and eggs'!C58)*'Input data meat and eggs'!$E$404/'Input data meat and eggs'!$H$404</f>
        <v>6.3595573093622659E-3</v>
      </c>
      <c r="J118" s="306">
        <f>('Input data meat and eggs'!K404*'Input data meat and eggs'!G404/12*('Input data meat and eggs'!$O$404*'Input data meat and eggs'!$B$445+'Input data meat and eggs'!$P$404*'Input data meat and eggs'!$C$445+'Input data meat and eggs'!$Q$404*'Input data meat and eggs'!$D$445+'Input data meat and eggs'!$R$404*'Input data meat and eggs'!$E$445)*44/28)*'Input data meat and eggs'!$E$404/'Input data meat and eggs'!$H$404</f>
        <v>2.4328448015036373E-3</v>
      </c>
      <c r="K118" s="306">
        <f>('Input data meat and eggs'!$B$446*44/28*'Input data meat and eggs'!K404*'Input data meat and eggs'!G404/12*('Input data meat and eggs'!O404*'Input data meat and eggs'!B457+'Input data meat and eggs'!P404*'Input data meat and eggs'!C457+'Input data meat and eggs'!Q404*'Input data meat and eggs'!D457))*'Input data meat and eggs'!$E$404/'Input data meat and eggs'!$H$404</f>
        <v>8.5660465460943075E-4</v>
      </c>
      <c r="L118" s="306">
        <v>0</v>
      </c>
      <c r="M118" s="306">
        <v>0</v>
      </c>
      <c r="N118" s="306">
        <v>0</v>
      </c>
      <c r="O118" s="306">
        <v>0</v>
      </c>
      <c r="P118" s="306">
        <f>'Input data meat and eggs'!C92*3.6*'Common input data'!B51</f>
        <v>9.6880754716981128E-6</v>
      </c>
      <c r="Q118" s="306">
        <f>(F118+P118)</f>
        <v>1.2174743670208587E-2</v>
      </c>
      <c r="R118" s="306">
        <v>0</v>
      </c>
      <c r="S118" s="306">
        <v>0</v>
      </c>
      <c r="T118" s="107"/>
    </row>
    <row r="119" spans="1:402" s="102" customFormat="1" x14ac:dyDescent="0.3">
      <c r="A119" s="498"/>
      <c r="B119" s="111" t="s">
        <v>683</v>
      </c>
      <c r="C119" s="104">
        <f>'Input data meat and eggs'!D8</f>
        <v>1.5529903332731231E-2</v>
      </c>
      <c r="D119" s="269" t="s">
        <v>473</v>
      </c>
      <c r="E119" s="320">
        <f>IF($F$1="GWP100 without fb",E120+E121*'Common input data'!$C$5+E122*'Common input data'!$D$5,IF($F$1="GWP100 with fb",E120+E121*'Common input data'!$C$6+E122*'Common input data'!$D$6,IF($F$1="GTP100 without fb",E120+E121*'Common input data'!$C$7+E122*'Common input data'!$D$7,IF($F$1="GTP100 with fb",E120+E121*'Common input data'!$C$8+E122*'Common input data'!$D$8,E120+E121*'Common input data'!$C$9+E122*'Common input data'!$D$9))))</f>
        <v>18.101771879417612</v>
      </c>
      <c r="F119" s="302">
        <f>IF($F$1="GWP100 without fb",F120+F121*'Common input data'!$C$5+F122*'Common input data'!$D$5,IF($F$1="GWP100 with fb",F120+F121*'Common input data'!$C$6+F122*'Common input data'!$D$6,IF($F$1="GTP100 without fb",F120+F121*'Common input data'!$C$7+F122*'Common input data'!$D$7,IF($F$1="GTP100 with fb",F120+F121*'Common input data'!$C$8+F122*'Common input data'!$D$8,F120+F121*'Common input data'!$C$9+F122*'Common input data'!$D$9))))</f>
        <v>21.642950094945167</v>
      </c>
      <c r="G119" s="321">
        <f>IF($F$1="GWP100 without fb",G120+G121*'Common input data'!$C$5+G122*'Common input data'!$D$5,IF($F$1="GWP100 with fb",G120+G121*'Common input data'!$C$6+G122*'Common input data'!$D$6,IF($F$1="GTP100 without fb",G120+G121*'Common input data'!$C$7+G122*'Common input data'!$D$7,IF($F$1="GTP100 with fb",G120+G121*'Common input data'!$C$8+G122*'Common input data'!$D$8,G120+G121*'Common input data'!$C$9+G122*'Common input data'!$D$9))))</f>
        <v>24.301295938763943</v>
      </c>
      <c r="H119" s="502"/>
      <c r="I119" s="502"/>
      <c r="J119" s="502"/>
      <c r="K119" s="502"/>
      <c r="L119" s="502"/>
      <c r="M119" s="502"/>
      <c r="N119" s="502"/>
      <c r="O119" s="502"/>
      <c r="P119" s="502"/>
      <c r="Q119" s="502"/>
      <c r="R119" s="502"/>
      <c r="S119" s="502"/>
      <c r="T119" s="107"/>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4"/>
      <c r="CG119" s="64"/>
      <c r="CH119" s="64"/>
      <c r="CI119" s="64"/>
      <c r="CJ119" s="64"/>
      <c r="CK119" s="64"/>
      <c r="CL119" s="64"/>
      <c r="CM119" s="64"/>
      <c r="CN119" s="64"/>
      <c r="CO119" s="64"/>
      <c r="CP119" s="64"/>
      <c r="CQ119" s="64"/>
      <c r="CR119" s="64"/>
      <c r="CS119" s="64"/>
      <c r="CT119" s="64"/>
      <c r="CU119" s="64"/>
      <c r="CV119" s="64"/>
      <c r="CW119" s="64"/>
      <c r="CX119" s="64"/>
      <c r="CY119" s="64"/>
      <c r="CZ119" s="64"/>
      <c r="DA119" s="64"/>
      <c r="DB119" s="64"/>
      <c r="DC119" s="64"/>
      <c r="DD119" s="64"/>
      <c r="DE119" s="64"/>
      <c r="DF119" s="64"/>
      <c r="DG119" s="64"/>
      <c r="DH119" s="64"/>
      <c r="DI119" s="64"/>
      <c r="DJ119" s="64"/>
      <c r="DK119" s="64"/>
      <c r="DL119" s="64"/>
      <c r="DM119" s="64"/>
      <c r="DN119" s="64"/>
      <c r="DO119" s="64"/>
      <c r="DP119" s="64"/>
      <c r="DQ119" s="64"/>
      <c r="DR119" s="64"/>
      <c r="DS119" s="64"/>
      <c r="DT119" s="64"/>
      <c r="DU119" s="64"/>
      <c r="DV119" s="64"/>
      <c r="DW119" s="64"/>
      <c r="DX119" s="64"/>
      <c r="DY119" s="64"/>
      <c r="DZ119" s="64"/>
      <c r="EA119" s="64"/>
      <c r="EB119" s="64"/>
      <c r="EC119" s="64"/>
      <c r="ED119" s="64"/>
      <c r="EE119" s="64"/>
      <c r="EF119" s="64"/>
      <c r="EG119" s="64"/>
      <c r="EH119" s="64"/>
      <c r="EI119" s="64"/>
      <c r="EJ119" s="64"/>
      <c r="EK119" s="64"/>
      <c r="EL119" s="64"/>
      <c r="EM119" s="64"/>
      <c r="EN119" s="64"/>
      <c r="EO119" s="64"/>
      <c r="EP119" s="64"/>
      <c r="EQ119" s="64"/>
      <c r="ER119" s="64"/>
      <c r="ES119" s="64"/>
      <c r="ET119" s="64"/>
      <c r="EU119" s="64"/>
      <c r="EV119" s="64"/>
      <c r="EW119" s="64"/>
      <c r="EX119" s="64"/>
      <c r="EY119" s="64"/>
      <c r="EZ119" s="64"/>
      <c r="FA119" s="64"/>
      <c r="FB119" s="64"/>
      <c r="FC119" s="64"/>
      <c r="FD119" s="64"/>
      <c r="FE119" s="64"/>
      <c r="FF119" s="64"/>
      <c r="FG119" s="64"/>
      <c r="FH119" s="64"/>
      <c r="FI119" s="64"/>
      <c r="FJ119" s="64"/>
      <c r="FK119" s="64"/>
      <c r="FL119" s="64"/>
      <c r="FM119" s="64"/>
      <c r="FN119" s="64"/>
      <c r="FO119" s="64"/>
      <c r="FP119" s="64"/>
      <c r="FQ119" s="64"/>
      <c r="FR119" s="64"/>
      <c r="FS119" s="64"/>
      <c r="FT119" s="64"/>
      <c r="FU119" s="64"/>
      <c r="FV119" s="64"/>
      <c r="FW119" s="64"/>
      <c r="FX119" s="64"/>
      <c r="FY119" s="64"/>
      <c r="FZ119" s="64"/>
      <c r="GA119" s="64"/>
      <c r="GB119" s="64"/>
      <c r="GC119" s="64"/>
      <c r="GD119" s="64"/>
      <c r="GE119" s="64"/>
      <c r="GF119" s="64"/>
      <c r="GG119" s="64"/>
      <c r="GH119" s="64"/>
      <c r="GI119" s="64"/>
      <c r="GJ119" s="64"/>
      <c r="GK119" s="64"/>
      <c r="GL119" s="64"/>
      <c r="GM119" s="64"/>
      <c r="GN119" s="64"/>
      <c r="GO119" s="64"/>
      <c r="GP119" s="64"/>
      <c r="GQ119" s="64"/>
      <c r="GR119" s="64"/>
      <c r="GS119" s="64"/>
      <c r="GT119" s="64"/>
      <c r="GU119" s="64"/>
      <c r="GV119" s="64"/>
      <c r="GW119" s="64"/>
      <c r="GX119" s="64"/>
      <c r="GY119" s="64"/>
      <c r="GZ119" s="64"/>
      <c r="HA119" s="64"/>
      <c r="HB119" s="64"/>
      <c r="HC119" s="64"/>
      <c r="HD119" s="64"/>
      <c r="HE119" s="64"/>
      <c r="HF119" s="64"/>
      <c r="HG119" s="64"/>
      <c r="HH119" s="64"/>
      <c r="HI119" s="64"/>
      <c r="HJ119" s="64"/>
      <c r="HK119" s="64"/>
      <c r="HL119" s="64"/>
      <c r="HM119" s="64"/>
      <c r="HN119" s="64"/>
      <c r="HO119" s="64"/>
      <c r="HP119" s="64"/>
      <c r="HQ119" s="64"/>
      <c r="HR119" s="64"/>
      <c r="HS119" s="64"/>
      <c r="HT119" s="64"/>
      <c r="HU119" s="64"/>
      <c r="HV119" s="64"/>
      <c r="HW119" s="64"/>
      <c r="HX119" s="64"/>
      <c r="HY119" s="64"/>
      <c r="HZ119" s="64"/>
      <c r="IA119" s="64"/>
      <c r="IB119" s="64"/>
      <c r="IC119" s="64"/>
      <c r="ID119" s="64"/>
      <c r="IE119" s="64"/>
      <c r="IF119" s="64"/>
      <c r="IG119" s="64"/>
      <c r="IH119" s="64"/>
      <c r="II119" s="64"/>
      <c r="IJ119" s="64"/>
      <c r="IK119" s="64"/>
      <c r="IL119" s="64"/>
      <c r="IM119" s="64"/>
      <c r="IN119" s="64"/>
      <c r="IO119" s="64"/>
      <c r="IP119" s="64"/>
      <c r="IQ119" s="64"/>
      <c r="IR119" s="64"/>
      <c r="IS119" s="64"/>
      <c r="IT119" s="64"/>
      <c r="IU119" s="64"/>
      <c r="IV119" s="64"/>
      <c r="IW119" s="64"/>
      <c r="IX119" s="64"/>
      <c r="IY119" s="64"/>
      <c r="IZ119" s="64"/>
      <c r="JA119" s="64"/>
      <c r="JB119" s="64"/>
      <c r="JC119" s="64"/>
      <c r="JD119" s="64"/>
      <c r="JE119" s="64"/>
      <c r="JF119" s="64"/>
      <c r="JG119" s="64"/>
      <c r="JH119" s="64"/>
      <c r="JI119" s="64"/>
      <c r="JJ119" s="64"/>
      <c r="JK119" s="64"/>
      <c r="JL119" s="64"/>
      <c r="JM119" s="64"/>
      <c r="JN119" s="64"/>
      <c r="JO119" s="64"/>
      <c r="JP119" s="64"/>
      <c r="JQ119" s="64"/>
      <c r="JR119" s="64"/>
      <c r="JS119" s="64"/>
      <c r="JT119" s="64"/>
      <c r="JU119" s="64"/>
      <c r="JV119" s="64"/>
      <c r="JW119" s="64"/>
      <c r="JX119" s="64"/>
      <c r="JY119" s="64"/>
      <c r="JZ119" s="64"/>
      <c r="KA119" s="64"/>
      <c r="KB119" s="64"/>
      <c r="KC119" s="64"/>
      <c r="KD119" s="64"/>
      <c r="KE119" s="64"/>
      <c r="KF119" s="64"/>
      <c r="KG119" s="64"/>
      <c r="KH119" s="64"/>
      <c r="KI119" s="64"/>
      <c r="KJ119" s="64"/>
      <c r="KK119" s="64"/>
      <c r="KL119" s="64"/>
      <c r="KM119" s="64"/>
      <c r="KN119" s="64"/>
      <c r="KO119" s="64"/>
      <c r="KP119" s="64"/>
      <c r="KQ119" s="64"/>
      <c r="KR119" s="64"/>
      <c r="KS119" s="64"/>
      <c r="KT119" s="64"/>
      <c r="KU119" s="64"/>
      <c r="KV119" s="64"/>
      <c r="KW119" s="64"/>
      <c r="KX119" s="64"/>
      <c r="KY119" s="64"/>
      <c r="KZ119" s="64"/>
      <c r="LA119" s="64"/>
      <c r="LB119" s="64"/>
      <c r="LC119" s="64"/>
      <c r="LD119" s="64"/>
      <c r="LE119" s="64"/>
      <c r="LF119" s="64"/>
      <c r="LG119" s="64"/>
      <c r="LH119" s="64"/>
      <c r="LI119" s="64"/>
      <c r="LJ119" s="64"/>
      <c r="LK119" s="64"/>
      <c r="LL119" s="64"/>
      <c r="LM119" s="64"/>
      <c r="LN119" s="64"/>
      <c r="LO119" s="64"/>
      <c r="LP119" s="64"/>
      <c r="LQ119" s="64"/>
      <c r="LR119" s="64"/>
      <c r="LS119" s="64"/>
      <c r="LT119" s="64"/>
      <c r="LU119" s="64"/>
      <c r="LV119" s="64"/>
      <c r="LW119" s="64"/>
      <c r="LX119" s="64"/>
      <c r="LY119" s="64"/>
      <c r="LZ119" s="64"/>
      <c r="MA119" s="64"/>
      <c r="MB119" s="64"/>
      <c r="MC119" s="64"/>
      <c r="MD119" s="64"/>
      <c r="ME119" s="64"/>
      <c r="MF119" s="64"/>
      <c r="MG119" s="64"/>
      <c r="MH119" s="64"/>
      <c r="MI119" s="64"/>
      <c r="MJ119" s="64"/>
      <c r="MK119" s="64"/>
      <c r="ML119" s="64"/>
      <c r="MM119" s="64"/>
      <c r="MN119" s="64"/>
      <c r="MO119" s="64"/>
      <c r="MP119" s="64"/>
      <c r="MQ119" s="64"/>
      <c r="MR119" s="64"/>
      <c r="MS119" s="64"/>
      <c r="MT119" s="64"/>
      <c r="MU119" s="64"/>
      <c r="MV119" s="64"/>
      <c r="MW119" s="64"/>
      <c r="MX119" s="64"/>
      <c r="MY119" s="64"/>
      <c r="MZ119" s="64"/>
      <c r="NA119" s="64"/>
      <c r="NB119" s="64"/>
      <c r="NC119" s="64"/>
      <c r="ND119" s="64"/>
      <c r="NE119" s="64"/>
      <c r="NF119" s="64"/>
      <c r="NG119" s="64"/>
      <c r="NH119" s="64"/>
      <c r="NI119" s="64"/>
      <c r="NJ119" s="64"/>
      <c r="NK119" s="64"/>
      <c r="NL119" s="64"/>
      <c r="NM119" s="64"/>
      <c r="NN119" s="64"/>
      <c r="NO119" s="64"/>
      <c r="NP119" s="64"/>
      <c r="NQ119" s="64"/>
      <c r="NR119" s="64"/>
      <c r="NS119" s="64"/>
      <c r="NT119" s="64"/>
      <c r="NU119" s="64"/>
      <c r="NV119" s="64"/>
      <c r="NW119" s="64"/>
      <c r="NX119" s="64"/>
      <c r="NY119" s="64"/>
      <c r="NZ119" s="64"/>
      <c r="OA119" s="64"/>
      <c r="OB119" s="64"/>
      <c r="OC119" s="64"/>
      <c r="OD119" s="64"/>
      <c r="OE119" s="64"/>
      <c r="OF119" s="64"/>
      <c r="OG119" s="64"/>
      <c r="OH119" s="64"/>
      <c r="OI119" s="64"/>
      <c r="OJ119" s="64"/>
      <c r="OK119" s="64"/>
      <c r="OL119" s="64"/>
    </row>
    <row r="120" spans="1:402" x14ac:dyDescent="0.3">
      <c r="A120" s="107"/>
      <c r="D120" s="83" t="s">
        <v>164</v>
      </c>
      <c r="E120" s="258">
        <f>IF(AND($F$2="No",$F$3="No"),SUM(I120:L120),IF(AND($F$2="Yes", $F$3="No"), SUM(I120:L120)+N120, IF(AND($F$2="No", $F$3="Yes"),SUM(I120:L120)+M120, SUM(I120:L120)+N120+M120)))</f>
        <v>-3.4331846542803281E-2</v>
      </c>
      <c r="F120" s="85">
        <f>IF(AND($F$2="No",$F$3="No"),SUM(H120:L120,O120),IF(AND($F$2="Yes", $F$3="No"), SUM(H120:L120,O120)+N120, IF(AND($F$2="No", $F$3="Yes"),SUM(H120:L120,O120)+M120, SUM(H120:L120,O120)+N120+M120)))</f>
        <v>2.7240487806268079</v>
      </c>
      <c r="G120" s="278">
        <f>SUM(Q120:S120)/(1-'Common input data'!B$126)</f>
        <v>3.5498466023920234</v>
      </c>
      <c r="H120" s="306">
        <f>('Input data meat and eggs'!S405*'Input data meat and eggs'!B48+'Input data meat and eggs'!T405*'Input data meat and eggs'!B47+'Input data meat and eggs'!U405*'Input data meat and eggs'!B35+'Input data meat and eggs'!V405*SUMPRODUCT('Input data meat and eggs'!B37:B46,'Input data meat and eggs'!F65:F74))*'Input data meat and eggs'!$E$405/'Input data meat and eggs'!$H$405</f>
        <v>2.0066306271696113</v>
      </c>
      <c r="I120" s="306">
        <v>0</v>
      </c>
      <c r="J120" s="306">
        <v>0</v>
      </c>
      <c r="K120" s="306">
        <v>0</v>
      </c>
      <c r="L120" s="306">
        <v>0</v>
      </c>
      <c r="M120" s="306">
        <f>(('Input data meat and eggs'!S405+'Input data meat and eggs'!T405)*'Common input data'!F13+
'Input data meat and eggs'!U405*'Common input data'!B13+'Input data meat and eggs'!V405*('Input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data'!F29))*'Input data meat and eggs'!$E$405/'Input data meat and eggs'!$H$405</f>
        <v>-8.2321550969662219E-2</v>
      </c>
      <c r="N120" s="306">
        <f>('Input data meat and eggs'!V405*('Input data meat and eggs'!F67*'Common input data'!B21*'Common input data'!G30/'Common input data'!F30+'Input data meat and eggs'!F71*'Common input data'!C21*'Common input data'!J31/'Common input data'!I31))*'Input data meat and eggs'!$E$405/'Input data meat and eggs'!$H$405</f>
        <v>4.7989704426858938E-2</v>
      </c>
      <c r="O120" s="306">
        <f>'Input data meat and eggs'!B83*'Common input data'!B63</f>
        <v>0.75175000000000003</v>
      </c>
      <c r="P120" s="306">
        <f>'Input data meat and eggs'!B92*'Common input data'!B63+'Input data meat and eggs'!C92*3.6*'Common input data'!B49</f>
        <v>0.38341132075471701</v>
      </c>
      <c r="Q120" s="306">
        <f>(F120+P120)</f>
        <v>3.1074601013815251</v>
      </c>
      <c r="R120" s="306">
        <f>'Common input data'!B92</f>
        <v>0.1</v>
      </c>
      <c r="S120" s="306">
        <f>'Common input data'!C98</f>
        <v>0.03</v>
      </c>
      <c r="T120" s="107"/>
    </row>
    <row r="121" spans="1:402" x14ac:dyDescent="0.3">
      <c r="A121" s="107"/>
      <c r="D121" s="83" t="s">
        <v>165</v>
      </c>
      <c r="E121" s="258">
        <f>SUM(I121:L121)</f>
        <v>0.4403052543615551</v>
      </c>
      <c r="F121" s="85">
        <f>SUM(H121:L121,O121)</f>
        <v>0.4412354933377019</v>
      </c>
      <c r="G121" s="278">
        <f>SUM(Q121:S121)/(1-'Common input data'!B$126)</f>
        <v>0.48392480029167084</v>
      </c>
      <c r="H121" s="306">
        <f>('Input data meat and eggs'!S405*'Input data meat and eggs'!C48+'Input data meat and eggs'!T405*'Input data meat and eggs'!C47+'Input data meat and eggs'!U405*'Input data meat and eggs'!C35+'Input data meat and eggs'!V405*SUMPRODUCT('Input data meat and eggs'!C37:C46,'Input data meat and eggs'!F65:F74))*'Input data meat and eggs'!$E$405/'Input data meat and eggs'!$H$405</f>
        <v>9.302389761467664E-4</v>
      </c>
      <c r="I121" s="306">
        <v>0</v>
      </c>
      <c r="J121" s="306">
        <f>('Input data meat and eggs'!M405*'Input data meat and eggs'!G405/12*'Input data meat and eggs'!$B$450*'Input data meat and eggs'!$B$452*'Input data meat and eggs'!$B$453*
('Input data meat and eggs'!$O$405*'Input data meat and eggs'!$B$443
+'Input data meat and eggs'!$P$405*'Input data meat and eggs'!$C$443+
'Input data meat and eggs'!$Q$405*'Input data meat and eggs'!$D$443+
'Input data meat and eggs'!$R$405*'Input data meat and eggs'!$E$443))*'Input data meat and eggs'!$E$405/'Input data meat and eggs'!$H$405</f>
        <v>6.0494634644373678E-2</v>
      </c>
      <c r="K121" s="306">
        <v>0</v>
      </c>
      <c r="L121" s="306">
        <f>('Input data meat and eggs'!L405*'Input data meat and eggs'!G405/12)*'Input data meat and eggs'!$E$405/'Input data meat and eggs'!$H$405</f>
        <v>0.37981061971718144</v>
      </c>
      <c r="M121" s="306">
        <v>0</v>
      </c>
      <c r="N121" s="306">
        <v>0</v>
      </c>
      <c r="O121" s="306">
        <v>0</v>
      </c>
      <c r="P121" s="306">
        <f>'Input data meat and eggs'!C92*3.6*'Common input data'!B50</f>
        <v>1.0392452830188681E-4</v>
      </c>
      <c r="Q121" s="306">
        <f>(F121+P121)</f>
        <v>0.44133941786600378</v>
      </c>
      <c r="R121" s="306">
        <v>0</v>
      </c>
      <c r="S121" s="306">
        <v>0</v>
      </c>
      <c r="T121" s="107"/>
    </row>
    <row r="122" spans="1:402" x14ac:dyDescent="0.3">
      <c r="A122" s="107"/>
      <c r="D122" s="84" t="s">
        <v>166</v>
      </c>
      <c r="E122" s="258">
        <f>SUM(I122:L122)</f>
        <v>1.0623238515662889E-2</v>
      </c>
      <c r="F122" s="85">
        <f>SUM(H122:L122,O122)</f>
        <v>1.3143941412203004E-2</v>
      </c>
      <c r="G122" s="278">
        <f>SUM(Q122:S122)/(1-'Common input data'!B$126)</f>
        <v>1.4422839350520507E-2</v>
      </c>
      <c r="H122" s="306">
        <f>(('Input data meat and eggs'!S405*'Input data meat and eggs'!D48+'Input data meat and eggs'!T405*'Input data meat and eggs'!D47+'Input data meat and eggs'!U405*'Input data meat and eggs'!D35+'Input data meat and eggs'!V405*SUMPRODUCT('Input data meat and eggs'!D37:D46,'Input data meat and eggs'!F65:F74))*'Input data meat and eggs'!B58)*'Input data meat and eggs'!$E$405/'Input data meat and eggs'!$H$405</f>
        <v>2.5207028965401161E-3</v>
      </c>
      <c r="I122" s="306">
        <f>(('Input data meat and eggs'!S405*'Input data meat and eggs'!D48+'Input data meat and eggs'!T405*'Input data meat and eggs'!D47+'Input data meat and eggs'!U405*'Input data meat and eggs'!D35+'Input data meat and eggs'!V405*SUMPRODUCT('Input data meat and eggs'!D37:D46,'Input data meat and eggs'!F65:F74))*'Input data meat and eggs'!C58)*'Input data meat and eggs'!$E$405/'Input data meat and eggs'!$H$405</f>
        <v>6.3713209155512327E-3</v>
      </c>
      <c r="J122" s="306">
        <f>('Input data meat and eggs'!K405*'Input data meat and eggs'!G405/12*('Input data meat and eggs'!$O$405*'Input data meat and eggs'!$B$445+'Input data meat and eggs'!$P$405*'Input data meat and eggs'!$C$445+'Input data meat and eggs'!$Q$405*'Input data meat and eggs'!$D$445+'Input data meat and eggs'!$R$405*'Input data meat and eggs'!$E$445)*44/28)*'Input data meat and eggs'!$E$405/'Input data meat and eggs'!$H$405</f>
        <v>3.1446768730949309E-3</v>
      </c>
      <c r="K122" s="306">
        <f>('Input data meat and eggs'!$B$446*44/28*'Input data meat and eggs'!K405*'Input data meat and eggs'!G405/12*('Input data meat and eggs'!O405*'Input data meat and eggs'!B457+'Input data meat and eggs'!P405*'Input data meat and eggs'!C457+'Input data meat and eggs'!Q405*'Input data meat and eggs'!D457))*'Input data meat and eggs'!$E$405/'Input data meat and eggs'!$H$405</f>
        <v>1.1072407270167253E-3</v>
      </c>
      <c r="L122" s="306">
        <v>0</v>
      </c>
      <c r="M122" s="306">
        <v>0</v>
      </c>
      <c r="N122" s="306">
        <v>0</v>
      </c>
      <c r="O122" s="306">
        <v>0</v>
      </c>
      <c r="P122" s="306">
        <f>'Input data meat and eggs'!C92*3.6*'Common input data'!B51</f>
        <v>9.6880754716981128E-6</v>
      </c>
      <c r="Q122" s="306">
        <f>(F122+P122)</f>
        <v>1.3153629487674701E-2</v>
      </c>
      <c r="R122" s="306">
        <v>0</v>
      </c>
      <c r="S122" s="306">
        <v>0</v>
      </c>
      <c r="T122" s="107"/>
    </row>
    <row r="123" spans="1:402" s="102" customFormat="1" x14ac:dyDescent="0.3">
      <c r="A123" s="498"/>
      <c r="B123" s="111" t="s">
        <v>684</v>
      </c>
      <c r="C123" s="104">
        <f>'Input data meat and eggs'!D9</f>
        <v>3.2795506638238874E-2</v>
      </c>
      <c r="D123" s="269" t="s">
        <v>473</v>
      </c>
      <c r="E123" s="320">
        <f>IF($F$1="GWP100 without fb",E124+E125*'Common input data'!$C$5+E126*'Common input data'!$D$5,IF($F$1="GWP100 with fb",E124+E125*'Common input data'!$C$6+E126*'Common input data'!$D$6,IF($F$1="GTP100 without fb",E124+E125*'Common input data'!$C$7+E126*'Common input data'!$D$7,IF($F$1="GTP100 with fb",E124+E125*'Common input data'!$C$8+E126*'Common input data'!$D$8,E124+E125*'Common input data'!$C$9+E126*'Common input data'!$D$9))))</f>
        <v>17.821066291930197</v>
      </c>
      <c r="F123" s="302">
        <f>IF($F$1="GWP100 without fb",F124+F125*'Common input data'!$C$5+F126*'Common input data'!$D$5,IF($F$1="GWP100 with fb",F124+F125*'Common input data'!$C$6+F126*'Common input data'!$D$6,IF($F$1="GTP100 without fb",F124+F125*'Common input data'!$C$7+F126*'Common input data'!$D$7,IF($F$1="GTP100 with fb",F124+F125*'Common input data'!$C$8+F126*'Common input data'!$D$8,F124+F125*'Common input data'!$C$9+F126*'Common input data'!$D$9))))</f>
        <v>20.986225390673738</v>
      </c>
      <c r="G123" s="321">
        <f>IF($F$1="GWP100 without fb",G124+G125*'Common input data'!$C$5+G126*'Common input data'!$D$5,IF($F$1="GWP100 with fb",G124+G125*'Common input data'!$C$6+G126*'Common input data'!$D$6,IF($F$1="GTP100 without fb",G124+G125*'Common input data'!$C$7+G126*'Common input data'!$D$7,IF($F$1="GTP100 with fb",G124+G125*'Common input data'!$C$8+G126*'Common input data'!$D$8,G124+G125*'Common input data'!$C$9+G126*'Common input data'!$D$9))))</f>
        <v>23.581203061273339</v>
      </c>
      <c r="H123" s="502"/>
      <c r="I123" s="502"/>
      <c r="J123" s="502"/>
      <c r="K123" s="502"/>
      <c r="L123" s="502"/>
      <c r="M123" s="502"/>
      <c r="N123" s="502"/>
      <c r="O123" s="502"/>
      <c r="P123" s="502"/>
      <c r="Q123" s="502"/>
      <c r="R123" s="502"/>
      <c r="S123" s="502"/>
      <c r="T123" s="107"/>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c r="AQ123" s="64"/>
      <c r="AR123" s="64"/>
      <c r="AS123" s="64"/>
      <c r="AT123" s="64"/>
      <c r="AU123" s="64"/>
      <c r="AV123" s="64"/>
      <c r="AW123" s="64"/>
      <c r="AX123" s="64"/>
      <c r="AY123" s="64"/>
      <c r="AZ123" s="64"/>
      <c r="BA123" s="64"/>
      <c r="BB123" s="64"/>
      <c r="BC123" s="64"/>
      <c r="BD123" s="64"/>
      <c r="BE123" s="64"/>
      <c r="BF123" s="64"/>
      <c r="BG123" s="64"/>
      <c r="BH123" s="64"/>
      <c r="BI123" s="64"/>
      <c r="BJ123" s="64"/>
      <c r="BK123" s="64"/>
      <c r="BL123" s="64"/>
      <c r="BM123" s="64"/>
      <c r="BN123" s="64"/>
      <c r="BO123" s="64"/>
      <c r="BP123" s="64"/>
      <c r="BQ123" s="64"/>
      <c r="BR123" s="64"/>
      <c r="BS123" s="64"/>
      <c r="BT123" s="64"/>
      <c r="BU123" s="64"/>
      <c r="BV123" s="64"/>
      <c r="BW123" s="64"/>
      <c r="BX123" s="64"/>
      <c r="BY123" s="64"/>
      <c r="BZ123" s="64"/>
      <c r="CA123" s="64"/>
      <c r="CB123" s="64"/>
      <c r="CC123" s="64"/>
      <c r="CD123" s="64"/>
      <c r="CE123" s="64"/>
      <c r="CF123" s="64"/>
      <c r="CG123" s="64"/>
      <c r="CH123" s="64"/>
      <c r="CI123" s="64"/>
      <c r="CJ123" s="64"/>
      <c r="CK123" s="64"/>
      <c r="CL123" s="64"/>
      <c r="CM123" s="64"/>
      <c r="CN123" s="64"/>
      <c r="CO123" s="64"/>
      <c r="CP123" s="64"/>
      <c r="CQ123" s="64"/>
      <c r="CR123" s="64"/>
      <c r="CS123" s="64"/>
      <c r="CT123" s="64"/>
      <c r="CU123" s="64"/>
      <c r="CV123" s="64"/>
      <c r="CW123" s="64"/>
      <c r="CX123" s="64"/>
      <c r="CY123" s="64"/>
      <c r="CZ123" s="64"/>
      <c r="DA123" s="64"/>
      <c r="DB123" s="64"/>
      <c r="DC123" s="64"/>
      <c r="DD123" s="64"/>
      <c r="DE123" s="64"/>
      <c r="DF123" s="64"/>
      <c r="DG123" s="64"/>
      <c r="DH123" s="64"/>
      <c r="DI123" s="64"/>
      <c r="DJ123" s="64"/>
      <c r="DK123" s="64"/>
      <c r="DL123" s="64"/>
      <c r="DM123" s="64"/>
      <c r="DN123" s="64"/>
      <c r="DO123" s="64"/>
      <c r="DP123" s="64"/>
      <c r="DQ123" s="64"/>
      <c r="DR123" s="64"/>
      <c r="DS123" s="64"/>
      <c r="DT123" s="64"/>
      <c r="DU123" s="64"/>
      <c r="DV123" s="64"/>
      <c r="DW123" s="64"/>
      <c r="DX123" s="64"/>
      <c r="DY123" s="64"/>
      <c r="DZ123" s="64"/>
      <c r="EA123" s="64"/>
      <c r="EB123" s="64"/>
      <c r="EC123" s="64"/>
      <c r="ED123" s="64"/>
      <c r="EE123" s="64"/>
      <c r="EF123" s="64"/>
      <c r="EG123" s="64"/>
      <c r="EH123" s="64"/>
      <c r="EI123" s="64"/>
      <c r="EJ123" s="64"/>
      <c r="EK123" s="64"/>
      <c r="EL123" s="64"/>
      <c r="EM123" s="64"/>
      <c r="EN123" s="64"/>
      <c r="EO123" s="64"/>
      <c r="EP123" s="64"/>
      <c r="EQ123" s="64"/>
      <c r="ER123" s="64"/>
      <c r="ES123" s="64"/>
      <c r="ET123" s="64"/>
      <c r="EU123" s="64"/>
      <c r="EV123" s="64"/>
      <c r="EW123" s="64"/>
      <c r="EX123" s="64"/>
      <c r="EY123" s="64"/>
      <c r="EZ123" s="64"/>
      <c r="FA123" s="64"/>
      <c r="FB123" s="64"/>
      <c r="FC123" s="64"/>
      <c r="FD123" s="64"/>
      <c r="FE123" s="64"/>
      <c r="FF123" s="64"/>
      <c r="FG123" s="64"/>
      <c r="FH123" s="64"/>
      <c r="FI123" s="64"/>
      <c r="FJ123" s="64"/>
      <c r="FK123" s="64"/>
      <c r="FL123" s="64"/>
      <c r="FM123" s="64"/>
      <c r="FN123" s="64"/>
      <c r="FO123" s="64"/>
      <c r="FP123" s="64"/>
      <c r="FQ123" s="64"/>
      <c r="FR123" s="64"/>
      <c r="FS123" s="64"/>
      <c r="FT123" s="64"/>
      <c r="FU123" s="64"/>
      <c r="FV123" s="64"/>
      <c r="FW123" s="64"/>
      <c r="FX123" s="64"/>
      <c r="FY123" s="64"/>
      <c r="FZ123" s="64"/>
      <c r="GA123" s="64"/>
      <c r="GB123" s="64"/>
      <c r="GC123" s="64"/>
      <c r="GD123" s="64"/>
      <c r="GE123" s="64"/>
      <c r="GF123" s="64"/>
      <c r="GG123" s="64"/>
      <c r="GH123" s="64"/>
      <c r="GI123" s="64"/>
      <c r="GJ123" s="64"/>
      <c r="GK123" s="64"/>
      <c r="GL123" s="64"/>
      <c r="GM123" s="64"/>
      <c r="GN123" s="64"/>
      <c r="GO123" s="64"/>
      <c r="GP123" s="64"/>
      <c r="GQ123" s="64"/>
      <c r="GR123" s="64"/>
      <c r="GS123" s="64"/>
      <c r="GT123" s="64"/>
      <c r="GU123" s="64"/>
      <c r="GV123" s="64"/>
      <c r="GW123" s="64"/>
      <c r="GX123" s="64"/>
      <c r="GY123" s="64"/>
      <c r="GZ123" s="64"/>
      <c r="HA123" s="64"/>
      <c r="HB123" s="64"/>
      <c r="HC123" s="64"/>
      <c r="HD123" s="64"/>
      <c r="HE123" s="64"/>
      <c r="HF123" s="64"/>
      <c r="HG123" s="64"/>
      <c r="HH123" s="64"/>
      <c r="HI123" s="64"/>
      <c r="HJ123" s="64"/>
      <c r="HK123" s="64"/>
      <c r="HL123" s="64"/>
      <c r="HM123" s="64"/>
      <c r="HN123" s="64"/>
      <c r="HO123" s="64"/>
      <c r="HP123" s="64"/>
      <c r="HQ123" s="64"/>
      <c r="HR123" s="64"/>
      <c r="HS123" s="64"/>
      <c r="HT123" s="64"/>
      <c r="HU123" s="64"/>
      <c r="HV123" s="64"/>
      <c r="HW123" s="64"/>
      <c r="HX123" s="64"/>
      <c r="HY123" s="64"/>
      <c r="HZ123" s="64"/>
      <c r="IA123" s="64"/>
      <c r="IB123" s="64"/>
      <c r="IC123" s="64"/>
      <c r="ID123" s="64"/>
      <c r="IE123" s="64"/>
      <c r="IF123" s="64"/>
      <c r="IG123" s="64"/>
      <c r="IH123" s="64"/>
      <c r="II123" s="64"/>
      <c r="IJ123" s="64"/>
      <c r="IK123" s="64"/>
      <c r="IL123" s="64"/>
      <c r="IM123" s="64"/>
      <c r="IN123" s="64"/>
      <c r="IO123" s="64"/>
      <c r="IP123" s="64"/>
      <c r="IQ123" s="64"/>
      <c r="IR123" s="64"/>
      <c r="IS123" s="64"/>
      <c r="IT123" s="64"/>
      <c r="IU123" s="64"/>
      <c r="IV123" s="64"/>
      <c r="IW123" s="64"/>
      <c r="IX123" s="64"/>
      <c r="IY123" s="64"/>
      <c r="IZ123" s="64"/>
      <c r="JA123" s="64"/>
      <c r="JB123" s="64"/>
      <c r="JC123" s="64"/>
      <c r="JD123" s="64"/>
      <c r="JE123" s="64"/>
      <c r="JF123" s="64"/>
      <c r="JG123" s="64"/>
      <c r="JH123" s="64"/>
      <c r="JI123" s="64"/>
      <c r="JJ123" s="64"/>
      <c r="JK123" s="64"/>
      <c r="JL123" s="64"/>
      <c r="JM123" s="64"/>
      <c r="JN123" s="64"/>
      <c r="JO123" s="64"/>
      <c r="JP123" s="64"/>
      <c r="JQ123" s="64"/>
      <c r="JR123" s="64"/>
      <c r="JS123" s="64"/>
      <c r="JT123" s="64"/>
      <c r="JU123" s="64"/>
      <c r="JV123" s="64"/>
      <c r="JW123" s="64"/>
      <c r="JX123" s="64"/>
      <c r="JY123" s="64"/>
      <c r="JZ123" s="64"/>
      <c r="KA123" s="64"/>
      <c r="KB123" s="64"/>
      <c r="KC123" s="64"/>
      <c r="KD123" s="64"/>
      <c r="KE123" s="64"/>
      <c r="KF123" s="64"/>
      <c r="KG123" s="64"/>
      <c r="KH123" s="64"/>
      <c r="KI123" s="64"/>
      <c r="KJ123" s="64"/>
      <c r="KK123" s="64"/>
      <c r="KL123" s="64"/>
      <c r="KM123" s="64"/>
      <c r="KN123" s="64"/>
      <c r="KO123" s="64"/>
      <c r="KP123" s="64"/>
      <c r="KQ123" s="64"/>
      <c r="KR123" s="64"/>
      <c r="KS123" s="64"/>
      <c r="KT123" s="64"/>
      <c r="KU123" s="64"/>
      <c r="KV123" s="64"/>
      <c r="KW123" s="64"/>
      <c r="KX123" s="64"/>
      <c r="KY123" s="64"/>
      <c r="KZ123" s="64"/>
      <c r="LA123" s="64"/>
      <c r="LB123" s="64"/>
      <c r="LC123" s="64"/>
      <c r="LD123" s="64"/>
      <c r="LE123" s="64"/>
      <c r="LF123" s="64"/>
      <c r="LG123" s="64"/>
      <c r="LH123" s="64"/>
      <c r="LI123" s="64"/>
      <c r="LJ123" s="64"/>
      <c r="LK123" s="64"/>
      <c r="LL123" s="64"/>
      <c r="LM123" s="64"/>
      <c r="LN123" s="64"/>
      <c r="LO123" s="64"/>
      <c r="LP123" s="64"/>
      <c r="LQ123" s="64"/>
      <c r="LR123" s="64"/>
      <c r="LS123" s="64"/>
      <c r="LT123" s="64"/>
      <c r="LU123" s="64"/>
      <c r="LV123" s="64"/>
      <c r="LW123" s="64"/>
      <c r="LX123" s="64"/>
      <c r="LY123" s="64"/>
      <c r="LZ123" s="64"/>
      <c r="MA123" s="64"/>
      <c r="MB123" s="64"/>
      <c r="MC123" s="64"/>
      <c r="MD123" s="64"/>
      <c r="ME123" s="64"/>
      <c r="MF123" s="64"/>
      <c r="MG123" s="64"/>
      <c r="MH123" s="64"/>
      <c r="MI123" s="64"/>
      <c r="MJ123" s="64"/>
      <c r="MK123" s="64"/>
      <c r="ML123" s="64"/>
      <c r="MM123" s="64"/>
      <c r="MN123" s="64"/>
      <c r="MO123" s="64"/>
      <c r="MP123" s="64"/>
      <c r="MQ123" s="64"/>
      <c r="MR123" s="64"/>
      <c r="MS123" s="64"/>
      <c r="MT123" s="64"/>
      <c r="MU123" s="64"/>
      <c r="MV123" s="64"/>
      <c r="MW123" s="64"/>
      <c r="MX123" s="64"/>
      <c r="MY123" s="64"/>
      <c r="MZ123" s="64"/>
      <c r="NA123" s="64"/>
      <c r="NB123" s="64"/>
      <c r="NC123" s="64"/>
      <c r="ND123" s="64"/>
      <c r="NE123" s="64"/>
      <c r="NF123" s="64"/>
      <c r="NG123" s="64"/>
      <c r="NH123" s="64"/>
      <c r="NI123" s="64"/>
      <c r="NJ123" s="64"/>
      <c r="NK123" s="64"/>
      <c r="NL123" s="64"/>
      <c r="NM123" s="64"/>
      <c r="NN123" s="64"/>
      <c r="NO123" s="64"/>
      <c r="NP123" s="64"/>
      <c r="NQ123" s="64"/>
      <c r="NR123" s="64"/>
      <c r="NS123" s="64"/>
      <c r="NT123" s="64"/>
      <c r="NU123" s="64"/>
      <c r="NV123" s="64"/>
      <c r="NW123" s="64"/>
      <c r="NX123" s="64"/>
      <c r="NY123" s="64"/>
      <c r="NZ123" s="64"/>
      <c r="OA123" s="64"/>
      <c r="OB123" s="64"/>
      <c r="OC123" s="64"/>
      <c r="OD123" s="64"/>
      <c r="OE123" s="64"/>
      <c r="OF123" s="64"/>
      <c r="OG123" s="64"/>
      <c r="OH123" s="64"/>
      <c r="OI123" s="64"/>
      <c r="OJ123" s="64"/>
      <c r="OK123" s="64"/>
      <c r="OL123" s="64"/>
    </row>
    <row r="124" spans="1:402" x14ac:dyDescent="0.3">
      <c r="A124" s="107"/>
      <c r="D124" s="83" t="s">
        <v>164</v>
      </c>
      <c r="E124" s="258">
        <f>IF(AND($F$2="No",$F$3="No"),SUM(I124:L124),IF(AND($F$2="Yes", $F$3="No"), SUM(I124:L124)+N124, IF(AND($F$2="No", $F$3="Yes"),SUM(I124:L124)+M124, SUM(I124:L124)+N124+M124)))</f>
        <v>-1.4990407482251673</v>
      </c>
      <c r="F124" s="85">
        <f>IF(AND($F$2="No",$F$3="No"),SUM(H124:L124,O124),IF(AND($F$2="Yes", $F$3="No"), SUM(H124:L124,O124)+N124, IF(AND($F$2="No", $F$3="Yes"),SUM(H124:L124,O124)+M124, SUM(H124:L124,O124)+N124+M124)))</f>
        <v>1.0682104047969774</v>
      </c>
      <c r="G124" s="278">
        <f>SUM(Q124:S124)/(1-'Common input data'!B$126)</f>
        <v>1.7342343481926477</v>
      </c>
      <c r="H124" s="306">
        <f>('Input data meat and eggs'!S406*'Input data meat and eggs'!B48+'Input data meat and eggs'!T406*'Input data meat and eggs'!B47+'Input data meat and eggs'!U406*'Input data meat and eggs'!B35+'Input data meat and eggs'!V406*SUMPRODUCT('Input data meat and eggs'!B37:B46,'Input data meat and eggs'!F65:F74))*'Input data meat and eggs'!$E$406/'Input data meat and eggs'!$H$406</f>
        <v>1.8155011530221443</v>
      </c>
      <c r="I124" s="306">
        <v>0</v>
      </c>
      <c r="J124" s="306">
        <v>0</v>
      </c>
      <c r="K124" s="306">
        <v>0</v>
      </c>
      <c r="L124" s="306">
        <v>0</v>
      </c>
      <c r="M124" s="306">
        <f>(('Input data meat and eggs'!S406+'Input data meat and eggs'!T406)*'Common input data'!F13+
'Input data meat and eggs'!U406*'Common input data'!B13+'Input data meat and eggs'!V406*('Input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data'!F29))*'Input data meat and eggs'!$E$406/'Input data meat and eggs'!$H$406</f>
        <v>-1.5161733470618586</v>
      </c>
      <c r="N124" s="306">
        <f>('Input data meat and eggs'!V406*('Input data meat and eggs'!F67*'Common input data'!B21*'Common input data'!G30/'Common input data'!F30+'Input data meat and eggs'!F71*'Common input data'!C21*'Common input data'!J31/'Common input data'!I31))*'Input data meat and eggs'!$E$406/'Input data meat and eggs'!$H$406</f>
        <v>1.7132598836691371E-2</v>
      </c>
      <c r="O124" s="306">
        <f>'Input data meat and eggs'!B83*'Common input data'!B63</f>
        <v>0.75175000000000003</v>
      </c>
      <c r="P124" s="306">
        <f>'Input data meat and eggs'!B92*'Common input data'!B63+'Input data meat and eggs'!C92*3.6*'Common input data'!B49</f>
        <v>0.38341132075471701</v>
      </c>
      <c r="Q124" s="306">
        <f>(F124+P124)</f>
        <v>1.4516217255516943</v>
      </c>
      <c r="R124" s="306">
        <f>'Common input data'!B92</f>
        <v>0.1</v>
      </c>
      <c r="S124" s="306">
        <f>'Common input data'!C98</f>
        <v>0.03</v>
      </c>
      <c r="T124" s="107"/>
    </row>
    <row r="125" spans="1:402" x14ac:dyDescent="0.3">
      <c r="A125" s="107"/>
      <c r="D125" s="83" t="s">
        <v>165</v>
      </c>
      <c r="E125" s="258">
        <f>SUM(I125:L125)</f>
        <v>0.45924702027173497</v>
      </c>
      <c r="F125" s="85">
        <f>SUM(H125:L125,O125)</f>
        <v>0.46022073883026976</v>
      </c>
      <c r="G125" s="278">
        <f>SUM(Q125:S125)/(1-'Common input data'!B$126)</f>
        <v>0.50474195543703038</v>
      </c>
      <c r="H125" s="306">
        <f>('Input data meat and eggs'!S406*'Input data meat and eggs'!C48+'Input data meat and eggs'!T406*'Input data meat and eggs'!C47+'Input data meat and eggs'!U406*'Input data meat and eggs'!C35+'Input data meat and eggs'!V406*SUMPRODUCT('Input data meat and eggs'!C37:C46,'Input data meat and eggs'!F65:F74))*'Input data meat and eggs'!$E$406/'Input data meat and eggs'!$H$406</f>
        <v>9.7371855853480049E-4</v>
      </c>
      <c r="I125" s="306">
        <v>0</v>
      </c>
      <c r="J125" s="306">
        <f>('Input data meat and eggs'!M406*'Input data meat and eggs'!G406/12*'Input data meat and eggs'!$B$450*'Input data meat and eggs'!$B$452*'Input data meat and eggs'!$B$453*
('Input data meat and eggs'!$O$406*'Input data meat and eggs'!$B$443
+'Input data meat and eggs'!$P$406*'Input data meat and eggs'!$C$443+
'Input data meat and eggs'!$Q$406*'Input data meat and eggs'!$D$443+
'Input data meat and eggs'!$R$406*'Input data meat and eggs'!$E$443))*'Input data meat and eggs'!$E$406/'Input data meat and eggs'!$H$406</f>
        <v>3.741433228883944E-2</v>
      </c>
      <c r="K125" s="306">
        <v>0</v>
      </c>
      <c r="L125" s="306">
        <f>('Input data meat and eggs'!L406*'Input data meat and eggs'!G406/12)*'Input data meat and eggs'!$E$406/'Input data meat and eggs'!$H$406</f>
        <v>0.42183268798289553</v>
      </c>
      <c r="M125" s="306">
        <v>0</v>
      </c>
      <c r="N125" s="306">
        <v>0</v>
      </c>
      <c r="O125" s="306">
        <v>0</v>
      </c>
      <c r="P125" s="306">
        <f>'Input data meat and eggs'!C92*3.6*'Common input data'!B50</f>
        <v>1.0392452830188681E-4</v>
      </c>
      <c r="Q125" s="306">
        <f>(F125+P125)</f>
        <v>0.46032466335857164</v>
      </c>
      <c r="R125" s="306">
        <v>0</v>
      </c>
      <c r="S125" s="306">
        <v>0</v>
      </c>
      <c r="T125" s="107"/>
    </row>
    <row r="126" spans="1:402" x14ac:dyDescent="0.3">
      <c r="A126" s="107"/>
      <c r="D126" s="84" t="s">
        <v>166</v>
      </c>
      <c r="E126" s="258">
        <f>SUM(I126:L126)</f>
        <v>1.2435262922538177E-2</v>
      </c>
      <c r="F126" s="85">
        <f>SUM(H126:L126,O126)</f>
        <v>1.4330570018951636E-2</v>
      </c>
      <c r="G126" s="278">
        <f>SUM(Q126:S126)/(1-'Common input data'!B$126)</f>
        <v>1.5723967208797516E-2</v>
      </c>
      <c r="H126" s="306">
        <f>(('Input data meat and eggs'!S406*'Input data meat and eggs'!D48+'Input data meat and eggs'!T406*'Input data meat and eggs'!D47+'Input data meat and eggs'!U406*'Input data meat and eggs'!D35+'Input data meat and eggs'!V406*SUMPRODUCT('Input data meat and eggs'!D37:D46,'Input data meat and eggs'!F65:F74))*'Input data meat and eggs'!B58)*'Input data meat and eggs'!$E$406/'Input data meat and eggs'!$H$406</f>
        <v>1.8953070964134579E-3</v>
      </c>
      <c r="I126" s="306">
        <f>(('Input data meat and eggs'!S406*'Input data meat and eggs'!D48+'Input data meat and eggs'!T406*'Input data meat and eggs'!D47+'Input data meat and eggs'!U406*'Input data meat and eggs'!D35+'Input data meat and eggs'!V406*SUMPRODUCT('Input data meat and eggs'!D37:D46,'Input data meat and eggs'!F65:F74))*'Input data meat and eggs'!C58)*'Input data meat and eggs'!$E$406/'Input data meat and eggs'!$H$406</f>
        <v>4.7905724079369142E-3</v>
      </c>
      <c r="J126" s="306">
        <f>('Input data meat and eggs'!K406*'Input data meat and eggs'!G406/12*('Input data meat and eggs'!$O$406*'Input data meat and eggs'!$B$445+'Input data meat and eggs'!$P$406*'Input data meat and eggs'!$C$445+'Input data meat and eggs'!$Q$406*'Input data meat and eggs'!$D$445+'Input data meat and eggs'!$R$406*'Input data meat and eggs'!$E$445)*44/28)*'Input data meat and eggs'!$E$406/'Input data meat and eggs'!$H$406</f>
        <v>7.0492495591572245E-3</v>
      </c>
      <c r="K126" s="306">
        <f>('Input data meat and eggs'!$B$446*44/28*'Input data meat and eggs'!K406*'Input data meat and eggs'!G406/12*('Input data meat and eggs'!O406*'Input data meat and eggs'!B457+'Input data meat and eggs'!P406*'Input data meat and eggs'!C457+'Input data meat and eggs'!Q406*'Input data meat and eggs'!D457))*'Input data meat and eggs'!$E$406/'Input data meat and eggs'!$H$406</f>
        <v>5.9544095544403859E-4</v>
      </c>
      <c r="L126" s="306">
        <v>0</v>
      </c>
      <c r="M126" s="306">
        <v>0</v>
      </c>
      <c r="N126" s="306">
        <v>0</v>
      </c>
      <c r="O126" s="306">
        <v>0</v>
      </c>
      <c r="P126" s="306">
        <f>'Input data meat and eggs'!C92*3.6*'Common input data'!B51</f>
        <v>9.6880754716981128E-6</v>
      </c>
      <c r="Q126" s="306">
        <f>(F126+P126)</f>
        <v>1.4340258094423334E-2</v>
      </c>
      <c r="R126" s="306">
        <v>0</v>
      </c>
      <c r="S126" s="306">
        <v>0</v>
      </c>
      <c r="T126" s="107"/>
    </row>
    <row r="127" spans="1:402" s="102" customFormat="1" x14ac:dyDescent="0.3">
      <c r="A127" s="498"/>
      <c r="B127" s="111" t="s">
        <v>685</v>
      </c>
      <c r="C127" s="104">
        <f>'Input data meat and eggs'!D10</f>
        <v>1.3426100760058688E-2</v>
      </c>
      <c r="D127" s="269" t="s">
        <v>473</v>
      </c>
      <c r="E127" s="320">
        <f>IF($F$1="GWP100 without fb",E128+E129*'Common input data'!$C$5+E130*'Common input data'!$D$5,IF($F$1="GWP100 with fb",E128+E129*'Common input data'!$C$6+E130*'Common input data'!$D$6,IF($F$1="GTP100 without fb",E128+E129*'Common input data'!$C$7+E130*'Common input data'!$D$7,IF($F$1="GTP100 with fb",E128+E129*'Common input data'!$C$8+E130*'Common input data'!$D$8,E128+E129*'Common input data'!$C$9+E130*'Common input data'!$D$9))))</f>
        <v>8.0791585127633816</v>
      </c>
      <c r="F127" s="302">
        <f>IF($F$1="GWP100 without fb",F128+F129*'Common input data'!$C$5+F130*'Common input data'!$D$5,IF($F$1="GWP100 with fb",F128+F129*'Common input data'!$C$6+F130*'Common input data'!$D$6,IF($F$1="GTP100 without fb",F128+F129*'Common input data'!$C$7+F130*'Common input data'!$D$7,IF($F$1="GTP100 with fb",F128+F129*'Common input data'!$C$8+F130*'Common input data'!$D$8,F128+F129*'Common input data'!$C$9+F130*'Common input data'!$D$9))))</f>
        <v>10.94335916588609</v>
      </c>
      <c r="G127" s="321">
        <f>IF($F$1="GWP100 without fb",G128+G129*'Common input data'!$C$5+G130*'Common input data'!$D$5,IF($F$1="GWP100 with fb",G128+G129*'Common input data'!$C$6+G130*'Common input data'!$D$6,IF($F$1="GTP100 without fb",G128+G129*'Common input data'!$C$7+G130*'Common input data'!$D$7,IF($F$1="GTP100 with fb",G128+G129*'Common input data'!$C$8+G130*'Common input data'!$D$8,G128+G129*'Common input data'!$C$9+G130*'Common input data'!$D$9))))</f>
        <v>12.569288341111447</v>
      </c>
      <c r="H127" s="502"/>
      <c r="I127" s="502"/>
      <c r="J127" s="502"/>
      <c r="K127" s="502"/>
      <c r="L127" s="502"/>
      <c r="M127" s="502"/>
      <c r="N127" s="502"/>
      <c r="O127" s="502"/>
      <c r="P127" s="502"/>
      <c r="Q127" s="502"/>
      <c r="R127" s="502"/>
      <c r="S127" s="502"/>
      <c r="T127" s="107"/>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c r="BP127" s="64"/>
      <c r="BQ127" s="64"/>
      <c r="BR127" s="64"/>
      <c r="BS127" s="64"/>
      <c r="BT127" s="64"/>
      <c r="BU127" s="64"/>
      <c r="BV127" s="64"/>
      <c r="BW127" s="64"/>
      <c r="BX127" s="64"/>
      <c r="BY127" s="64"/>
      <c r="BZ127" s="64"/>
      <c r="CA127" s="64"/>
      <c r="CB127" s="64"/>
      <c r="CC127" s="64"/>
      <c r="CD127" s="64"/>
      <c r="CE127" s="64"/>
      <c r="CF127" s="64"/>
      <c r="CG127" s="64"/>
      <c r="CH127" s="64"/>
      <c r="CI127" s="64"/>
      <c r="CJ127" s="64"/>
      <c r="CK127" s="64"/>
      <c r="CL127" s="64"/>
      <c r="CM127" s="64"/>
      <c r="CN127" s="64"/>
      <c r="CO127" s="64"/>
      <c r="CP127" s="64"/>
      <c r="CQ127" s="64"/>
      <c r="CR127" s="64"/>
      <c r="CS127" s="64"/>
      <c r="CT127" s="64"/>
      <c r="CU127" s="64"/>
      <c r="CV127" s="64"/>
      <c r="CW127" s="64"/>
      <c r="CX127" s="64"/>
      <c r="CY127" s="64"/>
      <c r="CZ127" s="64"/>
      <c r="DA127" s="64"/>
      <c r="DB127" s="64"/>
      <c r="DC127" s="64"/>
      <c r="DD127" s="64"/>
      <c r="DE127" s="64"/>
      <c r="DF127" s="64"/>
      <c r="DG127" s="64"/>
      <c r="DH127" s="64"/>
      <c r="DI127" s="64"/>
      <c r="DJ127" s="64"/>
      <c r="DK127" s="64"/>
      <c r="DL127" s="64"/>
      <c r="DM127" s="64"/>
      <c r="DN127" s="64"/>
      <c r="DO127" s="64"/>
      <c r="DP127" s="64"/>
      <c r="DQ127" s="64"/>
      <c r="DR127" s="64"/>
      <c r="DS127" s="64"/>
      <c r="DT127" s="64"/>
      <c r="DU127" s="64"/>
      <c r="DV127" s="64"/>
      <c r="DW127" s="64"/>
      <c r="DX127" s="64"/>
      <c r="DY127" s="64"/>
      <c r="DZ127" s="64"/>
      <c r="EA127" s="64"/>
      <c r="EB127" s="64"/>
      <c r="EC127" s="64"/>
      <c r="ED127" s="64"/>
      <c r="EE127" s="64"/>
      <c r="EF127" s="64"/>
      <c r="EG127" s="64"/>
      <c r="EH127" s="64"/>
      <c r="EI127" s="64"/>
      <c r="EJ127" s="64"/>
      <c r="EK127" s="64"/>
      <c r="EL127" s="64"/>
      <c r="EM127" s="64"/>
      <c r="EN127" s="64"/>
      <c r="EO127" s="64"/>
      <c r="EP127" s="64"/>
      <c r="EQ127" s="64"/>
      <c r="ER127" s="64"/>
      <c r="ES127" s="64"/>
      <c r="ET127" s="64"/>
      <c r="EU127" s="64"/>
      <c r="EV127" s="64"/>
      <c r="EW127" s="64"/>
      <c r="EX127" s="64"/>
      <c r="EY127" s="64"/>
      <c r="EZ127" s="64"/>
      <c r="FA127" s="64"/>
      <c r="FB127" s="64"/>
      <c r="FC127" s="64"/>
      <c r="FD127" s="64"/>
      <c r="FE127" s="64"/>
      <c r="FF127" s="64"/>
      <c r="FG127" s="64"/>
      <c r="FH127" s="64"/>
      <c r="FI127" s="64"/>
      <c r="FJ127" s="64"/>
      <c r="FK127" s="64"/>
      <c r="FL127" s="64"/>
      <c r="FM127" s="64"/>
      <c r="FN127" s="64"/>
      <c r="FO127" s="64"/>
      <c r="FP127" s="64"/>
      <c r="FQ127" s="64"/>
      <c r="FR127" s="64"/>
      <c r="FS127" s="64"/>
      <c r="FT127" s="64"/>
      <c r="FU127" s="64"/>
      <c r="FV127" s="64"/>
      <c r="FW127" s="64"/>
      <c r="FX127" s="64"/>
      <c r="FY127" s="64"/>
      <c r="FZ127" s="64"/>
      <c r="GA127" s="64"/>
      <c r="GB127" s="64"/>
      <c r="GC127" s="64"/>
      <c r="GD127" s="64"/>
      <c r="GE127" s="64"/>
      <c r="GF127" s="64"/>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c r="HO127" s="64"/>
      <c r="HP127" s="64"/>
      <c r="HQ127" s="64"/>
      <c r="HR127" s="64"/>
      <c r="HS127" s="64"/>
      <c r="HT127" s="64"/>
      <c r="HU127" s="64"/>
      <c r="HV127" s="64"/>
      <c r="HW127" s="64"/>
      <c r="HX127" s="64"/>
      <c r="HY127" s="64"/>
      <c r="HZ127" s="64"/>
      <c r="IA127" s="64"/>
      <c r="IB127" s="64"/>
      <c r="IC127" s="64"/>
      <c r="ID127" s="64"/>
      <c r="IE127" s="64"/>
      <c r="IF127" s="64"/>
      <c r="IG127" s="64"/>
      <c r="IH127" s="64"/>
      <c r="II127" s="64"/>
      <c r="IJ127" s="64"/>
      <c r="IK127" s="64"/>
      <c r="IL127" s="64"/>
      <c r="IM127" s="64"/>
      <c r="IN127" s="64"/>
      <c r="IO127" s="64"/>
      <c r="IP127" s="64"/>
      <c r="IQ127" s="64"/>
      <c r="IR127" s="64"/>
      <c r="IS127" s="64"/>
      <c r="IT127" s="64"/>
      <c r="IU127" s="64"/>
      <c r="IV127" s="64"/>
      <c r="IW127" s="64"/>
      <c r="IX127" s="64"/>
      <c r="IY127" s="64"/>
      <c r="IZ127" s="64"/>
      <c r="JA127" s="64"/>
      <c r="JB127" s="64"/>
      <c r="JC127" s="64"/>
      <c r="JD127" s="64"/>
      <c r="JE127" s="64"/>
      <c r="JF127" s="64"/>
      <c r="JG127" s="64"/>
      <c r="JH127" s="64"/>
      <c r="JI127" s="64"/>
      <c r="JJ127" s="64"/>
      <c r="JK127" s="64"/>
      <c r="JL127" s="64"/>
      <c r="JM127" s="64"/>
      <c r="JN127" s="64"/>
      <c r="JO127" s="64"/>
      <c r="JP127" s="64"/>
      <c r="JQ127" s="64"/>
      <c r="JR127" s="64"/>
      <c r="JS127" s="64"/>
      <c r="JT127" s="64"/>
      <c r="JU127" s="64"/>
      <c r="JV127" s="64"/>
      <c r="JW127" s="64"/>
      <c r="JX127" s="64"/>
      <c r="JY127" s="64"/>
      <c r="JZ127" s="64"/>
      <c r="KA127" s="64"/>
      <c r="KB127" s="64"/>
      <c r="KC127" s="64"/>
      <c r="KD127" s="64"/>
      <c r="KE127" s="64"/>
      <c r="KF127" s="64"/>
      <c r="KG127" s="64"/>
      <c r="KH127" s="64"/>
      <c r="KI127" s="64"/>
      <c r="KJ127" s="64"/>
      <c r="KK127" s="64"/>
      <c r="KL127" s="64"/>
      <c r="KM127" s="64"/>
      <c r="KN127" s="64"/>
      <c r="KO127" s="64"/>
      <c r="KP127" s="64"/>
      <c r="KQ127" s="64"/>
      <c r="KR127" s="64"/>
      <c r="KS127" s="64"/>
      <c r="KT127" s="64"/>
      <c r="KU127" s="64"/>
      <c r="KV127" s="64"/>
      <c r="KW127" s="64"/>
      <c r="KX127" s="64"/>
      <c r="KY127" s="64"/>
      <c r="KZ127" s="64"/>
      <c r="LA127" s="64"/>
      <c r="LB127" s="64"/>
      <c r="LC127" s="64"/>
      <c r="LD127" s="64"/>
      <c r="LE127" s="64"/>
      <c r="LF127" s="64"/>
      <c r="LG127" s="64"/>
      <c r="LH127" s="64"/>
      <c r="LI127" s="64"/>
      <c r="LJ127" s="64"/>
      <c r="LK127" s="64"/>
      <c r="LL127" s="64"/>
      <c r="LM127" s="64"/>
      <c r="LN127" s="64"/>
      <c r="LO127" s="64"/>
      <c r="LP127" s="64"/>
      <c r="LQ127" s="64"/>
      <c r="LR127" s="64"/>
      <c r="LS127" s="64"/>
      <c r="LT127" s="64"/>
      <c r="LU127" s="64"/>
      <c r="LV127" s="64"/>
      <c r="LW127" s="64"/>
      <c r="LX127" s="64"/>
      <c r="LY127" s="64"/>
      <c r="LZ127" s="64"/>
      <c r="MA127" s="64"/>
      <c r="MB127" s="64"/>
      <c r="MC127" s="64"/>
      <c r="MD127" s="64"/>
      <c r="ME127" s="64"/>
      <c r="MF127" s="64"/>
      <c r="MG127" s="64"/>
      <c r="MH127" s="64"/>
      <c r="MI127" s="64"/>
      <c r="MJ127" s="64"/>
      <c r="MK127" s="64"/>
      <c r="ML127" s="64"/>
      <c r="MM127" s="64"/>
      <c r="MN127" s="64"/>
      <c r="MO127" s="64"/>
      <c r="MP127" s="64"/>
      <c r="MQ127" s="64"/>
      <c r="MR127" s="64"/>
      <c r="MS127" s="64"/>
      <c r="MT127" s="64"/>
      <c r="MU127" s="64"/>
      <c r="MV127" s="64"/>
      <c r="MW127" s="64"/>
      <c r="MX127" s="64"/>
      <c r="MY127" s="64"/>
      <c r="MZ127" s="64"/>
      <c r="NA127" s="64"/>
      <c r="NB127" s="64"/>
      <c r="NC127" s="64"/>
      <c r="ND127" s="64"/>
      <c r="NE127" s="64"/>
      <c r="NF127" s="64"/>
      <c r="NG127" s="64"/>
      <c r="NH127" s="64"/>
      <c r="NI127" s="64"/>
      <c r="NJ127" s="64"/>
      <c r="NK127" s="64"/>
      <c r="NL127" s="64"/>
      <c r="NM127" s="64"/>
      <c r="NN127" s="64"/>
      <c r="NO127" s="64"/>
      <c r="NP127" s="64"/>
      <c r="NQ127" s="64"/>
      <c r="NR127" s="64"/>
      <c r="NS127" s="64"/>
      <c r="NT127" s="64"/>
      <c r="NU127" s="64"/>
      <c r="NV127" s="64"/>
      <c r="NW127" s="64"/>
      <c r="NX127" s="64"/>
      <c r="NY127" s="64"/>
      <c r="NZ127" s="64"/>
      <c r="OA127" s="64"/>
      <c r="OB127" s="64"/>
      <c r="OC127" s="64"/>
      <c r="OD127" s="64"/>
      <c r="OE127" s="64"/>
      <c r="OF127" s="64"/>
      <c r="OG127" s="64"/>
      <c r="OH127" s="64"/>
      <c r="OI127" s="64"/>
      <c r="OJ127" s="64"/>
      <c r="OK127" s="64"/>
      <c r="OL127" s="64"/>
    </row>
    <row r="128" spans="1:402" x14ac:dyDescent="0.3">
      <c r="A128" s="107"/>
      <c r="D128" s="83" t="s">
        <v>164</v>
      </c>
      <c r="E128" s="258">
        <f>IF(AND($F$2="No",$F$3="No"),SUM(I128:L128),IF(AND($F$2="Yes", $F$3="No"), SUM(I128:L128)+N128, IF(AND($F$2="No", $F$3="Yes"),SUM(I128:L128)+M128, SUM(I128:L128)+N128+M128)))</f>
        <v>0.45264690796535711</v>
      </c>
      <c r="F128" s="85">
        <f>IF(AND($F$2="No",$F$3="No"),SUM(H128:L128,O128),IF(AND($F$2="Yes", $F$3="No"), SUM(H128:L128,O128)+N128, IF(AND($F$2="No", $F$3="Yes"),SUM(H128:L128,O128)+M128, SUM(H128:L128,O128)+N128+M128)))</f>
        <v>2.7861234273132518</v>
      </c>
      <c r="G128" s="278">
        <f>SUM(Q128:S128)/(1-'Common input data'!B$126)</f>
        <v>3.6179109079692644</v>
      </c>
      <c r="H128" s="306">
        <f>('Input data meat and eggs'!S407*'Input data meat and eggs'!B48+'Input data meat and eggs'!T407*'Input data meat and eggs'!B47+'Input data meat and eggs'!U407*'Input data meat and eggs'!B35+'Input data meat and eggs'!V407*SUMPRODUCT('Input data meat and eggs'!B37:B46,'Input data meat and eggs'!F65:F74))*'Input data meat and eggs'!$E$407/'Input data meat and eggs'!$H$407</f>
        <v>1.5817265193478944</v>
      </c>
      <c r="I128" s="306">
        <v>0</v>
      </c>
      <c r="J128" s="306">
        <v>0</v>
      </c>
      <c r="K128" s="306">
        <v>0</v>
      </c>
      <c r="L128" s="306">
        <v>0</v>
      </c>
      <c r="M128" s="306">
        <f>(('Input data meat and eggs'!S407+'Input data meat and eggs'!T407)*'Common input data'!F13+
'Input data meat and eggs'!U407*'Common input data'!B13+'Input data meat and eggs'!V407*('Input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data'!F29))*'Input data meat and eggs'!$E$407/'Input data meat and eggs'!$H$407</f>
        <v>0.20797909929193439</v>
      </c>
      <c r="N128" s="306">
        <f>('Input data meat and eggs'!V407*('Input data meat and eggs'!F67*'Common input data'!B21*'Common input data'!G30/'Common input data'!F30+'Input data meat and eggs'!F71*'Common input data'!C21*'Common input data'!J31/'Common input data'!I31))*'Input data meat and eggs'!$E$407/'Input data meat and eggs'!$H$407</f>
        <v>0.24466780867342275</v>
      </c>
      <c r="O128" s="306">
        <f>'Input data meat and eggs'!B83*'Common input data'!B63</f>
        <v>0.75175000000000003</v>
      </c>
      <c r="P128" s="306">
        <f>'Input data meat and eggs'!B92*'Common input data'!B63+'Input data meat and eggs'!C92*3.6*'Common input data'!B49</f>
        <v>0.38341132075471701</v>
      </c>
      <c r="Q128" s="306">
        <f>(F128+P128)</f>
        <v>3.169534748067969</v>
      </c>
      <c r="R128" s="306">
        <f>'Common input data'!B92</f>
        <v>0.1</v>
      </c>
      <c r="S128" s="306">
        <f>'Common input data'!C98</f>
        <v>0.03</v>
      </c>
      <c r="T128" s="107"/>
    </row>
    <row r="129" spans="1:402" x14ac:dyDescent="0.3">
      <c r="A129" s="107"/>
      <c r="D129" s="83" t="s">
        <v>165</v>
      </c>
      <c r="E129" s="258">
        <f>SUM(I129:L129)</f>
        <v>0.16867432684635067</v>
      </c>
      <c r="F129" s="85">
        <f>SUM(H129:L129,O129)</f>
        <v>0.17099727544032289</v>
      </c>
      <c r="G129" s="278">
        <f>SUM(Q129:S129)/(1-'Common input data'!B$126)</f>
        <v>0.18761096487787807</v>
      </c>
      <c r="H129" s="306">
        <f>('Input data meat and eggs'!S407*'Input data meat and eggs'!C48+'Input data meat and eggs'!T407*'Input data meat and eggs'!C47+'Input data meat and eggs'!U407*'Input data meat and eggs'!C35+'Input data meat and eggs'!V407*SUMPRODUCT('Input data meat and eggs'!C37:C46,'Input data meat and eggs'!F65:F74))*'Input data meat and eggs'!$E$407/'Input data meat and eggs'!$H$407</f>
        <v>2.3229485939722278E-3</v>
      </c>
      <c r="I129" s="306">
        <v>0</v>
      </c>
      <c r="J129" s="306">
        <f>('Input data meat and eggs'!M407*'Input data meat and eggs'!G407/12*'Input data meat and eggs'!$B$450*'Input data meat and eggs'!$B$452*'Input data meat and eggs'!$B$453*
('Input data meat and eggs'!$O$407*'Input data meat and eggs'!$B$443
+'Input data meat and eggs'!$P$407*'Input data meat and eggs'!$C$443+
'Input data meat and eggs'!$Q$407*'Input data meat and eggs'!$D$443+
'Input data meat and eggs'!$R$407*'Input data meat and eggs'!$E$443))*'Input data meat and eggs'!$E$407/'Input data meat and eggs'!$H$407</f>
        <v>2.5249700087369403E-2</v>
      </c>
      <c r="K129" s="306">
        <v>0</v>
      </c>
      <c r="L129" s="306">
        <f>('Input data meat and eggs'!L407*'Input data meat and eggs'!G407/12)*'Input data meat and eggs'!$E$407/'Input data meat and eggs'!$H$407</f>
        <v>0.14342462675898127</v>
      </c>
      <c r="M129" s="306">
        <v>0</v>
      </c>
      <c r="N129" s="306">
        <v>0</v>
      </c>
      <c r="O129" s="306">
        <v>0</v>
      </c>
      <c r="P129" s="306">
        <f>'Input data meat and eggs'!C92*3.6*'Common input data'!B50</f>
        <v>1.0392452830188681E-4</v>
      </c>
      <c r="Q129" s="306">
        <f>(F129+P129)</f>
        <v>0.17110119996862477</v>
      </c>
      <c r="R129" s="306">
        <v>0</v>
      </c>
      <c r="S129" s="306">
        <v>0</v>
      </c>
      <c r="T129" s="107"/>
    </row>
    <row r="130" spans="1:402" x14ac:dyDescent="0.3">
      <c r="A130" s="107"/>
      <c r="D130" s="84" t="s">
        <v>166</v>
      </c>
      <c r="E130" s="258">
        <f>SUM(I130:L130)</f>
        <v>6.3475989665171236E-3</v>
      </c>
      <c r="F130" s="85">
        <f>SUM(H130:L130,O130)</f>
        <v>7.8635180322210105E-3</v>
      </c>
      <c r="G130" s="278">
        <f>SUM(Q130:S130)/(1-'Common input data'!B$126)</f>
        <v>8.6329014338735847E-3</v>
      </c>
      <c r="H130" s="306">
        <f>(('Input data meat and eggs'!S407*'Input data meat and eggs'!D48+'Input data meat and eggs'!T407*'Input data meat and eggs'!D47+'Input data meat and eggs'!U407*'Input data meat and eggs'!D35+'Input data meat and eggs'!V407*SUMPRODUCT('Input data meat and eggs'!D37:D46,'Input data meat and eggs'!F65:F74))*'Input data meat and eggs'!B58)*'Input data meat and eggs'!$E$407/'Input data meat and eggs'!$H$407</f>
        <v>1.5159190657038869E-3</v>
      </c>
      <c r="I130" s="306">
        <f>(('Input data meat and eggs'!S407*'Input data meat and eggs'!D48+'Input data meat and eggs'!T407*'Input data meat and eggs'!D47+'Input data meat and eggs'!U407*'Input data meat and eggs'!D35+'Input data meat and eggs'!V407*SUMPRODUCT('Input data meat and eggs'!D37:D46,'Input data meat and eggs'!F65:F74))*'Input data meat and eggs'!C58)*'Input data meat and eggs'!$E$407/'Input data meat and eggs'!$H$407</f>
        <v>3.831632384307988E-3</v>
      </c>
      <c r="J130" s="306">
        <f>('Input data meat and eggs'!K407*'Input data meat and eggs'!G407/12*('Input data meat and eggs'!$O$407*'Input data meat and eggs'!$B$445+'Input data meat and eggs'!$P$407*'Input data meat and eggs'!$C$445+'Input data meat and eggs'!$Q$407*'Input data meat and eggs'!$D$445+'Input data meat and eggs'!$R$407*'Input data meat and eggs'!$E$445)*44/28)*'Input data meat and eggs'!$E$407/'Input data meat and eggs'!$H$407</f>
        <v>1.8035527427072786E-3</v>
      </c>
      <c r="K130" s="306">
        <f>('Input data meat and eggs'!$B$446*44/28*'Input data meat and eggs'!K407*'Input data meat and eggs'!G407/12*('Input data meat and eggs'!O407*'Input data meat and eggs'!B457+'Input data meat and eggs'!P407*'Input data meat and eggs'!C457+'Input data meat and eggs'!Q407*'Input data meat and eggs'!D457))*'Input data meat and eggs'!$E$407/'Input data meat and eggs'!$H$407</f>
        <v>7.1241383950185698E-4</v>
      </c>
      <c r="L130" s="306">
        <v>0</v>
      </c>
      <c r="M130" s="306">
        <v>0</v>
      </c>
      <c r="N130" s="306">
        <v>0</v>
      </c>
      <c r="O130" s="306">
        <v>0</v>
      </c>
      <c r="P130" s="306">
        <f>'Input data meat and eggs'!C92*3.6*'Common input data'!B51</f>
        <v>9.6880754716981128E-6</v>
      </c>
      <c r="Q130" s="306">
        <f>(F130+P130)</f>
        <v>7.8732061076927078E-3</v>
      </c>
      <c r="R130" s="306">
        <v>0</v>
      </c>
      <c r="S130" s="306">
        <v>0</v>
      </c>
      <c r="T130" s="107"/>
    </row>
    <row r="131" spans="1:402" s="102" customFormat="1" x14ac:dyDescent="0.3">
      <c r="A131" s="143" t="s">
        <v>556</v>
      </c>
      <c r="B131" s="210" t="s">
        <v>422</v>
      </c>
      <c r="C131" s="153"/>
      <c r="D131" s="269" t="s">
        <v>473</v>
      </c>
      <c r="E131" s="464">
        <f>IF($F$1="GWP100 without fb",E132+E133*'Common input data'!$C$5+E134*'Common input data'!$D$5,IF($F$1="GWP100 with fb",E132+E133*'Common input data'!$C$6+E134*'Common input data'!$D$6,IF($F$1="GTP100 without fb",E132+E133*'Common input data'!$C$7+E134*'Common input data'!$D$7,IF($F$1="GTP100 with fb",E132+E133*'Common input data'!$C$8+E134*'Common input data'!$D$8,E132+E133*'Common input data'!$C$9+E134*'Common input data'!$D$9))))</f>
        <v>6076906632.5635033</v>
      </c>
      <c r="F131" s="465">
        <f>IF($F$1="GWP100 without fb",F132+F133*'Common input data'!$C$5+F134*'Common input data'!$D$5,IF($F$1="GWP100 with fb",F132+F133*'Common input data'!$C$6+F134*'Common input data'!$D$6,IF($F$1="GTP100 without fb",F132+F133*'Common input data'!$C$7+F134*'Common input data'!$D$7,IF($F$1="GTP100 with fb",F132+F133*'Common input data'!$C$8+F134*'Common input data'!$D$8,F132+F133*'Common input data'!$C$9+F134*'Common input data'!$D$9))))</f>
        <v>6973905534.4094124</v>
      </c>
      <c r="G131" s="510"/>
      <c r="H131" s="387"/>
      <c r="I131" s="387"/>
      <c r="J131" s="387"/>
      <c r="K131" s="387"/>
      <c r="L131" s="387"/>
      <c r="M131" s="387"/>
      <c r="N131" s="387"/>
      <c r="O131" s="387"/>
      <c r="P131" s="387"/>
      <c r="Q131" s="387"/>
      <c r="R131" s="106"/>
      <c r="S131" s="106"/>
      <c r="T131" s="107"/>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4"/>
      <c r="CA131" s="64"/>
      <c r="CB131" s="64"/>
      <c r="CC131" s="64"/>
      <c r="CD131" s="64"/>
      <c r="CE131" s="64"/>
      <c r="CF131" s="64"/>
      <c r="CG131" s="64"/>
      <c r="CH131" s="64"/>
      <c r="CI131" s="64"/>
      <c r="CJ131" s="64"/>
      <c r="CK131" s="64"/>
      <c r="CL131" s="64"/>
      <c r="CM131" s="64"/>
      <c r="CN131" s="64"/>
      <c r="CO131" s="64"/>
      <c r="CP131" s="64"/>
      <c r="CQ131" s="64"/>
      <c r="CR131" s="64"/>
      <c r="CS131" s="64"/>
      <c r="CT131" s="64"/>
      <c r="CU131" s="64"/>
      <c r="CV131" s="64"/>
      <c r="CW131" s="64"/>
      <c r="CX131" s="64"/>
      <c r="CY131" s="64"/>
      <c r="CZ131" s="64"/>
      <c r="DA131" s="64"/>
      <c r="DB131" s="64"/>
      <c r="DC131" s="64"/>
      <c r="DD131" s="64"/>
      <c r="DE131" s="64"/>
      <c r="DF131" s="64"/>
      <c r="DG131" s="64"/>
      <c r="DH131" s="64"/>
      <c r="DI131" s="64"/>
      <c r="DJ131" s="64"/>
      <c r="DK131" s="64"/>
      <c r="DL131" s="64"/>
      <c r="DM131" s="64"/>
      <c r="DN131" s="64"/>
      <c r="DO131" s="64"/>
      <c r="DP131" s="64"/>
      <c r="DQ131" s="64"/>
      <c r="DR131" s="64"/>
      <c r="DS131" s="64"/>
      <c r="DT131" s="64"/>
      <c r="DU131" s="64"/>
      <c r="DV131" s="64"/>
      <c r="DW131" s="64"/>
      <c r="DX131" s="64"/>
      <c r="DY131" s="64"/>
      <c r="DZ131" s="64"/>
      <c r="EA131" s="64"/>
      <c r="EB131" s="64"/>
      <c r="EC131" s="64"/>
      <c r="ED131" s="64"/>
      <c r="EE131" s="64"/>
      <c r="EF131" s="64"/>
      <c r="EG131" s="64"/>
      <c r="EH131" s="64"/>
      <c r="EI131" s="64"/>
      <c r="EJ131" s="64"/>
      <c r="EK131" s="64"/>
      <c r="EL131" s="64"/>
      <c r="EM131" s="64"/>
      <c r="EN131" s="64"/>
      <c r="EO131" s="64"/>
      <c r="EP131" s="64"/>
      <c r="EQ131" s="64"/>
      <c r="ER131" s="64"/>
      <c r="ES131" s="64"/>
      <c r="ET131" s="64"/>
      <c r="EU131" s="64"/>
      <c r="EV131" s="64"/>
      <c r="EW131" s="64"/>
      <c r="EX131" s="64"/>
      <c r="EY131" s="64"/>
      <c r="EZ131" s="64"/>
      <c r="FA131" s="64"/>
      <c r="FB131" s="64"/>
      <c r="FC131" s="64"/>
      <c r="FD131" s="64"/>
      <c r="FE131" s="64"/>
      <c r="FF131" s="64"/>
      <c r="FG131" s="64"/>
      <c r="FH131" s="64"/>
      <c r="FI131" s="64"/>
      <c r="FJ131" s="64"/>
      <c r="FK131" s="64"/>
      <c r="FL131" s="64"/>
      <c r="FM131" s="64"/>
      <c r="FN131" s="64"/>
      <c r="FO131" s="64"/>
      <c r="FP131" s="64"/>
      <c r="FQ131" s="64"/>
      <c r="FR131" s="64"/>
      <c r="FS131" s="64"/>
      <c r="FT131" s="64"/>
      <c r="FU131" s="64"/>
      <c r="FV131" s="64"/>
      <c r="FW131" s="64"/>
      <c r="FX131" s="64"/>
      <c r="FY131" s="64"/>
      <c r="FZ131" s="64"/>
      <c r="GA131" s="64"/>
      <c r="GB131" s="64"/>
      <c r="GC131" s="64"/>
      <c r="GD131" s="64"/>
      <c r="GE131" s="64"/>
      <c r="GF131" s="64"/>
      <c r="GG131" s="64"/>
      <c r="GH131" s="64"/>
      <c r="GI131" s="64"/>
      <c r="GJ131" s="64"/>
      <c r="GK131" s="64"/>
      <c r="GL131" s="64"/>
      <c r="GM131" s="64"/>
      <c r="GN131" s="64"/>
      <c r="GO131" s="64"/>
      <c r="GP131" s="64"/>
      <c r="GQ131" s="64"/>
      <c r="GR131" s="64"/>
      <c r="GS131" s="64"/>
      <c r="GT131" s="64"/>
      <c r="GU131" s="64"/>
      <c r="GV131" s="64"/>
      <c r="GW131" s="64"/>
      <c r="GX131" s="64"/>
      <c r="GY131" s="64"/>
      <c r="GZ131" s="64"/>
      <c r="HA131" s="64"/>
      <c r="HB131" s="64"/>
      <c r="HC131" s="64"/>
      <c r="HD131" s="64"/>
      <c r="HE131" s="64"/>
      <c r="HF131" s="64"/>
      <c r="HG131" s="64"/>
      <c r="HH131" s="64"/>
      <c r="HI131" s="64"/>
      <c r="HJ131" s="64"/>
      <c r="HK131" s="64"/>
      <c r="HL131" s="64"/>
      <c r="HM131" s="64"/>
      <c r="HN131" s="64"/>
      <c r="HO131" s="64"/>
      <c r="HP131" s="64"/>
      <c r="HQ131" s="64"/>
      <c r="HR131" s="64"/>
      <c r="HS131" s="64"/>
      <c r="HT131" s="64"/>
      <c r="HU131" s="64"/>
      <c r="HV131" s="64"/>
      <c r="HW131" s="64"/>
      <c r="HX131" s="64"/>
      <c r="HY131" s="64"/>
      <c r="HZ131" s="64"/>
      <c r="IA131" s="64"/>
      <c r="IB131" s="64"/>
      <c r="IC131" s="64"/>
      <c r="ID131" s="64"/>
      <c r="IE131" s="64"/>
      <c r="IF131" s="64"/>
      <c r="IG131" s="64"/>
      <c r="IH131" s="64"/>
      <c r="II131" s="64"/>
      <c r="IJ131" s="64"/>
      <c r="IK131" s="64"/>
      <c r="IL131" s="64"/>
      <c r="IM131" s="64"/>
      <c r="IN131" s="64"/>
      <c r="IO131" s="64"/>
      <c r="IP131" s="64"/>
      <c r="IQ131" s="64"/>
      <c r="IR131" s="64"/>
      <c r="IS131" s="64"/>
      <c r="IT131" s="64"/>
      <c r="IU131" s="64"/>
      <c r="IV131" s="64"/>
      <c r="IW131" s="64"/>
      <c r="IX131" s="64"/>
      <c r="IY131" s="64"/>
      <c r="IZ131" s="64"/>
      <c r="JA131" s="64"/>
      <c r="JB131" s="64"/>
      <c r="JC131" s="64"/>
      <c r="JD131" s="64"/>
      <c r="JE131" s="64"/>
      <c r="JF131" s="64"/>
      <c r="JG131" s="64"/>
      <c r="JH131" s="64"/>
      <c r="JI131" s="64"/>
      <c r="JJ131" s="64"/>
      <c r="JK131" s="64"/>
      <c r="JL131" s="64"/>
      <c r="JM131" s="64"/>
      <c r="JN131" s="64"/>
      <c r="JO131" s="64"/>
      <c r="JP131" s="64"/>
      <c r="JQ131" s="64"/>
      <c r="JR131" s="64"/>
      <c r="JS131" s="64"/>
      <c r="JT131" s="64"/>
      <c r="JU131" s="64"/>
      <c r="JV131" s="64"/>
      <c r="JW131" s="64"/>
      <c r="JX131" s="64"/>
      <c r="JY131" s="64"/>
      <c r="JZ131" s="64"/>
      <c r="KA131" s="64"/>
      <c r="KB131" s="64"/>
      <c r="KC131" s="64"/>
      <c r="KD131" s="64"/>
      <c r="KE131" s="64"/>
      <c r="KF131" s="64"/>
      <c r="KG131" s="64"/>
      <c r="KH131" s="64"/>
      <c r="KI131" s="64"/>
      <c r="KJ131" s="64"/>
      <c r="KK131" s="64"/>
      <c r="KL131" s="64"/>
      <c r="KM131" s="64"/>
      <c r="KN131" s="64"/>
      <c r="KO131" s="64"/>
      <c r="KP131" s="64"/>
      <c r="KQ131" s="64"/>
      <c r="KR131" s="64"/>
      <c r="KS131" s="64"/>
      <c r="KT131" s="64"/>
      <c r="KU131" s="64"/>
      <c r="KV131" s="64"/>
      <c r="KW131" s="64"/>
      <c r="KX131" s="64"/>
      <c r="KY131" s="64"/>
      <c r="KZ131" s="64"/>
      <c r="LA131" s="64"/>
      <c r="LB131" s="64"/>
      <c r="LC131" s="64"/>
      <c r="LD131" s="64"/>
      <c r="LE131" s="64"/>
      <c r="LF131" s="64"/>
      <c r="LG131" s="64"/>
      <c r="LH131" s="64"/>
      <c r="LI131" s="64"/>
      <c r="LJ131" s="64"/>
      <c r="LK131" s="64"/>
      <c r="LL131" s="64"/>
      <c r="LM131" s="64"/>
      <c r="LN131" s="64"/>
      <c r="LO131" s="64"/>
      <c r="LP131" s="64"/>
      <c r="LQ131" s="64"/>
      <c r="LR131" s="64"/>
      <c r="LS131" s="64"/>
      <c r="LT131" s="64"/>
      <c r="LU131" s="64"/>
      <c r="LV131" s="64"/>
      <c r="LW131" s="64"/>
      <c r="LX131" s="64"/>
      <c r="LY131" s="64"/>
      <c r="LZ131" s="64"/>
      <c r="MA131" s="64"/>
      <c r="MB131" s="64"/>
      <c r="MC131" s="64"/>
      <c r="MD131" s="64"/>
      <c r="ME131" s="64"/>
      <c r="MF131" s="64"/>
      <c r="MG131" s="64"/>
      <c r="MH131" s="64"/>
      <c r="MI131" s="64"/>
      <c r="MJ131" s="64"/>
      <c r="MK131" s="64"/>
      <c r="ML131" s="64"/>
      <c r="MM131" s="64"/>
      <c r="MN131" s="64"/>
      <c r="MO131" s="64"/>
      <c r="MP131" s="64"/>
      <c r="MQ131" s="64"/>
      <c r="MR131" s="64"/>
      <c r="MS131" s="64"/>
      <c r="MT131" s="64"/>
      <c r="MU131" s="64"/>
      <c r="MV131" s="64"/>
      <c r="MW131" s="64"/>
      <c r="MX131" s="64"/>
      <c r="MY131" s="64"/>
      <c r="MZ131" s="64"/>
      <c r="NA131" s="64"/>
      <c r="NB131" s="64"/>
      <c r="NC131" s="64"/>
      <c r="ND131" s="64"/>
      <c r="NE131" s="64"/>
      <c r="NF131" s="64"/>
      <c r="NG131" s="64"/>
      <c r="NH131" s="64"/>
      <c r="NI131" s="64"/>
      <c r="NJ131" s="64"/>
      <c r="NK131" s="64"/>
      <c r="NL131" s="64"/>
      <c r="NM131" s="64"/>
      <c r="NN131" s="64"/>
      <c r="NO131" s="64"/>
      <c r="NP131" s="64"/>
      <c r="NQ131" s="64"/>
      <c r="NR131" s="64"/>
      <c r="NS131" s="64"/>
      <c r="NT131" s="64"/>
      <c r="NU131" s="64"/>
      <c r="NV131" s="64"/>
      <c r="NW131" s="64"/>
      <c r="NX131" s="64"/>
      <c r="NY131" s="64"/>
      <c r="NZ131" s="64"/>
      <c r="OA131" s="64"/>
      <c r="OB131" s="64"/>
      <c r="OC131" s="64"/>
      <c r="OD131" s="64"/>
      <c r="OE131" s="64"/>
      <c r="OF131" s="64"/>
      <c r="OG131" s="64"/>
      <c r="OH131" s="64"/>
      <c r="OI131" s="64"/>
      <c r="OJ131" s="64"/>
      <c r="OK131" s="64"/>
      <c r="OL131" s="64"/>
    </row>
    <row r="132" spans="1:402" s="493" customFormat="1" x14ac:dyDescent="0.3">
      <c r="A132" s="174"/>
      <c r="B132" s="84"/>
      <c r="C132" s="64"/>
      <c r="D132" s="83" t="s">
        <v>164</v>
      </c>
      <c r="E132" s="466">
        <f>IF(AND($F$2="No",$F$3="No"),SUM(I132:L132),IF(AND($F$2="Yes", $F$3="No"), SUM(I132:L132)+N132, IF(AND($F$2="No", $F$3="Yes"),SUM(I132:L132)+M132, SUM(I132:L132)+N132+M132)))</f>
        <v>-392558658.23625803</v>
      </c>
      <c r="F132" s="89">
        <f>IF(AND($F$2="No",$F$3="No"),SUM(H132:L132,O132),IF(AND($F$2="Yes", $F$3="No"), SUM(H132:L132,O132)+N132, IF(AND($F$2="No", $F$3="Yes"),SUM(H132:L132,O132)+M132, SUM(H132:L132,O132)+N132+M132)))</f>
        <v>268489915.98617887</v>
      </c>
      <c r="G132" s="491"/>
      <c r="H132" s="89">
        <f>('Input data meat and eggs'!S410*'Input data meat and eggs'!B48+'Input data meat and eggs'!T410*'Input data meat and eggs'!B47+'Input data meat and eggs'!U412*'Input data meat and eggs'!B35+'Input data meat and eggs'!V410*SUMPRODUCT('Input data meat and eggs'!B37:B46,'Input data meat and eggs'!F65:F74))*'Input data meat and eggs'!$C$410</f>
        <v>567888924.58779228</v>
      </c>
      <c r="I132" s="89">
        <v>0</v>
      </c>
      <c r="J132" s="89">
        <v>0</v>
      </c>
      <c r="K132" s="89">
        <v>0</v>
      </c>
      <c r="L132" s="89">
        <v>0</v>
      </c>
      <c r="M132" s="89">
        <f>(('Input data meat and eggs'!S410+'Input data meat and eggs'!T410)*'Common input data'!F13+
'Input data meat and eggs'!U410*'Common input data'!B13+'Input data meat and eggs'!V410*('Input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data'!F29))*'Input data meat and eggs'!$C$410</f>
        <v>-419049642.52830565</v>
      </c>
      <c r="N132" s="89">
        <f>('Input data meat and eggs'!V410*('Input data meat and eggs'!F67*'Common input data'!B21*'Common input data'!G30/'Common input data'!F30+'Input data meat and eggs'!F71*'Common input data'!C21*'Common input data'!J31/'Common input data'!I31))*'Input data meat and eggs'!$C$410</f>
        <v>26490984.292047624</v>
      </c>
      <c r="O132" s="89">
        <f>'Input data meat and eggs'!C82*'Common input data'!C63*'Input data meat and eggs'!$C$410</f>
        <v>93159649.634644613</v>
      </c>
      <c r="P132" s="89">
        <f>(('Input data meat and eggs'!B92*'Common input data'!C63+'Input data meat and eggs'!C92*3.6*'Common input data'!B49)*'Input data meat and eggs'!$F$410)*'Input data meat and eggs'!$E$410</f>
        <v>33588079.971279398</v>
      </c>
      <c r="Q132" s="89">
        <f>SUM(F132+P132)</f>
        <v>302077995.95745826</v>
      </c>
      <c r="R132" s="90"/>
      <c r="S132" s="90"/>
      <c r="T132" s="107"/>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s="64"/>
      <c r="AU132" s="64"/>
      <c r="AV132" s="64"/>
      <c r="AW132" s="64"/>
      <c r="AX132" s="64"/>
      <c r="AY132" s="64"/>
      <c r="AZ132" s="64"/>
      <c r="BA132" s="64"/>
      <c r="BB132" s="64"/>
      <c r="BC132" s="64"/>
      <c r="BD132" s="64"/>
      <c r="BE132" s="64"/>
      <c r="BF132" s="64"/>
      <c r="BG132" s="64"/>
      <c r="BH132" s="64"/>
      <c r="BI132" s="64"/>
      <c r="BJ132" s="64"/>
      <c r="BK132" s="64"/>
      <c r="BL132" s="64"/>
      <c r="BM132" s="64"/>
      <c r="BN132" s="64"/>
      <c r="BO132" s="64"/>
      <c r="BP132" s="64"/>
      <c r="BQ132" s="64"/>
      <c r="BR132" s="64"/>
      <c r="BS132" s="64"/>
      <c r="BT132" s="64"/>
      <c r="BU132" s="64"/>
      <c r="BV132" s="64"/>
      <c r="BW132" s="64"/>
      <c r="BX132" s="64"/>
      <c r="BY132" s="64"/>
      <c r="BZ132" s="64"/>
      <c r="CA132" s="64"/>
      <c r="CB132" s="64"/>
      <c r="CC132" s="64"/>
      <c r="CD132" s="64"/>
      <c r="CE132" s="64"/>
      <c r="CF132" s="64"/>
      <c r="CG132" s="64"/>
      <c r="CH132" s="64"/>
      <c r="CI132" s="64"/>
      <c r="CJ132" s="64"/>
      <c r="CK132" s="64"/>
      <c r="CL132" s="64"/>
      <c r="CM132" s="64"/>
      <c r="CN132" s="64"/>
      <c r="CO132" s="64"/>
      <c r="CP132" s="64"/>
      <c r="CQ132" s="64"/>
      <c r="CR132" s="64"/>
      <c r="CS132" s="64"/>
      <c r="CT132" s="64"/>
      <c r="CU132" s="64"/>
      <c r="CV132" s="64"/>
      <c r="CW132" s="64"/>
      <c r="CX132" s="64"/>
      <c r="CY132" s="64"/>
      <c r="CZ132" s="64"/>
      <c r="DA132" s="64"/>
      <c r="DB132" s="64"/>
      <c r="DC132" s="64"/>
      <c r="DD132" s="64"/>
      <c r="DE132" s="64"/>
      <c r="DF132" s="64"/>
      <c r="DG132" s="64"/>
      <c r="DH132" s="64"/>
      <c r="DI132" s="64"/>
      <c r="DJ132" s="64"/>
      <c r="DK132" s="64"/>
      <c r="DL132" s="64"/>
      <c r="DM132" s="64"/>
      <c r="DN132" s="64"/>
      <c r="DO132" s="64"/>
      <c r="DP132" s="64"/>
      <c r="DQ132" s="64"/>
      <c r="DR132" s="64"/>
      <c r="DS132" s="64"/>
      <c r="DT132" s="64"/>
      <c r="DU132" s="64"/>
      <c r="DV132" s="64"/>
      <c r="DW132" s="64"/>
      <c r="DX132" s="64"/>
      <c r="DY132" s="64"/>
      <c r="DZ132" s="64"/>
      <c r="EA132" s="64"/>
      <c r="EB132" s="64"/>
      <c r="EC132" s="64"/>
      <c r="ED132" s="64"/>
      <c r="EE132" s="64"/>
      <c r="EF132" s="64"/>
      <c r="EG132" s="64"/>
      <c r="EH132" s="64"/>
      <c r="EI132" s="64"/>
      <c r="EJ132" s="64"/>
      <c r="EK132" s="64"/>
      <c r="EL132" s="64"/>
      <c r="EM132" s="64"/>
      <c r="EN132" s="64"/>
      <c r="EO132" s="64"/>
      <c r="EP132" s="64"/>
      <c r="EQ132" s="64"/>
      <c r="ER132" s="64"/>
      <c r="ES132" s="64"/>
      <c r="ET132" s="64"/>
      <c r="EU132" s="64"/>
      <c r="EV132" s="64"/>
      <c r="EW132" s="64"/>
      <c r="EX132" s="64"/>
      <c r="EY132" s="64"/>
      <c r="EZ132" s="64"/>
      <c r="FA132" s="64"/>
      <c r="FB132" s="64"/>
      <c r="FC132" s="64"/>
      <c r="FD132" s="64"/>
      <c r="FE132" s="64"/>
      <c r="FF132" s="64"/>
      <c r="FG132" s="64"/>
      <c r="FH132" s="64"/>
      <c r="FI132" s="64"/>
      <c r="FJ132" s="64"/>
      <c r="FK132" s="64"/>
      <c r="FL132" s="64"/>
      <c r="FM132" s="64"/>
      <c r="FN132" s="64"/>
      <c r="FO132" s="64"/>
      <c r="FP132" s="64"/>
      <c r="FQ132" s="64"/>
      <c r="FR132" s="64"/>
      <c r="FS132" s="64"/>
      <c r="FT132" s="64"/>
      <c r="FU132" s="64"/>
      <c r="FV132" s="64"/>
      <c r="FW132" s="64"/>
      <c r="FX132" s="64"/>
      <c r="FY132" s="64"/>
      <c r="FZ132" s="64"/>
      <c r="GA132" s="64"/>
      <c r="GB132" s="64"/>
      <c r="GC132" s="64"/>
      <c r="GD132" s="64"/>
      <c r="GE132" s="64"/>
      <c r="GF132" s="64"/>
      <c r="GG132" s="64"/>
      <c r="GH132" s="64"/>
      <c r="GI132" s="64"/>
      <c r="GJ132" s="64"/>
      <c r="GK132" s="64"/>
      <c r="GL132" s="64"/>
      <c r="GM132" s="64"/>
      <c r="GN132" s="64"/>
      <c r="GO132" s="64"/>
      <c r="GP132" s="64"/>
      <c r="GQ132" s="64"/>
      <c r="GR132" s="64"/>
      <c r="GS132" s="64"/>
      <c r="GT132" s="64"/>
      <c r="GU132" s="64"/>
      <c r="GV132" s="64"/>
      <c r="GW132" s="64"/>
      <c r="GX132" s="64"/>
      <c r="GY132" s="64"/>
      <c r="GZ132" s="64"/>
      <c r="HA132" s="64"/>
      <c r="HB132" s="64"/>
      <c r="HC132" s="64"/>
      <c r="HD132" s="64"/>
      <c r="HE132" s="64"/>
      <c r="HF132" s="64"/>
      <c r="HG132" s="64"/>
      <c r="HH132" s="64"/>
      <c r="HI132" s="64"/>
      <c r="HJ132" s="64"/>
      <c r="HK132" s="64"/>
      <c r="HL132" s="64"/>
      <c r="HM132" s="64"/>
      <c r="HN132" s="64"/>
      <c r="HO132" s="64"/>
      <c r="HP132" s="64"/>
      <c r="HQ132" s="64"/>
      <c r="HR132" s="64"/>
      <c r="HS132" s="64"/>
      <c r="HT132" s="64"/>
      <c r="HU132" s="64"/>
      <c r="HV132" s="64"/>
      <c r="HW132" s="64"/>
      <c r="HX132" s="64"/>
      <c r="HY132" s="64"/>
      <c r="HZ132" s="64"/>
      <c r="IA132" s="64"/>
      <c r="IB132" s="64"/>
      <c r="IC132" s="64"/>
      <c r="ID132" s="64"/>
      <c r="IE132" s="64"/>
      <c r="IF132" s="64"/>
      <c r="IG132" s="64"/>
      <c r="IH132" s="64"/>
      <c r="II132" s="64"/>
      <c r="IJ132" s="64"/>
      <c r="IK132" s="64"/>
      <c r="IL132" s="64"/>
      <c r="IM132" s="64"/>
      <c r="IN132" s="64"/>
      <c r="IO132" s="64"/>
      <c r="IP132" s="64"/>
      <c r="IQ132" s="64"/>
      <c r="IR132" s="64"/>
      <c r="IS132" s="64"/>
      <c r="IT132" s="64"/>
      <c r="IU132" s="64"/>
      <c r="IV132" s="64"/>
      <c r="IW132" s="64"/>
      <c r="IX132" s="64"/>
      <c r="IY132" s="64"/>
      <c r="IZ132" s="64"/>
      <c r="JA132" s="64"/>
      <c r="JB132" s="64"/>
      <c r="JC132" s="64"/>
      <c r="JD132" s="64"/>
      <c r="JE132" s="64"/>
      <c r="JF132" s="64"/>
      <c r="JG132" s="64"/>
      <c r="JH132" s="64"/>
      <c r="JI132" s="64"/>
      <c r="JJ132" s="64"/>
      <c r="JK132" s="64"/>
      <c r="JL132" s="64"/>
      <c r="JM132" s="64"/>
      <c r="JN132" s="64"/>
      <c r="JO132" s="64"/>
      <c r="JP132" s="64"/>
      <c r="JQ132" s="64"/>
      <c r="JR132" s="64"/>
      <c r="JS132" s="64"/>
      <c r="JT132" s="64"/>
      <c r="JU132" s="64"/>
      <c r="JV132" s="64"/>
      <c r="JW132" s="64"/>
      <c r="JX132" s="64"/>
      <c r="JY132" s="64"/>
      <c r="JZ132" s="64"/>
      <c r="KA132" s="64"/>
      <c r="KB132" s="64"/>
      <c r="KC132" s="64"/>
      <c r="KD132" s="64"/>
      <c r="KE132" s="64"/>
      <c r="KF132" s="64"/>
      <c r="KG132" s="64"/>
      <c r="KH132" s="64"/>
      <c r="KI132" s="64"/>
      <c r="KJ132" s="64"/>
      <c r="KK132" s="64"/>
      <c r="KL132" s="64"/>
      <c r="KM132" s="64"/>
      <c r="KN132" s="64"/>
      <c r="KO132" s="64"/>
      <c r="KP132" s="64"/>
      <c r="KQ132" s="64"/>
      <c r="KR132" s="64"/>
      <c r="KS132" s="64"/>
      <c r="KT132" s="64"/>
      <c r="KU132" s="64"/>
      <c r="KV132" s="64"/>
      <c r="KW132" s="64"/>
      <c r="KX132" s="64"/>
      <c r="KY132" s="64"/>
      <c r="KZ132" s="64"/>
      <c r="LA132" s="64"/>
      <c r="LB132" s="64"/>
      <c r="LC132" s="64"/>
      <c r="LD132" s="64"/>
      <c r="LE132" s="64"/>
      <c r="LF132" s="64"/>
      <c r="LG132" s="64"/>
      <c r="LH132" s="64"/>
      <c r="LI132" s="64"/>
      <c r="LJ132" s="64"/>
      <c r="LK132" s="64"/>
      <c r="LL132" s="64"/>
      <c r="LM132" s="64"/>
      <c r="LN132" s="64"/>
      <c r="LO132" s="64"/>
      <c r="LP132" s="64"/>
      <c r="LQ132" s="64"/>
      <c r="LR132" s="64"/>
      <c r="LS132" s="64"/>
      <c r="LT132" s="64"/>
      <c r="LU132" s="64"/>
      <c r="LV132" s="64"/>
      <c r="LW132" s="64"/>
      <c r="LX132" s="64"/>
      <c r="LY132" s="64"/>
      <c r="LZ132" s="64"/>
      <c r="MA132" s="64"/>
      <c r="MB132" s="64"/>
      <c r="MC132" s="64"/>
      <c r="MD132" s="64"/>
      <c r="ME132" s="64"/>
      <c r="MF132" s="64"/>
      <c r="MG132" s="64"/>
      <c r="MH132" s="64"/>
      <c r="MI132" s="64"/>
      <c r="MJ132" s="64"/>
      <c r="MK132" s="64"/>
      <c r="ML132" s="64"/>
      <c r="MM132" s="64"/>
      <c r="MN132" s="64"/>
      <c r="MO132" s="64"/>
      <c r="MP132" s="64"/>
      <c r="MQ132" s="64"/>
      <c r="MR132" s="64"/>
      <c r="MS132" s="64"/>
      <c r="MT132" s="64"/>
      <c r="MU132" s="64"/>
      <c r="MV132" s="64"/>
      <c r="MW132" s="64"/>
      <c r="MX132" s="64"/>
      <c r="MY132" s="64"/>
      <c r="MZ132" s="64"/>
      <c r="NA132" s="64"/>
      <c r="NB132" s="64"/>
      <c r="NC132" s="64"/>
      <c r="ND132" s="64"/>
      <c r="NE132" s="64"/>
      <c r="NF132" s="64"/>
      <c r="NG132" s="64"/>
      <c r="NH132" s="64"/>
      <c r="NI132" s="64"/>
      <c r="NJ132" s="64"/>
      <c r="NK132" s="64"/>
      <c r="NL132" s="64"/>
      <c r="NM132" s="64"/>
      <c r="NN132" s="64"/>
      <c r="NO132" s="64"/>
      <c r="NP132" s="64"/>
      <c r="NQ132" s="64"/>
      <c r="NR132" s="64"/>
      <c r="NS132" s="64"/>
      <c r="NT132" s="64"/>
      <c r="NU132" s="64"/>
      <c r="NV132" s="64"/>
      <c r="NW132" s="64"/>
      <c r="NX132" s="64"/>
      <c r="NY132" s="64"/>
      <c r="NZ132" s="64"/>
      <c r="OA132" s="64"/>
      <c r="OB132" s="64"/>
      <c r="OC132" s="64"/>
      <c r="OD132" s="64"/>
      <c r="OE132" s="64"/>
      <c r="OF132" s="64"/>
      <c r="OG132" s="64"/>
      <c r="OH132" s="64"/>
      <c r="OI132" s="64"/>
      <c r="OJ132" s="64"/>
      <c r="OK132" s="64"/>
      <c r="OL132" s="64"/>
    </row>
    <row r="133" spans="1:402" s="493" customFormat="1" x14ac:dyDescent="0.3">
      <c r="A133" s="174"/>
      <c r="B133" s="84"/>
      <c r="C133" s="84"/>
      <c r="D133" s="83" t="s">
        <v>165</v>
      </c>
      <c r="E133" s="466">
        <f>SUM(I133:L133)</f>
        <v>145648879.61863068</v>
      </c>
      <c r="F133" s="89">
        <f>SUM(H133:L133,O133)</f>
        <v>146144950.92734164</v>
      </c>
      <c r="G133" s="491"/>
      <c r="H133" s="89">
        <f>('Input data meat and eggs'!S410*'Input data meat and eggs'!C48+'Input data meat and eggs'!T410*'Input data meat and eggs'!C47+'Input data meat and eggs'!U410*'Input data meat and eggs'!C35+'Input data meat and eggs'!V410*SUMPRODUCT('Input data meat and eggs'!C37:C46,'Input data meat and eggs'!F65:F74))*'Input data meat and eggs'!$C$410</f>
        <v>496071.30871094577</v>
      </c>
      <c r="I133" s="89">
        <v>0</v>
      </c>
      <c r="J133" s="89">
        <f>'Input data meat and eggs'!N410*'Input data meat and eggs'!G410/12*'Input data meat and eggs'!C410</f>
        <v>12218208.574573096</v>
      </c>
      <c r="K133" s="89">
        <v>0</v>
      </c>
      <c r="L133" s="89">
        <f>('Input data meat and eggs'!L410*'Input data meat and eggs'!G410/12)*'Input data meat and eggs'!$C$410</f>
        <v>133430671.04405759</v>
      </c>
      <c r="M133" s="89">
        <v>0</v>
      </c>
      <c r="N133" s="89">
        <v>0</v>
      </c>
      <c r="O133" s="89">
        <v>0</v>
      </c>
      <c r="P133" s="89">
        <f>(('Input data meat and eggs'!C92*3.6*'Common input data'!B50)*'Input data meat and eggs'!$F$410)*'Input data meat and eggs'!$E$410</f>
        <v>5745.2965293348907</v>
      </c>
      <c r="Q133" s="89">
        <f>SUM(F133+P133)</f>
        <v>146150696.22387096</v>
      </c>
      <c r="R133" s="90"/>
      <c r="S133" s="90"/>
      <c r="T133" s="107"/>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4"/>
      <c r="CA133" s="64"/>
      <c r="CB133" s="64"/>
      <c r="CC133" s="64"/>
      <c r="CD133" s="64"/>
      <c r="CE133" s="64"/>
      <c r="CF133" s="64"/>
      <c r="CG133" s="64"/>
      <c r="CH133" s="64"/>
      <c r="CI133" s="64"/>
      <c r="CJ133" s="64"/>
      <c r="CK133" s="64"/>
      <c r="CL133" s="64"/>
      <c r="CM133" s="64"/>
      <c r="CN133" s="64"/>
      <c r="CO133" s="64"/>
      <c r="CP133" s="64"/>
      <c r="CQ133" s="64"/>
      <c r="CR133" s="64"/>
      <c r="CS133" s="64"/>
      <c r="CT133" s="64"/>
      <c r="CU133" s="64"/>
      <c r="CV133" s="64"/>
      <c r="CW133" s="64"/>
      <c r="CX133" s="64"/>
      <c r="CY133" s="64"/>
      <c r="CZ133" s="64"/>
      <c r="DA133" s="64"/>
      <c r="DB133" s="64"/>
      <c r="DC133" s="64"/>
      <c r="DD133" s="64"/>
      <c r="DE133" s="64"/>
      <c r="DF133" s="64"/>
      <c r="DG133" s="64"/>
      <c r="DH133" s="64"/>
      <c r="DI133" s="64"/>
      <c r="DJ133" s="64"/>
      <c r="DK133" s="64"/>
      <c r="DL133" s="64"/>
      <c r="DM133" s="64"/>
      <c r="DN133" s="64"/>
      <c r="DO133" s="64"/>
      <c r="DP133" s="64"/>
      <c r="DQ133" s="64"/>
      <c r="DR133" s="64"/>
      <c r="DS133" s="64"/>
      <c r="DT133" s="64"/>
      <c r="DU133" s="64"/>
      <c r="DV133" s="64"/>
      <c r="DW133" s="64"/>
      <c r="DX133" s="64"/>
      <c r="DY133" s="64"/>
      <c r="DZ133" s="64"/>
      <c r="EA133" s="64"/>
      <c r="EB133" s="64"/>
      <c r="EC133" s="64"/>
      <c r="ED133" s="64"/>
      <c r="EE133" s="64"/>
      <c r="EF133" s="64"/>
      <c r="EG133" s="64"/>
      <c r="EH133" s="64"/>
      <c r="EI133" s="64"/>
      <c r="EJ133" s="64"/>
      <c r="EK133" s="64"/>
      <c r="EL133" s="64"/>
      <c r="EM133" s="64"/>
      <c r="EN133" s="64"/>
      <c r="EO133" s="64"/>
      <c r="EP133" s="64"/>
      <c r="EQ133" s="64"/>
      <c r="ER133" s="64"/>
      <c r="ES133" s="64"/>
      <c r="ET133" s="64"/>
      <c r="EU133" s="64"/>
      <c r="EV133" s="64"/>
      <c r="EW133" s="64"/>
      <c r="EX133" s="64"/>
      <c r="EY133" s="64"/>
      <c r="EZ133" s="64"/>
      <c r="FA133" s="64"/>
      <c r="FB133" s="64"/>
      <c r="FC133" s="64"/>
      <c r="FD133" s="64"/>
      <c r="FE133" s="64"/>
      <c r="FF133" s="64"/>
      <c r="FG133" s="64"/>
      <c r="FH133" s="64"/>
      <c r="FI133" s="64"/>
      <c r="FJ133" s="64"/>
      <c r="FK133" s="64"/>
      <c r="FL133" s="64"/>
      <c r="FM133" s="64"/>
      <c r="FN133" s="64"/>
      <c r="FO133" s="64"/>
      <c r="FP133" s="64"/>
      <c r="FQ133" s="64"/>
      <c r="FR133" s="64"/>
      <c r="FS133" s="64"/>
      <c r="FT133" s="64"/>
      <c r="FU133" s="64"/>
      <c r="FV133" s="64"/>
      <c r="FW133" s="64"/>
      <c r="FX133" s="64"/>
      <c r="FY133" s="64"/>
      <c r="FZ133" s="64"/>
      <c r="GA133" s="64"/>
      <c r="GB133" s="64"/>
      <c r="GC133" s="64"/>
      <c r="GD133" s="64"/>
      <c r="GE133" s="64"/>
      <c r="GF133" s="64"/>
      <c r="GG133" s="64"/>
      <c r="GH133" s="64"/>
      <c r="GI133" s="64"/>
      <c r="GJ133" s="64"/>
      <c r="GK133" s="64"/>
      <c r="GL133" s="64"/>
      <c r="GM133" s="64"/>
      <c r="GN133" s="64"/>
      <c r="GO133" s="64"/>
      <c r="GP133" s="64"/>
      <c r="GQ133" s="64"/>
      <c r="GR133" s="64"/>
      <c r="GS133" s="64"/>
      <c r="GT133" s="64"/>
      <c r="GU133" s="64"/>
      <c r="GV133" s="64"/>
      <c r="GW133" s="64"/>
      <c r="GX133" s="64"/>
      <c r="GY133" s="64"/>
      <c r="GZ133" s="64"/>
      <c r="HA133" s="64"/>
      <c r="HB133" s="64"/>
      <c r="HC133" s="64"/>
      <c r="HD133" s="64"/>
      <c r="HE133" s="64"/>
      <c r="HF133" s="64"/>
      <c r="HG133" s="64"/>
      <c r="HH133" s="64"/>
      <c r="HI133" s="64"/>
      <c r="HJ133" s="64"/>
      <c r="HK133" s="64"/>
      <c r="HL133" s="64"/>
      <c r="HM133" s="64"/>
      <c r="HN133" s="64"/>
      <c r="HO133" s="64"/>
      <c r="HP133" s="64"/>
      <c r="HQ133" s="64"/>
      <c r="HR133" s="64"/>
      <c r="HS133" s="64"/>
      <c r="HT133" s="64"/>
      <c r="HU133" s="64"/>
      <c r="HV133" s="64"/>
      <c r="HW133" s="64"/>
      <c r="HX133" s="64"/>
      <c r="HY133" s="64"/>
      <c r="HZ133" s="64"/>
      <c r="IA133" s="64"/>
      <c r="IB133" s="64"/>
      <c r="IC133" s="64"/>
      <c r="ID133" s="64"/>
      <c r="IE133" s="64"/>
      <c r="IF133" s="64"/>
      <c r="IG133" s="64"/>
      <c r="IH133" s="64"/>
      <c r="II133" s="64"/>
      <c r="IJ133" s="64"/>
      <c r="IK133" s="64"/>
      <c r="IL133" s="64"/>
      <c r="IM133" s="64"/>
      <c r="IN133" s="64"/>
      <c r="IO133" s="64"/>
      <c r="IP133" s="64"/>
      <c r="IQ133" s="64"/>
      <c r="IR133" s="64"/>
      <c r="IS133" s="64"/>
      <c r="IT133" s="64"/>
      <c r="IU133" s="64"/>
      <c r="IV133" s="64"/>
      <c r="IW133" s="64"/>
      <c r="IX133" s="64"/>
      <c r="IY133" s="64"/>
      <c r="IZ133" s="64"/>
      <c r="JA133" s="64"/>
      <c r="JB133" s="64"/>
      <c r="JC133" s="64"/>
      <c r="JD133" s="64"/>
      <c r="JE133" s="64"/>
      <c r="JF133" s="64"/>
      <c r="JG133" s="64"/>
      <c r="JH133" s="64"/>
      <c r="JI133" s="64"/>
      <c r="JJ133" s="64"/>
      <c r="JK133" s="64"/>
      <c r="JL133" s="64"/>
      <c r="JM133" s="64"/>
      <c r="JN133" s="64"/>
      <c r="JO133" s="64"/>
      <c r="JP133" s="64"/>
      <c r="JQ133" s="64"/>
      <c r="JR133" s="64"/>
      <c r="JS133" s="64"/>
      <c r="JT133" s="64"/>
      <c r="JU133" s="64"/>
      <c r="JV133" s="64"/>
      <c r="JW133" s="64"/>
      <c r="JX133" s="64"/>
      <c r="JY133" s="64"/>
      <c r="JZ133" s="64"/>
      <c r="KA133" s="64"/>
      <c r="KB133" s="64"/>
      <c r="KC133" s="64"/>
      <c r="KD133" s="64"/>
      <c r="KE133" s="64"/>
      <c r="KF133" s="64"/>
      <c r="KG133" s="64"/>
      <c r="KH133" s="64"/>
      <c r="KI133" s="64"/>
      <c r="KJ133" s="64"/>
      <c r="KK133" s="64"/>
      <c r="KL133" s="64"/>
      <c r="KM133" s="64"/>
      <c r="KN133" s="64"/>
      <c r="KO133" s="64"/>
      <c r="KP133" s="64"/>
      <c r="KQ133" s="64"/>
      <c r="KR133" s="64"/>
      <c r="KS133" s="64"/>
      <c r="KT133" s="64"/>
      <c r="KU133" s="64"/>
      <c r="KV133" s="64"/>
      <c r="KW133" s="64"/>
      <c r="KX133" s="64"/>
      <c r="KY133" s="64"/>
      <c r="KZ133" s="64"/>
      <c r="LA133" s="64"/>
      <c r="LB133" s="64"/>
      <c r="LC133" s="64"/>
      <c r="LD133" s="64"/>
      <c r="LE133" s="64"/>
      <c r="LF133" s="64"/>
      <c r="LG133" s="64"/>
      <c r="LH133" s="64"/>
      <c r="LI133" s="64"/>
      <c r="LJ133" s="64"/>
      <c r="LK133" s="64"/>
      <c r="LL133" s="64"/>
      <c r="LM133" s="64"/>
      <c r="LN133" s="64"/>
      <c r="LO133" s="64"/>
      <c r="LP133" s="64"/>
      <c r="LQ133" s="64"/>
      <c r="LR133" s="64"/>
      <c r="LS133" s="64"/>
      <c r="LT133" s="64"/>
      <c r="LU133" s="64"/>
      <c r="LV133" s="64"/>
      <c r="LW133" s="64"/>
      <c r="LX133" s="64"/>
      <c r="LY133" s="64"/>
      <c r="LZ133" s="64"/>
      <c r="MA133" s="64"/>
      <c r="MB133" s="64"/>
      <c r="MC133" s="64"/>
      <c r="MD133" s="64"/>
      <c r="ME133" s="64"/>
      <c r="MF133" s="64"/>
      <c r="MG133" s="64"/>
      <c r="MH133" s="64"/>
      <c r="MI133" s="64"/>
      <c r="MJ133" s="64"/>
      <c r="MK133" s="64"/>
      <c r="ML133" s="64"/>
      <c r="MM133" s="64"/>
      <c r="MN133" s="64"/>
      <c r="MO133" s="64"/>
      <c r="MP133" s="64"/>
      <c r="MQ133" s="64"/>
      <c r="MR133" s="64"/>
      <c r="MS133" s="64"/>
      <c r="MT133" s="64"/>
      <c r="MU133" s="64"/>
      <c r="MV133" s="64"/>
      <c r="MW133" s="64"/>
      <c r="MX133" s="64"/>
      <c r="MY133" s="64"/>
      <c r="MZ133" s="64"/>
      <c r="NA133" s="64"/>
      <c r="NB133" s="64"/>
      <c r="NC133" s="64"/>
      <c r="ND133" s="64"/>
      <c r="NE133" s="64"/>
      <c r="NF133" s="64"/>
      <c r="NG133" s="64"/>
      <c r="NH133" s="64"/>
      <c r="NI133" s="64"/>
      <c r="NJ133" s="64"/>
      <c r="NK133" s="64"/>
      <c r="NL133" s="64"/>
      <c r="NM133" s="64"/>
      <c r="NN133" s="64"/>
      <c r="NO133" s="64"/>
      <c r="NP133" s="64"/>
      <c r="NQ133" s="64"/>
      <c r="NR133" s="64"/>
      <c r="NS133" s="64"/>
      <c r="NT133" s="64"/>
      <c r="NU133" s="64"/>
      <c r="NV133" s="64"/>
      <c r="NW133" s="64"/>
      <c r="NX133" s="64"/>
      <c r="NY133" s="64"/>
      <c r="NZ133" s="64"/>
      <c r="OA133" s="64"/>
      <c r="OB133" s="64"/>
      <c r="OC133" s="64"/>
      <c r="OD133" s="64"/>
      <c r="OE133" s="64"/>
      <c r="OF133" s="64"/>
      <c r="OG133" s="64"/>
      <c r="OH133" s="64"/>
      <c r="OI133" s="64"/>
      <c r="OJ133" s="64"/>
      <c r="OK133" s="64"/>
      <c r="OL133" s="64"/>
    </row>
    <row r="134" spans="1:402" s="493" customFormat="1" x14ac:dyDescent="0.3">
      <c r="A134" s="174"/>
      <c r="B134" s="84"/>
      <c r="C134" s="85"/>
      <c r="D134" s="84" t="s">
        <v>166</v>
      </c>
      <c r="E134" s="466">
        <f>SUM(I134:L134)</f>
        <v>5091957.6636453597</v>
      </c>
      <c r="F134" s="89">
        <f>SUM(H134:L134,O134)</f>
        <v>5827138.546622877</v>
      </c>
      <c r="G134" s="491"/>
      <c r="H134" s="89">
        <f>(('Input data meat and eggs'!S410*'Input data meat and eggs'!D48+'Input data meat and eggs'!T410*'Input data meat and eggs'!D47+'Input data meat and eggs'!U410*'Input data meat and eggs'!D35+'Input data meat and eggs'!V410*SUMPRODUCT('Input data meat and eggs'!D37:D46,'Input data meat and eggs'!F65:F74))*'Input data meat and eggs'!B58)*'Input data meat and eggs'!$C$410</f>
        <v>735180.88297751825</v>
      </c>
      <c r="I134" s="89">
        <f>(('Input data meat and eggs'!S410*'Input data meat and eggs'!D48+'Input data meat and eggs'!T410*'Input data meat and eggs'!D47+'Input data meat and eggs'!U410*'Input data meat and eggs'!D35+'Input data meat and eggs'!V410*SUMPRODUCT('Input data meat and eggs'!D37:D46,'Input data meat and eggs'!F65:F74))*'Input data meat and eggs'!C58)*'Input data meat and eggs'!$C$410</f>
        <v>1858240.9465460537</v>
      </c>
      <c r="J134" s="89">
        <f>('Input data meat and eggs'!K410*'Input data meat and eggs'!G410/12*('Input data meat and eggs'!$O$410*'Input data meat and eggs'!$B$445+'Input data meat and eggs'!$P$410*'Input data meat and eggs'!$C$445+'Input data meat and eggs'!$Q$410*'Input data meat and eggs'!$D$445+'Input data meat and eggs'!$R$410*'Input data meat and eggs'!$E$445)*44/28)*'Input data meat and eggs'!$C$410</f>
        <v>2939052.065564658</v>
      </c>
      <c r="K134" s="89">
        <f>('Input data meat and eggs'!$B$446*44/28*'Input data meat and eggs'!K410*'Input data meat and eggs'!G410/12*('Input data meat and eggs'!O410*'Input data meat and eggs'!B458+'Input data meat and eggs'!P412*'Input data meat and eggs'!C458+'Input data meat and eggs'!Q412*'Input data meat and eggs'!D458))*'Input data meat and eggs'!$C$410</f>
        <v>294664.65153464791</v>
      </c>
      <c r="L134" s="89">
        <v>0</v>
      </c>
      <c r="M134" s="89">
        <v>0</v>
      </c>
      <c r="N134" s="89">
        <v>0</v>
      </c>
      <c r="O134" s="89">
        <v>0</v>
      </c>
      <c r="P134" s="89">
        <f>(('Input data meat and eggs'!C92*3.6*'Common input data'!B51)*'Input data meat and eggs'!$F$410)*'Input data meat and eggs'!$E$410</f>
        <v>535.58930979021909</v>
      </c>
      <c r="Q134" s="89">
        <f>SUM(F134+P134)</f>
        <v>5827674.1359326672</v>
      </c>
      <c r="R134" s="90"/>
      <c r="S134" s="90"/>
      <c r="T134" s="107"/>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c r="BV134" s="64"/>
      <c r="BW134" s="64"/>
      <c r="BX134" s="64"/>
      <c r="BY134" s="64"/>
      <c r="BZ134" s="64"/>
      <c r="CA134" s="64"/>
      <c r="CB134" s="64"/>
      <c r="CC134" s="64"/>
      <c r="CD134" s="64"/>
      <c r="CE134" s="64"/>
      <c r="CF134" s="64"/>
      <c r="CG134" s="64"/>
      <c r="CH134" s="64"/>
      <c r="CI134" s="64"/>
      <c r="CJ134" s="64"/>
      <c r="CK134" s="64"/>
      <c r="CL134" s="64"/>
      <c r="CM134" s="64"/>
      <c r="CN134" s="64"/>
      <c r="CO134" s="64"/>
      <c r="CP134" s="64"/>
      <c r="CQ134" s="64"/>
      <c r="CR134" s="64"/>
      <c r="CS134" s="64"/>
      <c r="CT134" s="64"/>
      <c r="CU134" s="64"/>
      <c r="CV134" s="64"/>
      <c r="CW134" s="64"/>
      <c r="CX134" s="64"/>
      <c r="CY134" s="64"/>
      <c r="CZ134" s="64"/>
      <c r="DA134" s="64"/>
      <c r="DB134" s="64"/>
      <c r="DC134" s="64"/>
      <c r="DD134" s="64"/>
      <c r="DE134" s="64"/>
      <c r="DF134" s="64"/>
      <c r="DG134" s="64"/>
      <c r="DH134" s="64"/>
      <c r="DI134" s="64"/>
      <c r="DJ134" s="64"/>
      <c r="DK134" s="64"/>
      <c r="DL134" s="64"/>
      <c r="DM134" s="64"/>
      <c r="DN134" s="64"/>
      <c r="DO134" s="64"/>
      <c r="DP134" s="64"/>
      <c r="DQ134" s="64"/>
      <c r="DR134" s="64"/>
      <c r="DS134" s="64"/>
      <c r="DT134" s="64"/>
      <c r="DU134" s="64"/>
      <c r="DV134" s="64"/>
      <c r="DW134" s="64"/>
      <c r="DX134" s="64"/>
      <c r="DY134" s="64"/>
      <c r="DZ134" s="64"/>
      <c r="EA134" s="64"/>
      <c r="EB134" s="64"/>
      <c r="EC134" s="64"/>
      <c r="ED134" s="64"/>
      <c r="EE134" s="64"/>
      <c r="EF134" s="64"/>
      <c r="EG134" s="64"/>
      <c r="EH134" s="64"/>
      <c r="EI134" s="64"/>
      <c r="EJ134" s="64"/>
      <c r="EK134" s="64"/>
      <c r="EL134" s="64"/>
      <c r="EM134" s="64"/>
      <c r="EN134" s="64"/>
      <c r="EO134" s="64"/>
      <c r="EP134" s="64"/>
      <c r="EQ134" s="64"/>
      <c r="ER134" s="64"/>
      <c r="ES134" s="64"/>
      <c r="ET134" s="64"/>
      <c r="EU134" s="64"/>
      <c r="EV134" s="64"/>
      <c r="EW134" s="64"/>
      <c r="EX134" s="64"/>
      <c r="EY134" s="64"/>
      <c r="EZ134" s="64"/>
      <c r="FA134" s="64"/>
      <c r="FB134" s="64"/>
      <c r="FC134" s="64"/>
      <c r="FD134" s="64"/>
      <c r="FE134" s="64"/>
      <c r="FF134" s="64"/>
      <c r="FG134" s="64"/>
      <c r="FH134" s="64"/>
      <c r="FI134" s="64"/>
      <c r="FJ134" s="64"/>
      <c r="FK134" s="64"/>
      <c r="FL134" s="64"/>
      <c r="FM134" s="64"/>
      <c r="FN134" s="64"/>
      <c r="FO134" s="64"/>
      <c r="FP134" s="64"/>
      <c r="FQ134" s="64"/>
      <c r="FR134" s="64"/>
      <c r="FS134" s="64"/>
      <c r="FT134" s="64"/>
      <c r="FU134" s="64"/>
      <c r="FV134" s="64"/>
      <c r="FW134" s="64"/>
      <c r="FX134" s="64"/>
      <c r="FY134" s="64"/>
      <c r="FZ134" s="64"/>
      <c r="GA134" s="64"/>
      <c r="GB134" s="64"/>
      <c r="GC134" s="64"/>
      <c r="GD134" s="64"/>
      <c r="GE134" s="64"/>
      <c r="GF134" s="64"/>
      <c r="GG134" s="64"/>
      <c r="GH134" s="64"/>
      <c r="GI134" s="64"/>
      <c r="GJ134" s="64"/>
      <c r="GK134" s="64"/>
      <c r="GL134" s="64"/>
      <c r="GM134" s="64"/>
      <c r="GN134" s="64"/>
      <c r="GO134" s="64"/>
      <c r="GP134" s="64"/>
      <c r="GQ134" s="64"/>
      <c r="GR134" s="64"/>
      <c r="GS134" s="64"/>
      <c r="GT134" s="64"/>
      <c r="GU134" s="64"/>
      <c r="GV134" s="64"/>
      <c r="GW134" s="64"/>
      <c r="GX134" s="64"/>
      <c r="GY134" s="64"/>
      <c r="GZ134" s="64"/>
      <c r="HA134" s="64"/>
      <c r="HB134" s="64"/>
      <c r="HC134" s="64"/>
      <c r="HD134" s="64"/>
      <c r="HE134" s="64"/>
      <c r="HF134" s="64"/>
      <c r="HG134" s="64"/>
      <c r="HH134" s="64"/>
      <c r="HI134" s="64"/>
      <c r="HJ134" s="64"/>
      <c r="HK134" s="64"/>
      <c r="HL134" s="64"/>
      <c r="HM134" s="64"/>
      <c r="HN134" s="64"/>
      <c r="HO134" s="64"/>
      <c r="HP134" s="64"/>
      <c r="HQ134" s="64"/>
      <c r="HR134" s="64"/>
      <c r="HS134" s="64"/>
      <c r="HT134" s="64"/>
      <c r="HU134" s="64"/>
      <c r="HV134" s="64"/>
      <c r="HW134" s="64"/>
      <c r="HX134" s="64"/>
      <c r="HY134" s="64"/>
      <c r="HZ134" s="64"/>
      <c r="IA134" s="64"/>
      <c r="IB134" s="64"/>
      <c r="IC134" s="64"/>
      <c r="ID134" s="64"/>
      <c r="IE134" s="64"/>
      <c r="IF134" s="64"/>
      <c r="IG134" s="64"/>
      <c r="IH134" s="64"/>
      <c r="II134" s="64"/>
      <c r="IJ134" s="64"/>
      <c r="IK134" s="64"/>
      <c r="IL134" s="64"/>
      <c r="IM134" s="64"/>
      <c r="IN134" s="64"/>
      <c r="IO134" s="64"/>
      <c r="IP134" s="64"/>
      <c r="IQ134" s="64"/>
      <c r="IR134" s="64"/>
      <c r="IS134" s="64"/>
      <c r="IT134" s="64"/>
      <c r="IU134" s="64"/>
      <c r="IV134" s="64"/>
      <c r="IW134" s="64"/>
      <c r="IX134" s="64"/>
      <c r="IY134" s="64"/>
      <c r="IZ134" s="64"/>
      <c r="JA134" s="64"/>
      <c r="JB134" s="64"/>
      <c r="JC134" s="64"/>
      <c r="JD134" s="64"/>
      <c r="JE134" s="64"/>
      <c r="JF134" s="64"/>
      <c r="JG134" s="64"/>
      <c r="JH134" s="64"/>
      <c r="JI134" s="64"/>
      <c r="JJ134" s="64"/>
      <c r="JK134" s="64"/>
      <c r="JL134" s="64"/>
      <c r="JM134" s="64"/>
      <c r="JN134" s="64"/>
      <c r="JO134" s="64"/>
      <c r="JP134" s="64"/>
      <c r="JQ134" s="64"/>
      <c r="JR134" s="64"/>
      <c r="JS134" s="64"/>
      <c r="JT134" s="64"/>
      <c r="JU134" s="64"/>
      <c r="JV134" s="64"/>
      <c r="JW134" s="64"/>
      <c r="JX134" s="64"/>
      <c r="JY134" s="64"/>
      <c r="JZ134" s="64"/>
      <c r="KA134" s="64"/>
      <c r="KB134" s="64"/>
      <c r="KC134" s="64"/>
      <c r="KD134" s="64"/>
      <c r="KE134" s="64"/>
      <c r="KF134" s="64"/>
      <c r="KG134" s="64"/>
      <c r="KH134" s="64"/>
      <c r="KI134" s="64"/>
      <c r="KJ134" s="64"/>
      <c r="KK134" s="64"/>
      <c r="KL134" s="64"/>
      <c r="KM134" s="64"/>
      <c r="KN134" s="64"/>
      <c r="KO134" s="64"/>
      <c r="KP134" s="64"/>
      <c r="KQ134" s="64"/>
      <c r="KR134" s="64"/>
      <c r="KS134" s="64"/>
      <c r="KT134" s="64"/>
      <c r="KU134" s="64"/>
      <c r="KV134" s="64"/>
      <c r="KW134" s="64"/>
      <c r="KX134" s="64"/>
      <c r="KY134" s="64"/>
      <c r="KZ134" s="64"/>
      <c r="LA134" s="64"/>
      <c r="LB134" s="64"/>
      <c r="LC134" s="64"/>
      <c r="LD134" s="64"/>
      <c r="LE134" s="64"/>
      <c r="LF134" s="64"/>
      <c r="LG134" s="64"/>
      <c r="LH134" s="64"/>
      <c r="LI134" s="64"/>
      <c r="LJ134" s="64"/>
      <c r="LK134" s="64"/>
      <c r="LL134" s="64"/>
      <c r="LM134" s="64"/>
      <c r="LN134" s="64"/>
      <c r="LO134" s="64"/>
      <c r="LP134" s="64"/>
      <c r="LQ134" s="64"/>
      <c r="LR134" s="64"/>
      <c r="LS134" s="64"/>
      <c r="LT134" s="64"/>
      <c r="LU134" s="64"/>
      <c r="LV134" s="64"/>
      <c r="LW134" s="64"/>
      <c r="LX134" s="64"/>
      <c r="LY134" s="64"/>
      <c r="LZ134" s="64"/>
      <c r="MA134" s="64"/>
      <c r="MB134" s="64"/>
      <c r="MC134" s="64"/>
      <c r="MD134" s="64"/>
      <c r="ME134" s="64"/>
      <c r="MF134" s="64"/>
      <c r="MG134" s="64"/>
      <c r="MH134" s="64"/>
      <c r="MI134" s="64"/>
      <c r="MJ134" s="64"/>
      <c r="MK134" s="64"/>
      <c r="ML134" s="64"/>
      <c r="MM134" s="64"/>
      <c r="MN134" s="64"/>
      <c r="MO134" s="64"/>
      <c r="MP134" s="64"/>
      <c r="MQ134" s="64"/>
      <c r="MR134" s="64"/>
      <c r="MS134" s="64"/>
      <c r="MT134" s="64"/>
      <c r="MU134" s="64"/>
      <c r="MV134" s="64"/>
      <c r="MW134" s="64"/>
      <c r="MX134" s="64"/>
      <c r="MY134" s="64"/>
      <c r="MZ134" s="64"/>
      <c r="NA134" s="64"/>
      <c r="NB134" s="64"/>
      <c r="NC134" s="64"/>
      <c r="ND134" s="64"/>
      <c r="NE134" s="64"/>
      <c r="NF134" s="64"/>
      <c r="NG134" s="64"/>
      <c r="NH134" s="64"/>
      <c r="NI134" s="64"/>
      <c r="NJ134" s="64"/>
      <c r="NK134" s="64"/>
      <c r="NL134" s="64"/>
      <c r="NM134" s="64"/>
      <c r="NN134" s="64"/>
      <c r="NO134" s="64"/>
      <c r="NP134" s="64"/>
      <c r="NQ134" s="64"/>
      <c r="NR134" s="64"/>
      <c r="NS134" s="64"/>
      <c r="NT134" s="64"/>
      <c r="NU134" s="64"/>
      <c r="NV134" s="64"/>
      <c r="NW134" s="64"/>
      <c r="NX134" s="64"/>
      <c r="NY134" s="64"/>
      <c r="NZ134" s="64"/>
      <c r="OA134" s="64"/>
      <c r="OB134" s="64"/>
      <c r="OC134" s="64"/>
      <c r="OD134" s="64"/>
      <c r="OE134" s="64"/>
      <c r="OF134" s="64"/>
      <c r="OG134" s="64"/>
      <c r="OH134" s="64"/>
      <c r="OI134" s="64"/>
      <c r="OJ134" s="64"/>
      <c r="OK134" s="64"/>
      <c r="OL134" s="64"/>
    </row>
    <row r="135" spans="1:402" s="102" customFormat="1" x14ac:dyDescent="0.3">
      <c r="A135" s="143"/>
      <c r="B135" s="150" t="s">
        <v>704</v>
      </c>
      <c r="C135" s="153"/>
      <c r="D135" s="269" t="s">
        <v>473</v>
      </c>
      <c r="E135" s="464">
        <f>IF($F$1="GWP100 without fb",E136+E137*'Common input data'!$C$5+E138*'Common input data'!$D$5,IF($F$1="GWP100 with fb",E136+E137*'Common input data'!$C$6+E138*'Common input data'!$D$6,IF($F$1="GTP100 without fb",E136+E137*'Common input data'!$C$7+E138*'Common input data'!$D$7,IF($F$1="GTP100 with fb",E136+E137*'Common input data'!$C$8+E138*'Common input data'!$D$8,E136+E137*'Common input data'!$C$9+E138*'Common input data'!$D$9))))</f>
        <v>1100945194.281013</v>
      </c>
      <c r="F135" s="465">
        <f>IF($F$1="GWP100 without fb",F136+F137*'Common input data'!$C$5+F138*'Common input data'!$D$5,IF($F$1="GWP100 with fb",F136+F137*'Common input data'!$C$6+F138*'Common input data'!$D$6,IF($F$1="GTP100 without fb",F136+F137*'Common input data'!$C$7+F138*'Common input data'!$D$7,IF($F$1="GTP100 with fb",F136+F137*'Common input data'!$C$8+F138*'Common input data'!$D$8,F136+F137*'Common input data'!$C$9+F138*'Common input data'!$D$9))))</f>
        <v>1708455033.4795947</v>
      </c>
      <c r="G135" s="510"/>
      <c r="H135" s="387"/>
      <c r="I135" s="387"/>
      <c r="J135" s="387"/>
      <c r="K135" s="387"/>
      <c r="L135" s="387"/>
      <c r="M135" s="387"/>
      <c r="N135" s="387"/>
      <c r="O135" s="387"/>
      <c r="P135" s="387"/>
      <c r="Q135" s="387"/>
      <c r="R135" s="106"/>
      <c r="S135" s="106"/>
      <c r="T135" s="107"/>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c r="BS135" s="64"/>
      <c r="BT135" s="64"/>
      <c r="BU135" s="64"/>
      <c r="BV135" s="64"/>
      <c r="BW135" s="64"/>
      <c r="BX135" s="64"/>
      <c r="BY135" s="64"/>
      <c r="BZ135" s="64"/>
      <c r="CA135" s="64"/>
      <c r="CB135" s="64"/>
      <c r="CC135" s="64"/>
      <c r="CD135" s="64"/>
      <c r="CE135" s="64"/>
      <c r="CF135" s="64"/>
      <c r="CG135" s="64"/>
      <c r="CH135" s="64"/>
      <c r="CI135" s="64"/>
      <c r="CJ135" s="64"/>
      <c r="CK135" s="64"/>
      <c r="CL135" s="64"/>
      <c r="CM135" s="64"/>
      <c r="CN135" s="64"/>
      <c r="CO135" s="64"/>
      <c r="CP135" s="64"/>
      <c r="CQ135" s="64"/>
      <c r="CR135" s="64"/>
      <c r="CS135" s="64"/>
      <c r="CT135" s="64"/>
      <c r="CU135" s="64"/>
      <c r="CV135" s="64"/>
      <c r="CW135" s="64"/>
      <c r="CX135" s="64"/>
      <c r="CY135" s="64"/>
      <c r="CZ135" s="64"/>
      <c r="DA135" s="64"/>
      <c r="DB135" s="64"/>
      <c r="DC135" s="64"/>
      <c r="DD135" s="64"/>
      <c r="DE135" s="64"/>
      <c r="DF135" s="64"/>
      <c r="DG135" s="64"/>
      <c r="DH135" s="64"/>
      <c r="DI135" s="64"/>
      <c r="DJ135" s="64"/>
      <c r="DK135" s="64"/>
      <c r="DL135" s="64"/>
      <c r="DM135" s="64"/>
      <c r="DN135" s="64"/>
      <c r="DO135" s="64"/>
      <c r="DP135" s="64"/>
      <c r="DQ135" s="64"/>
      <c r="DR135" s="64"/>
      <c r="DS135" s="64"/>
      <c r="DT135" s="64"/>
      <c r="DU135" s="64"/>
      <c r="DV135" s="64"/>
      <c r="DW135" s="64"/>
      <c r="DX135" s="64"/>
      <c r="DY135" s="64"/>
      <c r="DZ135" s="64"/>
      <c r="EA135" s="64"/>
      <c r="EB135" s="64"/>
      <c r="EC135" s="64"/>
      <c r="ED135" s="64"/>
      <c r="EE135" s="64"/>
      <c r="EF135" s="64"/>
      <c r="EG135" s="64"/>
      <c r="EH135" s="64"/>
      <c r="EI135" s="64"/>
      <c r="EJ135" s="64"/>
      <c r="EK135" s="64"/>
      <c r="EL135" s="64"/>
      <c r="EM135" s="64"/>
      <c r="EN135" s="64"/>
      <c r="EO135" s="64"/>
      <c r="EP135" s="64"/>
      <c r="EQ135" s="64"/>
      <c r="ER135" s="64"/>
      <c r="ES135" s="64"/>
      <c r="ET135" s="64"/>
      <c r="EU135" s="64"/>
      <c r="EV135" s="64"/>
      <c r="EW135" s="64"/>
      <c r="EX135" s="64"/>
      <c r="EY135" s="64"/>
      <c r="EZ135" s="64"/>
      <c r="FA135" s="64"/>
      <c r="FB135" s="64"/>
      <c r="FC135" s="64"/>
      <c r="FD135" s="64"/>
      <c r="FE135" s="64"/>
      <c r="FF135" s="64"/>
      <c r="FG135" s="64"/>
      <c r="FH135" s="64"/>
      <c r="FI135" s="64"/>
      <c r="FJ135" s="64"/>
      <c r="FK135" s="64"/>
      <c r="FL135" s="64"/>
      <c r="FM135" s="64"/>
      <c r="FN135" s="64"/>
      <c r="FO135" s="64"/>
      <c r="FP135" s="64"/>
      <c r="FQ135" s="64"/>
      <c r="FR135" s="64"/>
      <c r="FS135" s="64"/>
      <c r="FT135" s="64"/>
      <c r="FU135" s="64"/>
      <c r="FV135" s="64"/>
      <c r="FW135" s="64"/>
      <c r="FX135" s="64"/>
      <c r="FY135" s="64"/>
      <c r="FZ135" s="64"/>
      <c r="GA135" s="64"/>
      <c r="GB135" s="64"/>
      <c r="GC135" s="64"/>
      <c r="GD135" s="64"/>
      <c r="GE135" s="64"/>
      <c r="GF135" s="64"/>
      <c r="GG135" s="64"/>
      <c r="GH135" s="64"/>
      <c r="GI135" s="64"/>
      <c r="GJ135" s="64"/>
      <c r="GK135" s="64"/>
      <c r="GL135" s="64"/>
      <c r="GM135" s="64"/>
      <c r="GN135" s="64"/>
      <c r="GO135" s="64"/>
      <c r="GP135" s="64"/>
      <c r="GQ135" s="64"/>
      <c r="GR135" s="64"/>
      <c r="GS135" s="64"/>
      <c r="GT135" s="64"/>
      <c r="GU135" s="64"/>
      <c r="GV135" s="64"/>
      <c r="GW135" s="64"/>
      <c r="GX135" s="64"/>
      <c r="GY135" s="64"/>
      <c r="GZ135" s="64"/>
      <c r="HA135" s="64"/>
      <c r="HB135" s="64"/>
      <c r="HC135" s="64"/>
      <c r="HD135" s="64"/>
      <c r="HE135" s="64"/>
      <c r="HF135" s="64"/>
      <c r="HG135" s="64"/>
      <c r="HH135" s="64"/>
      <c r="HI135" s="64"/>
      <c r="HJ135" s="64"/>
      <c r="HK135" s="64"/>
      <c r="HL135" s="64"/>
      <c r="HM135" s="64"/>
      <c r="HN135" s="64"/>
      <c r="HO135" s="64"/>
      <c r="HP135" s="64"/>
      <c r="HQ135" s="64"/>
      <c r="HR135" s="64"/>
      <c r="HS135" s="64"/>
      <c r="HT135" s="64"/>
      <c r="HU135" s="64"/>
      <c r="HV135" s="64"/>
      <c r="HW135" s="64"/>
      <c r="HX135" s="64"/>
      <c r="HY135" s="64"/>
      <c r="HZ135" s="64"/>
      <c r="IA135" s="64"/>
      <c r="IB135" s="64"/>
      <c r="IC135" s="64"/>
      <c r="ID135" s="64"/>
      <c r="IE135" s="64"/>
      <c r="IF135" s="64"/>
      <c r="IG135" s="64"/>
      <c r="IH135" s="64"/>
      <c r="II135" s="64"/>
      <c r="IJ135" s="64"/>
      <c r="IK135" s="64"/>
      <c r="IL135" s="64"/>
      <c r="IM135" s="64"/>
      <c r="IN135" s="64"/>
      <c r="IO135" s="64"/>
      <c r="IP135" s="64"/>
      <c r="IQ135" s="64"/>
      <c r="IR135" s="64"/>
      <c r="IS135" s="64"/>
      <c r="IT135" s="64"/>
      <c r="IU135" s="64"/>
      <c r="IV135" s="64"/>
      <c r="IW135" s="64"/>
      <c r="IX135" s="64"/>
      <c r="IY135" s="64"/>
      <c r="IZ135" s="64"/>
      <c r="JA135" s="64"/>
      <c r="JB135" s="64"/>
      <c r="JC135" s="64"/>
      <c r="JD135" s="64"/>
      <c r="JE135" s="64"/>
      <c r="JF135" s="64"/>
      <c r="JG135" s="64"/>
      <c r="JH135" s="64"/>
      <c r="JI135" s="64"/>
      <c r="JJ135" s="64"/>
      <c r="JK135" s="64"/>
      <c r="JL135" s="64"/>
      <c r="JM135" s="64"/>
      <c r="JN135" s="64"/>
      <c r="JO135" s="64"/>
      <c r="JP135" s="64"/>
      <c r="JQ135" s="64"/>
      <c r="JR135" s="64"/>
      <c r="JS135" s="64"/>
      <c r="JT135" s="64"/>
      <c r="JU135" s="64"/>
      <c r="JV135" s="64"/>
      <c r="JW135" s="64"/>
      <c r="JX135" s="64"/>
      <c r="JY135" s="64"/>
      <c r="JZ135" s="64"/>
      <c r="KA135" s="64"/>
      <c r="KB135" s="64"/>
      <c r="KC135" s="64"/>
      <c r="KD135" s="64"/>
      <c r="KE135" s="64"/>
      <c r="KF135" s="64"/>
      <c r="KG135" s="64"/>
      <c r="KH135" s="64"/>
      <c r="KI135" s="64"/>
      <c r="KJ135" s="64"/>
      <c r="KK135" s="64"/>
      <c r="KL135" s="64"/>
      <c r="KM135" s="64"/>
      <c r="KN135" s="64"/>
      <c r="KO135" s="64"/>
      <c r="KP135" s="64"/>
      <c r="KQ135" s="64"/>
      <c r="KR135" s="64"/>
      <c r="KS135" s="64"/>
      <c r="KT135" s="64"/>
      <c r="KU135" s="64"/>
      <c r="KV135" s="64"/>
      <c r="KW135" s="64"/>
      <c r="KX135" s="64"/>
      <c r="KY135" s="64"/>
      <c r="KZ135" s="64"/>
      <c r="LA135" s="64"/>
      <c r="LB135" s="64"/>
      <c r="LC135" s="64"/>
      <c r="LD135" s="64"/>
      <c r="LE135" s="64"/>
      <c r="LF135" s="64"/>
      <c r="LG135" s="64"/>
      <c r="LH135" s="64"/>
      <c r="LI135" s="64"/>
      <c r="LJ135" s="64"/>
      <c r="LK135" s="64"/>
      <c r="LL135" s="64"/>
      <c r="LM135" s="64"/>
      <c r="LN135" s="64"/>
      <c r="LO135" s="64"/>
      <c r="LP135" s="64"/>
      <c r="LQ135" s="64"/>
      <c r="LR135" s="64"/>
      <c r="LS135" s="64"/>
      <c r="LT135" s="64"/>
      <c r="LU135" s="64"/>
      <c r="LV135" s="64"/>
      <c r="LW135" s="64"/>
      <c r="LX135" s="64"/>
      <c r="LY135" s="64"/>
      <c r="LZ135" s="64"/>
      <c r="MA135" s="64"/>
      <c r="MB135" s="64"/>
      <c r="MC135" s="64"/>
      <c r="MD135" s="64"/>
      <c r="ME135" s="64"/>
      <c r="MF135" s="64"/>
      <c r="MG135" s="64"/>
      <c r="MH135" s="64"/>
      <c r="MI135" s="64"/>
      <c r="MJ135" s="64"/>
      <c r="MK135" s="64"/>
      <c r="ML135" s="64"/>
      <c r="MM135" s="64"/>
      <c r="MN135" s="64"/>
      <c r="MO135" s="64"/>
      <c r="MP135" s="64"/>
      <c r="MQ135" s="64"/>
      <c r="MR135" s="64"/>
      <c r="MS135" s="64"/>
      <c r="MT135" s="64"/>
      <c r="MU135" s="64"/>
      <c r="MV135" s="64"/>
      <c r="MW135" s="64"/>
      <c r="MX135" s="64"/>
      <c r="MY135" s="64"/>
      <c r="MZ135" s="64"/>
      <c r="NA135" s="64"/>
      <c r="NB135" s="64"/>
      <c r="NC135" s="64"/>
      <c r="ND135" s="64"/>
      <c r="NE135" s="64"/>
      <c r="NF135" s="64"/>
      <c r="NG135" s="64"/>
      <c r="NH135" s="64"/>
      <c r="NI135" s="64"/>
      <c r="NJ135" s="64"/>
      <c r="NK135" s="64"/>
      <c r="NL135" s="64"/>
      <c r="NM135" s="64"/>
      <c r="NN135" s="64"/>
      <c r="NO135" s="64"/>
      <c r="NP135" s="64"/>
      <c r="NQ135" s="64"/>
      <c r="NR135" s="64"/>
      <c r="NS135" s="64"/>
      <c r="NT135" s="64"/>
      <c r="NU135" s="64"/>
      <c r="NV135" s="64"/>
      <c r="NW135" s="64"/>
      <c r="NX135" s="64"/>
      <c r="NY135" s="64"/>
      <c r="NZ135" s="64"/>
      <c r="OA135" s="64"/>
      <c r="OB135" s="64"/>
      <c r="OC135" s="64"/>
      <c r="OD135" s="64"/>
      <c r="OE135" s="64"/>
      <c r="OF135" s="64"/>
      <c r="OG135" s="64"/>
      <c r="OH135" s="64"/>
      <c r="OI135" s="64"/>
      <c r="OJ135" s="64"/>
      <c r="OK135" s="64"/>
      <c r="OL135" s="64"/>
    </row>
    <row r="136" spans="1:402" s="493" customFormat="1" x14ac:dyDescent="0.3">
      <c r="A136" s="174"/>
      <c r="B136" s="84"/>
      <c r="C136" s="64"/>
      <c r="D136" s="83" t="s">
        <v>164</v>
      </c>
      <c r="E136" s="466">
        <f>IF(AND($F$2="No",$F$3="No"),SUM(I136:L136),IF(AND($F$2="Yes", $F$3="No"), SUM(I136:L136)+N136, IF(AND($F$2="No", $F$3="Yes"),SUM(I136:L136)+M136, SUM(I136:L136)+N136+M136)))</f>
        <v>-72342412.027206555</v>
      </c>
      <c r="F136" s="89">
        <f>IF(AND($F$2="No",$F$3="No"),SUM(H136:L136,O136),IF(AND($F$2="Yes", $F$3="No"), SUM(H136:L136,O136)+N136, IF(AND($F$2="No", $F$3="Yes"),SUM(H136:L136,O136)+M136, SUM(H136:L136,O136)+N136+M136)))</f>
        <v>456517614.05361259</v>
      </c>
      <c r="G136" s="491"/>
      <c r="H136" s="89">
        <f>('Input data meat and eggs'!S411*'Input data meat and eggs'!B48+'Input data meat and eggs'!T411*'Input data meat and eggs'!B47+'Input data meat and eggs'!U411*'Input data meat and eggs'!B35+'Input data meat and eggs'!V411*SUMPRODUCT('Input data meat and eggs'!B37:B46,'Input data meat and eggs'!F65:F74))*'Input data meat and eggs'!$C$411</f>
        <v>233989707.8604047</v>
      </c>
      <c r="I136" s="89">
        <v>0</v>
      </c>
      <c r="J136" s="89">
        <v>0</v>
      </c>
      <c r="K136" s="89">
        <v>0</v>
      </c>
      <c r="L136" s="89">
        <v>0</v>
      </c>
      <c r="M136" s="89">
        <f>(('Input data meat and eggs'!S411+'Input data meat and eggs'!T411)*'Common input data'!F13+
'Input data meat and eggs'!U411*'Common input data'!B13+'Input data meat and eggs'!V411*('Input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data'!F29))*'Input data meat and eggs'!$C$411</f>
        <v>-84862469.412329525</v>
      </c>
      <c r="N136" s="89">
        <f>('Input data meat and eggs'!V411*('Input data meat and eggs'!F67*'Common input data'!B21*'Common input data'!G30/'Common input data'!F30+'Input data meat and eggs'!F71*'Common input data'!C21*'Common input data'!J31/'Common input data'!I31))*'Input data meat and eggs'!$C$411</f>
        <v>12520057.385122966</v>
      </c>
      <c r="O136" s="89">
        <f>('Input data meat and eggs'!B83*'Common input data'!C63)*'Input data meat and eggs'!$F$411*'Input data meat and eggs'!$C$411</f>
        <v>294870318.22041446</v>
      </c>
      <c r="P136" s="89">
        <v>0</v>
      </c>
      <c r="Q136" s="89">
        <f>SUM(F136+P136)</f>
        <v>456517614.05361259</v>
      </c>
      <c r="R136" s="90"/>
      <c r="S136" s="90"/>
      <c r="T136" s="107"/>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c r="BV136" s="64"/>
      <c r="BW136" s="64"/>
      <c r="BX136" s="64"/>
      <c r="BY136" s="64"/>
      <c r="BZ136" s="64"/>
      <c r="CA136" s="64"/>
      <c r="CB136" s="64"/>
      <c r="CC136" s="64"/>
      <c r="CD136" s="64"/>
      <c r="CE136" s="64"/>
      <c r="CF136" s="64"/>
      <c r="CG136" s="64"/>
      <c r="CH136" s="64"/>
      <c r="CI136" s="64"/>
      <c r="CJ136" s="64"/>
      <c r="CK136" s="64"/>
      <c r="CL136" s="64"/>
      <c r="CM136" s="64"/>
      <c r="CN136" s="64"/>
      <c r="CO136" s="64"/>
      <c r="CP136" s="64"/>
      <c r="CQ136" s="64"/>
      <c r="CR136" s="64"/>
      <c r="CS136" s="64"/>
      <c r="CT136" s="64"/>
      <c r="CU136" s="64"/>
      <c r="CV136" s="64"/>
      <c r="CW136" s="64"/>
      <c r="CX136" s="64"/>
      <c r="CY136" s="64"/>
      <c r="CZ136" s="64"/>
      <c r="DA136" s="64"/>
      <c r="DB136" s="64"/>
      <c r="DC136" s="64"/>
      <c r="DD136" s="64"/>
      <c r="DE136" s="64"/>
      <c r="DF136" s="64"/>
      <c r="DG136" s="64"/>
      <c r="DH136" s="64"/>
      <c r="DI136" s="64"/>
      <c r="DJ136" s="64"/>
      <c r="DK136" s="64"/>
      <c r="DL136" s="64"/>
      <c r="DM136" s="64"/>
      <c r="DN136" s="64"/>
      <c r="DO136" s="64"/>
      <c r="DP136" s="64"/>
      <c r="DQ136" s="64"/>
      <c r="DR136" s="64"/>
      <c r="DS136" s="64"/>
      <c r="DT136" s="64"/>
      <c r="DU136" s="64"/>
      <c r="DV136" s="64"/>
      <c r="DW136" s="64"/>
      <c r="DX136" s="64"/>
      <c r="DY136" s="64"/>
      <c r="DZ136" s="64"/>
      <c r="EA136" s="64"/>
      <c r="EB136" s="64"/>
      <c r="EC136" s="64"/>
      <c r="ED136" s="64"/>
      <c r="EE136" s="64"/>
      <c r="EF136" s="64"/>
      <c r="EG136" s="64"/>
      <c r="EH136" s="64"/>
      <c r="EI136" s="64"/>
      <c r="EJ136" s="64"/>
      <c r="EK136" s="64"/>
      <c r="EL136" s="64"/>
      <c r="EM136" s="64"/>
      <c r="EN136" s="64"/>
      <c r="EO136" s="64"/>
      <c r="EP136" s="64"/>
      <c r="EQ136" s="64"/>
      <c r="ER136" s="64"/>
      <c r="ES136" s="64"/>
      <c r="ET136" s="64"/>
      <c r="EU136" s="64"/>
      <c r="EV136" s="64"/>
      <c r="EW136" s="64"/>
      <c r="EX136" s="64"/>
      <c r="EY136" s="64"/>
      <c r="EZ136" s="64"/>
      <c r="FA136" s="64"/>
      <c r="FB136" s="64"/>
      <c r="FC136" s="64"/>
      <c r="FD136" s="64"/>
      <c r="FE136" s="64"/>
      <c r="FF136" s="64"/>
      <c r="FG136" s="64"/>
      <c r="FH136" s="64"/>
      <c r="FI136" s="64"/>
      <c r="FJ136" s="64"/>
      <c r="FK136" s="64"/>
      <c r="FL136" s="64"/>
      <c r="FM136" s="64"/>
      <c r="FN136" s="64"/>
      <c r="FO136" s="64"/>
      <c r="FP136" s="64"/>
      <c r="FQ136" s="64"/>
      <c r="FR136" s="64"/>
      <c r="FS136" s="64"/>
      <c r="FT136" s="64"/>
      <c r="FU136" s="64"/>
      <c r="FV136" s="64"/>
      <c r="FW136" s="64"/>
      <c r="FX136" s="64"/>
      <c r="FY136" s="64"/>
      <c r="FZ136" s="64"/>
      <c r="GA136" s="64"/>
      <c r="GB136" s="64"/>
      <c r="GC136" s="64"/>
      <c r="GD136" s="64"/>
      <c r="GE136" s="64"/>
      <c r="GF136" s="64"/>
      <c r="GG136" s="64"/>
      <c r="GH136" s="64"/>
      <c r="GI136" s="64"/>
      <c r="GJ136" s="64"/>
      <c r="GK136" s="64"/>
      <c r="GL136" s="64"/>
      <c r="GM136" s="64"/>
      <c r="GN136" s="64"/>
      <c r="GO136" s="64"/>
      <c r="GP136" s="64"/>
      <c r="GQ136" s="64"/>
      <c r="GR136" s="64"/>
      <c r="GS136" s="64"/>
      <c r="GT136" s="64"/>
      <c r="GU136" s="64"/>
      <c r="GV136" s="64"/>
      <c r="GW136" s="64"/>
      <c r="GX136" s="64"/>
      <c r="GY136" s="64"/>
      <c r="GZ136" s="64"/>
      <c r="HA136" s="64"/>
      <c r="HB136" s="64"/>
      <c r="HC136" s="64"/>
      <c r="HD136" s="64"/>
      <c r="HE136" s="64"/>
      <c r="HF136" s="64"/>
      <c r="HG136" s="64"/>
      <c r="HH136" s="64"/>
      <c r="HI136" s="64"/>
      <c r="HJ136" s="64"/>
      <c r="HK136" s="64"/>
      <c r="HL136" s="64"/>
      <c r="HM136" s="64"/>
      <c r="HN136" s="64"/>
      <c r="HO136" s="64"/>
      <c r="HP136" s="64"/>
      <c r="HQ136" s="64"/>
      <c r="HR136" s="64"/>
      <c r="HS136" s="64"/>
      <c r="HT136" s="64"/>
      <c r="HU136" s="64"/>
      <c r="HV136" s="64"/>
      <c r="HW136" s="64"/>
      <c r="HX136" s="64"/>
      <c r="HY136" s="64"/>
      <c r="HZ136" s="64"/>
      <c r="IA136" s="64"/>
      <c r="IB136" s="64"/>
      <c r="IC136" s="64"/>
      <c r="ID136" s="64"/>
      <c r="IE136" s="64"/>
      <c r="IF136" s="64"/>
      <c r="IG136" s="64"/>
      <c r="IH136" s="64"/>
      <c r="II136" s="64"/>
      <c r="IJ136" s="64"/>
      <c r="IK136" s="64"/>
      <c r="IL136" s="64"/>
      <c r="IM136" s="64"/>
      <c r="IN136" s="64"/>
      <c r="IO136" s="64"/>
      <c r="IP136" s="64"/>
      <c r="IQ136" s="64"/>
      <c r="IR136" s="64"/>
      <c r="IS136" s="64"/>
      <c r="IT136" s="64"/>
      <c r="IU136" s="64"/>
      <c r="IV136" s="64"/>
      <c r="IW136" s="64"/>
      <c r="IX136" s="64"/>
      <c r="IY136" s="64"/>
      <c r="IZ136" s="64"/>
      <c r="JA136" s="64"/>
      <c r="JB136" s="64"/>
      <c r="JC136" s="64"/>
      <c r="JD136" s="64"/>
      <c r="JE136" s="64"/>
      <c r="JF136" s="64"/>
      <c r="JG136" s="64"/>
      <c r="JH136" s="64"/>
      <c r="JI136" s="64"/>
      <c r="JJ136" s="64"/>
      <c r="JK136" s="64"/>
      <c r="JL136" s="64"/>
      <c r="JM136" s="64"/>
      <c r="JN136" s="64"/>
      <c r="JO136" s="64"/>
      <c r="JP136" s="64"/>
      <c r="JQ136" s="64"/>
      <c r="JR136" s="64"/>
      <c r="JS136" s="64"/>
      <c r="JT136" s="64"/>
      <c r="JU136" s="64"/>
      <c r="JV136" s="64"/>
      <c r="JW136" s="64"/>
      <c r="JX136" s="64"/>
      <c r="JY136" s="64"/>
      <c r="JZ136" s="64"/>
      <c r="KA136" s="64"/>
      <c r="KB136" s="64"/>
      <c r="KC136" s="64"/>
      <c r="KD136" s="64"/>
      <c r="KE136" s="64"/>
      <c r="KF136" s="64"/>
      <c r="KG136" s="64"/>
      <c r="KH136" s="64"/>
      <c r="KI136" s="64"/>
      <c r="KJ136" s="64"/>
      <c r="KK136" s="64"/>
      <c r="KL136" s="64"/>
      <c r="KM136" s="64"/>
      <c r="KN136" s="64"/>
      <c r="KO136" s="64"/>
      <c r="KP136" s="64"/>
      <c r="KQ136" s="64"/>
      <c r="KR136" s="64"/>
      <c r="KS136" s="64"/>
      <c r="KT136" s="64"/>
      <c r="KU136" s="64"/>
      <c r="KV136" s="64"/>
      <c r="KW136" s="64"/>
      <c r="KX136" s="64"/>
      <c r="KY136" s="64"/>
      <c r="KZ136" s="64"/>
      <c r="LA136" s="64"/>
      <c r="LB136" s="64"/>
      <c r="LC136" s="64"/>
      <c r="LD136" s="64"/>
      <c r="LE136" s="64"/>
      <c r="LF136" s="64"/>
      <c r="LG136" s="64"/>
      <c r="LH136" s="64"/>
      <c r="LI136" s="64"/>
      <c r="LJ136" s="64"/>
      <c r="LK136" s="64"/>
      <c r="LL136" s="64"/>
      <c r="LM136" s="64"/>
      <c r="LN136" s="64"/>
      <c r="LO136" s="64"/>
      <c r="LP136" s="64"/>
      <c r="LQ136" s="64"/>
      <c r="LR136" s="64"/>
      <c r="LS136" s="64"/>
      <c r="LT136" s="64"/>
      <c r="LU136" s="64"/>
      <c r="LV136" s="64"/>
      <c r="LW136" s="64"/>
      <c r="LX136" s="64"/>
      <c r="LY136" s="64"/>
      <c r="LZ136" s="64"/>
      <c r="MA136" s="64"/>
      <c r="MB136" s="64"/>
      <c r="MC136" s="64"/>
      <c r="MD136" s="64"/>
      <c r="ME136" s="64"/>
      <c r="MF136" s="64"/>
      <c r="MG136" s="64"/>
      <c r="MH136" s="64"/>
      <c r="MI136" s="64"/>
      <c r="MJ136" s="64"/>
      <c r="MK136" s="64"/>
      <c r="ML136" s="64"/>
      <c r="MM136" s="64"/>
      <c r="MN136" s="64"/>
      <c r="MO136" s="64"/>
      <c r="MP136" s="64"/>
      <c r="MQ136" s="64"/>
      <c r="MR136" s="64"/>
      <c r="MS136" s="64"/>
      <c r="MT136" s="64"/>
      <c r="MU136" s="64"/>
      <c r="MV136" s="64"/>
      <c r="MW136" s="64"/>
      <c r="MX136" s="64"/>
      <c r="MY136" s="64"/>
      <c r="MZ136" s="64"/>
      <c r="NA136" s="64"/>
      <c r="NB136" s="64"/>
      <c r="NC136" s="64"/>
      <c r="ND136" s="64"/>
      <c r="NE136" s="64"/>
      <c r="NF136" s="64"/>
      <c r="NG136" s="64"/>
      <c r="NH136" s="64"/>
      <c r="NI136" s="64"/>
      <c r="NJ136" s="64"/>
      <c r="NK136" s="64"/>
      <c r="NL136" s="64"/>
      <c r="NM136" s="64"/>
      <c r="NN136" s="64"/>
      <c r="NO136" s="64"/>
      <c r="NP136" s="64"/>
      <c r="NQ136" s="64"/>
      <c r="NR136" s="64"/>
      <c r="NS136" s="64"/>
      <c r="NT136" s="64"/>
      <c r="NU136" s="64"/>
      <c r="NV136" s="64"/>
      <c r="NW136" s="64"/>
      <c r="NX136" s="64"/>
      <c r="NY136" s="64"/>
      <c r="NZ136" s="64"/>
      <c r="OA136" s="64"/>
      <c r="OB136" s="64"/>
      <c r="OC136" s="64"/>
      <c r="OD136" s="64"/>
      <c r="OE136" s="64"/>
      <c r="OF136" s="64"/>
      <c r="OG136" s="64"/>
      <c r="OH136" s="64"/>
      <c r="OI136" s="64"/>
      <c r="OJ136" s="64"/>
      <c r="OK136" s="64"/>
      <c r="OL136" s="64"/>
    </row>
    <row r="137" spans="1:402" s="493" customFormat="1" x14ac:dyDescent="0.3">
      <c r="A137" s="174"/>
      <c r="B137" s="84"/>
      <c r="C137" s="84"/>
      <c r="D137" s="83" t="s">
        <v>165</v>
      </c>
      <c r="E137" s="466">
        <f>SUM(I137:L137)</f>
        <v>23087401.526526619</v>
      </c>
      <c r="F137" s="89">
        <f>SUM(H137:L137,O137)</f>
        <v>23267520.679572646</v>
      </c>
      <c r="G137" s="491"/>
      <c r="H137" s="89">
        <f>('Input data meat and eggs'!S411*'Input data meat and eggs'!C48+'Input data meat and eggs'!T411*'Input data meat and eggs'!C47+'Input data meat and eggs'!U411*'Input data meat and eggs'!C35+'Input data meat and eggs'!V411*SUMPRODUCT('Input data meat and eggs'!C37:C46,'Input data meat and eggs'!F65:F74))*'Input data meat and eggs'!$C$411</f>
        <v>180119.1530460261</v>
      </c>
      <c r="I137" s="89">
        <v>0</v>
      </c>
      <c r="J137" s="89">
        <f>'Input data meat and eggs'!N411*'Input data meat and eggs'!G411/12*'Input data meat and eggs'!C411</f>
        <v>1624668.9963111319</v>
      </c>
      <c r="K137" s="89">
        <v>0</v>
      </c>
      <c r="L137" s="89">
        <f>('Input data meat and eggs'!L411*'Input data meat and eggs'!G411/12)*'Input data meat and eggs'!$C$411</f>
        <v>21462732.530215487</v>
      </c>
      <c r="M137" s="89">
        <v>0</v>
      </c>
      <c r="N137" s="89">
        <v>0</v>
      </c>
      <c r="O137" s="89">
        <v>0</v>
      </c>
      <c r="P137" s="89">
        <v>0</v>
      </c>
      <c r="Q137" s="89">
        <f>SUM(F137+P137)</f>
        <v>23267520.679572646</v>
      </c>
      <c r="R137" s="90"/>
      <c r="S137" s="90"/>
      <c r="T137" s="107"/>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64"/>
      <c r="BE137" s="64"/>
      <c r="BF137" s="64"/>
      <c r="BG137" s="64"/>
      <c r="BH137" s="64"/>
      <c r="BI137" s="64"/>
      <c r="BJ137" s="64"/>
      <c r="BK137" s="64"/>
      <c r="BL137" s="64"/>
      <c r="BM137" s="64"/>
      <c r="BN137" s="64"/>
      <c r="BO137" s="64"/>
      <c r="BP137" s="64"/>
      <c r="BQ137" s="64"/>
      <c r="BR137" s="64"/>
      <c r="BS137" s="64"/>
      <c r="BT137" s="64"/>
      <c r="BU137" s="64"/>
      <c r="BV137" s="64"/>
      <c r="BW137" s="64"/>
      <c r="BX137" s="64"/>
      <c r="BY137" s="64"/>
      <c r="BZ137" s="64"/>
      <c r="CA137" s="64"/>
      <c r="CB137" s="64"/>
      <c r="CC137" s="64"/>
      <c r="CD137" s="64"/>
      <c r="CE137" s="64"/>
      <c r="CF137" s="64"/>
      <c r="CG137" s="64"/>
      <c r="CH137" s="64"/>
      <c r="CI137" s="64"/>
      <c r="CJ137" s="64"/>
      <c r="CK137" s="64"/>
      <c r="CL137" s="64"/>
      <c r="CM137" s="64"/>
      <c r="CN137" s="64"/>
      <c r="CO137" s="64"/>
      <c r="CP137" s="64"/>
      <c r="CQ137" s="64"/>
      <c r="CR137" s="64"/>
      <c r="CS137" s="64"/>
      <c r="CT137" s="64"/>
      <c r="CU137" s="64"/>
      <c r="CV137" s="64"/>
      <c r="CW137" s="64"/>
      <c r="CX137" s="64"/>
      <c r="CY137" s="64"/>
      <c r="CZ137" s="64"/>
      <c r="DA137" s="64"/>
      <c r="DB137" s="64"/>
      <c r="DC137" s="64"/>
      <c r="DD137" s="64"/>
      <c r="DE137" s="64"/>
      <c r="DF137" s="64"/>
      <c r="DG137" s="64"/>
      <c r="DH137" s="64"/>
      <c r="DI137" s="64"/>
      <c r="DJ137" s="64"/>
      <c r="DK137" s="64"/>
      <c r="DL137" s="64"/>
      <c r="DM137" s="64"/>
      <c r="DN137" s="64"/>
      <c r="DO137" s="64"/>
      <c r="DP137" s="64"/>
      <c r="DQ137" s="64"/>
      <c r="DR137" s="64"/>
      <c r="DS137" s="64"/>
      <c r="DT137" s="64"/>
      <c r="DU137" s="64"/>
      <c r="DV137" s="64"/>
      <c r="DW137" s="64"/>
      <c r="DX137" s="64"/>
      <c r="DY137" s="64"/>
      <c r="DZ137" s="64"/>
      <c r="EA137" s="64"/>
      <c r="EB137" s="64"/>
      <c r="EC137" s="64"/>
      <c r="ED137" s="64"/>
      <c r="EE137" s="64"/>
      <c r="EF137" s="64"/>
      <c r="EG137" s="64"/>
      <c r="EH137" s="64"/>
      <c r="EI137" s="64"/>
      <c r="EJ137" s="64"/>
      <c r="EK137" s="64"/>
      <c r="EL137" s="64"/>
      <c r="EM137" s="64"/>
      <c r="EN137" s="64"/>
      <c r="EO137" s="64"/>
      <c r="EP137" s="64"/>
      <c r="EQ137" s="64"/>
      <c r="ER137" s="64"/>
      <c r="ES137" s="64"/>
      <c r="ET137" s="64"/>
      <c r="EU137" s="64"/>
      <c r="EV137" s="64"/>
      <c r="EW137" s="64"/>
      <c r="EX137" s="64"/>
      <c r="EY137" s="64"/>
      <c r="EZ137" s="64"/>
      <c r="FA137" s="64"/>
      <c r="FB137" s="64"/>
      <c r="FC137" s="64"/>
      <c r="FD137" s="64"/>
      <c r="FE137" s="64"/>
      <c r="FF137" s="64"/>
      <c r="FG137" s="64"/>
      <c r="FH137" s="64"/>
      <c r="FI137" s="64"/>
      <c r="FJ137" s="64"/>
      <c r="FK137" s="64"/>
      <c r="FL137" s="64"/>
      <c r="FM137" s="64"/>
      <c r="FN137" s="64"/>
      <c r="FO137" s="64"/>
      <c r="FP137" s="64"/>
      <c r="FQ137" s="64"/>
      <c r="FR137" s="64"/>
      <c r="FS137" s="64"/>
      <c r="FT137" s="64"/>
      <c r="FU137" s="64"/>
      <c r="FV137" s="64"/>
      <c r="FW137" s="64"/>
      <c r="FX137" s="64"/>
      <c r="FY137" s="64"/>
      <c r="FZ137" s="64"/>
      <c r="GA137" s="64"/>
      <c r="GB137" s="64"/>
      <c r="GC137" s="64"/>
      <c r="GD137" s="64"/>
      <c r="GE137" s="64"/>
      <c r="GF137" s="64"/>
      <c r="GG137" s="64"/>
      <c r="GH137" s="64"/>
      <c r="GI137" s="64"/>
      <c r="GJ137" s="64"/>
      <c r="GK137" s="64"/>
      <c r="GL137" s="64"/>
      <c r="GM137" s="64"/>
      <c r="GN137" s="64"/>
      <c r="GO137" s="64"/>
      <c r="GP137" s="64"/>
      <c r="GQ137" s="64"/>
      <c r="GR137" s="64"/>
      <c r="GS137" s="64"/>
      <c r="GT137" s="64"/>
      <c r="GU137" s="64"/>
      <c r="GV137" s="64"/>
      <c r="GW137" s="64"/>
      <c r="GX137" s="64"/>
      <c r="GY137" s="64"/>
      <c r="GZ137" s="64"/>
      <c r="HA137" s="64"/>
      <c r="HB137" s="64"/>
      <c r="HC137" s="64"/>
      <c r="HD137" s="64"/>
      <c r="HE137" s="64"/>
      <c r="HF137" s="64"/>
      <c r="HG137" s="64"/>
      <c r="HH137" s="64"/>
      <c r="HI137" s="64"/>
      <c r="HJ137" s="64"/>
      <c r="HK137" s="64"/>
      <c r="HL137" s="64"/>
      <c r="HM137" s="64"/>
      <c r="HN137" s="64"/>
      <c r="HO137" s="64"/>
      <c r="HP137" s="64"/>
      <c r="HQ137" s="64"/>
      <c r="HR137" s="64"/>
      <c r="HS137" s="64"/>
      <c r="HT137" s="64"/>
      <c r="HU137" s="64"/>
      <c r="HV137" s="64"/>
      <c r="HW137" s="64"/>
      <c r="HX137" s="64"/>
      <c r="HY137" s="64"/>
      <c r="HZ137" s="64"/>
      <c r="IA137" s="64"/>
      <c r="IB137" s="64"/>
      <c r="IC137" s="64"/>
      <c r="ID137" s="64"/>
      <c r="IE137" s="64"/>
      <c r="IF137" s="64"/>
      <c r="IG137" s="64"/>
      <c r="IH137" s="64"/>
      <c r="II137" s="64"/>
      <c r="IJ137" s="64"/>
      <c r="IK137" s="64"/>
      <c r="IL137" s="64"/>
      <c r="IM137" s="64"/>
      <c r="IN137" s="64"/>
      <c r="IO137" s="64"/>
      <c r="IP137" s="64"/>
      <c r="IQ137" s="64"/>
      <c r="IR137" s="64"/>
      <c r="IS137" s="64"/>
      <c r="IT137" s="64"/>
      <c r="IU137" s="64"/>
      <c r="IV137" s="64"/>
      <c r="IW137" s="64"/>
      <c r="IX137" s="64"/>
      <c r="IY137" s="64"/>
      <c r="IZ137" s="64"/>
      <c r="JA137" s="64"/>
      <c r="JB137" s="64"/>
      <c r="JC137" s="64"/>
      <c r="JD137" s="64"/>
      <c r="JE137" s="64"/>
      <c r="JF137" s="64"/>
      <c r="JG137" s="64"/>
      <c r="JH137" s="64"/>
      <c r="JI137" s="64"/>
      <c r="JJ137" s="64"/>
      <c r="JK137" s="64"/>
      <c r="JL137" s="64"/>
      <c r="JM137" s="64"/>
      <c r="JN137" s="64"/>
      <c r="JO137" s="64"/>
      <c r="JP137" s="64"/>
      <c r="JQ137" s="64"/>
      <c r="JR137" s="64"/>
      <c r="JS137" s="64"/>
      <c r="JT137" s="64"/>
      <c r="JU137" s="64"/>
      <c r="JV137" s="64"/>
      <c r="JW137" s="64"/>
      <c r="JX137" s="64"/>
      <c r="JY137" s="64"/>
      <c r="JZ137" s="64"/>
      <c r="KA137" s="64"/>
      <c r="KB137" s="64"/>
      <c r="KC137" s="64"/>
      <c r="KD137" s="64"/>
      <c r="KE137" s="64"/>
      <c r="KF137" s="64"/>
      <c r="KG137" s="64"/>
      <c r="KH137" s="64"/>
      <c r="KI137" s="64"/>
      <c r="KJ137" s="64"/>
      <c r="KK137" s="64"/>
      <c r="KL137" s="64"/>
      <c r="KM137" s="64"/>
      <c r="KN137" s="64"/>
      <c r="KO137" s="64"/>
      <c r="KP137" s="64"/>
      <c r="KQ137" s="64"/>
      <c r="KR137" s="64"/>
      <c r="KS137" s="64"/>
      <c r="KT137" s="64"/>
      <c r="KU137" s="64"/>
      <c r="KV137" s="64"/>
      <c r="KW137" s="64"/>
      <c r="KX137" s="64"/>
      <c r="KY137" s="64"/>
      <c r="KZ137" s="64"/>
      <c r="LA137" s="64"/>
      <c r="LB137" s="64"/>
      <c r="LC137" s="64"/>
      <c r="LD137" s="64"/>
      <c r="LE137" s="64"/>
      <c r="LF137" s="64"/>
      <c r="LG137" s="64"/>
      <c r="LH137" s="64"/>
      <c r="LI137" s="64"/>
      <c r="LJ137" s="64"/>
      <c r="LK137" s="64"/>
      <c r="LL137" s="64"/>
      <c r="LM137" s="64"/>
      <c r="LN137" s="64"/>
      <c r="LO137" s="64"/>
      <c r="LP137" s="64"/>
      <c r="LQ137" s="64"/>
      <c r="LR137" s="64"/>
      <c r="LS137" s="64"/>
      <c r="LT137" s="64"/>
      <c r="LU137" s="64"/>
      <c r="LV137" s="64"/>
      <c r="LW137" s="64"/>
      <c r="LX137" s="64"/>
      <c r="LY137" s="64"/>
      <c r="LZ137" s="64"/>
      <c r="MA137" s="64"/>
      <c r="MB137" s="64"/>
      <c r="MC137" s="64"/>
      <c r="MD137" s="64"/>
      <c r="ME137" s="64"/>
      <c r="MF137" s="64"/>
      <c r="MG137" s="64"/>
      <c r="MH137" s="64"/>
      <c r="MI137" s="64"/>
      <c r="MJ137" s="64"/>
      <c r="MK137" s="64"/>
      <c r="ML137" s="64"/>
      <c r="MM137" s="64"/>
      <c r="MN137" s="64"/>
      <c r="MO137" s="64"/>
      <c r="MP137" s="64"/>
      <c r="MQ137" s="64"/>
      <c r="MR137" s="64"/>
      <c r="MS137" s="64"/>
      <c r="MT137" s="64"/>
      <c r="MU137" s="64"/>
      <c r="MV137" s="64"/>
      <c r="MW137" s="64"/>
      <c r="MX137" s="64"/>
      <c r="MY137" s="64"/>
      <c r="MZ137" s="64"/>
      <c r="NA137" s="64"/>
      <c r="NB137" s="64"/>
      <c r="NC137" s="64"/>
      <c r="ND137" s="64"/>
      <c r="NE137" s="64"/>
      <c r="NF137" s="64"/>
      <c r="NG137" s="64"/>
      <c r="NH137" s="64"/>
      <c r="NI137" s="64"/>
      <c r="NJ137" s="64"/>
      <c r="NK137" s="64"/>
      <c r="NL137" s="64"/>
      <c r="NM137" s="64"/>
      <c r="NN137" s="64"/>
      <c r="NO137" s="64"/>
      <c r="NP137" s="64"/>
      <c r="NQ137" s="64"/>
      <c r="NR137" s="64"/>
      <c r="NS137" s="64"/>
      <c r="NT137" s="64"/>
      <c r="NU137" s="64"/>
      <c r="NV137" s="64"/>
      <c r="NW137" s="64"/>
      <c r="NX137" s="64"/>
      <c r="NY137" s="64"/>
      <c r="NZ137" s="64"/>
      <c r="OA137" s="64"/>
      <c r="OB137" s="64"/>
      <c r="OC137" s="64"/>
      <c r="OD137" s="64"/>
      <c r="OE137" s="64"/>
      <c r="OF137" s="64"/>
      <c r="OG137" s="64"/>
      <c r="OH137" s="64"/>
      <c r="OI137" s="64"/>
      <c r="OJ137" s="64"/>
      <c r="OK137" s="64"/>
      <c r="OL137" s="64"/>
    </row>
    <row r="138" spans="1:402" s="493" customFormat="1" x14ac:dyDescent="0.3">
      <c r="A138" s="174"/>
      <c r="B138" s="84"/>
      <c r="C138" s="85"/>
      <c r="D138" s="84" t="s">
        <v>166</v>
      </c>
      <c r="E138" s="466">
        <f>SUM(I138:L138)</f>
        <v>1303073.6725044111</v>
      </c>
      <c r="F138" s="89">
        <f>SUM(H138:L138,O138)</f>
        <v>1546448.7124849402</v>
      </c>
      <c r="G138" s="491"/>
      <c r="H138" s="89">
        <f>(('Input data meat and eggs'!S411*'Input data meat and eggs'!D48+'Input data meat and eggs'!T411*'Input data meat and eggs'!D47+'Input data meat and eggs'!U411*'Input data meat and eggs'!D35+'Input data meat and eggs'!V411*SUMPRODUCT('Input data meat and eggs'!D37:D46,'Input data meat and eggs'!F65:F74))*'Input data meat and eggs'!B58)*'Input data meat and eggs'!$C$411</f>
        <v>243375.03998052928</v>
      </c>
      <c r="I138" s="89">
        <f>(('Input data meat and eggs'!S411*'Input data meat and eggs'!D48+'Input data meat and eggs'!T411*'Input data meat and eggs'!D47+'Input data meat and eggs'!U411*'Input data meat and eggs'!D35+'Input data meat and eggs'!V411*SUMPRODUCT('Input data meat and eggs'!D37:D46,'Input data meat and eggs'!F65:F74))*'Input data meat and eggs'!C58)*'Input data meat and eggs'!$C$411</f>
        <v>615154.00513064244</v>
      </c>
      <c r="J138" s="89">
        <f>('Input data meat and eggs'!K411*'Input data meat and eggs'!G411/12*('Input data meat and eggs'!$O$411*'Input data meat and eggs'!$B$445+'Input data meat and eggs'!$P$411*'Input data meat and eggs'!$C$445+'Input data meat and eggs'!$Q$411*'Input data meat and eggs'!$D$445+'Input data meat and eggs'!$R$411*'Input data meat and eggs'!$E$445)*44/28)*'Input data meat and eggs'!$C$411</f>
        <v>628285.76431969588</v>
      </c>
      <c r="K138" s="89">
        <f>('Input data meat and eggs'!$B$446*44/28*'Input data meat and eggs'!K411*'Input data meat and eggs'!G411/12*('Input data meat and eggs'!O411*'Input data meat and eggs'!B458+'Input data meat and eggs'!P411*'Input data meat and eggs'!C458+'Input data meat and eggs'!Q411*'Input data meat and eggs'!D458))*'Input data meat and eggs'!$C$411</f>
        <v>59633.90305407282</v>
      </c>
      <c r="L138" s="89">
        <v>0</v>
      </c>
      <c r="M138" s="89">
        <v>0</v>
      </c>
      <c r="N138" s="89">
        <v>0</v>
      </c>
      <c r="O138" s="89">
        <v>0</v>
      </c>
      <c r="P138" s="89">
        <v>0</v>
      </c>
      <c r="Q138" s="89">
        <f>SUM(F138+P138)</f>
        <v>1546448.7124849402</v>
      </c>
      <c r="R138" s="90"/>
      <c r="S138" s="90"/>
      <c r="T138" s="107"/>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64"/>
      <c r="BE138" s="64"/>
      <c r="BF138" s="64"/>
      <c r="BG138" s="64"/>
      <c r="BH138" s="64"/>
      <c r="BI138" s="64"/>
      <c r="BJ138" s="64"/>
      <c r="BK138" s="64"/>
      <c r="BL138" s="64"/>
      <c r="BM138" s="64"/>
      <c r="BN138" s="64"/>
      <c r="BO138" s="64"/>
      <c r="BP138" s="64"/>
      <c r="BQ138" s="64"/>
      <c r="BR138" s="64"/>
      <c r="BS138" s="64"/>
      <c r="BT138" s="64"/>
      <c r="BU138" s="64"/>
      <c r="BV138" s="64"/>
      <c r="BW138" s="64"/>
      <c r="BX138" s="64"/>
      <c r="BY138" s="64"/>
      <c r="BZ138" s="64"/>
      <c r="CA138" s="64"/>
      <c r="CB138" s="64"/>
      <c r="CC138" s="64"/>
      <c r="CD138" s="64"/>
      <c r="CE138" s="64"/>
      <c r="CF138" s="64"/>
      <c r="CG138" s="64"/>
      <c r="CH138" s="64"/>
      <c r="CI138" s="64"/>
      <c r="CJ138" s="64"/>
      <c r="CK138" s="64"/>
      <c r="CL138" s="64"/>
      <c r="CM138" s="64"/>
      <c r="CN138" s="64"/>
      <c r="CO138" s="64"/>
      <c r="CP138" s="64"/>
      <c r="CQ138" s="64"/>
      <c r="CR138" s="64"/>
      <c r="CS138" s="64"/>
      <c r="CT138" s="64"/>
      <c r="CU138" s="64"/>
      <c r="CV138" s="64"/>
      <c r="CW138" s="64"/>
      <c r="CX138" s="64"/>
      <c r="CY138" s="64"/>
      <c r="CZ138" s="64"/>
      <c r="DA138" s="64"/>
      <c r="DB138" s="64"/>
      <c r="DC138" s="64"/>
      <c r="DD138" s="64"/>
      <c r="DE138" s="64"/>
      <c r="DF138" s="64"/>
      <c r="DG138" s="64"/>
      <c r="DH138" s="64"/>
      <c r="DI138" s="64"/>
      <c r="DJ138" s="64"/>
      <c r="DK138" s="64"/>
      <c r="DL138" s="64"/>
      <c r="DM138" s="64"/>
      <c r="DN138" s="64"/>
      <c r="DO138" s="64"/>
      <c r="DP138" s="64"/>
      <c r="DQ138" s="64"/>
      <c r="DR138" s="64"/>
      <c r="DS138" s="64"/>
      <c r="DT138" s="64"/>
      <c r="DU138" s="64"/>
      <c r="DV138" s="64"/>
      <c r="DW138" s="64"/>
      <c r="DX138" s="64"/>
      <c r="DY138" s="64"/>
      <c r="DZ138" s="64"/>
      <c r="EA138" s="64"/>
      <c r="EB138" s="64"/>
      <c r="EC138" s="64"/>
      <c r="ED138" s="64"/>
      <c r="EE138" s="64"/>
      <c r="EF138" s="64"/>
      <c r="EG138" s="64"/>
      <c r="EH138" s="64"/>
      <c r="EI138" s="64"/>
      <c r="EJ138" s="64"/>
      <c r="EK138" s="64"/>
      <c r="EL138" s="64"/>
      <c r="EM138" s="64"/>
      <c r="EN138" s="64"/>
      <c r="EO138" s="64"/>
      <c r="EP138" s="64"/>
      <c r="EQ138" s="64"/>
      <c r="ER138" s="64"/>
      <c r="ES138" s="64"/>
      <c r="ET138" s="64"/>
      <c r="EU138" s="64"/>
      <c r="EV138" s="64"/>
      <c r="EW138" s="64"/>
      <c r="EX138" s="64"/>
      <c r="EY138" s="64"/>
      <c r="EZ138" s="64"/>
      <c r="FA138" s="64"/>
      <c r="FB138" s="64"/>
      <c r="FC138" s="64"/>
      <c r="FD138" s="64"/>
      <c r="FE138" s="64"/>
      <c r="FF138" s="64"/>
      <c r="FG138" s="64"/>
      <c r="FH138" s="64"/>
      <c r="FI138" s="64"/>
      <c r="FJ138" s="64"/>
      <c r="FK138" s="64"/>
      <c r="FL138" s="64"/>
      <c r="FM138" s="64"/>
      <c r="FN138" s="64"/>
      <c r="FO138" s="64"/>
      <c r="FP138" s="64"/>
      <c r="FQ138" s="64"/>
      <c r="FR138" s="64"/>
      <c r="FS138" s="64"/>
      <c r="FT138" s="64"/>
      <c r="FU138" s="64"/>
      <c r="FV138" s="64"/>
      <c r="FW138" s="64"/>
      <c r="FX138" s="64"/>
      <c r="FY138" s="64"/>
      <c r="FZ138" s="64"/>
      <c r="GA138" s="64"/>
      <c r="GB138" s="64"/>
      <c r="GC138" s="64"/>
      <c r="GD138" s="64"/>
      <c r="GE138" s="64"/>
      <c r="GF138" s="64"/>
      <c r="GG138" s="64"/>
      <c r="GH138" s="64"/>
      <c r="GI138" s="64"/>
      <c r="GJ138" s="64"/>
      <c r="GK138" s="64"/>
      <c r="GL138" s="64"/>
      <c r="GM138" s="64"/>
      <c r="GN138" s="64"/>
      <c r="GO138" s="64"/>
      <c r="GP138" s="64"/>
      <c r="GQ138" s="64"/>
      <c r="GR138" s="64"/>
      <c r="GS138" s="64"/>
      <c r="GT138" s="64"/>
      <c r="GU138" s="64"/>
      <c r="GV138" s="64"/>
      <c r="GW138" s="64"/>
      <c r="GX138" s="64"/>
      <c r="GY138" s="64"/>
      <c r="GZ138" s="64"/>
      <c r="HA138" s="64"/>
      <c r="HB138" s="64"/>
      <c r="HC138" s="64"/>
      <c r="HD138" s="64"/>
      <c r="HE138" s="64"/>
      <c r="HF138" s="64"/>
      <c r="HG138" s="64"/>
      <c r="HH138" s="64"/>
      <c r="HI138" s="64"/>
      <c r="HJ138" s="64"/>
      <c r="HK138" s="64"/>
      <c r="HL138" s="64"/>
      <c r="HM138" s="64"/>
      <c r="HN138" s="64"/>
      <c r="HO138" s="64"/>
      <c r="HP138" s="64"/>
      <c r="HQ138" s="64"/>
      <c r="HR138" s="64"/>
      <c r="HS138" s="64"/>
      <c r="HT138" s="64"/>
      <c r="HU138" s="64"/>
      <c r="HV138" s="64"/>
      <c r="HW138" s="64"/>
      <c r="HX138" s="64"/>
      <c r="HY138" s="64"/>
      <c r="HZ138" s="64"/>
      <c r="IA138" s="64"/>
      <c r="IB138" s="64"/>
      <c r="IC138" s="64"/>
      <c r="ID138" s="64"/>
      <c r="IE138" s="64"/>
      <c r="IF138" s="64"/>
      <c r="IG138" s="64"/>
      <c r="IH138" s="64"/>
      <c r="II138" s="64"/>
      <c r="IJ138" s="64"/>
      <c r="IK138" s="64"/>
      <c r="IL138" s="64"/>
      <c r="IM138" s="64"/>
      <c r="IN138" s="64"/>
      <c r="IO138" s="64"/>
      <c r="IP138" s="64"/>
      <c r="IQ138" s="64"/>
      <c r="IR138" s="64"/>
      <c r="IS138" s="64"/>
      <c r="IT138" s="64"/>
      <c r="IU138" s="64"/>
      <c r="IV138" s="64"/>
      <c r="IW138" s="64"/>
      <c r="IX138" s="64"/>
      <c r="IY138" s="64"/>
      <c r="IZ138" s="64"/>
      <c r="JA138" s="64"/>
      <c r="JB138" s="64"/>
      <c r="JC138" s="64"/>
      <c r="JD138" s="64"/>
      <c r="JE138" s="64"/>
      <c r="JF138" s="64"/>
      <c r="JG138" s="64"/>
      <c r="JH138" s="64"/>
      <c r="JI138" s="64"/>
      <c r="JJ138" s="64"/>
      <c r="JK138" s="64"/>
      <c r="JL138" s="64"/>
      <c r="JM138" s="64"/>
      <c r="JN138" s="64"/>
      <c r="JO138" s="64"/>
      <c r="JP138" s="64"/>
      <c r="JQ138" s="64"/>
      <c r="JR138" s="64"/>
      <c r="JS138" s="64"/>
      <c r="JT138" s="64"/>
      <c r="JU138" s="64"/>
      <c r="JV138" s="64"/>
      <c r="JW138" s="64"/>
      <c r="JX138" s="64"/>
      <c r="JY138" s="64"/>
      <c r="JZ138" s="64"/>
      <c r="KA138" s="64"/>
      <c r="KB138" s="64"/>
      <c r="KC138" s="64"/>
      <c r="KD138" s="64"/>
      <c r="KE138" s="64"/>
      <c r="KF138" s="64"/>
      <c r="KG138" s="64"/>
      <c r="KH138" s="64"/>
      <c r="KI138" s="64"/>
      <c r="KJ138" s="64"/>
      <c r="KK138" s="64"/>
      <c r="KL138" s="64"/>
      <c r="KM138" s="64"/>
      <c r="KN138" s="64"/>
      <c r="KO138" s="64"/>
      <c r="KP138" s="64"/>
      <c r="KQ138" s="64"/>
      <c r="KR138" s="64"/>
      <c r="KS138" s="64"/>
      <c r="KT138" s="64"/>
      <c r="KU138" s="64"/>
      <c r="KV138" s="64"/>
      <c r="KW138" s="64"/>
      <c r="KX138" s="64"/>
      <c r="KY138" s="64"/>
      <c r="KZ138" s="64"/>
      <c r="LA138" s="64"/>
      <c r="LB138" s="64"/>
      <c r="LC138" s="64"/>
      <c r="LD138" s="64"/>
      <c r="LE138" s="64"/>
      <c r="LF138" s="64"/>
      <c r="LG138" s="64"/>
      <c r="LH138" s="64"/>
      <c r="LI138" s="64"/>
      <c r="LJ138" s="64"/>
      <c r="LK138" s="64"/>
      <c r="LL138" s="64"/>
      <c r="LM138" s="64"/>
      <c r="LN138" s="64"/>
      <c r="LO138" s="64"/>
      <c r="LP138" s="64"/>
      <c r="LQ138" s="64"/>
      <c r="LR138" s="64"/>
      <c r="LS138" s="64"/>
      <c r="LT138" s="64"/>
      <c r="LU138" s="64"/>
      <c r="LV138" s="64"/>
      <c r="LW138" s="64"/>
      <c r="LX138" s="64"/>
      <c r="LY138" s="64"/>
      <c r="LZ138" s="64"/>
      <c r="MA138" s="64"/>
      <c r="MB138" s="64"/>
      <c r="MC138" s="64"/>
      <c r="MD138" s="64"/>
      <c r="ME138" s="64"/>
      <c r="MF138" s="64"/>
      <c r="MG138" s="64"/>
      <c r="MH138" s="64"/>
      <c r="MI138" s="64"/>
      <c r="MJ138" s="64"/>
      <c r="MK138" s="64"/>
      <c r="ML138" s="64"/>
      <c r="MM138" s="64"/>
      <c r="MN138" s="64"/>
      <c r="MO138" s="64"/>
      <c r="MP138" s="64"/>
      <c r="MQ138" s="64"/>
      <c r="MR138" s="64"/>
      <c r="MS138" s="64"/>
      <c r="MT138" s="64"/>
      <c r="MU138" s="64"/>
      <c r="MV138" s="64"/>
      <c r="MW138" s="64"/>
      <c r="MX138" s="64"/>
      <c r="MY138" s="64"/>
      <c r="MZ138" s="64"/>
      <c r="NA138" s="64"/>
      <c r="NB138" s="64"/>
      <c r="NC138" s="64"/>
      <c r="ND138" s="64"/>
      <c r="NE138" s="64"/>
      <c r="NF138" s="64"/>
      <c r="NG138" s="64"/>
      <c r="NH138" s="64"/>
      <c r="NI138" s="64"/>
      <c r="NJ138" s="64"/>
      <c r="NK138" s="64"/>
      <c r="NL138" s="64"/>
      <c r="NM138" s="64"/>
      <c r="NN138" s="64"/>
      <c r="NO138" s="64"/>
      <c r="NP138" s="64"/>
      <c r="NQ138" s="64"/>
      <c r="NR138" s="64"/>
      <c r="NS138" s="64"/>
      <c r="NT138" s="64"/>
      <c r="NU138" s="64"/>
      <c r="NV138" s="64"/>
      <c r="NW138" s="64"/>
      <c r="NX138" s="64"/>
      <c r="NY138" s="64"/>
      <c r="NZ138" s="64"/>
      <c r="OA138" s="64"/>
      <c r="OB138" s="64"/>
      <c r="OC138" s="64"/>
      <c r="OD138" s="64"/>
      <c r="OE138" s="64"/>
      <c r="OF138" s="64"/>
      <c r="OG138" s="64"/>
      <c r="OH138" s="64"/>
      <c r="OI138" s="64"/>
      <c r="OJ138" s="64"/>
      <c r="OK138" s="64"/>
      <c r="OL138" s="64"/>
    </row>
    <row r="139" spans="1:402" s="102" customFormat="1" x14ac:dyDescent="0.3">
      <c r="A139" s="494"/>
      <c r="B139" s="111" t="s">
        <v>686</v>
      </c>
      <c r="C139" s="104"/>
      <c r="D139" s="269" t="s">
        <v>473</v>
      </c>
      <c r="E139" s="464">
        <f>IF($F$1="GWP100 without fb",E140+E141*'Common input data'!$C$5+E142*'Common input data'!$D$5,IF($F$1="GWP100 with fb",E140+E141*'Common input data'!$C$6+E142*'Common input data'!$D$6,IF($F$1="GTP100 without fb",E140+E141*'Common input data'!$C$7+E142*'Common input data'!$D$7,IF($F$1="GTP100 with fb",E140+E141*'Common input data'!$C$8+E142*'Common input data'!$D$8,E140+E141*'Common input data'!$C$9+E142*'Common input data'!$D$9))))</f>
        <v>7177851826.8445158</v>
      </c>
      <c r="F139" s="465">
        <f>IF($F$1="GWP100 without fb",F140+F141*'Common input data'!$C$5+F142*'Common input data'!$D$5,IF($F$1="GWP100 with fb",F140+F141*'Common input data'!$C$6+F142*'Common input data'!$D$6,IF($F$1="GTP100 without fb",F140+F141*'Common input data'!$C$7+F142*'Common input data'!$D$7,IF($F$1="GTP100 with fb",F140+F141*'Common input data'!$C$8+F142*'Common input data'!$D$8,F140+F141*'Common input data'!$C$9+F142*'Common input data'!$D$9))))</f>
        <v>8682360567.8890076</v>
      </c>
      <c r="G139" s="510"/>
      <c r="H139" s="387"/>
      <c r="I139" s="387"/>
      <c r="J139" s="387"/>
      <c r="K139" s="387"/>
      <c r="L139" s="387"/>
      <c r="M139" s="387"/>
      <c r="N139" s="387"/>
      <c r="O139" s="387"/>
      <c r="P139" s="387"/>
      <c r="Q139" s="387"/>
      <c r="R139" s="106"/>
      <c r="S139" s="106"/>
      <c r="T139" s="107"/>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64"/>
      <c r="AZ139" s="64"/>
      <c r="BA139" s="64"/>
      <c r="BB139" s="64"/>
      <c r="BC139" s="64"/>
      <c r="BD139" s="64"/>
      <c r="BE139" s="64"/>
      <c r="BF139" s="64"/>
      <c r="BG139" s="64"/>
      <c r="BH139" s="64"/>
      <c r="BI139" s="64"/>
      <c r="BJ139" s="64"/>
      <c r="BK139" s="64"/>
      <c r="BL139" s="64"/>
      <c r="BM139" s="64"/>
      <c r="BN139" s="64"/>
      <c r="BO139" s="64"/>
      <c r="BP139" s="64"/>
      <c r="BQ139" s="64"/>
      <c r="BR139" s="64"/>
      <c r="BS139" s="64"/>
      <c r="BT139" s="64"/>
      <c r="BU139" s="64"/>
      <c r="BV139" s="64"/>
      <c r="BW139" s="64"/>
      <c r="BX139" s="64"/>
      <c r="BY139" s="64"/>
      <c r="BZ139" s="64"/>
      <c r="CA139" s="64"/>
      <c r="CB139" s="64"/>
      <c r="CC139" s="64"/>
      <c r="CD139" s="64"/>
      <c r="CE139" s="64"/>
      <c r="CF139" s="64"/>
      <c r="CG139" s="64"/>
      <c r="CH139" s="64"/>
      <c r="CI139" s="64"/>
      <c r="CJ139" s="64"/>
      <c r="CK139" s="64"/>
      <c r="CL139" s="64"/>
      <c r="CM139" s="64"/>
      <c r="CN139" s="64"/>
      <c r="CO139" s="64"/>
      <c r="CP139" s="64"/>
      <c r="CQ139" s="64"/>
      <c r="CR139" s="64"/>
      <c r="CS139" s="64"/>
      <c r="CT139" s="64"/>
      <c r="CU139" s="64"/>
      <c r="CV139" s="64"/>
      <c r="CW139" s="64"/>
      <c r="CX139" s="64"/>
      <c r="CY139" s="64"/>
      <c r="CZ139" s="64"/>
      <c r="DA139" s="64"/>
      <c r="DB139" s="64"/>
      <c r="DC139" s="64"/>
      <c r="DD139" s="64"/>
      <c r="DE139" s="64"/>
      <c r="DF139" s="64"/>
      <c r="DG139" s="64"/>
      <c r="DH139" s="64"/>
      <c r="DI139" s="64"/>
      <c r="DJ139" s="64"/>
      <c r="DK139" s="64"/>
      <c r="DL139" s="64"/>
      <c r="DM139" s="64"/>
      <c r="DN139" s="64"/>
      <c r="DO139" s="64"/>
      <c r="DP139" s="64"/>
      <c r="DQ139" s="64"/>
      <c r="DR139" s="64"/>
      <c r="DS139" s="64"/>
      <c r="DT139" s="64"/>
      <c r="DU139" s="64"/>
      <c r="DV139" s="64"/>
      <c r="DW139" s="64"/>
      <c r="DX139" s="64"/>
      <c r="DY139" s="64"/>
      <c r="DZ139" s="64"/>
      <c r="EA139" s="64"/>
      <c r="EB139" s="64"/>
      <c r="EC139" s="64"/>
      <c r="ED139" s="64"/>
      <c r="EE139" s="64"/>
      <c r="EF139" s="64"/>
      <c r="EG139" s="64"/>
      <c r="EH139" s="64"/>
      <c r="EI139" s="64"/>
      <c r="EJ139" s="64"/>
      <c r="EK139" s="64"/>
      <c r="EL139" s="64"/>
      <c r="EM139" s="64"/>
      <c r="EN139" s="64"/>
      <c r="EO139" s="64"/>
      <c r="EP139" s="64"/>
      <c r="EQ139" s="64"/>
      <c r="ER139" s="64"/>
      <c r="ES139" s="64"/>
      <c r="ET139" s="64"/>
      <c r="EU139" s="64"/>
      <c r="EV139" s="64"/>
      <c r="EW139" s="64"/>
      <c r="EX139" s="64"/>
      <c r="EY139" s="64"/>
      <c r="EZ139" s="64"/>
      <c r="FA139" s="64"/>
      <c r="FB139" s="64"/>
      <c r="FC139" s="64"/>
      <c r="FD139" s="64"/>
      <c r="FE139" s="64"/>
      <c r="FF139" s="64"/>
      <c r="FG139" s="64"/>
      <c r="FH139" s="64"/>
      <c r="FI139" s="64"/>
      <c r="FJ139" s="64"/>
      <c r="FK139" s="64"/>
      <c r="FL139" s="64"/>
      <c r="FM139" s="64"/>
      <c r="FN139" s="64"/>
      <c r="FO139" s="64"/>
      <c r="FP139" s="64"/>
      <c r="FQ139" s="64"/>
      <c r="FR139" s="64"/>
      <c r="FS139" s="64"/>
      <c r="FT139" s="64"/>
      <c r="FU139" s="64"/>
      <c r="FV139" s="64"/>
      <c r="FW139" s="64"/>
      <c r="FX139" s="64"/>
      <c r="FY139" s="64"/>
      <c r="FZ139" s="64"/>
      <c r="GA139" s="64"/>
      <c r="GB139" s="64"/>
      <c r="GC139" s="64"/>
      <c r="GD139" s="64"/>
      <c r="GE139" s="64"/>
      <c r="GF139" s="64"/>
      <c r="GG139" s="64"/>
      <c r="GH139" s="64"/>
      <c r="GI139" s="64"/>
      <c r="GJ139" s="64"/>
      <c r="GK139" s="64"/>
      <c r="GL139" s="64"/>
      <c r="GM139" s="64"/>
      <c r="GN139" s="64"/>
      <c r="GO139" s="64"/>
      <c r="GP139" s="64"/>
      <c r="GQ139" s="64"/>
      <c r="GR139" s="64"/>
      <c r="GS139" s="64"/>
      <c r="GT139" s="64"/>
      <c r="GU139" s="64"/>
      <c r="GV139" s="64"/>
      <c r="GW139" s="64"/>
      <c r="GX139" s="64"/>
      <c r="GY139" s="64"/>
      <c r="GZ139" s="64"/>
      <c r="HA139" s="64"/>
      <c r="HB139" s="64"/>
      <c r="HC139" s="64"/>
      <c r="HD139" s="64"/>
      <c r="HE139" s="64"/>
      <c r="HF139" s="64"/>
      <c r="HG139" s="64"/>
      <c r="HH139" s="64"/>
      <c r="HI139" s="64"/>
      <c r="HJ139" s="64"/>
      <c r="HK139" s="64"/>
      <c r="HL139" s="64"/>
      <c r="HM139" s="64"/>
      <c r="HN139" s="64"/>
      <c r="HO139" s="64"/>
      <c r="HP139" s="64"/>
      <c r="HQ139" s="64"/>
      <c r="HR139" s="64"/>
      <c r="HS139" s="64"/>
      <c r="HT139" s="64"/>
      <c r="HU139" s="64"/>
      <c r="HV139" s="64"/>
      <c r="HW139" s="64"/>
      <c r="HX139" s="64"/>
      <c r="HY139" s="64"/>
      <c r="HZ139" s="64"/>
      <c r="IA139" s="64"/>
      <c r="IB139" s="64"/>
      <c r="IC139" s="64"/>
      <c r="ID139" s="64"/>
      <c r="IE139" s="64"/>
      <c r="IF139" s="64"/>
      <c r="IG139" s="64"/>
      <c r="IH139" s="64"/>
      <c r="II139" s="64"/>
      <c r="IJ139" s="64"/>
      <c r="IK139" s="64"/>
      <c r="IL139" s="64"/>
      <c r="IM139" s="64"/>
      <c r="IN139" s="64"/>
      <c r="IO139" s="64"/>
      <c r="IP139" s="64"/>
      <c r="IQ139" s="64"/>
      <c r="IR139" s="64"/>
      <c r="IS139" s="64"/>
      <c r="IT139" s="64"/>
      <c r="IU139" s="64"/>
      <c r="IV139" s="64"/>
      <c r="IW139" s="64"/>
      <c r="IX139" s="64"/>
      <c r="IY139" s="64"/>
      <c r="IZ139" s="64"/>
      <c r="JA139" s="64"/>
      <c r="JB139" s="64"/>
      <c r="JC139" s="64"/>
      <c r="JD139" s="64"/>
      <c r="JE139" s="64"/>
      <c r="JF139" s="64"/>
      <c r="JG139" s="64"/>
      <c r="JH139" s="64"/>
      <c r="JI139" s="64"/>
      <c r="JJ139" s="64"/>
      <c r="JK139" s="64"/>
      <c r="JL139" s="64"/>
      <c r="JM139" s="64"/>
      <c r="JN139" s="64"/>
      <c r="JO139" s="64"/>
      <c r="JP139" s="64"/>
      <c r="JQ139" s="64"/>
      <c r="JR139" s="64"/>
      <c r="JS139" s="64"/>
      <c r="JT139" s="64"/>
      <c r="JU139" s="64"/>
      <c r="JV139" s="64"/>
      <c r="JW139" s="64"/>
      <c r="JX139" s="64"/>
      <c r="JY139" s="64"/>
      <c r="JZ139" s="64"/>
      <c r="KA139" s="64"/>
      <c r="KB139" s="64"/>
      <c r="KC139" s="64"/>
      <c r="KD139" s="64"/>
      <c r="KE139" s="64"/>
      <c r="KF139" s="64"/>
      <c r="KG139" s="64"/>
      <c r="KH139" s="64"/>
      <c r="KI139" s="64"/>
      <c r="KJ139" s="64"/>
      <c r="KK139" s="64"/>
      <c r="KL139" s="64"/>
      <c r="KM139" s="64"/>
      <c r="KN139" s="64"/>
      <c r="KO139" s="64"/>
      <c r="KP139" s="64"/>
      <c r="KQ139" s="64"/>
      <c r="KR139" s="64"/>
      <c r="KS139" s="64"/>
      <c r="KT139" s="64"/>
      <c r="KU139" s="64"/>
      <c r="KV139" s="64"/>
      <c r="KW139" s="64"/>
      <c r="KX139" s="64"/>
      <c r="KY139" s="64"/>
      <c r="KZ139" s="64"/>
      <c r="LA139" s="64"/>
      <c r="LB139" s="64"/>
      <c r="LC139" s="64"/>
      <c r="LD139" s="64"/>
      <c r="LE139" s="64"/>
      <c r="LF139" s="64"/>
      <c r="LG139" s="64"/>
      <c r="LH139" s="64"/>
      <c r="LI139" s="64"/>
      <c r="LJ139" s="64"/>
      <c r="LK139" s="64"/>
      <c r="LL139" s="64"/>
      <c r="LM139" s="64"/>
      <c r="LN139" s="64"/>
      <c r="LO139" s="64"/>
      <c r="LP139" s="64"/>
      <c r="LQ139" s="64"/>
      <c r="LR139" s="64"/>
      <c r="LS139" s="64"/>
      <c r="LT139" s="64"/>
      <c r="LU139" s="64"/>
      <c r="LV139" s="64"/>
      <c r="LW139" s="64"/>
      <c r="LX139" s="64"/>
      <c r="LY139" s="64"/>
      <c r="LZ139" s="64"/>
      <c r="MA139" s="64"/>
      <c r="MB139" s="64"/>
      <c r="MC139" s="64"/>
      <c r="MD139" s="64"/>
      <c r="ME139" s="64"/>
      <c r="MF139" s="64"/>
      <c r="MG139" s="64"/>
      <c r="MH139" s="64"/>
      <c r="MI139" s="64"/>
      <c r="MJ139" s="64"/>
      <c r="MK139" s="64"/>
      <c r="ML139" s="64"/>
      <c r="MM139" s="64"/>
      <c r="MN139" s="64"/>
      <c r="MO139" s="64"/>
      <c r="MP139" s="64"/>
      <c r="MQ139" s="64"/>
      <c r="MR139" s="64"/>
      <c r="MS139" s="64"/>
      <c r="MT139" s="64"/>
      <c r="MU139" s="64"/>
      <c r="MV139" s="64"/>
      <c r="MW139" s="64"/>
      <c r="MX139" s="64"/>
      <c r="MY139" s="64"/>
      <c r="MZ139" s="64"/>
      <c r="NA139" s="64"/>
      <c r="NB139" s="64"/>
      <c r="NC139" s="64"/>
      <c r="ND139" s="64"/>
      <c r="NE139" s="64"/>
      <c r="NF139" s="64"/>
      <c r="NG139" s="64"/>
      <c r="NH139" s="64"/>
      <c r="NI139" s="64"/>
      <c r="NJ139" s="64"/>
      <c r="NK139" s="64"/>
      <c r="NL139" s="64"/>
      <c r="NM139" s="64"/>
      <c r="NN139" s="64"/>
      <c r="NO139" s="64"/>
      <c r="NP139" s="64"/>
      <c r="NQ139" s="64"/>
      <c r="NR139" s="64"/>
      <c r="NS139" s="64"/>
      <c r="NT139" s="64"/>
      <c r="NU139" s="64"/>
      <c r="NV139" s="64"/>
      <c r="NW139" s="64"/>
      <c r="NX139" s="64"/>
      <c r="NY139" s="64"/>
      <c r="NZ139" s="64"/>
      <c r="OA139" s="64"/>
      <c r="OB139" s="64"/>
      <c r="OC139" s="64"/>
      <c r="OD139" s="64"/>
      <c r="OE139" s="64"/>
      <c r="OF139" s="64"/>
      <c r="OG139" s="64"/>
      <c r="OH139" s="64"/>
      <c r="OI139" s="64"/>
      <c r="OJ139" s="64"/>
      <c r="OK139" s="64"/>
      <c r="OL139" s="64"/>
    </row>
    <row r="140" spans="1:402" x14ac:dyDescent="0.3">
      <c r="A140" s="174"/>
      <c r="C140" s="85"/>
      <c r="D140" s="83" t="s">
        <v>164</v>
      </c>
      <c r="E140" s="466">
        <f>IF(AND($F$2="No",$F$3="No"),SUM(I140:L140),IF(AND($F$2="Yes", $F$3="No"), SUM(I140:L140)+N140, IF(AND($F$2="No", $F$3="Yes"),SUM(I140:L140)+M140, SUM(I140:L140)+N140+M140)))</f>
        <v>-464901070.26346463</v>
      </c>
      <c r="F140" s="89">
        <f>IF(AND($F$2="No",$F$3="No"),SUM(H140:L140,O140),IF(AND($F$2="Yes", $F$3="No"), SUM(H140:L140,O140)+N140, IF(AND($F$2="No", $F$3="Yes"),SUM(H140:L140,O140)+M140, SUM(H140:L140,O140)+N140+M140)))</f>
        <v>725007530.03979135</v>
      </c>
      <c r="G140" s="491"/>
      <c r="H140" s="89">
        <f>H132+H136</f>
        <v>801878632.44819701</v>
      </c>
      <c r="I140" s="89">
        <f t="shared" ref="I140:Q140" si="18">I132+I136</f>
        <v>0</v>
      </c>
      <c r="J140" s="89">
        <f t="shared" si="18"/>
        <v>0</v>
      </c>
      <c r="K140" s="89">
        <f t="shared" si="18"/>
        <v>0</v>
      </c>
      <c r="L140" s="89">
        <f t="shared" si="18"/>
        <v>0</v>
      </c>
      <c r="M140" s="89">
        <f t="shared" si="18"/>
        <v>-503912111.9406352</v>
      </c>
      <c r="N140" s="89">
        <f t="shared" si="18"/>
        <v>39011041.67717059</v>
      </c>
      <c r="O140" s="89">
        <f t="shared" si="18"/>
        <v>388029967.85505909</v>
      </c>
      <c r="P140" s="89">
        <f t="shared" si="18"/>
        <v>33588079.971279398</v>
      </c>
      <c r="Q140" s="89">
        <f t="shared" si="18"/>
        <v>758595610.01107085</v>
      </c>
      <c r="R140" s="90"/>
      <c r="S140" s="90"/>
      <c r="T140" s="107"/>
    </row>
    <row r="141" spans="1:402" x14ac:dyDescent="0.3">
      <c r="A141" s="174"/>
      <c r="C141" s="85"/>
      <c r="D141" s="83" t="s">
        <v>165</v>
      </c>
      <c r="E141" s="466">
        <f>SUM(I141:L141)</f>
        <v>168736281.14515731</v>
      </c>
      <c r="F141" s="89">
        <f>SUM(H141:L141,O141)</f>
        <v>169412471.60691428</v>
      </c>
      <c r="G141" s="491"/>
      <c r="H141" s="89">
        <f t="shared" ref="H141:Q142" si="19">H133+H137</f>
        <v>676190.4617569719</v>
      </c>
      <c r="I141" s="89">
        <f t="shared" si="19"/>
        <v>0</v>
      </c>
      <c r="J141" s="89">
        <f t="shared" si="19"/>
        <v>13842877.570884228</v>
      </c>
      <c r="K141" s="89">
        <f t="shared" si="19"/>
        <v>0</v>
      </c>
      <c r="L141" s="89">
        <f t="shared" si="19"/>
        <v>154893403.57427308</v>
      </c>
      <c r="M141" s="89">
        <f t="shared" si="19"/>
        <v>0</v>
      </c>
      <c r="N141" s="89">
        <f t="shared" si="19"/>
        <v>0</v>
      </c>
      <c r="O141" s="89">
        <f t="shared" si="19"/>
        <v>0</v>
      </c>
      <c r="P141" s="89">
        <f>P133+P137</f>
        <v>5745.2965293348907</v>
      </c>
      <c r="Q141" s="89">
        <f>Q133+Q137</f>
        <v>169418216.9034436</v>
      </c>
      <c r="R141" s="90"/>
      <c r="S141" s="90"/>
      <c r="T141" s="107"/>
    </row>
    <row r="142" spans="1:402" x14ac:dyDescent="0.3">
      <c r="A142" s="174"/>
      <c r="C142" s="85"/>
      <c r="D142" s="84" t="s">
        <v>166</v>
      </c>
      <c r="E142" s="466">
        <f>SUM(I142:L142)</f>
        <v>6395031.3361497717</v>
      </c>
      <c r="F142" s="89">
        <f>SUM(H142:L142,O142)</f>
        <v>7373587.2591078188</v>
      </c>
      <c r="G142" s="491"/>
      <c r="H142" s="89">
        <f t="shared" si="19"/>
        <v>978555.92295804759</v>
      </c>
      <c r="I142" s="89">
        <f t="shared" si="19"/>
        <v>2473394.9516766961</v>
      </c>
      <c r="J142" s="89">
        <f t="shared" si="19"/>
        <v>3567337.829884354</v>
      </c>
      <c r="K142" s="89">
        <f t="shared" si="19"/>
        <v>354298.55458872073</v>
      </c>
      <c r="L142" s="89">
        <f t="shared" si="19"/>
        <v>0</v>
      </c>
      <c r="M142" s="89">
        <f t="shared" si="19"/>
        <v>0</v>
      </c>
      <c r="N142" s="89">
        <f t="shared" si="19"/>
        <v>0</v>
      </c>
      <c r="O142" s="89">
        <f t="shared" si="19"/>
        <v>0</v>
      </c>
      <c r="P142" s="89">
        <f t="shared" si="19"/>
        <v>535.58930979021909</v>
      </c>
      <c r="Q142" s="89">
        <f t="shared" si="19"/>
        <v>7374122.8484176071</v>
      </c>
      <c r="R142" s="90"/>
      <c r="S142" s="90"/>
      <c r="T142" s="107"/>
    </row>
    <row r="143" spans="1:402" s="102" customFormat="1" x14ac:dyDescent="0.3">
      <c r="A143" s="803"/>
      <c r="B143" s="804" t="s">
        <v>687</v>
      </c>
      <c r="C143" s="805">
        <f>'Input data meat and eggs'!D11*'Input data meat and eggs'!H410/SUM('Input data meat and eggs'!H410:H417)</f>
        <v>1.3112939370898836E-2</v>
      </c>
      <c r="D143" s="269" t="s">
        <v>473</v>
      </c>
      <c r="E143" s="320">
        <f>IF($F$1="GWP100 without fb",E144+E145*'Common input data'!$C$5+E146*'Common input data'!$D$5,IF($F$1="GWP100 with fb",E144+E145*'Common input data'!$C$6+E146*'Common input data'!$D$6,IF($F$1="GTP100 without fb",E144+E145*'Common input data'!$C$7+E146*'Common input data'!$D$7,IF($F$1="GTP100 with fb",E144+E145*'Common input data'!$C$8+E146*'Common input data'!$D$8,E144+E145*'Common input data'!$C$9+E146*'Common input data'!$D$9))))</f>
        <v>9.3601288571289309</v>
      </c>
      <c r="F143" s="302">
        <f>IF($F$1="GWP100 without fb",F144+F145*'Common input data'!$C$5+F146*'Common input data'!$D$5,IF($F$1="GWP100 with fb",F144+F145*'Common input data'!$C$6+F146*'Common input data'!$D$6,IF($F$1="GTP100 without fb",F144+F145*'Common input data'!$C$7+F146*'Common input data'!$D$7,IF($F$1="GTP100 with fb",F144+F145*'Common input data'!$C$8+F146*'Common input data'!$D$8,F144+F145*'Common input data'!$C$9+F146*'Common input data'!$D$9))))</f>
        <v>11.322052288062178</v>
      </c>
      <c r="G143" s="321">
        <f>IF($F$1="GWP100 without fb",G144+G145*'Common input data'!$C$5+G146*'Common input data'!$D$5,IF($F$1="GWP100 with fb",G144+G145*'Common input data'!$C$6+G146*'Common input data'!$D$6,IF($F$1="GTP100 without fb",G144+G145*'Common input data'!$C$7+G146*'Common input data'!$D$7,IF($F$1="GTP100 with fb",G144+G145*'Common input data'!$C$8+G146*'Common input data'!$D$8,G144+G145*'Common input data'!$C$9+G146*'Common input data'!$D$9))))</f>
        <v>12.715257661125793</v>
      </c>
      <c r="H143" s="502"/>
      <c r="I143" s="502"/>
      <c r="J143" s="502"/>
      <c r="K143" s="502"/>
      <c r="L143" s="502"/>
      <c r="M143" s="502"/>
      <c r="N143" s="502"/>
      <c r="O143" s="502"/>
      <c r="P143" s="502"/>
      <c r="Q143" s="502"/>
      <c r="R143" s="503"/>
      <c r="S143" s="503"/>
      <c r="T143" s="107"/>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64"/>
      <c r="AW143" s="64"/>
      <c r="AX143" s="64"/>
      <c r="AY143" s="64"/>
      <c r="AZ143" s="64"/>
      <c r="BA143" s="64"/>
      <c r="BB143" s="64"/>
      <c r="BC143" s="64"/>
      <c r="BD143" s="64"/>
      <c r="BE143" s="64"/>
      <c r="BF143" s="64"/>
      <c r="BG143" s="64"/>
      <c r="BH143" s="64"/>
      <c r="BI143" s="64"/>
      <c r="BJ143" s="64"/>
      <c r="BK143" s="64"/>
      <c r="BL143" s="64"/>
      <c r="BM143" s="64"/>
      <c r="BN143" s="64"/>
      <c r="BO143" s="64"/>
      <c r="BP143" s="64"/>
      <c r="BQ143" s="64"/>
      <c r="BR143" s="64"/>
      <c r="BS143" s="64"/>
      <c r="BT143" s="64"/>
      <c r="BU143" s="64"/>
      <c r="BV143" s="64"/>
      <c r="BW143" s="64"/>
      <c r="BX143" s="64"/>
      <c r="BY143" s="64"/>
      <c r="BZ143" s="64"/>
      <c r="CA143" s="64"/>
      <c r="CB143" s="64"/>
      <c r="CC143" s="64"/>
      <c r="CD143" s="64"/>
      <c r="CE143" s="64"/>
      <c r="CF143" s="64"/>
      <c r="CG143" s="64"/>
      <c r="CH143" s="64"/>
      <c r="CI143" s="64"/>
      <c r="CJ143" s="64"/>
      <c r="CK143" s="64"/>
      <c r="CL143" s="64"/>
      <c r="CM143" s="64"/>
      <c r="CN143" s="64"/>
      <c r="CO143" s="64"/>
      <c r="CP143" s="64"/>
      <c r="CQ143" s="64"/>
      <c r="CR143" s="64"/>
      <c r="CS143" s="64"/>
      <c r="CT143" s="64"/>
      <c r="CU143" s="64"/>
      <c r="CV143" s="64"/>
      <c r="CW143" s="64"/>
      <c r="CX143" s="64"/>
      <c r="CY143" s="64"/>
      <c r="CZ143" s="64"/>
      <c r="DA143" s="64"/>
      <c r="DB143" s="64"/>
      <c r="DC143" s="64"/>
      <c r="DD143" s="64"/>
      <c r="DE143" s="64"/>
      <c r="DF143" s="64"/>
      <c r="DG143" s="64"/>
      <c r="DH143" s="64"/>
      <c r="DI143" s="64"/>
      <c r="DJ143" s="64"/>
      <c r="DK143" s="64"/>
      <c r="DL143" s="64"/>
      <c r="DM143" s="64"/>
      <c r="DN143" s="64"/>
      <c r="DO143" s="64"/>
      <c r="DP143" s="64"/>
      <c r="DQ143" s="64"/>
      <c r="DR143" s="64"/>
      <c r="DS143" s="64"/>
      <c r="DT143" s="64"/>
      <c r="DU143" s="64"/>
      <c r="DV143" s="64"/>
      <c r="DW143" s="64"/>
      <c r="DX143" s="64"/>
      <c r="DY143" s="64"/>
      <c r="DZ143" s="64"/>
      <c r="EA143" s="64"/>
      <c r="EB143" s="64"/>
      <c r="EC143" s="64"/>
      <c r="ED143" s="64"/>
      <c r="EE143" s="64"/>
      <c r="EF143" s="64"/>
      <c r="EG143" s="64"/>
      <c r="EH143" s="64"/>
      <c r="EI143" s="64"/>
      <c r="EJ143" s="64"/>
      <c r="EK143" s="64"/>
      <c r="EL143" s="64"/>
      <c r="EM143" s="64"/>
      <c r="EN143" s="64"/>
      <c r="EO143" s="64"/>
      <c r="EP143" s="64"/>
      <c r="EQ143" s="64"/>
      <c r="ER143" s="64"/>
      <c r="ES143" s="64"/>
      <c r="ET143" s="64"/>
      <c r="EU143" s="64"/>
      <c r="EV143" s="64"/>
      <c r="EW143" s="64"/>
      <c r="EX143" s="64"/>
      <c r="EY143" s="64"/>
      <c r="EZ143" s="64"/>
      <c r="FA143" s="64"/>
      <c r="FB143" s="64"/>
      <c r="FC143" s="64"/>
      <c r="FD143" s="64"/>
      <c r="FE143" s="64"/>
      <c r="FF143" s="64"/>
      <c r="FG143" s="64"/>
      <c r="FH143" s="64"/>
      <c r="FI143" s="64"/>
      <c r="FJ143" s="64"/>
      <c r="FK143" s="64"/>
      <c r="FL143" s="64"/>
      <c r="FM143" s="64"/>
      <c r="FN143" s="64"/>
      <c r="FO143" s="64"/>
      <c r="FP143" s="64"/>
      <c r="FQ143" s="64"/>
      <c r="FR143" s="64"/>
      <c r="FS143" s="64"/>
      <c r="FT143" s="64"/>
      <c r="FU143" s="64"/>
      <c r="FV143" s="64"/>
      <c r="FW143" s="64"/>
      <c r="FX143" s="64"/>
      <c r="FY143" s="64"/>
      <c r="FZ143" s="64"/>
      <c r="GA143" s="64"/>
      <c r="GB143" s="64"/>
      <c r="GC143" s="64"/>
      <c r="GD143" s="64"/>
      <c r="GE143" s="64"/>
      <c r="GF143" s="64"/>
      <c r="GG143" s="64"/>
      <c r="GH143" s="64"/>
      <c r="GI143" s="64"/>
      <c r="GJ143" s="64"/>
      <c r="GK143" s="64"/>
      <c r="GL143" s="64"/>
      <c r="GM143" s="64"/>
      <c r="GN143" s="64"/>
      <c r="GO143" s="64"/>
      <c r="GP143" s="64"/>
      <c r="GQ143" s="64"/>
      <c r="GR143" s="64"/>
      <c r="GS143" s="64"/>
      <c r="GT143" s="64"/>
      <c r="GU143" s="64"/>
      <c r="GV143" s="64"/>
      <c r="GW143" s="64"/>
      <c r="GX143" s="64"/>
      <c r="GY143" s="64"/>
      <c r="GZ143" s="64"/>
      <c r="HA143" s="64"/>
      <c r="HB143" s="64"/>
      <c r="HC143" s="64"/>
      <c r="HD143" s="64"/>
      <c r="HE143" s="64"/>
      <c r="HF143" s="64"/>
      <c r="HG143" s="64"/>
      <c r="HH143" s="64"/>
      <c r="HI143" s="64"/>
      <c r="HJ143" s="64"/>
      <c r="HK143" s="64"/>
      <c r="HL143" s="64"/>
      <c r="HM143" s="64"/>
      <c r="HN143" s="64"/>
      <c r="HO143" s="64"/>
      <c r="HP143" s="64"/>
      <c r="HQ143" s="64"/>
      <c r="HR143" s="64"/>
      <c r="HS143" s="64"/>
      <c r="HT143" s="64"/>
      <c r="HU143" s="64"/>
      <c r="HV143" s="64"/>
      <c r="HW143" s="64"/>
      <c r="HX143" s="64"/>
      <c r="HY143" s="64"/>
      <c r="HZ143" s="64"/>
      <c r="IA143" s="64"/>
      <c r="IB143" s="64"/>
      <c r="IC143" s="64"/>
      <c r="ID143" s="64"/>
      <c r="IE143" s="64"/>
      <c r="IF143" s="64"/>
      <c r="IG143" s="64"/>
      <c r="IH143" s="64"/>
      <c r="II143" s="64"/>
      <c r="IJ143" s="64"/>
      <c r="IK143" s="64"/>
      <c r="IL143" s="64"/>
      <c r="IM143" s="64"/>
      <c r="IN143" s="64"/>
      <c r="IO143" s="64"/>
      <c r="IP143" s="64"/>
      <c r="IQ143" s="64"/>
      <c r="IR143" s="64"/>
      <c r="IS143" s="64"/>
      <c r="IT143" s="64"/>
      <c r="IU143" s="64"/>
      <c r="IV143" s="64"/>
      <c r="IW143" s="64"/>
      <c r="IX143" s="64"/>
      <c r="IY143" s="64"/>
      <c r="IZ143" s="64"/>
      <c r="JA143" s="64"/>
      <c r="JB143" s="64"/>
      <c r="JC143" s="64"/>
      <c r="JD143" s="64"/>
      <c r="JE143" s="64"/>
      <c r="JF143" s="64"/>
      <c r="JG143" s="64"/>
      <c r="JH143" s="64"/>
      <c r="JI143" s="64"/>
      <c r="JJ143" s="64"/>
      <c r="JK143" s="64"/>
      <c r="JL143" s="64"/>
      <c r="JM143" s="64"/>
      <c r="JN143" s="64"/>
      <c r="JO143" s="64"/>
      <c r="JP143" s="64"/>
      <c r="JQ143" s="64"/>
      <c r="JR143" s="64"/>
      <c r="JS143" s="64"/>
      <c r="JT143" s="64"/>
      <c r="JU143" s="64"/>
      <c r="JV143" s="64"/>
      <c r="JW143" s="64"/>
      <c r="JX143" s="64"/>
      <c r="JY143" s="64"/>
      <c r="JZ143" s="64"/>
      <c r="KA143" s="64"/>
      <c r="KB143" s="64"/>
      <c r="KC143" s="64"/>
      <c r="KD143" s="64"/>
      <c r="KE143" s="64"/>
      <c r="KF143" s="64"/>
      <c r="KG143" s="64"/>
      <c r="KH143" s="64"/>
      <c r="KI143" s="64"/>
      <c r="KJ143" s="64"/>
      <c r="KK143" s="64"/>
      <c r="KL143" s="64"/>
      <c r="KM143" s="64"/>
      <c r="KN143" s="64"/>
      <c r="KO143" s="64"/>
      <c r="KP143" s="64"/>
      <c r="KQ143" s="64"/>
      <c r="KR143" s="64"/>
      <c r="KS143" s="64"/>
      <c r="KT143" s="64"/>
      <c r="KU143" s="64"/>
      <c r="KV143" s="64"/>
      <c r="KW143" s="64"/>
      <c r="KX143" s="64"/>
      <c r="KY143" s="64"/>
      <c r="KZ143" s="64"/>
      <c r="LA143" s="64"/>
      <c r="LB143" s="64"/>
      <c r="LC143" s="64"/>
      <c r="LD143" s="64"/>
      <c r="LE143" s="64"/>
      <c r="LF143" s="64"/>
      <c r="LG143" s="64"/>
      <c r="LH143" s="64"/>
      <c r="LI143" s="64"/>
      <c r="LJ143" s="64"/>
      <c r="LK143" s="64"/>
      <c r="LL143" s="64"/>
      <c r="LM143" s="64"/>
      <c r="LN143" s="64"/>
      <c r="LO143" s="64"/>
      <c r="LP143" s="64"/>
      <c r="LQ143" s="64"/>
      <c r="LR143" s="64"/>
      <c r="LS143" s="64"/>
      <c r="LT143" s="64"/>
      <c r="LU143" s="64"/>
      <c r="LV143" s="64"/>
      <c r="LW143" s="64"/>
      <c r="LX143" s="64"/>
      <c r="LY143" s="64"/>
      <c r="LZ143" s="64"/>
      <c r="MA143" s="64"/>
      <c r="MB143" s="64"/>
      <c r="MC143" s="64"/>
      <c r="MD143" s="64"/>
      <c r="ME143" s="64"/>
      <c r="MF143" s="64"/>
      <c r="MG143" s="64"/>
      <c r="MH143" s="64"/>
      <c r="MI143" s="64"/>
      <c r="MJ143" s="64"/>
      <c r="MK143" s="64"/>
      <c r="ML143" s="64"/>
      <c r="MM143" s="64"/>
      <c r="MN143" s="64"/>
      <c r="MO143" s="64"/>
      <c r="MP143" s="64"/>
      <c r="MQ143" s="64"/>
      <c r="MR143" s="64"/>
      <c r="MS143" s="64"/>
      <c r="MT143" s="64"/>
      <c r="MU143" s="64"/>
      <c r="MV143" s="64"/>
      <c r="MW143" s="64"/>
      <c r="MX143" s="64"/>
      <c r="MY143" s="64"/>
      <c r="MZ143" s="64"/>
      <c r="NA143" s="64"/>
      <c r="NB143" s="64"/>
      <c r="NC143" s="64"/>
      <c r="ND143" s="64"/>
      <c r="NE143" s="64"/>
      <c r="NF143" s="64"/>
      <c r="NG143" s="64"/>
      <c r="NH143" s="64"/>
      <c r="NI143" s="64"/>
      <c r="NJ143" s="64"/>
      <c r="NK143" s="64"/>
      <c r="NL143" s="64"/>
      <c r="NM143" s="64"/>
      <c r="NN143" s="64"/>
      <c r="NO143" s="64"/>
      <c r="NP143" s="64"/>
      <c r="NQ143" s="64"/>
      <c r="NR143" s="64"/>
      <c r="NS143" s="64"/>
      <c r="NT143" s="64"/>
      <c r="NU143" s="64"/>
      <c r="NV143" s="64"/>
      <c r="NW143" s="64"/>
      <c r="NX143" s="64"/>
      <c r="NY143" s="64"/>
      <c r="NZ143" s="64"/>
      <c r="OA143" s="64"/>
      <c r="OB143" s="64"/>
      <c r="OC143" s="64"/>
      <c r="OD143" s="64"/>
      <c r="OE143" s="64"/>
      <c r="OF143" s="64"/>
      <c r="OG143" s="64"/>
      <c r="OH143" s="64"/>
      <c r="OI143" s="64"/>
      <c r="OJ143" s="64"/>
      <c r="OK143" s="64"/>
      <c r="OL143" s="64"/>
    </row>
    <row r="144" spans="1:402" x14ac:dyDescent="0.3">
      <c r="A144" s="806"/>
      <c r="B144" s="807"/>
      <c r="C144" s="808"/>
      <c r="D144" s="83" t="s">
        <v>164</v>
      </c>
      <c r="E144" s="258">
        <f>IF(AND($F$2="No",$F$3="No"),SUM(I144:L144),IF(AND($F$2="Yes", $F$3="No"), SUM(I144:L144)+N144, IF(AND($F$2="No", $F$3="Yes"),SUM(I144:L144)+M144, SUM(I144:L144)+N144+M144)))</f>
        <v>-0.60624460193073881</v>
      </c>
      <c r="F144" s="85">
        <f>IF(AND($F$2="No",$F$3="No"),SUM(H144:L144,O144),IF(AND($F$2="Yes", $F$3="No"), SUM(H144:L144,O144)+N144, IF(AND($F$2="No", $F$3="Yes"),SUM(H144:L144,O144)+M144, SUM(H144:L144,O144)+N144+M144)))</f>
        <v>0.94543103804143558</v>
      </c>
      <c r="G144" s="278">
        <f>SUM(Q144:S144)/(1-'Common input data'!B$126)</f>
        <v>1.3368759620063115</v>
      </c>
      <c r="H144" s="306">
        <f>H140*'Common input data'!$G$37/'Input data meat and eggs'!$H$410</f>
        <v>1.045673205376414</v>
      </c>
      <c r="I144" s="306">
        <f>I140*'Common input data'!$G$37/'Input data meat and eggs'!$H$410</f>
        <v>0</v>
      </c>
      <c r="J144" s="306">
        <f>J140*'Common input data'!$G$37/'Input data meat and eggs'!$H$410</f>
        <v>0</v>
      </c>
      <c r="K144" s="306">
        <f>K140*'Common input data'!$G$37/'Input data meat and eggs'!$H$410</f>
        <v>0</v>
      </c>
      <c r="L144" s="306">
        <f>L140*'Common input data'!$G$37/'Input data meat and eggs'!$H$410</f>
        <v>0</v>
      </c>
      <c r="M144" s="306">
        <f>M140*'Common input data'!$G$37/'Input data meat and eggs'!$H$410</f>
        <v>-0.65711614201791668</v>
      </c>
      <c r="N144" s="306">
        <f>N140*'Common input data'!$G$37/'Input data meat and eggs'!$H$410</f>
        <v>5.0871540087177897E-2</v>
      </c>
      <c r="O144" s="306">
        <f>O140*'Common input data'!$G$37/'Input data meat and eggs'!$H$410</f>
        <v>0.50600243459576022</v>
      </c>
      <c r="P144" s="306">
        <f>P140*'Common input data'!$G$37/'Input data meat and eggs'!$H$410</f>
        <v>4.3799839308320786E-2</v>
      </c>
      <c r="Q144" s="306">
        <f>Q140*'Common input data'!$G$37/'Input data meat and eggs'!$H$410</f>
        <v>0.98923087734975601</v>
      </c>
      <c r="R144" s="495">
        <f>'Common input data'!B92</f>
        <v>0.1</v>
      </c>
      <c r="S144" s="495">
        <f>'Common input data'!B99+'Common input data'!C99</f>
        <v>0.13</v>
      </c>
      <c r="T144" s="107"/>
    </row>
    <row r="145" spans="1:402" x14ac:dyDescent="0.3">
      <c r="A145" s="806"/>
      <c r="B145" s="807"/>
      <c r="C145" s="808"/>
      <c r="D145" s="83" t="s">
        <v>165</v>
      </c>
      <c r="E145" s="258">
        <f>SUM(I145:L145)</f>
        <v>0.22003704903528645</v>
      </c>
      <c r="F145" s="85">
        <f>SUM(H145:L145,O145)</f>
        <v>0.22091882118755296</v>
      </c>
      <c r="G145" s="278">
        <f>SUM(Q145:S145)/(1-'Common input data'!B$126)</f>
        <v>0.24224376449821863</v>
      </c>
      <c r="H145" s="306">
        <f>H141*'Common input data'!$G$37/'Input data meat and eggs'!$H$410</f>
        <v>8.817721522665072E-4</v>
      </c>
      <c r="I145" s="306">
        <f>I141*'Common input data'!$G$37/'Input data meat and eggs'!$H$410</f>
        <v>0</v>
      </c>
      <c r="J145" s="306">
        <f>J141*'Common input data'!$G$37/'Input data meat and eggs'!$H$410</f>
        <v>1.8051517493346974E-2</v>
      </c>
      <c r="K145" s="306">
        <f>K141*'Common input data'!$G$37/'Input data meat and eggs'!$H$410</f>
        <v>0</v>
      </c>
      <c r="L145" s="306">
        <f>L141*'Common input data'!$G$37/'Input data meat and eggs'!$H$410</f>
        <v>0.20198553154193949</v>
      </c>
      <c r="M145" s="306">
        <f>M141*'Common input data'!$G$37/'Input data meat and eggs'!$H$410</f>
        <v>0</v>
      </c>
      <c r="N145" s="306">
        <f>N141*'Common input data'!$G$37/'Input data meat and eggs'!$H$410</f>
        <v>0</v>
      </c>
      <c r="O145" s="306">
        <f>O141*'Common input data'!$G$37/'Input data meat and eggs'!$H$410</f>
        <v>0</v>
      </c>
      <c r="P145" s="306">
        <f>P141*'Common input data'!$G$37/'Input data meat and eggs'!$H$410</f>
        <v>7.4920348224339434E-6</v>
      </c>
      <c r="Q145" s="306">
        <f>Q141*'Common input data'!$G$37/'Input data meat and eggs'!$H$410</f>
        <v>0.22092631322237538</v>
      </c>
      <c r="R145" s="495">
        <v>0</v>
      </c>
      <c r="S145" s="495">
        <v>0</v>
      </c>
      <c r="T145" s="107"/>
    </row>
    <row r="146" spans="1:402" x14ac:dyDescent="0.3">
      <c r="A146" s="806"/>
      <c r="B146" s="807"/>
      <c r="C146" s="808"/>
      <c r="D146" s="84" t="s">
        <v>166</v>
      </c>
      <c r="E146" s="258">
        <f>SUM(I146:L146)</f>
        <v>8.3393080263756032E-3</v>
      </c>
      <c r="F146" s="85">
        <f>SUM(H146:L146,O146)</f>
        <v>9.6153735894091968E-3</v>
      </c>
      <c r="G146" s="278">
        <f>SUM(Q146:S146)/(1-'Common input data'!B$126)</f>
        <v>1.0543938611342443E-2</v>
      </c>
      <c r="H146" s="306">
        <f>H142*'Common input data'!$G$37/'Input data meat and eggs'!$H$410</f>
        <v>1.2760655630335938E-3</v>
      </c>
      <c r="I146" s="306">
        <f>I142*'Common input data'!$G$37/'Input data meat and eggs'!$H$410</f>
        <v>3.2253794060894811E-3</v>
      </c>
      <c r="J146" s="306">
        <f>J142*'Common input data'!$G$37/'Input data meat and eggs'!$H$410</f>
        <v>4.6519129358103895E-3</v>
      </c>
      <c r="K146" s="306">
        <f>K142*'Common input data'!$G$37/'Input data meat and eggs'!$H$410</f>
        <v>4.6201568447573231E-4</v>
      </c>
      <c r="L146" s="306">
        <f>L142*'Common input data'!$G$37/'Input data meat and eggs'!$H$410</f>
        <v>0</v>
      </c>
      <c r="M146" s="306">
        <f>M142*'Common input data'!$G$37/'Input data meat and eggs'!$H$410</f>
        <v>0</v>
      </c>
      <c r="N146" s="306">
        <f>N142*'Common input data'!$G$37/'Input data meat and eggs'!$H$410</f>
        <v>0</v>
      </c>
      <c r="O146" s="306">
        <f>O142*'Common input data'!$G$37/'Input data meat and eggs'!$H$410</f>
        <v>0</v>
      </c>
      <c r="P146" s="306">
        <f>P142*'Common input data'!$G$37/'Input data meat and eggs'!$H$410</f>
        <v>6.9842413511356398E-7</v>
      </c>
      <c r="Q146" s="306">
        <f>Q142*'Common input data'!$G$37/'Input data meat and eggs'!$H$410</f>
        <v>9.6160720135443079E-3</v>
      </c>
      <c r="R146" s="495">
        <v>0</v>
      </c>
      <c r="S146" s="495">
        <v>0</v>
      </c>
      <c r="T146" s="107"/>
    </row>
    <row r="147" spans="1:402" s="102" customFormat="1" x14ac:dyDescent="0.3">
      <c r="A147" s="809"/>
      <c r="B147" s="810" t="s">
        <v>557</v>
      </c>
      <c r="C147" s="110">
        <f>'Input data meat and eggs'!D11*'Input data meat and eggs'!H418/SUM('Input data meat and eggs'!H410:H417)</f>
        <v>0.11928397433989583</v>
      </c>
      <c r="D147" s="269" t="s">
        <v>473</v>
      </c>
      <c r="E147" s="320">
        <f>IF($F$1="GWP100 without fb",E148+E149*'Common input data'!$C$5+E150*'Common input data'!$D$5,IF($F$1="GWP100 with fb",E148+E149*'Common input data'!$C$6+E150*'Common input data'!$D$6,IF($F$1="GTP100 without fb",E148+E149*'Common input data'!$C$7+E150*'Common input data'!$D$7,IF($F$1="GTP100 with fb",E148+E149*'Common input data'!$C$8+E150*'Common input data'!$D$8,E148+E149*'Common input data'!$C$9+E150*'Common input data'!$D$9))))</f>
        <v>20.791469540214337</v>
      </c>
      <c r="F147" s="302">
        <f>IF($F$1="GWP100 without fb",F148+F149*'Common input data'!$C$5+F150*'Common input data'!$D$5,IF($F$1="GWP100 with fb",F148+F149*'Common input data'!$C$6+F150*'Common input data'!$D$6,IF($F$1="GTP100 without fb",F148+F149*'Common input data'!$C$7+F150*'Common input data'!$D$7,IF($F$1="GTP100 with fb",F148+F149*'Common input data'!$C$8+F150*'Common input data'!$D$8,F148+F149*'Common input data'!$C$9+F150*'Common input data'!$D$9))))</f>
        <v>26.526787266437708</v>
      </c>
      <c r="G147" s="321">
        <f>IF($F$1="GWP100 without fb",G148+G149*'Common input data'!$C$5+G150*'Common input data'!$D$5,IF($F$1="GWP100 with fb",G148+G149*'Common input data'!$C$6+G150*'Common input data'!$D$6,IF($F$1="GTP100 without fb",G148+G149*'Common input data'!$C$7+G150*'Common input data'!$D$7,IF($F$1="GTP100 with fb",G148+G149*'Common input data'!$C$8+G150*'Common input data'!$D$8,G148+G149*'Common input data'!$C$9+G150*'Common input data'!$D$9))))</f>
        <v>26.831729458813278</v>
      </c>
      <c r="H147" s="503"/>
      <c r="I147" s="503"/>
      <c r="J147" s="503"/>
      <c r="K147" s="503"/>
      <c r="L147" s="503"/>
      <c r="M147" s="503"/>
      <c r="N147" s="503"/>
      <c r="O147" s="503"/>
      <c r="P147" s="503"/>
      <c r="Q147" s="503"/>
      <c r="R147" s="503"/>
      <c r="S147" s="503"/>
      <c r="T147" s="107"/>
      <c r="U147" s="64"/>
      <c r="V147" s="64"/>
      <c r="W147" s="64"/>
      <c r="X147" s="64"/>
      <c r="Y147" s="64"/>
      <c r="Z147" s="64"/>
      <c r="AA147" s="64"/>
      <c r="AB147" s="64"/>
      <c r="AC147" s="64"/>
      <c r="AD147" s="64"/>
      <c r="AE147" s="64"/>
      <c r="AF147" s="64"/>
      <c r="AG147" s="64"/>
      <c r="AH147" s="64"/>
      <c r="AI147" s="64"/>
      <c r="AJ147" s="64"/>
      <c r="AK147" s="64"/>
      <c r="AL147" s="64"/>
      <c r="AM147" s="64"/>
      <c r="AN147" s="64"/>
      <c r="AO147" s="64"/>
      <c r="AP147" s="64"/>
      <c r="AQ147" s="64"/>
      <c r="AR147" s="64"/>
      <c r="AS147" s="64"/>
      <c r="AT147" s="64"/>
      <c r="AU147" s="64"/>
      <c r="AV147" s="64"/>
      <c r="AW147" s="64"/>
      <c r="AX147" s="64"/>
      <c r="AY147" s="64"/>
      <c r="AZ147" s="64"/>
      <c r="BA147" s="64"/>
      <c r="BB147" s="64"/>
      <c r="BC147" s="64"/>
      <c r="BD147" s="64"/>
      <c r="BE147" s="64"/>
      <c r="BF147" s="64"/>
      <c r="BG147" s="64"/>
      <c r="BH147" s="64"/>
      <c r="BI147" s="64"/>
      <c r="BJ147" s="64"/>
      <c r="BK147" s="64"/>
      <c r="BL147" s="64"/>
      <c r="BM147" s="64"/>
      <c r="BN147" s="64"/>
      <c r="BO147" s="64"/>
      <c r="BP147" s="64"/>
      <c r="BQ147" s="64"/>
      <c r="BR147" s="64"/>
      <c r="BS147" s="64"/>
      <c r="BT147" s="64"/>
      <c r="BU147" s="64"/>
      <c r="BV147" s="64"/>
      <c r="BW147" s="64"/>
      <c r="BX147" s="64"/>
      <c r="BY147" s="64"/>
      <c r="BZ147" s="64"/>
      <c r="CA147" s="64"/>
      <c r="CB147" s="64"/>
      <c r="CC147" s="64"/>
      <c r="CD147" s="64"/>
      <c r="CE147" s="64"/>
      <c r="CF147" s="64"/>
      <c r="CG147" s="64"/>
      <c r="CH147" s="64"/>
      <c r="CI147" s="64"/>
      <c r="CJ147" s="64"/>
      <c r="CK147" s="64"/>
      <c r="CL147" s="64"/>
      <c r="CM147" s="64"/>
      <c r="CN147" s="64"/>
      <c r="CO147" s="64"/>
      <c r="CP147" s="64"/>
      <c r="CQ147" s="64"/>
      <c r="CR147" s="64"/>
      <c r="CS147" s="64"/>
      <c r="CT147" s="64"/>
      <c r="CU147" s="64"/>
      <c r="CV147" s="64"/>
      <c r="CW147" s="64"/>
      <c r="CX147" s="64"/>
      <c r="CY147" s="64"/>
      <c r="CZ147" s="64"/>
      <c r="DA147" s="64"/>
      <c r="DB147" s="64"/>
      <c r="DC147" s="64"/>
      <c r="DD147" s="64"/>
      <c r="DE147" s="64"/>
      <c r="DF147" s="64"/>
      <c r="DG147" s="64"/>
      <c r="DH147" s="64"/>
      <c r="DI147" s="64"/>
      <c r="DJ147" s="64"/>
      <c r="DK147" s="64"/>
      <c r="DL147" s="64"/>
      <c r="DM147" s="64"/>
      <c r="DN147" s="64"/>
      <c r="DO147" s="64"/>
      <c r="DP147" s="64"/>
      <c r="DQ147" s="64"/>
      <c r="DR147" s="64"/>
      <c r="DS147" s="64"/>
      <c r="DT147" s="64"/>
      <c r="DU147" s="64"/>
      <c r="DV147" s="64"/>
      <c r="DW147" s="64"/>
      <c r="DX147" s="64"/>
      <c r="DY147" s="64"/>
      <c r="DZ147" s="64"/>
      <c r="EA147" s="64"/>
      <c r="EB147" s="64"/>
      <c r="EC147" s="64"/>
      <c r="ED147" s="64"/>
      <c r="EE147" s="64"/>
      <c r="EF147" s="64"/>
      <c r="EG147" s="64"/>
      <c r="EH147" s="64"/>
      <c r="EI147" s="64"/>
      <c r="EJ147" s="64"/>
      <c r="EK147" s="64"/>
      <c r="EL147" s="64"/>
      <c r="EM147" s="64"/>
      <c r="EN147" s="64"/>
      <c r="EO147" s="64"/>
      <c r="EP147" s="64"/>
      <c r="EQ147" s="64"/>
      <c r="ER147" s="64"/>
      <c r="ES147" s="64"/>
      <c r="ET147" s="64"/>
      <c r="EU147" s="64"/>
      <c r="EV147" s="64"/>
      <c r="EW147" s="64"/>
      <c r="EX147" s="64"/>
      <c r="EY147" s="64"/>
      <c r="EZ147" s="64"/>
      <c r="FA147" s="64"/>
      <c r="FB147" s="64"/>
      <c r="FC147" s="64"/>
      <c r="FD147" s="64"/>
      <c r="FE147" s="64"/>
      <c r="FF147" s="64"/>
      <c r="FG147" s="64"/>
      <c r="FH147" s="64"/>
      <c r="FI147" s="64"/>
      <c r="FJ147" s="64"/>
      <c r="FK147" s="64"/>
      <c r="FL147" s="64"/>
      <c r="FM147" s="64"/>
      <c r="FN147" s="64"/>
      <c r="FO147" s="64"/>
      <c r="FP147" s="64"/>
      <c r="FQ147" s="64"/>
      <c r="FR147" s="64"/>
      <c r="FS147" s="64"/>
      <c r="FT147" s="64"/>
      <c r="FU147" s="64"/>
      <c r="FV147" s="64"/>
      <c r="FW147" s="64"/>
      <c r="FX147" s="64"/>
      <c r="FY147" s="64"/>
      <c r="FZ147" s="64"/>
      <c r="GA147" s="64"/>
      <c r="GB147" s="64"/>
      <c r="GC147" s="64"/>
      <c r="GD147" s="64"/>
      <c r="GE147" s="64"/>
      <c r="GF147" s="64"/>
      <c r="GG147" s="64"/>
      <c r="GH147" s="64"/>
      <c r="GI147" s="64"/>
      <c r="GJ147" s="64"/>
      <c r="GK147" s="64"/>
      <c r="GL147" s="64"/>
      <c r="GM147" s="64"/>
      <c r="GN147" s="64"/>
      <c r="GO147" s="64"/>
      <c r="GP147" s="64"/>
      <c r="GQ147" s="64"/>
      <c r="GR147" s="64"/>
      <c r="GS147" s="64"/>
      <c r="GT147" s="64"/>
      <c r="GU147" s="64"/>
      <c r="GV147" s="64"/>
      <c r="GW147" s="64"/>
      <c r="GX147" s="64"/>
      <c r="GY147" s="64"/>
      <c r="GZ147" s="64"/>
      <c r="HA147" s="64"/>
      <c r="HB147" s="64"/>
      <c r="HC147" s="64"/>
      <c r="HD147" s="64"/>
      <c r="HE147" s="64"/>
      <c r="HF147" s="64"/>
      <c r="HG147" s="64"/>
      <c r="HH147" s="64"/>
      <c r="HI147" s="64"/>
      <c r="HJ147" s="64"/>
      <c r="HK147" s="64"/>
      <c r="HL147" s="64"/>
      <c r="HM147" s="64"/>
      <c r="HN147" s="64"/>
      <c r="HO147" s="64"/>
      <c r="HP147" s="64"/>
      <c r="HQ147" s="64"/>
      <c r="HR147" s="64"/>
      <c r="HS147" s="64"/>
      <c r="HT147" s="64"/>
      <c r="HU147" s="64"/>
      <c r="HV147" s="64"/>
      <c r="HW147" s="64"/>
      <c r="HX147" s="64"/>
      <c r="HY147" s="64"/>
      <c r="HZ147" s="64"/>
      <c r="IA147" s="64"/>
      <c r="IB147" s="64"/>
      <c r="IC147" s="64"/>
      <c r="ID147" s="64"/>
      <c r="IE147" s="64"/>
      <c r="IF147" s="64"/>
      <c r="IG147" s="64"/>
      <c r="IH147" s="64"/>
      <c r="II147" s="64"/>
      <c r="IJ147" s="64"/>
      <c r="IK147" s="64"/>
      <c r="IL147" s="64"/>
      <c r="IM147" s="64"/>
      <c r="IN147" s="64"/>
      <c r="IO147" s="64"/>
      <c r="IP147" s="64"/>
      <c r="IQ147" s="64"/>
      <c r="IR147" s="64"/>
      <c r="IS147" s="64"/>
      <c r="IT147" s="64"/>
      <c r="IU147" s="64"/>
      <c r="IV147" s="64"/>
      <c r="IW147" s="64"/>
      <c r="IX147" s="64"/>
      <c r="IY147" s="64"/>
      <c r="IZ147" s="64"/>
      <c r="JA147" s="64"/>
      <c r="JB147" s="64"/>
      <c r="JC147" s="64"/>
      <c r="JD147" s="64"/>
      <c r="JE147" s="64"/>
      <c r="JF147" s="64"/>
      <c r="JG147" s="64"/>
      <c r="JH147" s="64"/>
      <c r="JI147" s="64"/>
      <c r="JJ147" s="64"/>
      <c r="JK147" s="64"/>
      <c r="JL147" s="64"/>
      <c r="JM147" s="64"/>
      <c r="JN147" s="64"/>
      <c r="JO147" s="64"/>
      <c r="JP147" s="64"/>
      <c r="JQ147" s="64"/>
      <c r="JR147" s="64"/>
      <c r="JS147" s="64"/>
      <c r="JT147" s="64"/>
      <c r="JU147" s="64"/>
      <c r="JV147" s="64"/>
      <c r="JW147" s="64"/>
      <c r="JX147" s="64"/>
      <c r="JY147" s="64"/>
      <c r="JZ147" s="64"/>
      <c r="KA147" s="64"/>
      <c r="KB147" s="64"/>
      <c r="KC147" s="64"/>
      <c r="KD147" s="64"/>
      <c r="KE147" s="64"/>
      <c r="KF147" s="64"/>
      <c r="KG147" s="64"/>
      <c r="KH147" s="64"/>
      <c r="KI147" s="64"/>
      <c r="KJ147" s="64"/>
      <c r="KK147" s="64"/>
      <c r="KL147" s="64"/>
      <c r="KM147" s="64"/>
      <c r="KN147" s="64"/>
      <c r="KO147" s="64"/>
      <c r="KP147" s="64"/>
      <c r="KQ147" s="64"/>
      <c r="KR147" s="64"/>
      <c r="KS147" s="64"/>
      <c r="KT147" s="64"/>
      <c r="KU147" s="64"/>
      <c r="KV147" s="64"/>
      <c r="KW147" s="64"/>
      <c r="KX147" s="64"/>
      <c r="KY147" s="64"/>
      <c r="KZ147" s="64"/>
      <c r="LA147" s="64"/>
      <c r="LB147" s="64"/>
      <c r="LC147" s="64"/>
      <c r="LD147" s="64"/>
      <c r="LE147" s="64"/>
      <c r="LF147" s="64"/>
      <c r="LG147" s="64"/>
      <c r="LH147" s="64"/>
      <c r="LI147" s="64"/>
      <c r="LJ147" s="64"/>
      <c r="LK147" s="64"/>
      <c r="LL147" s="64"/>
      <c r="LM147" s="64"/>
      <c r="LN147" s="64"/>
      <c r="LO147" s="64"/>
      <c r="LP147" s="64"/>
      <c r="LQ147" s="64"/>
      <c r="LR147" s="64"/>
      <c r="LS147" s="64"/>
      <c r="LT147" s="64"/>
      <c r="LU147" s="64"/>
      <c r="LV147" s="64"/>
      <c r="LW147" s="64"/>
      <c r="LX147" s="64"/>
      <c r="LY147" s="64"/>
      <c r="LZ147" s="64"/>
      <c r="MA147" s="64"/>
      <c r="MB147" s="64"/>
      <c r="MC147" s="64"/>
      <c r="MD147" s="64"/>
      <c r="ME147" s="64"/>
      <c r="MF147" s="64"/>
      <c r="MG147" s="64"/>
      <c r="MH147" s="64"/>
      <c r="MI147" s="64"/>
      <c r="MJ147" s="64"/>
      <c r="MK147" s="64"/>
      <c r="ML147" s="64"/>
      <c r="MM147" s="64"/>
      <c r="MN147" s="64"/>
      <c r="MO147" s="64"/>
      <c r="MP147" s="64"/>
      <c r="MQ147" s="64"/>
      <c r="MR147" s="64"/>
      <c r="MS147" s="64"/>
      <c r="MT147" s="64"/>
      <c r="MU147" s="64"/>
      <c r="MV147" s="64"/>
      <c r="MW147" s="64"/>
      <c r="MX147" s="64"/>
      <c r="MY147" s="64"/>
      <c r="MZ147" s="64"/>
      <c r="NA147" s="64"/>
      <c r="NB147" s="64"/>
      <c r="NC147" s="64"/>
      <c r="ND147" s="64"/>
      <c r="NE147" s="64"/>
      <c r="NF147" s="64"/>
      <c r="NG147" s="64"/>
      <c r="NH147" s="64"/>
      <c r="NI147" s="64"/>
      <c r="NJ147" s="64"/>
      <c r="NK147" s="64"/>
      <c r="NL147" s="64"/>
      <c r="NM147" s="64"/>
      <c r="NN147" s="64"/>
      <c r="NO147" s="64"/>
      <c r="NP147" s="64"/>
      <c r="NQ147" s="64"/>
      <c r="NR147" s="64"/>
      <c r="NS147" s="64"/>
      <c r="NT147" s="64"/>
      <c r="NU147" s="64"/>
      <c r="NV147" s="64"/>
      <c r="NW147" s="64"/>
      <c r="NX147" s="64"/>
      <c r="NY147" s="64"/>
      <c r="NZ147" s="64"/>
      <c r="OA147" s="64"/>
      <c r="OB147" s="64"/>
      <c r="OC147" s="64"/>
      <c r="OD147" s="64"/>
      <c r="OE147" s="64"/>
      <c r="OF147" s="64"/>
      <c r="OG147" s="64"/>
      <c r="OH147" s="64"/>
      <c r="OI147" s="64"/>
      <c r="OJ147" s="64"/>
      <c r="OK147" s="64"/>
      <c r="OL147" s="64"/>
    </row>
    <row r="148" spans="1:402" x14ac:dyDescent="0.3">
      <c r="A148" s="811"/>
      <c r="B148" s="807"/>
      <c r="C148" s="812"/>
      <c r="D148" s="83" t="s">
        <v>164</v>
      </c>
      <c r="E148" s="258">
        <f>IF(AND($F$2="No",$F$3="No"),SUM(I148:L148),IF(AND($F$2="Yes", $F$3="No"), SUM(I148:L148)+N148, IF(AND($F$2="No", $F$3="Yes"),SUM(I148:L148)+M148, SUM(I148:L148)+N148+M148)))</f>
        <v>-1.6779366942127178</v>
      </c>
      <c r="F148" s="85">
        <f>IF(AND($F$2="No",$F$3="No"),SUM(H148:L148,O148),IF(AND($F$2="Yes", $F$3="No"), SUM(H148:L148,O148)+N148, IF(AND($F$2="No", $F$3="Yes"),SUM(H148:L148,O148)+M148, SUM(H148:L148,O148)+N148+M148)))</f>
        <v>3.2217313591869665</v>
      </c>
      <c r="G148" s="278">
        <f>SUM(Q148:S148)/(1-'Common input data'!B$126)</f>
        <v>1.2779400868278139</v>
      </c>
      <c r="H148" s="306">
        <f>SUM(H152,H156,H160,H164,H168,H172)/'Input data meat and eggs'!$H$418</f>
        <v>2.613418053399684</v>
      </c>
      <c r="I148" s="306">
        <f>SUM(I152,I156,I160,I164,I168,I172)/'Input data meat and eggs'!$H$418</f>
        <v>0</v>
      </c>
      <c r="J148" s="306">
        <f>SUM(J152,J156,J160,J164,J168,J172)/'Input data meat and eggs'!$H$418</f>
        <v>0</v>
      </c>
      <c r="K148" s="306">
        <f>SUM(K152,K156,K160,K164,K168,K172)/'Input data meat and eggs'!$H$418</f>
        <v>0</v>
      </c>
      <c r="L148" s="306">
        <f>SUM(L152,L156,L160,L164,L168,L172)/'Input data meat and eggs'!$H$418</f>
        <v>0</v>
      </c>
      <c r="M148" s="306">
        <f>SUM(M152,M156,M160,M164,M168,M172)/'Input data meat and eggs'!$H$418</f>
        <v>-1.7574502313943272</v>
      </c>
      <c r="N148" s="306">
        <f>SUM(N152,N156,N160,N164,N168,N172)/'Input data meat and eggs'!$H$418</f>
        <v>7.9513537181609403E-2</v>
      </c>
      <c r="O148" s="306">
        <f>'Input data meat and eggs'!B83*'Common input data'!C63</f>
        <v>2.2862499999999999</v>
      </c>
      <c r="P148" s="306">
        <f>'Input data meat and eggs'!B92*'Common input data'!C63+'Input data meat and eggs'!C92*3.6*'Common input data'!B49</f>
        <v>0.60756226415094339</v>
      </c>
      <c r="Q148" s="306">
        <f>SUM(Q152,Q156,Q160,Q164,Q168,Q172)/'Input data meat and eggs'!$H$418</f>
        <v>0.93548135918696618</v>
      </c>
      <c r="R148" s="306">
        <f>'Common input data'!B92</f>
        <v>0.1</v>
      </c>
      <c r="S148" s="306">
        <f>'Common input data'!B99+'Common input data'!C99</f>
        <v>0.13</v>
      </c>
      <c r="T148" s="107"/>
    </row>
    <row r="149" spans="1:402" x14ac:dyDescent="0.3">
      <c r="A149" s="811"/>
      <c r="B149" s="807"/>
      <c r="C149" s="812"/>
      <c r="D149" s="83" t="s">
        <v>165</v>
      </c>
      <c r="E149" s="258">
        <f>SUM(I149:L149)</f>
        <v>0.48422689258609292</v>
      </c>
      <c r="F149" s="85">
        <f>SUM(H149:L149,O149)</f>
        <v>0.48602403018937046</v>
      </c>
      <c r="G149" s="278">
        <f>SUM(Q149:S149)/(1-'Common input data'!B$126)</f>
        <v>0.5329210857339588</v>
      </c>
      <c r="H149" s="306">
        <f>SUM(H153,H157,H161,H165,H169,H173)/'Input data meat and eggs'!$H$418</f>
        <v>1.7971376032775445E-3</v>
      </c>
      <c r="I149" s="306">
        <f>SUM(I153,I157,I161,I165,I169,I173)/'Input data meat and eggs'!$H$418</f>
        <v>0</v>
      </c>
      <c r="J149" s="306">
        <f>SUM(J153,J157,J161,J165,J169,J173)/'Input data meat and eggs'!$H$418</f>
        <v>3.3327984593408286E-2</v>
      </c>
      <c r="K149" s="306">
        <f>SUM(K153,K157,K161,K165,K169,K173)/'Input data meat and eggs'!$H$418</f>
        <v>0</v>
      </c>
      <c r="L149" s="306">
        <f>SUM(L153,L157,L161,L165,L169,L173)/'Input data meat and eggs'!$H$418</f>
        <v>0.45089890799268462</v>
      </c>
      <c r="M149" s="306">
        <f>SUM(M153,M157,M161,M165,M169,M173)/'Input data meat and eggs'!$H$418</f>
        <v>0</v>
      </c>
      <c r="N149" s="306">
        <f>SUM(N153,N157,N161,N165,N169,N173)/'Input data meat and eggs'!$H$418</f>
        <v>0</v>
      </c>
      <c r="O149" s="306">
        <v>0</v>
      </c>
      <c r="P149" s="306">
        <f>'Input data meat and eggs'!C92*3.6*'Common input data'!B50</f>
        <v>1.0392452830188681E-4</v>
      </c>
      <c r="Q149" s="306">
        <f>SUM(Q153,Q157,Q161,Q165,Q169,Q173)/'Input data meat and eggs'!$H$418</f>
        <v>0.48602403018937035</v>
      </c>
      <c r="R149" s="495">
        <v>0</v>
      </c>
      <c r="S149" s="495">
        <v>0</v>
      </c>
      <c r="T149" s="107"/>
    </row>
    <row r="150" spans="1:402" x14ac:dyDescent="0.3">
      <c r="A150" s="806"/>
      <c r="B150" s="813"/>
      <c r="C150" s="808"/>
      <c r="D150" s="84" t="s">
        <v>166</v>
      </c>
      <c r="E150" s="258">
        <f>SUM(I150:L150)</f>
        <v>2.0153328478187564E-2</v>
      </c>
      <c r="F150" s="85">
        <f>SUM(H150:L150,O150)</f>
        <v>2.2752479465812575E-2</v>
      </c>
      <c r="G150" s="278">
        <f>SUM(Q150:S150)/(1-'Common input data'!B$126)</f>
        <v>2.4947894151110286E-2</v>
      </c>
      <c r="H150" s="306">
        <f>SUM(H154,H158,H162,H166,H170,H174)/'Input data meat and eggs'!$H$418</f>
        <v>2.5991509876250153E-3</v>
      </c>
      <c r="I150" s="306">
        <f>SUM(I154,I158,I162,I166,I170,I174)/'Input data meat and eggs'!$H$418</f>
        <v>6.5696060701405847E-3</v>
      </c>
      <c r="J150" s="306">
        <f>SUM(J154,J158,J162,J166,J170,J174)/'Input data meat and eggs'!$H$418</f>
        <v>1.2509176965835393E-2</v>
      </c>
      <c r="K150" s="306">
        <f>SUM(K154,K158,K162,K166,K170,K174)/'Input data meat and eggs'!$H$418</f>
        <v>1.0745454422115847E-3</v>
      </c>
      <c r="L150" s="306">
        <f>SUM(L154,L158,L162,L166,L170,L174)/'Input data meat and eggs'!$H$418</f>
        <v>0</v>
      </c>
      <c r="M150" s="306">
        <f>SUM(M154,M158,M162,M166,M170,M174)/'Input data meat and eggs'!$H$418</f>
        <v>0</v>
      </c>
      <c r="N150" s="306">
        <f>SUM(N154,N158,N162,N166,N170,N174)/'Input data meat and eggs'!$H$418</f>
        <v>0</v>
      </c>
      <c r="O150" s="306">
        <v>0</v>
      </c>
      <c r="P150" s="306">
        <f>'Input data meat and eggs'!C92*3.6*'Common input data'!B51</f>
        <v>9.6880754716981128E-6</v>
      </c>
      <c r="Q150" s="306">
        <f>SUM(Q154,Q158,Q162,Q166,Q170,Q174)/'Input data meat and eggs'!$H$418</f>
        <v>2.2752479465812579E-2</v>
      </c>
      <c r="R150" s="495">
        <v>0</v>
      </c>
      <c r="S150" s="495">
        <v>0</v>
      </c>
      <c r="T150" s="107"/>
    </row>
    <row r="151" spans="1:402" s="102" customFormat="1" x14ac:dyDescent="0.3">
      <c r="A151" s="809"/>
      <c r="B151" s="804" t="s">
        <v>691</v>
      </c>
      <c r="C151" s="805"/>
      <c r="D151" s="269" t="s">
        <v>473</v>
      </c>
      <c r="E151" s="464">
        <f>IF($F$1="GWP100 without fb",E152+E153*'Common input data'!$C$5+E154*'Common input data'!$D$5,IF($F$1="GWP100 with fb",E152+E153*'Common input data'!$C$6+E154*'Common input data'!$D$6,IF($F$1="GTP100 without fb",E152+E153*'Common input data'!$C$7+E154*'Common input data'!$D$7,IF($F$1="GTP100 with fb",E152+E153*'Common input data'!$C$8+E154*'Common input data'!$D$8,E152+E153*'Common input data'!$C$9+E154*'Common input data'!$D$9))))</f>
        <v>3697393236.6604643</v>
      </c>
      <c r="F151" s="465">
        <f>IF($F$1="GWP100 without fb",F152+F153*'Common input data'!$C$5+F154*'Common input data'!$D$5,IF($F$1="GWP100 with fb",F152+F153*'Common input data'!$C$6+F154*'Common input data'!$D$6,IF($F$1="GTP100 without fb",F152+F153*'Common input data'!$C$7+F154*'Common input data'!$D$7,IF($F$1="GTP100 with fb",F152+F153*'Common input data'!$C$8+F154*'Common input data'!$D$8,F152+F153*'Common input data'!$C$9+F154*'Common input data'!$D$9))))</f>
        <v>4106022719.0873065</v>
      </c>
      <c r="G151" s="510"/>
      <c r="H151" s="387"/>
      <c r="I151" s="387"/>
      <c r="J151" s="387"/>
      <c r="K151" s="387"/>
      <c r="L151" s="387"/>
      <c r="M151" s="387"/>
      <c r="N151" s="387"/>
      <c r="O151" s="387"/>
      <c r="P151" s="387"/>
      <c r="Q151" s="387"/>
      <c r="R151" s="104"/>
      <c r="S151" s="104"/>
      <c r="T151" s="107"/>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c r="AT151" s="64"/>
      <c r="AU151" s="64"/>
      <c r="AV151" s="64"/>
      <c r="AW151" s="64"/>
      <c r="AX151" s="64"/>
      <c r="AY151" s="64"/>
      <c r="AZ151" s="64"/>
      <c r="BA151" s="64"/>
      <c r="BB151" s="64"/>
      <c r="BC151" s="64"/>
      <c r="BD151" s="64"/>
      <c r="BE151" s="64"/>
      <c r="BF151" s="64"/>
      <c r="BG151" s="64"/>
      <c r="BH151" s="64"/>
      <c r="BI151" s="64"/>
      <c r="BJ151" s="64"/>
      <c r="BK151" s="64"/>
      <c r="BL151" s="64"/>
      <c r="BM151" s="64"/>
      <c r="BN151" s="64"/>
      <c r="BO151" s="64"/>
      <c r="BP151" s="64"/>
      <c r="BQ151" s="64"/>
      <c r="BR151" s="64"/>
      <c r="BS151" s="64"/>
      <c r="BT151" s="64"/>
      <c r="BU151" s="64"/>
      <c r="BV151" s="64"/>
      <c r="BW151" s="64"/>
      <c r="BX151" s="64"/>
      <c r="BY151" s="64"/>
      <c r="BZ151" s="64"/>
      <c r="CA151" s="64"/>
      <c r="CB151" s="64"/>
      <c r="CC151" s="64"/>
      <c r="CD151" s="64"/>
      <c r="CE151" s="64"/>
      <c r="CF151" s="64"/>
      <c r="CG151" s="64"/>
      <c r="CH151" s="64"/>
      <c r="CI151" s="64"/>
      <c r="CJ151" s="64"/>
      <c r="CK151" s="64"/>
      <c r="CL151" s="64"/>
      <c r="CM151" s="64"/>
      <c r="CN151" s="64"/>
      <c r="CO151" s="64"/>
      <c r="CP151" s="64"/>
      <c r="CQ151" s="64"/>
      <c r="CR151" s="64"/>
      <c r="CS151" s="64"/>
      <c r="CT151" s="64"/>
      <c r="CU151" s="64"/>
      <c r="CV151" s="64"/>
      <c r="CW151" s="64"/>
      <c r="CX151" s="64"/>
      <c r="CY151" s="64"/>
      <c r="CZ151" s="64"/>
      <c r="DA151" s="64"/>
      <c r="DB151" s="64"/>
      <c r="DC151" s="64"/>
      <c r="DD151" s="64"/>
      <c r="DE151" s="64"/>
      <c r="DF151" s="64"/>
      <c r="DG151" s="64"/>
      <c r="DH151" s="64"/>
      <c r="DI151" s="64"/>
      <c r="DJ151" s="64"/>
      <c r="DK151" s="64"/>
      <c r="DL151" s="64"/>
      <c r="DM151" s="64"/>
      <c r="DN151" s="64"/>
      <c r="DO151" s="64"/>
      <c r="DP151" s="64"/>
      <c r="DQ151" s="64"/>
      <c r="DR151" s="64"/>
      <c r="DS151" s="64"/>
      <c r="DT151" s="64"/>
      <c r="DU151" s="64"/>
      <c r="DV151" s="64"/>
      <c r="DW151" s="64"/>
      <c r="DX151" s="64"/>
      <c r="DY151" s="64"/>
      <c r="DZ151" s="64"/>
      <c r="EA151" s="64"/>
      <c r="EB151" s="64"/>
      <c r="EC151" s="64"/>
      <c r="ED151" s="64"/>
      <c r="EE151" s="64"/>
      <c r="EF151" s="64"/>
      <c r="EG151" s="64"/>
      <c r="EH151" s="64"/>
      <c r="EI151" s="64"/>
      <c r="EJ151" s="64"/>
      <c r="EK151" s="64"/>
      <c r="EL151" s="64"/>
      <c r="EM151" s="64"/>
      <c r="EN151" s="64"/>
      <c r="EO151" s="64"/>
      <c r="EP151" s="64"/>
      <c r="EQ151" s="64"/>
      <c r="ER151" s="64"/>
      <c r="ES151" s="64"/>
      <c r="ET151" s="64"/>
      <c r="EU151" s="64"/>
      <c r="EV151" s="64"/>
      <c r="EW151" s="64"/>
      <c r="EX151" s="64"/>
      <c r="EY151" s="64"/>
      <c r="EZ151" s="64"/>
      <c r="FA151" s="64"/>
      <c r="FB151" s="64"/>
      <c r="FC151" s="64"/>
      <c r="FD151" s="64"/>
      <c r="FE151" s="64"/>
      <c r="FF151" s="64"/>
      <c r="FG151" s="64"/>
      <c r="FH151" s="64"/>
      <c r="FI151" s="64"/>
      <c r="FJ151" s="64"/>
      <c r="FK151" s="64"/>
      <c r="FL151" s="64"/>
      <c r="FM151" s="64"/>
      <c r="FN151" s="64"/>
      <c r="FO151" s="64"/>
      <c r="FP151" s="64"/>
      <c r="FQ151" s="64"/>
      <c r="FR151" s="64"/>
      <c r="FS151" s="64"/>
      <c r="FT151" s="64"/>
      <c r="FU151" s="64"/>
      <c r="FV151" s="64"/>
      <c r="FW151" s="64"/>
      <c r="FX151" s="64"/>
      <c r="FY151" s="64"/>
      <c r="FZ151" s="64"/>
      <c r="GA151" s="64"/>
      <c r="GB151" s="64"/>
      <c r="GC151" s="64"/>
      <c r="GD151" s="64"/>
      <c r="GE151" s="64"/>
      <c r="GF151" s="64"/>
      <c r="GG151" s="64"/>
      <c r="GH151" s="64"/>
      <c r="GI151" s="64"/>
      <c r="GJ151" s="64"/>
      <c r="GK151" s="64"/>
      <c r="GL151" s="64"/>
      <c r="GM151" s="64"/>
      <c r="GN151" s="64"/>
      <c r="GO151" s="64"/>
      <c r="GP151" s="64"/>
      <c r="GQ151" s="64"/>
      <c r="GR151" s="64"/>
      <c r="GS151" s="64"/>
      <c r="GT151" s="64"/>
      <c r="GU151" s="64"/>
      <c r="GV151" s="64"/>
      <c r="GW151" s="64"/>
      <c r="GX151" s="64"/>
      <c r="GY151" s="64"/>
      <c r="GZ151" s="64"/>
      <c r="HA151" s="64"/>
      <c r="HB151" s="64"/>
      <c r="HC151" s="64"/>
      <c r="HD151" s="64"/>
      <c r="HE151" s="64"/>
      <c r="HF151" s="64"/>
      <c r="HG151" s="64"/>
      <c r="HH151" s="64"/>
      <c r="HI151" s="64"/>
      <c r="HJ151" s="64"/>
      <c r="HK151" s="64"/>
      <c r="HL151" s="64"/>
      <c r="HM151" s="64"/>
      <c r="HN151" s="64"/>
      <c r="HO151" s="64"/>
      <c r="HP151" s="64"/>
      <c r="HQ151" s="64"/>
      <c r="HR151" s="64"/>
      <c r="HS151" s="64"/>
      <c r="HT151" s="64"/>
      <c r="HU151" s="64"/>
      <c r="HV151" s="64"/>
      <c r="HW151" s="64"/>
      <c r="HX151" s="64"/>
      <c r="HY151" s="64"/>
      <c r="HZ151" s="64"/>
      <c r="IA151" s="64"/>
      <c r="IB151" s="64"/>
      <c r="IC151" s="64"/>
      <c r="ID151" s="64"/>
      <c r="IE151" s="64"/>
      <c r="IF151" s="64"/>
      <c r="IG151" s="64"/>
      <c r="IH151" s="64"/>
      <c r="II151" s="64"/>
      <c r="IJ151" s="64"/>
      <c r="IK151" s="64"/>
      <c r="IL151" s="64"/>
      <c r="IM151" s="64"/>
      <c r="IN151" s="64"/>
      <c r="IO151" s="64"/>
      <c r="IP151" s="64"/>
      <c r="IQ151" s="64"/>
      <c r="IR151" s="64"/>
      <c r="IS151" s="64"/>
      <c r="IT151" s="64"/>
      <c r="IU151" s="64"/>
      <c r="IV151" s="64"/>
      <c r="IW151" s="64"/>
      <c r="IX151" s="64"/>
      <c r="IY151" s="64"/>
      <c r="IZ151" s="64"/>
      <c r="JA151" s="64"/>
      <c r="JB151" s="64"/>
      <c r="JC151" s="64"/>
      <c r="JD151" s="64"/>
      <c r="JE151" s="64"/>
      <c r="JF151" s="64"/>
      <c r="JG151" s="64"/>
      <c r="JH151" s="64"/>
      <c r="JI151" s="64"/>
      <c r="JJ151" s="64"/>
      <c r="JK151" s="64"/>
      <c r="JL151" s="64"/>
      <c r="JM151" s="64"/>
      <c r="JN151" s="64"/>
      <c r="JO151" s="64"/>
      <c r="JP151" s="64"/>
      <c r="JQ151" s="64"/>
      <c r="JR151" s="64"/>
      <c r="JS151" s="64"/>
      <c r="JT151" s="64"/>
      <c r="JU151" s="64"/>
      <c r="JV151" s="64"/>
      <c r="JW151" s="64"/>
      <c r="JX151" s="64"/>
      <c r="JY151" s="64"/>
      <c r="JZ151" s="64"/>
      <c r="KA151" s="64"/>
      <c r="KB151" s="64"/>
      <c r="KC151" s="64"/>
      <c r="KD151" s="64"/>
      <c r="KE151" s="64"/>
      <c r="KF151" s="64"/>
      <c r="KG151" s="64"/>
      <c r="KH151" s="64"/>
      <c r="KI151" s="64"/>
      <c r="KJ151" s="64"/>
      <c r="KK151" s="64"/>
      <c r="KL151" s="64"/>
      <c r="KM151" s="64"/>
      <c r="KN151" s="64"/>
      <c r="KO151" s="64"/>
      <c r="KP151" s="64"/>
      <c r="KQ151" s="64"/>
      <c r="KR151" s="64"/>
      <c r="KS151" s="64"/>
      <c r="KT151" s="64"/>
      <c r="KU151" s="64"/>
      <c r="KV151" s="64"/>
      <c r="KW151" s="64"/>
      <c r="KX151" s="64"/>
      <c r="KY151" s="64"/>
      <c r="KZ151" s="64"/>
      <c r="LA151" s="64"/>
      <c r="LB151" s="64"/>
      <c r="LC151" s="64"/>
      <c r="LD151" s="64"/>
      <c r="LE151" s="64"/>
      <c r="LF151" s="64"/>
      <c r="LG151" s="64"/>
      <c r="LH151" s="64"/>
      <c r="LI151" s="64"/>
      <c r="LJ151" s="64"/>
      <c r="LK151" s="64"/>
      <c r="LL151" s="64"/>
      <c r="LM151" s="64"/>
      <c r="LN151" s="64"/>
      <c r="LO151" s="64"/>
      <c r="LP151" s="64"/>
      <c r="LQ151" s="64"/>
      <c r="LR151" s="64"/>
      <c r="LS151" s="64"/>
      <c r="LT151" s="64"/>
      <c r="LU151" s="64"/>
      <c r="LV151" s="64"/>
      <c r="LW151" s="64"/>
      <c r="LX151" s="64"/>
      <c r="LY151" s="64"/>
      <c r="LZ151" s="64"/>
      <c r="MA151" s="64"/>
      <c r="MB151" s="64"/>
      <c r="MC151" s="64"/>
      <c r="MD151" s="64"/>
      <c r="ME151" s="64"/>
      <c r="MF151" s="64"/>
      <c r="MG151" s="64"/>
      <c r="MH151" s="64"/>
      <c r="MI151" s="64"/>
      <c r="MJ151" s="64"/>
      <c r="MK151" s="64"/>
      <c r="ML151" s="64"/>
      <c r="MM151" s="64"/>
      <c r="MN151" s="64"/>
      <c r="MO151" s="64"/>
      <c r="MP151" s="64"/>
      <c r="MQ151" s="64"/>
      <c r="MR151" s="64"/>
      <c r="MS151" s="64"/>
      <c r="MT151" s="64"/>
      <c r="MU151" s="64"/>
      <c r="MV151" s="64"/>
      <c r="MW151" s="64"/>
      <c r="MX151" s="64"/>
      <c r="MY151" s="64"/>
      <c r="MZ151" s="64"/>
      <c r="NA151" s="64"/>
      <c r="NB151" s="64"/>
      <c r="NC151" s="64"/>
      <c r="ND151" s="64"/>
      <c r="NE151" s="64"/>
      <c r="NF151" s="64"/>
      <c r="NG151" s="64"/>
      <c r="NH151" s="64"/>
      <c r="NI151" s="64"/>
      <c r="NJ151" s="64"/>
      <c r="NK151" s="64"/>
      <c r="NL151" s="64"/>
      <c r="NM151" s="64"/>
      <c r="NN151" s="64"/>
      <c r="NO151" s="64"/>
      <c r="NP151" s="64"/>
      <c r="NQ151" s="64"/>
      <c r="NR151" s="64"/>
      <c r="NS151" s="64"/>
      <c r="NT151" s="64"/>
      <c r="NU151" s="64"/>
      <c r="NV151" s="64"/>
      <c r="NW151" s="64"/>
      <c r="NX151" s="64"/>
      <c r="NY151" s="64"/>
      <c r="NZ151" s="64"/>
      <c r="OA151" s="64"/>
      <c r="OB151" s="64"/>
      <c r="OC151" s="64"/>
      <c r="OD151" s="64"/>
      <c r="OE151" s="64"/>
      <c r="OF151" s="64"/>
      <c r="OG151" s="64"/>
      <c r="OH151" s="64"/>
      <c r="OI151" s="64"/>
      <c r="OJ151" s="64"/>
      <c r="OK151" s="64"/>
      <c r="OL151" s="64"/>
    </row>
    <row r="152" spans="1:402" x14ac:dyDescent="0.3">
      <c r="A152" s="811"/>
      <c r="B152" s="807"/>
      <c r="C152" s="812"/>
      <c r="D152" s="83" t="s">
        <v>164</v>
      </c>
      <c r="E152" s="466">
        <f>IF(AND($F$2="No",$F$3="No"),SUM(I152:L152),IF(AND($F$2="Yes", $F$3="No"), SUM(I152:L152)+N152, IF(AND($F$2="No", $F$3="Yes"),SUM(I152:L152)+M152, SUM(I152:L152)+N152+M152)))</f>
        <v>-343344526.92765993</v>
      </c>
      <c r="F152" s="89">
        <f>IF(AND($F$2="No",$F$3="No"),SUM(H152:L152,O152),IF(AND($F$2="Yes", $F$3="No"), SUM(H152:L152,O152)+N152, IF(AND($F$2="No", $F$3="Yes"),SUM(H152:L152,O152)+M152, SUM(H152:L152,O152)+N152+M152)))</f>
        <v>-29057518.086541712</v>
      </c>
      <c r="G152" s="491"/>
      <c r="H152" s="89">
        <f>('Input data meat and eggs'!S412*'Input data meat and eggs'!B48+'Input data meat and eggs'!T412*'Input data meat and eggs'!B47+'Input data meat and eggs'!U412*'Input data meat and eggs'!B35+'Input data meat and eggs'!V412*SUMPRODUCT('Input data meat and eggs'!B37:B46,'Input data meat and eggs'!E65:E74))*'Input data meat and eggs'!$C$412</f>
        <v>314287008.84111822</v>
      </c>
      <c r="I152" s="89">
        <v>0</v>
      </c>
      <c r="J152" s="89">
        <v>0</v>
      </c>
      <c r="K152" s="89">
        <v>0</v>
      </c>
      <c r="L152" s="89">
        <v>0</v>
      </c>
      <c r="M152" s="89">
        <f>(('Input data meat and eggs'!S412+'Input data meat and eggs'!T412)*'Common input data'!F13+
'Input data meat and eggs'!U412*'Common input data'!B13+'Input data meat and eggs'!V412*('Input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eggs'!$C$412</f>
        <v>-343344526.92765993</v>
      </c>
      <c r="N152" s="85">
        <f>('Input data meat and eggs'!V412*('Input data meat and eggs'!E67*'Common input data'!B21*'Common input data'!G30/'Common input data'!F30+'Input data meat and eggs'!E71*'Common input data'!C21*'Common input data'!J31/'Common input data'!I31))*'Input data meat and eggs'!$C$412</f>
        <v>0</v>
      </c>
      <c r="O152" s="89">
        <v>0</v>
      </c>
      <c r="P152" s="89">
        <v>0</v>
      </c>
      <c r="Q152" s="89">
        <f>SUM(F152+P152)</f>
        <v>-29057518.086541712</v>
      </c>
      <c r="R152" s="85"/>
      <c r="S152" s="85"/>
      <c r="T152" s="107"/>
    </row>
    <row r="153" spans="1:402" x14ac:dyDescent="0.3">
      <c r="A153" s="811"/>
      <c r="B153" s="807"/>
      <c r="C153" s="807"/>
      <c r="D153" s="83" t="s">
        <v>165</v>
      </c>
      <c r="E153" s="466">
        <f>SUM(I153:L153)</f>
        <v>92521167.262686074</v>
      </c>
      <c r="F153" s="89">
        <f>SUM(H153:L153,O153)</f>
        <v>92682751.005107015</v>
      </c>
      <c r="G153" s="491"/>
      <c r="H153" s="89">
        <f>('Input data meat and eggs'!S412*'Input data meat and eggs'!C48+'Input data meat and eggs'!T412*'Input data meat and eggs'!C47+'Input data meat and eggs'!U412*'Input data meat and eggs'!C35+'Input data meat and eggs'!V412*SUMPRODUCT('Input data meat and eggs'!C37:C46,'Input data meat and eggs'!E65:E74))*'Input data meat and eggs'!$C$412</f>
        <v>161583.74242093525</v>
      </c>
      <c r="I153" s="89">
        <v>0</v>
      </c>
      <c r="J153" s="89">
        <f>'Input data meat and eggs'!N412*'Input data meat and eggs'!G412/12*'Input data meat and eggs'!C412</f>
        <v>7516199.7761419751</v>
      </c>
      <c r="K153" s="89">
        <v>0</v>
      </c>
      <c r="L153" s="89">
        <f>('Input data meat and eggs'!L412*'Input data meat and eggs'!G412/12)*'Input data meat and eggs'!$C$412</f>
        <v>85004967.486544102</v>
      </c>
      <c r="M153" s="89">
        <v>0</v>
      </c>
      <c r="N153" s="89">
        <v>0</v>
      </c>
      <c r="O153" s="89">
        <v>0</v>
      </c>
      <c r="P153" s="89">
        <v>0</v>
      </c>
      <c r="Q153" s="89">
        <f>SUM(F153+P153)</f>
        <v>92682751.005107015</v>
      </c>
      <c r="R153" s="85"/>
      <c r="S153" s="85"/>
      <c r="T153" s="107"/>
    </row>
    <row r="154" spans="1:402" x14ac:dyDescent="0.3">
      <c r="A154" s="811"/>
      <c r="B154" s="807"/>
      <c r="C154" s="808"/>
      <c r="D154" s="84" t="s">
        <v>166</v>
      </c>
      <c r="E154" s="466">
        <f>SUM(I154:L154)</f>
        <v>3003416.3646201272</v>
      </c>
      <c r="F154" s="89">
        <f>SUM(H154:L154,O154)</f>
        <v>3301566.1174503681</v>
      </c>
      <c r="G154" s="491"/>
      <c r="H154" s="89">
        <f>(('Input data meat and eggs'!S412*'Input data meat and eggs'!D48+'Input data meat and eggs'!T412*'Input data meat and eggs'!D47+'Input data meat and eggs'!U412*'Input data meat and eggs'!D35+'Input data meat and eggs'!V412*SUMPRODUCT('Input data meat and eggs'!D37:D46,'Input data meat and eggs'!E65:E74))*'Input data meat and eggs'!B58)*'Input data meat and eggs'!$C$412</f>
        <v>298149.75283024029</v>
      </c>
      <c r="I154" s="89">
        <f>(('Input data meat and eggs'!S412*'Input data meat and eggs'!D48+'Input data meat and eggs'!T412*'Input data meat and eggs'!D47+'Input data meat and eggs'!U412*'Input data meat and eggs'!D35+'Input data meat and eggs'!V412*SUMPRODUCT('Input data meat and eggs'!D37:D46,'Input data meat and eggs'!E65:E74))*'Input data meat and eggs'!C58)*'Input data meat and eggs'!$C$412</f>
        <v>753602.40144965798</v>
      </c>
      <c r="J154" s="89">
        <f>('Input data meat and eggs'!K412*'Input data meat and eggs'!G412/12*('Input data meat and eggs'!$O$412*'Input data meat and eggs'!$B$445+'Input data meat and eggs'!$P$412*'Input data meat and eggs'!$C$445+'Input data meat and eggs'!$Q$412*'Input data meat and eggs'!$D$445+'Input data meat and eggs'!$R$412*'Input data meat and eggs'!$E$445)*44/28)*'Input data meat and eggs'!$C$412</f>
        <v>2047152.693207457</v>
      </c>
      <c r="K154" s="89">
        <f>('Input data meat and eggs'!$B$446*44/28*'Input data meat and eggs'!K412*'Input data meat and eggs'!G412/12*('Input data meat and eggs'!O412*'Input data meat and eggs'!B458+'Input data meat and eggs'!P412*'Input data meat and eggs'!C458+'Input data meat and eggs'!Q412*'Input data meat and eggs'!D458))*'Input data meat and eggs'!$C$412</f>
        <v>202661.26996301251</v>
      </c>
      <c r="L154" s="89">
        <v>0</v>
      </c>
      <c r="M154" s="89">
        <v>0</v>
      </c>
      <c r="N154" s="89">
        <v>0</v>
      </c>
      <c r="O154" s="89">
        <v>0</v>
      </c>
      <c r="P154" s="89">
        <v>0</v>
      </c>
      <c r="Q154" s="89">
        <f>SUM(F154+P154)</f>
        <v>3301566.1174503681</v>
      </c>
      <c r="R154" s="85"/>
      <c r="S154" s="85"/>
      <c r="T154" s="107"/>
    </row>
    <row r="155" spans="1:402" s="102" customFormat="1" x14ac:dyDescent="0.3">
      <c r="A155" s="809"/>
      <c r="B155" s="804" t="s">
        <v>692</v>
      </c>
      <c r="C155" s="805"/>
      <c r="D155" s="269" t="s">
        <v>473</v>
      </c>
      <c r="E155" s="464">
        <f>IF($F$1="GWP100 without fb",E156+E157*'Common input data'!$C$5+E158*'Common input data'!$D$5,IF($F$1="GWP100 with fb",E156+E157*'Common input data'!$C$6+E158*'Common input data'!$D$6,IF($F$1="GTP100 without fb",E156+E157*'Common input data'!$C$7+E158*'Common input data'!$D$7,IF($F$1="GTP100 with fb",E156+E157*'Common input data'!$C$8+E158*'Common input data'!$D$8,E156+E157*'Common input data'!$C$9+E158*'Common input data'!$D$9))))</f>
        <v>937920004.60239136</v>
      </c>
      <c r="F155" s="465">
        <f>IF($F$1="GWP100 without fb",F156+F157*'Common input data'!$C$5+F158*'Common input data'!$D$5,IF($F$1="GWP100 with fb",F156+F157*'Common input data'!$C$6+F158*'Common input data'!$D$6,IF($F$1="GTP100 without fb",F156+F157*'Common input data'!$C$7+F158*'Common input data'!$D$7,IF($F$1="GTP100 with fb",F156+F157*'Common input data'!$C$8+F158*'Common input data'!$D$8,F156+F157*'Common input data'!$C$9+F158*'Common input data'!$D$9))))</f>
        <v>1066851238.2225422</v>
      </c>
      <c r="G155" s="510"/>
      <c r="H155" s="387"/>
      <c r="I155" s="387"/>
      <c r="J155" s="387"/>
      <c r="K155" s="387"/>
      <c r="L155" s="387"/>
      <c r="M155" s="387"/>
      <c r="N155" s="387"/>
      <c r="O155" s="387"/>
      <c r="P155" s="387"/>
      <c r="Q155" s="387"/>
      <c r="T155" s="107"/>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4"/>
      <c r="CA155" s="64"/>
      <c r="CB155" s="64"/>
      <c r="CC155" s="64"/>
      <c r="CD155" s="64"/>
      <c r="CE155" s="64"/>
      <c r="CF155" s="64"/>
      <c r="CG155" s="64"/>
      <c r="CH155" s="64"/>
      <c r="CI155" s="64"/>
      <c r="CJ155" s="64"/>
      <c r="CK155" s="64"/>
      <c r="CL155" s="64"/>
      <c r="CM155" s="64"/>
      <c r="CN155" s="64"/>
      <c r="CO155" s="64"/>
      <c r="CP155" s="64"/>
      <c r="CQ155" s="64"/>
      <c r="CR155" s="64"/>
      <c r="CS155" s="64"/>
      <c r="CT155" s="64"/>
      <c r="CU155" s="64"/>
      <c r="CV155" s="64"/>
      <c r="CW155" s="64"/>
      <c r="CX155" s="64"/>
      <c r="CY155" s="64"/>
      <c r="CZ155" s="64"/>
      <c r="DA155" s="64"/>
      <c r="DB155" s="64"/>
      <c r="DC155" s="64"/>
      <c r="DD155" s="64"/>
      <c r="DE155" s="64"/>
      <c r="DF155" s="64"/>
      <c r="DG155" s="64"/>
      <c r="DH155" s="64"/>
      <c r="DI155" s="64"/>
      <c r="DJ155" s="64"/>
      <c r="DK155" s="64"/>
      <c r="DL155" s="64"/>
      <c r="DM155" s="64"/>
      <c r="DN155" s="64"/>
      <c r="DO155" s="64"/>
      <c r="DP155" s="64"/>
      <c r="DQ155" s="64"/>
      <c r="DR155" s="64"/>
      <c r="DS155" s="64"/>
      <c r="DT155" s="64"/>
      <c r="DU155" s="64"/>
      <c r="DV155" s="64"/>
      <c r="DW155" s="64"/>
      <c r="DX155" s="64"/>
      <c r="DY155" s="64"/>
      <c r="DZ155" s="64"/>
      <c r="EA155" s="64"/>
      <c r="EB155" s="64"/>
      <c r="EC155" s="64"/>
      <c r="ED155" s="64"/>
      <c r="EE155" s="64"/>
      <c r="EF155" s="64"/>
      <c r="EG155" s="64"/>
      <c r="EH155" s="64"/>
      <c r="EI155" s="64"/>
      <c r="EJ155" s="64"/>
      <c r="EK155" s="64"/>
      <c r="EL155" s="64"/>
      <c r="EM155" s="64"/>
      <c r="EN155" s="64"/>
      <c r="EO155" s="64"/>
      <c r="EP155" s="64"/>
      <c r="EQ155" s="64"/>
      <c r="ER155" s="64"/>
      <c r="ES155" s="64"/>
      <c r="ET155" s="64"/>
      <c r="EU155" s="64"/>
      <c r="EV155" s="64"/>
      <c r="EW155" s="64"/>
      <c r="EX155" s="64"/>
      <c r="EY155" s="64"/>
      <c r="EZ155" s="64"/>
      <c r="FA155" s="64"/>
      <c r="FB155" s="64"/>
      <c r="FC155" s="64"/>
      <c r="FD155" s="64"/>
      <c r="FE155" s="64"/>
      <c r="FF155" s="64"/>
      <c r="FG155" s="64"/>
      <c r="FH155" s="64"/>
      <c r="FI155" s="64"/>
      <c r="FJ155" s="64"/>
      <c r="FK155" s="64"/>
      <c r="FL155" s="64"/>
      <c r="FM155" s="64"/>
      <c r="FN155" s="64"/>
      <c r="FO155" s="64"/>
      <c r="FP155" s="64"/>
      <c r="FQ155" s="64"/>
      <c r="FR155" s="64"/>
      <c r="FS155" s="64"/>
      <c r="FT155" s="64"/>
      <c r="FU155" s="64"/>
      <c r="FV155" s="64"/>
      <c r="FW155" s="64"/>
      <c r="FX155" s="64"/>
      <c r="FY155" s="64"/>
      <c r="FZ155" s="64"/>
      <c r="GA155" s="64"/>
      <c r="GB155" s="64"/>
      <c r="GC155" s="64"/>
      <c r="GD155" s="64"/>
      <c r="GE155" s="64"/>
      <c r="GF155" s="64"/>
      <c r="GG155" s="64"/>
      <c r="GH155" s="64"/>
      <c r="GI155" s="64"/>
      <c r="GJ155" s="64"/>
      <c r="GK155" s="64"/>
      <c r="GL155" s="64"/>
      <c r="GM155" s="64"/>
      <c r="GN155" s="64"/>
      <c r="GO155" s="64"/>
      <c r="GP155" s="64"/>
      <c r="GQ155" s="64"/>
      <c r="GR155" s="64"/>
      <c r="GS155" s="64"/>
      <c r="GT155" s="64"/>
      <c r="GU155" s="64"/>
      <c r="GV155" s="64"/>
      <c r="GW155" s="64"/>
      <c r="GX155" s="64"/>
      <c r="GY155" s="64"/>
      <c r="GZ155" s="64"/>
      <c r="HA155" s="64"/>
      <c r="HB155" s="64"/>
      <c r="HC155" s="64"/>
      <c r="HD155" s="64"/>
      <c r="HE155" s="64"/>
      <c r="HF155" s="64"/>
      <c r="HG155" s="64"/>
      <c r="HH155" s="64"/>
      <c r="HI155" s="64"/>
      <c r="HJ155" s="64"/>
      <c r="HK155" s="64"/>
      <c r="HL155" s="64"/>
      <c r="HM155" s="64"/>
      <c r="HN155" s="64"/>
      <c r="HO155" s="64"/>
      <c r="HP155" s="64"/>
      <c r="HQ155" s="64"/>
      <c r="HR155" s="64"/>
      <c r="HS155" s="64"/>
      <c r="HT155" s="64"/>
      <c r="HU155" s="64"/>
      <c r="HV155" s="64"/>
      <c r="HW155" s="64"/>
      <c r="HX155" s="64"/>
      <c r="HY155" s="64"/>
      <c r="HZ155" s="64"/>
      <c r="IA155" s="64"/>
      <c r="IB155" s="64"/>
      <c r="IC155" s="64"/>
      <c r="ID155" s="64"/>
      <c r="IE155" s="64"/>
      <c r="IF155" s="64"/>
      <c r="IG155" s="64"/>
      <c r="IH155" s="64"/>
      <c r="II155" s="64"/>
      <c r="IJ155" s="64"/>
      <c r="IK155" s="64"/>
      <c r="IL155" s="64"/>
      <c r="IM155" s="64"/>
      <c r="IN155" s="64"/>
      <c r="IO155" s="64"/>
      <c r="IP155" s="64"/>
      <c r="IQ155" s="64"/>
      <c r="IR155" s="64"/>
      <c r="IS155" s="64"/>
      <c r="IT155" s="64"/>
      <c r="IU155" s="64"/>
      <c r="IV155" s="64"/>
      <c r="IW155" s="64"/>
      <c r="IX155" s="64"/>
      <c r="IY155" s="64"/>
      <c r="IZ155" s="64"/>
      <c r="JA155" s="64"/>
      <c r="JB155" s="64"/>
      <c r="JC155" s="64"/>
      <c r="JD155" s="64"/>
      <c r="JE155" s="64"/>
      <c r="JF155" s="64"/>
      <c r="JG155" s="64"/>
      <c r="JH155" s="64"/>
      <c r="JI155" s="64"/>
      <c r="JJ155" s="64"/>
      <c r="JK155" s="64"/>
      <c r="JL155" s="64"/>
      <c r="JM155" s="64"/>
      <c r="JN155" s="64"/>
      <c r="JO155" s="64"/>
      <c r="JP155" s="64"/>
      <c r="JQ155" s="64"/>
      <c r="JR155" s="64"/>
      <c r="JS155" s="64"/>
      <c r="JT155" s="64"/>
      <c r="JU155" s="64"/>
      <c r="JV155" s="64"/>
      <c r="JW155" s="64"/>
      <c r="JX155" s="64"/>
      <c r="JY155" s="64"/>
      <c r="JZ155" s="64"/>
      <c r="KA155" s="64"/>
      <c r="KB155" s="64"/>
      <c r="KC155" s="64"/>
      <c r="KD155" s="64"/>
      <c r="KE155" s="64"/>
      <c r="KF155" s="64"/>
      <c r="KG155" s="64"/>
      <c r="KH155" s="64"/>
      <c r="KI155" s="64"/>
      <c r="KJ155" s="64"/>
      <c r="KK155" s="64"/>
      <c r="KL155" s="64"/>
      <c r="KM155" s="64"/>
      <c r="KN155" s="64"/>
      <c r="KO155" s="64"/>
      <c r="KP155" s="64"/>
      <c r="KQ155" s="64"/>
      <c r="KR155" s="64"/>
      <c r="KS155" s="64"/>
      <c r="KT155" s="64"/>
      <c r="KU155" s="64"/>
      <c r="KV155" s="64"/>
      <c r="KW155" s="64"/>
      <c r="KX155" s="64"/>
      <c r="KY155" s="64"/>
      <c r="KZ155" s="64"/>
      <c r="LA155" s="64"/>
      <c r="LB155" s="64"/>
      <c r="LC155" s="64"/>
      <c r="LD155" s="64"/>
      <c r="LE155" s="64"/>
      <c r="LF155" s="64"/>
      <c r="LG155" s="64"/>
      <c r="LH155" s="64"/>
      <c r="LI155" s="64"/>
      <c r="LJ155" s="64"/>
      <c r="LK155" s="64"/>
      <c r="LL155" s="64"/>
      <c r="LM155" s="64"/>
      <c r="LN155" s="64"/>
      <c r="LO155" s="64"/>
      <c r="LP155" s="64"/>
      <c r="LQ155" s="64"/>
      <c r="LR155" s="64"/>
      <c r="LS155" s="64"/>
      <c r="LT155" s="64"/>
      <c r="LU155" s="64"/>
      <c r="LV155" s="64"/>
      <c r="LW155" s="64"/>
      <c r="LX155" s="64"/>
      <c r="LY155" s="64"/>
      <c r="LZ155" s="64"/>
      <c r="MA155" s="64"/>
      <c r="MB155" s="64"/>
      <c r="MC155" s="64"/>
      <c r="MD155" s="64"/>
      <c r="ME155" s="64"/>
      <c r="MF155" s="64"/>
      <c r="MG155" s="64"/>
      <c r="MH155" s="64"/>
      <c r="MI155" s="64"/>
      <c r="MJ155" s="64"/>
      <c r="MK155" s="64"/>
      <c r="ML155" s="64"/>
      <c r="MM155" s="64"/>
      <c r="MN155" s="64"/>
      <c r="MO155" s="64"/>
      <c r="MP155" s="64"/>
      <c r="MQ155" s="64"/>
      <c r="MR155" s="64"/>
      <c r="MS155" s="64"/>
      <c r="MT155" s="64"/>
      <c r="MU155" s="64"/>
      <c r="MV155" s="64"/>
      <c r="MW155" s="64"/>
      <c r="MX155" s="64"/>
      <c r="MY155" s="64"/>
      <c r="MZ155" s="64"/>
      <c r="NA155" s="64"/>
      <c r="NB155" s="64"/>
      <c r="NC155" s="64"/>
      <c r="ND155" s="64"/>
      <c r="NE155" s="64"/>
      <c r="NF155" s="64"/>
      <c r="NG155" s="64"/>
      <c r="NH155" s="64"/>
      <c r="NI155" s="64"/>
      <c r="NJ155" s="64"/>
      <c r="NK155" s="64"/>
      <c r="NL155" s="64"/>
      <c r="NM155" s="64"/>
      <c r="NN155" s="64"/>
      <c r="NO155" s="64"/>
      <c r="NP155" s="64"/>
      <c r="NQ155" s="64"/>
      <c r="NR155" s="64"/>
      <c r="NS155" s="64"/>
      <c r="NT155" s="64"/>
      <c r="NU155" s="64"/>
      <c r="NV155" s="64"/>
      <c r="NW155" s="64"/>
      <c r="NX155" s="64"/>
      <c r="NY155" s="64"/>
      <c r="NZ155" s="64"/>
      <c r="OA155" s="64"/>
      <c r="OB155" s="64"/>
      <c r="OC155" s="64"/>
      <c r="OD155" s="64"/>
      <c r="OE155" s="64"/>
      <c r="OF155" s="64"/>
      <c r="OG155" s="64"/>
      <c r="OH155" s="64"/>
      <c r="OI155" s="64"/>
      <c r="OJ155" s="64"/>
      <c r="OK155" s="64"/>
      <c r="OL155" s="64"/>
    </row>
    <row r="156" spans="1:402" x14ac:dyDescent="0.3">
      <c r="A156" s="811"/>
      <c r="B156" s="807"/>
      <c r="C156" s="812"/>
      <c r="D156" s="83" t="s">
        <v>164</v>
      </c>
      <c r="E156" s="466">
        <f>IF(AND($F$2="No",$F$3="No"),SUM(I156:L156),IF(AND($F$2="Yes", $F$3="No"), SUM(I156:L156)+N156, IF(AND($F$2="No", $F$3="Yes"),SUM(I156:L156)+M156, SUM(I156:L156)+N156+M156)))</f>
        <v>-30538742.223782983</v>
      </c>
      <c r="F156" s="89">
        <f>IF(AND($F$2="No",$F$3="No"),SUM(H156:L156,O156),IF(AND($F$2="Yes", $F$3="No"), SUM(H156:L156,O156)+N156, IF(AND($F$2="No", $F$3="Yes"),SUM(H156:L156,O156)+M156, SUM(H156:L156,O156)+N156+M156)))</f>
        <v>65844871.34737464</v>
      </c>
      <c r="G156" s="491"/>
      <c r="H156" s="89">
        <f>('Input data meat and eggs'!S413*'Input data meat and eggs'!B48+'Input data meat and eggs'!T413*'Input data meat and eggs'!B47+'Input data meat and eggs'!U413*'Input data meat and eggs'!B35+'Input data meat and eggs'!V413*SUMPRODUCT('Input data meat and eggs'!B37:B46,'Input data meat and eggs'!E65:E74))*'Input data meat and eggs'!$C$413</f>
        <v>96383613.571157619</v>
      </c>
      <c r="I156" s="89">
        <v>0</v>
      </c>
      <c r="J156" s="89">
        <v>0</v>
      </c>
      <c r="K156" s="89">
        <v>0</v>
      </c>
      <c r="L156" s="89">
        <v>0</v>
      </c>
      <c r="M156" s="89">
        <f>(('Input data meat and eggs'!S413+'Input data meat and eggs'!T413)*'Common input data'!F13+
'Input data meat and eggs'!U413*'Common input data'!B13+'Input data meat and eggs'!V413*('Input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eggs'!$C$413</f>
        <v>-35234318.957074903</v>
      </c>
      <c r="N156" s="89">
        <f>('Input data meat and eggs'!V413*('Input data meat and eggs'!E67*'Common input data'!B21*'Common input data'!G30/'Common input data'!F30+'Input data meat and eggs'!E71*'Common input data'!C21*'Common input data'!J31/'Common input data'!I31))*'Input data meat and eggs'!$C$413</f>
        <v>4695576.7332919212</v>
      </c>
      <c r="O156" s="89">
        <v>0</v>
      </c>
      <c r="P156" s="89">
        <v>0</v>
      </c>
      <c r="Q156" s="89">
        <f>SUM(F156+P156)</f>
        <v>65844871.34737464</v>
      </c>
      <c r="T156" s="107"/>
    </row>
    <row r="157" spans="1:402" x14ac:dyDescent="0.3">
      <c r="A157" s="811"/>
      <c r="B157" s="807"/>
      <c r="C157" s="807"/>
      <c r="D157" s="83" t="s">
        <v>165</v>
      </c>
      <c r="E157" s="466">
        <f>SUM(I157:L157)</f>
        <v>20527034.403493833</v>
      </c>
      <c r="F157" s="89">
        <f>SUM(H157:L157,O157)</f>
        <v>20602217.037694898</v>
      </c>
      <c r="G157" s="491"/>
      <c r="H157" s="89">
        <f>('Input data meat and eggs'!S413*'Input data meat and eggs'!C48+'Input data meat and eggs'!T413*'Input data meat and eggs'!C47+'Input data meat and eggs'!U413*'Input data meat and eggs'!C35+'Input data meat and eggs'!V413*SUMPRODUCT('Input data meat and eggs'!C37:C46,'Input data meat and eggs'!E65:E74))*'Input data meat and eggs'!$C$413</f>
        <v>75182.634201064473</v>
      </c>
      <c r="I157" s="89">
        <v>0</v>
      </c>
      <c r="J157" s="89">
        <f>'Input data meat and eggs'!N413*'Input data meat and eggs'!G413/12*'Input data meat and eggs'!C413</f>
        <v>1554543.052932407</v>
      </c>
      <c r="K157" s="89">
        <v>0</v>
      </c>
      <c r="L157" s="89">
        <f>('Input data meat and eggs'!L413*'Input data meat and eggs'!G413/12)*'Input data meat and eggs'!$C$413</f>
        <v>18972491.350561425</v>
      </c>
      <c r="M157" s="89">
        <v>0</v>
      </c>
      <c r="N157" s="89">
        <v>0</v>
      </c>
      <c r="O157" s="89">
        <v>0</v>
      </c>
      <c r="P157" s="89">
        <v>0</v>
      </c>
      <c r="Q157" s="89">
        <f>SUM(F157+P157)</f>
        <v>20602217.037694898</v>
      </c>
      <c r="T157" s="107"/>
    </row>
    <row r="158" spans="1:402" x14ac:dyDescent="0.3">
      <c r="A158" s="811"/>
      <c r="B158" s="807"/>
      <c r="C158" s="808"/>
      <c r="D158" s="84" t="s">
        <v>166</v>
      </c>
      <c r="E158" s="466">
        <f>SUM(I158:L158)</f>
        <v>907850.92989055056</v>
      </c>
      <c r="F158" s="89">
        <f>SUM(H158:L158,O158)</f>
        <v>1008493.2469581913</v>
      </c>
      <c r="G158" s="491"/>
      <c r="H158" s="89">
        <f>(('Input data meat and eggs'!S413*'Input data meat and eggs'!D48+'Input data meat and eggs'!T413*'Input data meat and eggs'!D47+'Input data meat and eggs'!U413*'Input data meat and eggs'!D35+'Input data meat and eggs'!V413*SUMPRODUCT('Input data meat and eggs'!D37:D46,'Input data meat and eggs'!E65:E74))*'Input data meat and eggs'!B58)*'Input data meat and eggs'!$C$413</f>
        <v>100642.3170676407</v>
      </c>
      <c r="I158" s="89">
        <f>(('Input data meat and eggs'!S413*'Input data meat and eggs'!D48+'Input data meat and eggs'!T413*'Input data meat and eggs'!D47+'Input data meat and eggs'!U413*'Input data meat and eggs'!D35+'Input data meat and eggs'!V413*SUMPRODUCT('Input data meat and eggs'!D37:D46,'Input data meat and eggs'!E65:E74))*'Input data meat and eggs'!C58)*'Input data meat and eggs'!$C$413</f>
        <v>254383.21215988378</v>
      </c>
      <c r="J158" s="89">
        <f>('Input data meat and eggs'!K413*'Input data meat and eggs'!G413/12*('Input data meat and eggs'!$O$413*'Input data meat and eggs'!$B$445+'Input data meat and eggs'!$P$413*'Input data meat and eggs'!$C$445+'Input data meat and eggs'!$Q$413*'Input data meat and eggs'!$D$445+'Input data meat and eggs'!$R$413*'Input data meat and eggs'!$E$445)*44/28)*'Input data meat and eggs'!$C$413</f>
        <v>590681.94459851668</v>
      </c>
      <c r="K158" s="89">
        <f>('Input data meat and eggs'!$B$446*44/28*'Input data meat and eggs'!K413*'Input data meat and eggs'!G413/12*('Input data meat and eggs'!O413*'Input data meat and eggs'!B458+'Input data meat and eggs'!P413*'Input data meat and eggs'!C458+'Input data meat and eggs'!Q413*'Input data meat and eggs'!D458))*'Input data meat and eggs'!$C$413</f>
        <v>62785.773132150032</v>
      </c>
      <c r="L158" s="89">
        <v>0</v>
      </c>
      <c r="M158" s="89">
        <v>0</v>
      </c>
      <c r="N158" s="89">
        <v>0</v>
      </c>
      <c r="O158" s="89">
        <v>0</v>
      </c>
      <c r="P158" s="89">
        <v>0</v>
      </c>
      <c r="Q158" s="89">
        <f>SUM(F158+P158)</f>
        <v>1008493.2469581913</v>
      </c>
      <c r="T158" s="107"/>
    </row>
    <row r="159" spans="1:402" s="102" customFormat="1" x14ac:dyDescent="0.3">
      <c r="A159" s="809"/>
      <c r="B159" s="804" t="s">
        <v>693</v>
      </c>
      <c r="C159" s="814"/>
      <c r="D159" s="269" t="s">
        <v>473</v>
      </c>
      <c r="E159" s="464">
        <f>IF($F$1="GWP100 without fb",E160+E161*'Common input data'!$C$5+E162*'Common input data'!$D$5,IF($F$1="GWP100 with fb",E160+E161*'Common input data'!$C$6+E162*'Common input data'!$D$6,IF($F$1="GTP100 without fb",E160+E161*'Common input data'!$C$7+E162*'Common input data'!$D$7,IF($F$1="GTP100 with fb",E160+E161*'Common input data'!$C$8+E162*'Common input data'!$D$8,E160+E161*'Common input data'!$C$9+E162*'Common input data'!$D$9))))</f>
        <v>2219571985.892498</v>
      </c>
      <c r="F159" s="465">
        <f>IF($F$1="GWP100 without fb",F160+F161*'Common input data'!$C$5+F162*'Common input data'!$D$5,IF($F$1="GWP100 with fb",F160+F161*'Common input data'!$C$6+F162*'Common input data'!$D$6,IF($F$1="GTP100 without fb",F160+F161*'Common input data'!$C$7+F162*'Common input data'!$D$7,IF($F$1="GTP100 with fb",F160+F161*'Common input data'!$C$8+F162*'Common input data'!$D$8,F160+F161*'Common input data'!$C$9+F162*'Common input data'!$D$9))))</f>
        <v>2583834362.940443</v>
      </c>
      <c r="G159" s="510"/>
      <c r="H159" s="387"/>
      <c r="I159" s="387"/>
      <c r="J159" s="387"/>
      <c r="K159" s="387"/>
      <c r="L159" s="387"/>
      <c r="M159" s="387"/>
      <c r="N159" s="387"/>
      <c r="O159" s="387"/>
      <c r="P159" s="387"/>
      <c r="Q159" s="387"/>
      <c r="R159" s="104"/>
      <c r="S159" s="104"/>
      <c r="T159" s="107"/>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64"/>
      <c r="AW159" s="64"/>
      <c r="AX159" s="64"/>
      <c r="AY159" s="64"/>
      <c r="AZ159" s="64"/>
      <c r="BA159" s="64"/>
      <c r="BB159" s="64"/>
      <c r="BC159" s="64"/>
      <c r="BD159" s="64"/>
      <c r="BE159" s="64"/>
      <c r="BF159" s="64"/>
      <c r="BG159" s="64"/>
      <c r="BH159" s="64"/>
      <c r="BI159" s="64"/>
      <c r="BJ159" s="64"/>
      <c r="BK159" s="64"/>
      <c r="BL159" s="64"/>
      <c r="BM159" s="64"/>
      <c r="BN159" s="64"/>
      <c r="BO159" s="64"/>
      <c r="BP159" s="64"/>
      <c r="BQ159" s="64"/>
      <c r="BR159" s="64"/>
      <c r="BS159" s="64"/>
      <c r="BT159" s="64"/>
      <c r="BU159" s="64"/>
      <c r="BV159" s="64"/>
      <c r="BW159" s="64"/>
      <c r="BX159" s="64"/>
      <c r="BY159" s="64"/>
      <c r="BZ159" s="64"/>
      <c r="CA159" s="64"/>
      <c r="CB159" s="64"/>
      <c r="CC159" s="64"/>
      <c r="CD159" s="64"/>
      <c r="CE159" s="64"/>
      <c r="CF159" s="64"/>
      <c r="CG159" s="64"/>
      <c r="CH159" s="64"/>
      <c r="CI159" s="64"/>
      <c r="CJ159" s="64"/>
      <c r="CK159" s="64"/>
      <c r="CL159" s="64"/>
      <c r="CM159" s="64"/>
      <c r="CN159" s="64"/>
      <c r="CO159" s="64"/>
      <c r="CP159" s="64"/>
      <c r="CQ159" s="64"/>
      <c r="CR159" s="64"/>
      <c r="CS159" s="64"/>
      <c r="CT159" s="64"/>
      <c r="CU159" s="64"/>
      <c r="CV159" s="64"/>
      <c r="CW159" s="64"/>
      <c r="CX159" s="64"/>
      <c r="CY159" s="64"/>
      <c r="CZ159" s="64"/>
      <c r="DA159" s="64"/>
      <c r="DB159" s="64"/>
      <c r="DC159" s="64"/>
      <c r="DD159" s="64"/>
      <c r="DE159" s="64"/>
      <c r="DF159" s="64"/>
      <c r="DG159" s="64"/>
      <c r="DH159" s="64"/>
      <c r="DI159" s="64"/>
      <c r="DJ159" s="64"/>
      <c r="DK159" s="64"/>
      <c r="DL159" s="64"/>
      <c r="DM159" s="64"/>
      <c r="DN159" s="64"/>
      <c r="DO159" s="64"/>
      <c r="DP159" s="64"/>
      <c r="DQ159" s="64"/>
      <c r="DR159" s="64"/>
      <c r="DS159" s="64"/>
      <c r="DT159" s="64"/>
      <c r="DU159" s="64"/>
      <c r="DV159" s="64"/>
      <c r="DW159" s="64"/>
      <c r="DX159" s="64"/>
      <c r="DY159" s="64"/>
      <c r="DZ159" s="64"/>
      <c r="EA159" s="64"/>
      <c r="EB159" s="64"/>
      <c r="EC159" s="64"/>
      <c r="ED159" s="64"/>
      <c r="EE159" s="64"/>
      <c r="EF159" s="64"/>
      <c r="EG159" s="64"/>
      <c r="EH159" s="64"/>
      <c r="EI159" s="64"/>
      <c r="EJ159" s="64"/>
      <c r="EK159" s="64"/>
      <c r="EL159" s="64"/>
      <c r="EM159" s="64"/>
      <c r="EN159" s="64"/>
      <c r="EO159" s="64"/>
      <c r="EP159" s="64"/>
      <c r="EQ159" s="64"/>
      <c r="ER159" s="64"/>
      <c r="ES159" s="64"/>
      <c r="ET159" s="64"/>
      <c r="EU159" s="64"/>
      <c r="EV159" s="64"/>
      <c r="EW159" s="64"/>
      <c r="EX159" s="64"/>
      <c r="EY159" s="64"/>
      <c r="EZ159" s="64"/>
      <c r="FA159" s="64"/>
      <c r="FB159" s="64"/>
      <c r="FC159" s="64"/>
      <c r="FD159" s="64"/>
      <c r="FE159" s="64"/>
      <c r="FF159" s="64"/>
      <c r="FG159" s="64"/>
      <c r="FH159" s="64"/>
      <c r="FI159" s="64"/>
      <c r="FJ159" s="64"/>
      <c r="FK159" s="64"/>
      <c r="FL159" s="64"/>
      <c r="FM159" s="64"/>
      <c r="FN159" s="64"/>
      <c r="FO159" s="64"/>
      <c r="FP159" s="64"/>
      <c r="FQ159" s="64"/>
      <c r="FR159" s="64"/>
      <c r="FS159" s="64"/>
      <c r="FT159" s="64"/>
      <c r="FU159" s="64"/>
      <c r="FV159" s="64"/>
      <c r="FW159" s="64"/>
      <c r="FX159" s="64"/>
      <c r="FY159" s="64"/>
      <c r="FZ159" s="64"/>
      <c r="GA159" s="64"/>
      <c r="GB159" s="64"/>
      <c r="GC159" s="64"/>
      <c r="GD159" s="64"/>
      <c r="GE159" s="64"/>
      <c r="GF159" s="64"/>
      <c r="GG159" s="64"/>
      <c r="GH159" s="64"/>
      <c r="GI159" s="64"/>
      <c r="GJ159" s="64"/>
      <c r="GK159" s="64"/>
      <c r="GL159" s="64"/>
      <c r="GM159" s="64"/>
      <c r="GN159" s="64"/>
      <c r="GO159" s="64"/>
      <c r="GP159" s="64"/>
      <c r="GQ159" s="64"/>
      <c r="GR159" s="64"/>
      <c r="GS159" s="64"/>
      <c r="GT159" s="64"/>
      <c r="GU159" s="64"/>
      <c r="GV159" s="64"/>
      <c r="GW159" s="64"/>
      <c r="GX159" s="64"/>
      <c r="GY159" s="64"/>
      <c r="GZ159" s="64"/>
      <c r="HA159" s="64"/>
      <c r="HB159" s="64"/>
      <c r="HC159" s="64"/>
      <c r="HD159" s="64"/>
      <c r="HE159" s="64"/>
      <c r="HF159" s="64"/>
      <c r="HG159" s="64"/>
      <c r="HH159" s="64"/>
      <c r="HI159" s="64"/>
      <c r="HJ159" s="64"/>
      <c r="HK159" s="64"/>
      <c r="HL159" s="64"/>
      <c r="HM159" s="64"/>
      <c r="HN159" s="64"/>
      <c r="HO159" s="64"/>
      <c r="HP159" s="64"/>
      <c r="HQ159" s="64"/>
      <c r="HR159" s="64"/>
      <c r="HS159" s="64"/>
      <c r="HT159" s="64"/>
      <c r="HU159" s="64"/>
      <c r="HV159" s="64"/>
      <c r="HW159" s="64"/>
      <c r="HX159" s="64"/>
      <c r="HY159" s="64"/>
      <c r="HZ159" s="64"/>
      <c r="IA159" s="64"/>
      <c r="IB159" s="64"/>
      <c r="IC159" s="64"/>
      <c r="ID159" s="64"/>
      <c r="IE159" s="64"/>
      <c r="IF159" s="64"/>
      <c r="IG159" s="64"/>
      <c r="IH159" s="64"/>
      <c r="II159" s="64"/>
      <c r="IJ159" s="64"/>
      <c r="IK159" s="64"/>
      <c r="IL159" s="64"/>
      <c r="IM159" s="64"/>
      <c r="IN159" s="64"/>
      <c r="IO159" s="64"/>
      <c r="IP159" s="64"/>
      <c r="IQ159" s="64"/>
      <c r="IR159" s="64"/>
      <c r="IS159" s="64"/>
      <c r="IT159" s="64"/>
      <c r="IU159" s="64"/>
      <c r="IV159" s="64"/>
      <c r="IW159" s="64"/>
      <c r="IX159" s="64"/>
      <c r="IY159" s="64"/>
      <c r="IZ159" s="64"/>
      <c r="JA159" s="64"/>
      <c r="JB159" s="64"/>
      <c r="JC159" s="64"/>
      <c r="JD159" s="64"/>
      <c r="JE159" s="64"/>
      <c r="JF159" s="64"/>
      <c r="JG159" s="64"/>
      <c r="JH159" s="64"/>
      <c r="JI159" s="64"/>
      <c r="JJ159" s="64"/>
      <c r="JK159" s="64"/>
      <c r="JL159" s="64"/>
      <c r="JM159" s="64"/>
      <c r="JN159" s="64"/>
      <c r="JO159" s="64"/>
      <c r="JP159" s="64"/>
      <c r="JQ159" s="64"/>
      <c r="JR159" s="64"/>
      <c r="JS159" s="64"/>
      <c r="JT159" s="64"/>
      <c r="JU159" s="64"/>
      <c r="JV159" s="64"/>
      <c r="JW159" s="64"/>
      <c r="JX159" s="64"/>
      <c r="JY159" s="64"/>
      <c r="JZ159" s="64"/>
      <c r="KA159" s="64"/>
      <c r="KB159" s="64"/>
      <c r="KC159" s="64"/>
      <c r="KD159" s="64"/>
      <c r="KE159" s="64"/>
      <c r="KF159" s="64"/>
      <c r="KG159" s="64"/>
      <c r="KH159" s="64"/>
      <c r="KI159" s="64"/>
      <c r="KJ159" s="64"/>
      <c r="KK159" s="64"/>
      <c r="KL159" s="64"/>
      <c r="KM159" s="64"/>
      <c r="KN159" s="64"/>
      <c r="KO159" s="64"/>
      <c r="KP159" s="64"/>
      <c r="KQ159" s="64"/>
      <c r="KR159" s="64"/>
      <c r="KS159" s="64"/>
      <c r="KT159" s="64"/>
      <c r="KU159" s="64"/>
      <c r="KV159" s="64"/>
      <c r="KW159" s="64"/>
      <c r="KX159" s="64"/>
      <c r="KY159" s="64"/>
      <c r="KZ159" s="64"/>
      <c r="LA159" s="64"/>
      <c r="LB159" s="64"/>
      <c r="LC159" s="64"/>
      <c r="LD159" s="64"/>
      <c r="LE159" s="64"/>
      <c r="LF159" s="64"/>
      <c r="LG159" s="64"/>
      <c r="LH159" s="64"/>
      <c r="LI159" s="64"/>
      <c r="LJ159" s="64"/>
      <c r="LK159" s="64"/>
      <c r="LL159" s="64"/>
      <c r="LM159" s="64"/>
      <c r="LN159" s="64"/>
      <c r="LO159" s="64"/>
      <c r="LP159" s="64"/>
      <c r="LQ159" s="64"/>
      <c r="LR159" s="64"/>
      <c r="LS159" s="64"/>
      <c r="LT159" s="64"/>
      <c r="LU159" s="64"/>
      <c r="LV159" s="64"/>
      <c r="LW159" s="64"/>
      <c r="LX159" s="64"/>
      <c r="LY159" s="64"/>
      <c r="LZ159" s="64"/>
      <c r="MA159" s="64"/>
      <c r="MB159" s="64"/>
      <c r="MC159" s="64"/>
      <c r="MD159" s="64"/>
      <c r="ME159" s="64"/>
      <c r="MF159" s="64"/>
      <c r="MG159" s="64"/>
      <c r="MH159" s="64"/>
      <c r="MI159" s="64"/>
      <c r="MJ159" s="64"/>
      <c r="MK159" s="64"/>
      <c r="ML159" s="64"/>
      <c r="MM159" s="64"/>
      <c r="MN159" s="64"/>
      <c r="MO159" s="64"/>
      <c r="MP159" s="64"/>
      <c r="MQ159" s="64"/>
      <c r="MR159" s="64"/>
      <c r="MS159" s="64"/>
      <c r="MT159" s="64"/>
      <c r="MU159" s="64"/>
      <c r="MV159" s="64"/>
      <c r="MW159" s="64"/>
      <c r="MX159" s="64"/>
      <c r="MY159" s="64"/>
      <c r="MZ159" s="64"/>
      <c r="NA159" s="64"/>
      <c r="NB159" s="64"/>
      <c r="NC159" s="64"/>
      <c r="ND159" s="64"/>
      <c r="NE159" s="64"/>
      <c r="NF159" s="64"/>
      <c r="NG159" s="64"/>
      <c r="NH159" s="64"/>
      <c r="NI159" s="64"/>
      <c r="NJ159" s="64"/>
      <c r="NK159" s="64"/>
      <c r="NL159" s="64"/>
      <c r="NM159" s="64"/>
      <c r="NN159" s="64"/>
      <c r="NO159" s="64"/>
      <c r="NP159" s="64"/>
      <c r="NQ159" s="64"/>
      <c r="NR159" s="64"/>
      <c r="NS159" s="64"/>
      <c r="NT159" s="64"/>
      <c r="NU159" s="64"/>
      <c r="NV159" s="64"/>
      <c r="NW159" s="64"/>
      <c r="NX159" s="64"/>
      <c r="NY159" s="64"/>
      <c r="NZ159" s="64"/>
      <c r="OA159" s="64"/>
      <c r="OB159" s="64"/>
      <c r="OC159" s="64"/>
      <c r="OD159" s="64"/>
      <c r="OE159" s="64"/>
      <c r="OF159" s="64"/>
      <c r="OG159" s="64"/>
      <c r="OH159" s="64"/>
      <c r="OI159" s="64"/>
      <c r="OJ159" s="64"/>
      <c r="OK159" s="64"/>
      <c r="OL159" s="64"/>
    </row>
    <row r="160" spans="1:402" x14ac:dyDescent="0.3">
      <c r="A160" s="811"/>
      <c r="B160" s="807"/>
      <c r="C160" s="812"/>
      <c r="D160" s="83" t="s">
        <v>164</v>
      </c>
      <c r="E160" s="466">
        <f>IF(AND($F$2="No",$F$3="No"),SUM(I160:L160),IF(AND($F$2="Yes", $F$3="No"), SUM(I160:L160)+N160, IF(AND($F$2="No", $F$3="Yes"),SUM(I160:L160)+M160, SUM(I160:L160)+N160+M160)))</f>
        <v>-86279441.545272335</v>
      </c>
      <c r="F160" s="89">
        <f>IF(AND($F$2="No",$F$3="No"),SUM(H160:L160,O160),IF(AND($F$2="Yes", $F$3="No"), SUM(H160:L160,O160)+N160, IF(AND($F$2="No", $F$3="Yes"),SUM(H160:L160,O160)+M160, SUM(H160:L160,O160)+N160+M160)))</f>
        <v>186027921.08600619</v>
      </c>
      <c r="G160" s="491"/>
      <c r="H160" s="89">
        <f>('Input data meat and eggs'!S414*'Input data meat and eggs'!B48+'Input data meat and eggs'!T414*'Input data meat and eggs'!B47+'Input data meat and eggs'!U414*'Input data meat and eggs'!B35+'Input data meat and eggs'!V414*SUMPRODUCT('Input data meat and eggs'!B37:B46,'Input data meat and eggs'!E65:E74))*'Input data meat and eggs'!$E$414</f>
        <v>272307362.63127851</v>
      </c>
      <c r="I160" s="89">
        <v>0</v>
      </c>
      <c r="J160" s="89">
        <v>0</v>
      </c>
      <c r="K160" s="89">
        <v>0</v>
      </c>
      <c r="L160" s="89">
        <v>0</v>
      </c>
      <c r="M160" s="89">
        <f>(('Input data meat and eggs'!S414+'Input data meat and eggs'!T414)*'Common input data'!F13+
'Input data meat and eggs'!U414*'Common input data'!B13+'Input data meat and eggs'!V414*('Input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eggs'!$E$414</f>
        <v>-99545598.196802408</v>
      </c>
      <c r="N160" s="89">
        <f>('Input data meat and eggs'!V414*('Input data meat and eggs'!E67*'Common input data'!B21*'Common input data'!G30/'Common input data'!F30+'Input data meat and eggs'!E71*'Common input data'!C21*'Common input data'!J31/'Common input data'!I31))*'Input data meat and eggs'!$E$414</f>
        <v>13266156.651530078</v>
      </c>
      <c r="O160" s="89">
        <v>0</v>
      </c>
      <c r="P160" s="89">
        <v>0</v>
      </c>
      <c r="Q160" s="89">
        <f t="shared" ref="Q160:Q173" si="20">SUM(F160+P160)</f>
        <v>186027921.08600619</v>
      </c>
      <c r="R160" s="85"/>
      <c r="S160" s="85"/>
      <c r="T160" s="107"/>
    </row>
    <row r="161" spans="1:402" x14ac:dyDescent="0.3">
      <c r="A161" s="811"/>
      <c r="B161" s="807"/>
      <c r="C161" s="812"/>
      <c r="D161" s="83" t="s">
        <v>165</v>
      </c>
      <c r="E161" s="466">
        <f>SUM(I161:L161)</f>
        <v>48035460.538873598</v>
      </c>
      <c r="F161" s="89">
        <f>SUM(H161:L161,O161)</f>
        <v>48247869.931678213</v>
      </c>
      <c r="G161" s="491"/>
      <c r="H161" s="89">
        <f>('Input data meat and eggs'!S414*'Input data meat and eggs'!C48+'Input data meat and eggs'!T414*'Input data meat and eggs'!C47+'Input data meat and eggs'!U414*'Input data meat and eggs'!C35+'Input data meat and eggs'!V414*SUMPRODUCT('Input data meat and eggs'!C37:C46,'Input data meat and eggs'!E65:E74))*'Input data meat and eggs'!$E$414</f>
        <v>212409.39280461275</v>
      </c>
      <c r="I161" s="89">
        <v>0</v>
      </c>
      <c r="J161" s="89">
        <f>'Input data meat and eggs'!N414*'Input data meat and eggs'!G414/12*'Input data meat and eggs'!E414</f>
        <v>3367173.6555614104</v>
      </c>
      <c r="K161" s="89">
        <v>0</v>
      </c>
      <c r="L161" s="89">
        <f>('Input data meat and eggs'!L414*'Input data meat and eggs'!G414/12)*'Input data meat and eggs'!$E$414</f>
        <v>44668286.883312188</v>
      </c>
      <c r="M161" s="89">
        <v>0</v>
      </c>
      <c r="N161" s="89">
        <v>0</v>
      </c>
      <c r="O161" s="89">
        <v>0</v>
      </c>
      <c r="P161" s="89">
        <v>0</v>
      </c>
      <c r="Q161" s="89">
        <f t="shared" si="20"/>
        <v>48247869.931678213</v>
      </c>
      <c r="R161" s="85"/>
      <c r="S161" s="85"/>
      <c r="T161" s="107"/>
    </row>
    <row r="162" spans="1:402" x14ac:dyDescent="0.3">
      <c r="A162" s="811"/>
      <c r="B162" s="807"/>
      <c r="C162" s="812"/>
      <c r="D162" s="84" t="s">
        <v>166</v>
      </c>
      <c r="E162" s="466">
        <f>SUM(I162:L162)</f>
        <v>2257200.5675035836</v>
      </c>
      <c r="F162" s="89">
        <f>SUM(H162:L162,O162)</f>
        <v>2541539.8126757648</v>
      </c>
      <c r="G162" s="491"/>
      <c r="H162" s="89">
        <f>(('Input data meat and eggs'!S414*'Input data meat and eggs'!D48+'Input data meat and eggs'!T414*'Input data meat and eggs'!D47+'Input data meat and eggs'!U414*'Input data meat and eggs'!D35+'Input data meat and eggs'!V414*SUMPRODUCT('Input data meat and eggs'!D37:D46,'Input data meat and eggs'!E65:E74))*'Input data meat and eggs'!B58)*'Input data meat and eggs'!$E$414</f>
        <v>284339.24517218111</v>
      </c>
      <c r="I162" s="89">
        <f>(('Input data meat and eggs'!S414*'Input data meat and eggs'!D48+'Input data meat and eggs'!T414*'Input data meat and eggs'!D47+'Input data meat and eggs'!U414*'Input data meat and eggs'!D35+'Input data meat and eggs'!V414*SUMPRODUCT('Input data meat and eggs'!D37:D46,'Input data meat and eggs'!E65:E74))*'Input data meat and eggs'!C58)*'Input data meat and eggs'!$E$414</f>
        <v>718695.00462119852</v>
      </c>
      <c r="J162" s="89">
        <f>('Input data meat and eggs'!K414*'Input data meat and eggs'!G414/12*('Input data meat and eggs'!$O$414*'Input data meat and eggs'!$B$445+'Input data meat and eggs'!$P$414*'Input data meat and eggs'!$C$445+'Input data meat and eggs'!$Q$414*'Input data meat and eggs'!$D$445+'Input data meat and eggs'!$R$414*'Input data meat and eggs'!$E$445)*44/28)*'Input data meat and eggs'!$E$414</f>
        <v>1390684.5479910308</v>
      </c>
      <c r="K162" s="89">
        <f>('Input data meat and eggs'!$B$446*44/28*'Input data meat and eggs'!K414*'Input data meat and eggs'!G414/12*('Input data meat and eggs'!O414*'Input data meat and eggs'!B458+'Input data meat and eggs'!P414*'Input data meat and eggs'!C458+'Input data meat and eggs'!Q414*'Input data meat and eggs'!D458))*'Input data meat and eggs'!$E$414</f>
        <v>147821.01489135437</v>
      </c>
      <c r="L162" s="89">
        <v>0</v>
      </c>
      <c r="M162" s="89">
        <v>0</v>
      </c>
      <c r="N162" s="89">
        <v>0</v>
      </c>
      <c r="O162" s="89">
        <v>0</v>
      </c>
      <c r="P162" s="89">
        <v>0</v>
      </c>
      <c r="Q162" s="89">
        <f t="shared" si="20"/>
        <v>2541539.8126757648</v>
      </c>
      <c r="R162" s="85"/>
      <c r="S162" s="85"/>
      <c r="T162" s="107"/>
    </row>
    <row r="163" spans="1:402" s="102" customFormat="1" x14ac:dyDescent="0.3">
      <c r="A163" s="809"/>
      <c r="B163" s="804" t="s">
        <v>695</v>
      </c>
      <c r="C163" s="814"/>
      <c r="D163" s="269" t="s">
        <v>473</v>
      </c>
      <c r="E163" s="464">
        <f>IF($F$1="GWP100 without fb",E164+E165*'Common input data'!$C$5+E166*'Common input data'!$D$5,IF($F$1="GWP100 with fb",E164+E165*'Common input data'!$C$6+E166*'Common input data'!$D$6,IF($F$1="GTP100 without fb",E164+E165*'Common input data'!$C$7+E166*'Common input data'!$D$7,IF($F$1="GTP100 with fb",E164+E165*'Common input data'!$C$8+E166*'Common input data'!$D$8,E164+E165*'Common input data'!$C$9+E166*'Common input data'!$D$9))))</f>
        <v>1315017524.0789592</v>
      </c>
      <c r="F163" s="465">
        <f>IF($F$1="GWP100 without fb",F164+F165*'Common input data'!$C$5+F166*'Common input data'!$D$5,IF($F$1="GWP100 with fb",F164+F165*'Common input data'!$C$6+F166*'Common input data'!$D$6,IF($F$1="GTP100 without fb",F164+F165*'Common input data'!$C$7+F166*'Common input data'!$D$7,IF($F$1="GTP100 with fb",F164+F165*'Common input data'!$C$8+F166*'Common input data'!$D$8,F164+F165*'Common input data'!$C$9+F166*'Common input data'!$D$9))))</f>
        <v>1540505505.1022627</v>
      </c>
      <c r="G163" s="510"/>
      <c r="H163" s="387"/>
      <c r="I163" s="387"/>
      <c r="J163" s="387"/>
      <c r="K163" s="387"/>
      <c r="L163" s="387"/>
      <c r="M163" s="387"/>
      <c r="N163" s="387"/>
      <c r="O163" s="387"/>
      <c r="P163" s="387"/>
      <c r="Q163" s="387"/>
      <c r="R163" s="104"/>
      <c r="S163" s="104"/>
      <c r="T163" s="107"/>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4"/>
      <c r="CA163" s="64"/>
      <c r="CB163" s="64"/>
      <c r="CC163" s="64"/>
      <c r="CD163" s="64"/>
      <c r="CE163" s="64"/>
      <c r="CF163" s="64"/>
      <c r="CG163" s="64"/>
      <c r="CH163" s="64"/>
      <c r="CI163" s="64"/>
      <c r="CJ163" s="64"/>
      <c r="CK163" s="64"/>
      <c r="CL163" s="64"/>
      <c r="CM163" s="64"/>
      <c r="CN163" s="64"/>
      <c r="CO163" s="64"/>
      <c r="CP163" s="64"/>
      <c r="CQ163" s="64"/>
      <c r="CR163" s="64"/>
      <c r="CS163" s="64"/>
      <c r="CT163" s="64"/>
      <c r="CU163" s="64"/>
      <c r="CV163" s="64"/>
      <c r="CW163" s="64"/>
      <c r="CX163" s="64"/>
      <c r="CY163" s="64"/>
      <c r="CZ163" s="64"/>
      <c r="DA163" s="64"/>
      <c r="DB163" s="64"/>
      <c r="DC163" s="64"/>
      <c r="DD163" s="64"/>
      <c r="DE163" s="64"/>
      <c r="DF163" s="64"/>
      <c r="DG163" s="64"/>
      <c r="DH163" s="64"/>
      <c r="DI163" s="64"/>
      <c r="DJ163" s="64"/>
      <c r="DK163" s="64"/>
      <c r="DL163" s="64"/>
      <c r="DM163" s="64"/>
      <c r="DN163" s="64"/>
      <c r="DO163" s="64"/>
      <c r="DP163" s="64"/>
      <c r="DQ163" s="64"/>
      <c r="DR163" s="64"/>
      <c r="DS163" s="64"/>
      <c r="DT163" s="64"/>
      <c r="DU163" s="64"/>
      <c r="DV163" s="64"/>
      <c r="DW163" s="64"/>
      <c r="DX163" s="64"/>
      <c r="DY163" s="64"/>
      <c r="DZ163" s="64"/>
      <c r="EA163" s="64"/>
      <c r="EB163" s="64"/>
      <c r="EC163" s="64"/>
      <c r="ED163" s="64"/>
      <c r="EE163" s="64"/>
      <c r="EF163" s="64"/>
      <c r="EG163" s="64"/>
      <c r="EH163" s="64"/>
      <c r="EI163" s="64"/>
      <c r="EJ163" s="64"/>
      <c r="EK163" s="64"/>
      <c r="EL163" s="64"/>
      <c r="EM163" s="64"/>
      <c r="EN163" s="64"/>
      <c r="EO163" s="64"/>
      <c r="EP163" s="64"/>
      <c r="EQ163" s="64"/>
      <c r="ER163" s="64"/>
      <c r="ES163" s="64"/>
      <c r="ET163" s="64"/>
      <c r="EU163" s="64"/>
      <c r="EV163" s="64"/>
      <c r="EW163" s="64"/>
      <c r="EX163" s="64"/>
      <c r="EY163" s="64"/>
      <c r="EZ163" s="64"/>
      <c r="FA163" s="64"/>
      <c r="FB163" s="64"/>
      <c r="FC163" s="64"/>
      <c r="FD163" s="64"/>
      <c r="FE163" s="64"/>
      <c r="FF163" s="64"/>
      <c r="FG163" s="64"/>
      <c r="FH163" s="64"/>
      <c r="FI163" s="64"/>
      <c r="FJ163" s="64"/>
      <c r="FK163" s="64"/>
      <c r="FL163" s="64"/>
      <c r="FM163" s="64"/>
      <c r="FN163" s="64"/>
      <c r="FO163" s="64"/>
      <c r="FP163" s="64"/>
      <c r="FQ163" s="64"/>
      <c r="FR163" s="64"/>
      <c r="FS163" s="64"/>
      <c r="FT163" s="64"/>
      <c r="FU163" s="64"/>
      <c r="FV163" s="64"/>
      <c r="FW163" s="64"/>
      <c r="FX163" s="64"/>
      <c r="FY163" s="64"/>
      <c r="FZ163" s="64"/>
      <c r="GA163" s="64"/>
      <c r="GB163" s="64"/>
      <c r="GC163" s="64"/>
      <c r="GD163" s="64"/>
      <c r="GE163" s="64"/>
      <c r="GF163" s="64"/>
      <c r="GG163" s="64"/>
      <c r="GH163" s="64"/>
      <c r="GI163" s="64"/>
      <c r="GJ163" s="64"/>
      <c r="GK163" s="64"/>
      <c r="GL163" s="64"/>
      <c r="GM163" s="64"/>
      <c r="GN163" s="64"/>
      <c r="GO163" s="64"/>
      <c r="GP163" s="64"/>
      <c r="GQ163" s="64"/>
      <c r="GR163" s="64"/>
      <c r="GS163" s="64"/>
      <c r="GT163" s="64"/>
      <c r="GU163" s="64"/>
      <c r="GV163" s="64"/>
      <c r="GW163" s="64"/>
      <c r="GX163" s="64"/>
      <c r="GY163" s="64"/>
      <c r="GZ163" s="64"/>
      <c r="HA163" s="64"/>
      <c r="HB163" s="64"/>
      <c r="HC163" s="64"/>
      <c r="HD163" s="64"/>
      <c r="HE163" s="64"/>
      <c r="HF163" s="64"/>
      <c r="HG163" s="64"/>
      <c r="HH163" s="64"/>
      <c r="HI163" s="64"/>
      <c r="HJ163" s="64"/>
      <c r="HK163" s="64"/>
      <c r="HL163" s="64"/>
      <c r="HM163" s="64"/>
      <c r="HN163" s="64"/>
      <c r="HO163" s="64"/>
      <c r="HP163" s="64"/>
      <c r="HQ163" s="64"/>
      <c r="HR163" s="64"/>
      <c r="HS163" s="64"/>
      <c r="HT163" s="64"/>
      <c r="HU163" s="64"/>
      <c r="HV163" s="64"/>
      <c r="HW163" s="64"/>
      <c r="HX163" s="64"/>
      <c r="HY163" s="64"/>
      <c r="HZ163" s="64"/>
      <c r="IA163" s="64"/>
      <c r="IB163" s="64"/>
      <c r="IC163" s="64"/>
      <c r="ID163" s="64"/>
      <c r="IE163" s="64"/>
      <c r="IF163" s="64"/>
      <c r="IG163" s="64"/>
      <c r="IH163" s="64"/>
      <c r="II163" s="64"/>
      <c r="IJ163" s="64"/>
      <c r="IK163" s="64"/>
      <c r="IL163" s="64"/>
      <c r="IM163" s="64"/>
      <c r="IN163" s="64"/>
      <c r="IO163" s="64"/>
      <c r="IP163" s="64"/>
      <c r="IQ163" s="64"/>
      <c r="IR163" s="64"/>
      <c r="IS163" s="64"/>
      <c r="IT163" s="64"/>
      <c r="IU163" s="64"/>
      <c r="IV163" s="64"/>
      <c r="IW163" s="64"/>
      <c r="IX163" s="64"/>
      <c r="IY163" s="64"/>
      <c r="IZ163" s="64"/>
      <c r="JA163" s="64"/>
      <c r="JB163" s="64"/>
      <c r="JC163" s="64"/>
      <c r="JD163" s="64"/>
      <c r="JE163" s="64"/>
      <c r="JF163" s="64"/>
      <c r="JG163" s="64"/>
      <c r="JH163" s="64"/>
      <c r="JI163" s="64"/>
      <c r="JJ163" s="64"/>
      <c r="JK163" s="64"/>
      <c r="JL163" s="64"/>
      <c r="JM163" s="64"/>
      <c r="JN163" s="64"/>
      <c r="JO163" s="64"/>
      <c r="JP163" s="64"/>
      <c r="JQ163" s="64"/>
      <c r="JR163" s="64"/>
      <c r="JS163" s="64"/>
      <c r="JT163" s="64"/>
      <c r="JU163" s="64"/>
      <c r="JV163" s="64"/>
      <c r="JW163" s="64"/>
      <c r="JX163" s="64"/>
      <c r="JY163" s="64"/>
      <c r="JZ163" s="64"/>
      <c r="KA163" s="64"/>
      <c r="KB163" s="64"/>
      <c r="KC163" s="64"/>
      <c r="KD163" s="64"/>
      <c r="KE163" s="64"/>
      <c r="KF163" s="64"/>
      <c r="KG163" s="64"/>
      <c r="KH163" s="64"/>
      <c r="KI163" s="64"/>
      <c r="KJ163" s="64"/>
      <c r="KK163" s="64"/>
      <c r="KL163" s="64"/>
      <c r="KM163" s="64"/>
      <c r="KN163" s="64"/>
      <c r="KO163" s="64"/>
      <c r="KP163" s="64"/>
      <c r="KQ163" s="64"/>
      <c r="KR163" s="64"/>
      <c r="KS163" s="64"/>
      <c r="KT163" s="64"/>
      <c r="KU163" s="64"/>
      <c r="KV163" s="64"/>
      <c r="KW163" s="64"/>
      <c r="KX163" s="64"/>
      <c r="KY163" s="64"/>
      <c r="KZ163" s="64"/>
      <c r="LA163" s="64"/>
      <c r="LB163" s="64"/>
      <c r="LC163" s="64"/>
      <c r="LD163" s="64"/>
      <c r="LE163" s="64"/>
      <c r="LF163" s="64"/>
      <c r="LG163" s="64"/>
      <c r="LH163" s="64"/>
      <c r="LI163" s="64"/>
      <c r="LJ163" s="64"/>
      <c r="LK163" s="64"/>
      <c r="LL163" s="64"/>
      <c r="LM163" s="64"/>
      <c r="LN163" s="64"/>
      <c r="LO163" s="64"/>
      <c r="LP163" s="64"/>
      <c r="LQ163" s="64"/>
      <c r="LR163" s="64"/>
      <c r="LS163" s="64"/>
      <c r="LT163" s="64"/>
      <c r="LU163" s="64"/>
      <c r="LV163" s="64"/>
      <c r="LW163" s="64"/>
      <c r="LX163" s="64"/>
      <c r="LY163" s="64"/>
      <c r="LZ163" s="64"/>
      <c r="MA163" s="64"/>
      <c r="MB163" s="64"/>
      <c r="MC163" s="64"/>
      <c r="MD163" s="64"/>
      <c r="ME163" s="64"/>
      <c r="MF163" s="64"/>
      <c r="MG163" s="64"/>
      <c r="MH163" s="64"/>
      <c r="MI163" s="64"/>
      <c r="MJ163" s="64"/>
      <c r="MK163" s="64"/>
      <c r="ML163" s="64"/>
      <c r="MM163" s="64"/>
      <c r="MN163" s="64"/>
      <c r="MO163" s="64"/>
      <c r="MP163" s="64"/>
      <c r="MQ163" s="64"/>
      <c r="MR163" s="64"/>
      <c r="MS163" s="64"/>
      <c r="MT163" s="64"/>
      <c r="MU163" s="64"/>
      <c r="MV163" s="64"/>
      <c r="MW163" s="64"/>
      <c r="MX163" s="64"/>
      <c r="MY163" s="64"/>
      <c r="MZ163" s="64"/>
      <c r="NA163" s="64"/>
      <c r="NB163" s="64"/>
      <c r="NC163" s="64"/>
      <c r="ND163" s="64"/>
      <c r="NE163" s="64"/>
      <c r="NF163" s="64"/>
      <c r="NG163" s="64"/>
      <c r="NH163" s="64"/>
      <c r="NI163" s="64"/>
      <c r="NJ163" s="64"/>
      <c r="NK163" s="64"/>
      <c r="NL163" s="64"/>
      <c r="NM163" s="64"/>
      <c r="NN163" s="64"/>
      <c r="NO163" s="64"/>
      <c r="NP163" s="64"/>
      <c r="NQ163" s="64"/>
      <c r="NR163" s="64"/>
      <c r="NS163" s="64"/>
      <c r="NT163" s="64"/>
      <c r="NU163" s="64"/>
      <c r="NV163" s="64"/>
      <c r="NW163" s="64"/>
      <c r="NX163" s="64"/>
      <c r="NY163" s="64"/>
      <c r="NZ163" s="64"/>
      <c r="OA163" s="64"/>
      <c r="OB163" s="64"/>
      <c r="OC163" s="64"/>
      <c r="OD163" s="64"/>
      <c r="OE163" s="64"/>
      <c r="OF163" s="64"/>
      <c r="OG163" s="64"/>
      <c r="OH163" s="64"/>
      <c r="OI163" s="64"/>
      <c r="OJ163" s="64"/>
      <c r="OK163" s="64"/>
      <c r="OL163" s="64"/>
    </row>
    <row r="164" spans="1:402" x14ac:dyDescent="0.3">
      <c r="A164" s="815"/>
      <c r="B164" s="807"/>
      <c r="C164" s="812"/>
      <c r="D164" s="83" t="s">
        <v>164</v>
      </c>
      <c r="E164" s="466">
        <f>IF(AND($F$2="No",$F$3="No"),SUM(I164:L164),IF(AND($F$2="Yes", $F$3="No"), SUM(I164:L164)+N164, IF(AND($F$2="No", $F$3="Yes"),SUM(I164:L164)+M164, SUM(I164:L164)+N164+M164)))</f>
        <v>-63808036.789506301</v>
      </c>
      <c r="F164" s="89">
        <f>IF(AND($F$2="No",$F$3="No"),SUM(H164:L164,O164),IF(AND($F$2="Yes", $F$3="No"), SUM(H164:L164,O164)+N164, IF(AND($F$2="No", $F$3="Yes"),SUM(H164:L164,O164)+M164, SUM(H164:L164,O164)+N164+M164)))</f>
        <v>104554432.16889063</v>
      </c>
      <c r="G164" s="491"/>
      <c r="H164" s="89">
        <f>('Input data meat and eggs'!S415*'Input data meat and eggs'!B48+'Input data meat and eggs'!T415*'Input data meat and eggs'!B47+'Input data meat and eggs'!U415*'Input data meat and eggs'!B35+'Input data meat and eggs'!V415*SUMPRODUCT('Input data meat and eggs'!B37:B46,'Input data meat and eggs'!E65:E74))*'Input data meat and eggs'!$E$415</f>
        <v>168362468.95839691</v>
      </c>
      <c r="I164" s="89">
        <v>0</v>
      </c>
      <c r="J164" s="89">
        <v>0</v>
      </c>
      <c r="K164" s="89">
        <v>0</v>
      </c>
      <c r="L164" s="89">
        <v>0</v>
      </c>
      <c r="M164" s="89">
        <f>(('Input data meat and eggs'!S415+'Input data meat and eggs'!T415)*'Common input data'!F13+
'Input data meat and eggs'!U415*'Common input data'!B13+'Input data meat and eggs'!V415*('Input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eggs'!$E$415</f>
        <v>-70011635.621151149</v>
      </c>
      <c r="N164" s="89">
        <f>('Input data meat and eggs'!V415*('Input data meat and eggs'!E67*'Common input data'!B21*'Common input data'!G30/'Common input data'!F30+'Input data meat and eggs'!E71*'Common input data'!C21*'Common input data'!J31/'Common input data'!I31))*'Input data meat and eggs'!$E$415</f>
        <v>6203598.8316448499</v>
      </c>
      <c r="O164" s="89">
        <v>0</v>
      </c>
      <c r="P164" s="89">
        <v>0</v>
      </c>
      <c r="Q164" s="89">
        <f t="shared" si="20"/>
        <v>104554432.16889063</v>
      </c>
      <c r="R164" s="85"/>
      <c r="S164" s="85"/>
      <c r="T164" s="107"/>
    </row>
    <row r="165" spans="1:402" x14ac:dyDescent="0.3">
      <c r="A165" s="815"/>
      <c r="B165" s="807"/>
      <c r="C165" s="812"/>
      <c r="D165" s="83" t="s">
        <v>165</v>
      </c>
      <c r="E165" s="466">
        <f>SUM(I165:L165)</f>
        <v>29462651.68875628</v>
      </c>
      <c r="F165" s="89">
        <f>SUM(H165:L165,O165)</f>
        <v>29577980.376296863</v>
      </c>
      <c r="G165" s="491"/>
      <c r="H165" s="89">
        <f>('Input data meat and eggs'!S415*'Input data meat and eggs'!C48+'Input data meat and eggs'!T415*'Input data meat and eggs'!C47+'Input data meat and eggs'!U415*'Input data meat and eggs'!C35+'Input data meat and eggs'!V415*SUMPRODUCT('Input data meat and eggs'!C37:C46,'Input data meat and eggs'!E65:E74))*'Input data meat and eggs'!$E$415</f>
        <v>115328.687540585</v>
      </c>
      <c r="I165" s="89">
        <v>0</v>
      </c>
      <c r="J165" s="89">
        <f>'Input data meat and eggs'!N415*'Input data meat and eggs'!G415/12*'Input data meat and eggs'!E415</f>
        <v>2619524.7350649592</v>
      </c>
      <c r="K165" s="89">
        <v>0</v>
      </c>
      <c r="L165" s="89">
        <f>('Input data meat and eggs'!L415*'Input data meat and eggs'!G415/12)*'Input data meat and eggs'!$E$415</f>
        <v>26843126.953691319</v>
      </c>
      <c r="M165" s="89">
        <v>0</v>
      </c>
      <c r="N165" s="89">
        <v>0</v>
      </c>
      <c r="O165" s="89">
        <v>0</v>
      </c>
      <c r="P165" s="89">
        <v>0</v>
      </c>
      <c r="Q165" s="89">
        <f t="shared" si="20"/>
        <v>29577980.376296863</v>
      </c>
      <c r="R165" s="85"/>
      <c r="S165" s="85"/>
      <c r="T165" s="107"/>
    </row>
    <row r="166" spans="1:402" x14ac:dyDescent="0.3">
      <c r="A166" s="815"/>
      <c r="B166" s="807"/>
      <c r="C166" s="812"/>
      <c r="D166" s="84" t="s">
        <v>166</v>
      </c>
      <c r="E166" s="466">
        <f>SUM(I166:L166)</f>
        <v>1265420.816948832</v>
      </c>
      <c r="F166" s="89">
        <f>SUM(H166:L166,O166)</f>
        <v>1443958.8595277807</v>
      </c>
      <c r="G166" s="491"/>
      <c r="H166" s="89">
        <f>(('Input data meat and eggs'!S415*'Input data meat and eggs'!D48+'Input data meat and eggs'!T415*'Input data meat and eggs'!D47+'Input data meat and eggs'!U415*'Input data meat and eggs'!D35+'Input data meat and eggs'!V415*SUMPRODUCT('Input data meat and eggs'!D37:D46,'Input data meat and eggs'!E65:E74))*'Input data meat and eggs'!B58)*'Input data meat and eggs'!$E$415</f>
        <v>178538.0425789484</v>
      </c>
      <c r="I166" s="89">
        <f>(('Input data meat and eggs'!S415*'Input data meat and eggs'!D48+'Input data meat and eggs'!T415*'Input data meat and eggs'!D47+'Input data meat and eggs'!U415*'Input data meat and eggs'!D35+'Input data meat and eggs'!V415*SUMPRODUCT('Input data meat and eggs'!D37:D46,'Input data meat and eggs'!E65:E74))*'Input data meat and eggs'!C58)*'Input data meat and eggs'!$E$415</f>
        <v>451272.20921838109</v>
      </c>
      <c r="J166" s="89">
        <f>('Input data meat and eggs'!K415*'Input data meat and eggs'!G415/12*('Input data meat and eggs'!$O$415*'Input data meat and eggs'!$B$445+'Input data meat and eggs'!$P$415*'Input data meat and eggs'!$C$445+'Input data meat and eggs'!$Q$415*'Input data meat and eggs'!$D$445+'Input data meat and eggs'!$R$415*'Input data meat and eggs'!$E$445)*44/28)*'Input data meat and eggs'!$E$415</f>
        <v>703718.87636275683</v>
      </c>
      <c r="K166" s="89">
        <f>('Input data meat and eggs'!$B$446*44/28*'Input data meat and eggs'!K415*'Input data meat and eggs'!G415/12*('Input data meat and eggs'!O415*'Input data meat and eggs'!B458+'Input data meat and eggs'!P415*'Input data meat and eggs'!C458+'Input data meat and eggs'!Q415*'Input data meat and eggs'!D458))*'Input data meat and eggs'!$E$415</f>
        <v>110429.73136769417</v>
      </c>
      <c r="L166" s="89">
        <v>0</v>
      </c>
      <c r="M166" s="89">
        <v>0</v>
      </c>
      <c r="N166" s="89">
        <v>0</v>
      </c>
      <c r="O166" s="89">
        <v>0</v>
      </c>
      <c r="P166" s="89">
        <v>0</v>
      </c>
      <c r="Q166" s="89">
        <f t="shared" si="20"/>
        <v>1443958.8595277807</v>
      </c>
      <c r="R166" s="85"/>
      <c r="S166" s="85"/>
      <c r="T166" s="107"/>
    </row>
    <row r="167" spans="1:402" s="102" customFormat="1" x14ac:dyDescent="0.3">
      <c r="A167" s="816"/>
      <c r="B167" s="804" t="s">
        <v>724</v>
      </c>
      <c r="C167" s="814"/>
      <c r="D167" s="269" t="s">
        <v>473</v>
      </c>
      <c r="E167" s="464">
        <f>IF($F$1="GWP100 without fb",E168+E169*'Common input data'!$C$5+E170*'Common input data'!$D$5,IF($F$1="GWP100 with fb",E168+E169*'Common input data'!$C$6+E170*'Common input data'!$D$6,IF($F$1="GTP100 without fb",E168+E169*'Common input data'!$C$7+E170*'Common input data'!$D$7,IF($F$1="GTP100 with fb",E168+E169*'Common input data'!$C$8+E170*'Common input data'!$D$8,E168+E169*'Common input data'!$C$9+E170*'Common input data'!$D$9))))</f>
        <v>2277087065.7110491</v>
      </c>
      <c r="F167" s="465">
        <f>IF($F$1="GWP100 without fb",F168+F169*'Common input data'!$C$5+F170*'Common input data'!$D$5,IF($F$1="GWP100 with fb",F168+F169*'Common input data'!$C$6+F170*'Common input data'!$D$6,IF($F$1="GTP100 without fb",F168+F169*'Common input data'!$C$7+F170*'Common input data'!$D$7,IF($F$1="GTP100 with fb",F168+F169*'Common input data'!$C$8+F170*'Common input data'!$D$8,F168+F169*'Common input data'!$C$9+F170*'Common input data'!$D$9))))</f>
        <v>2882191131.8836904</v>
      </c>
      <c r="G167" s="510"/>
      <c r="H167" s="387"/>
      <c r="I167" s="387"/>
      <c r="J167" s="387"/>
      <c r="K167" s="387"/>
      <c r="L167" s="387"/>
      <c r="M167" s="387"/>
      <c r="N167" s="387"/>
      <c r="O167" s="387"/>
      <c r="P167" s="387"/>
      <c r="Q167" s="387"/>
      <c r="R167" s="104"/>
      <c r="S167" s="104"/>
      <c r="T167" s="107"/>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c r="AQ167" s="64"/>
      <c r="AR167" s="64"/>
      <c r="AS167" s="64"/>
      <c r="AT167" s="64"/>
      <c r="AU167" s="64"/>
      <c r="AV167" s="64"/>
      <c r="AW167" s="64"/>
      <c r="AX167" s="64"/>
      <c r="AY167" s="64"/>
      <c r="AZ167" s="64"/>
      <c r="BA167" s="64"/>
      <c r="BB167" s="64"/>
      <c r="BC167" s="64"/>
      <c r="BD167" s="64"/>
      <c r="BE167" s="64"/>
      <c r="BF167" s="64"/>
      <c r="BG167" s="64"/>
      <c r="BH167" s="64"/>
      <c r="BI167" s="64"/>
      <c r="BJ167" s="64"/>
      <c r="BK167" s="64"/>
      <c r="BL167" s="64"/>
      <c r="BM167" s="64"/>
      <c r="BN167" s="64"/>
      <c r="BO167" s="64"/>
      <c r="BP167" s="64"/>
      <c r="BQ167" s="64"/>
      <c r="BR167" s="64"/>
      <c r="BS167" s="64"/>
      <c r="BT167" s="64"/>
      <c r="BU167" s="64"/>
      <c r="BV167" s="64"/>
      <c r="BW167" s="64"/>
      <c r="BX167" s="64"/>
      <c r="BY167" s="64"/>
      <c r="BZ167" s="64"/>
      <c r="CA167" s="64"/>
      <c r="CB167" s="64"/>
      <c r="CC167" s="64"/>
      <c r="CD167" s="64"/>
      <c r="CE167" s="64"/>
      <c r="CF167" s="64"/>
      <c r="CG167" s="64"/>
      <c r="CH167" s="64"/>
      <c r="CI167" s="64"/>
      <c r="CJ167" s="64"/>
      <c r="CK167" s="64"/>
      <c r="CL167" s="64"/>
      <c r="CM167" s="64"/>
      <c r="CN167" s="64"/>
      <c r="CO167" s="64"/>
      <c r="CP167" s="64"/>
      <c r="CQ167" s="64"/>
      <c r="CR167" s="64"/>
      <c r="CS167" s="64"/>
      <c r="CT167" s="64"/>
      <c r="CU167" s="64"/>
      <c r="CV167" s="64"/>
      <c r="CW167" s="64"/>
      <c r="CX167" s="64"/>
      <c r="CY167" s="64"/>
      <c r="CZ167" s="64"/>
      <c r="DA167" s="64"/>
      <c r="DB167" s="64"/>
      <c r="DC167" s="64"/>
      <c r="DD167" s="64"/>
      <c r="DE167" s="64"/>
      <c r="DF167" s="64"/>
      <c r="DG167" s="64"/>
      <c r="DH167" s="64"/>
      <c r="DI167" s="64"/>
      <c r="DJ167" s="64"/>
      <c r="DK167" s="64"/>
      <c r="DL167" s="64"/>
      <c r="DM167" s="64"/>
      <c r="DN167" s="64"/>
      <c r="DO167" s="64"/>
      <c r="DP167" s="64"/>
      <c r="DQ167" s="64"/>
      <c r="DR167" s="64"/>
      <c r="DS167" s="64"/>
      <c r="DT167" s="64"/>
      <c r="DU167" s="64"/>
      <c r="DV167" s="64"/>
      <c r="DW167" s="64"/>
      <c r="DX167" s="64"/>
      <c r="DY167" s="64"/>
      <c r="DZ167" s="64"/>
      <c r="EA167" s="64"/>
      <c r="EB167" s="64"/>
      <c r="EC167" s="64"/>
      <c r="ED167" s="64"/>
      <c r="EE167" s="64"/>
      <c r="EF167" s="64"/>
      <c r="EG167" s="64"/>
      <c r="EH167" s="64"/>
      <c r="EI167" s="64"/>
      <c r="EJ167" s="64"/>
      <c r="EK167" s="64"/>
      <c r="EL167" s="64"/>
      <c r="EM167" s="64"/>
      <c r="EN167" s="64"/>
      <c r="EO167" s="64"/>
      <c r="EP167" s="64"/>
      <c r="EQ167" s="64"/>
      <c r="ER167" s="64"/>
      <c r="ES167" s="64"/>
      <c r="ET167" s="64"/>
      <c r="EU167" s="64"/>
      <c r="EV167" s="64"/>
      <c r="EW167" s="64"/>
      <c r="EX167" s="64"/>
      <c r="EY167" s="64"/>
      <c r="EZ167" s="64"/>
      <c r="FA167" s="64"/>
      <c r="FB167" s="64"/>
      <c r="FC167" s="64"/>
      <c r="FD167" s="64"/>
      <c r="FE167" s="64"/>
      <c r="FF167" s="64"/>
      <c r="FG167" s="64"/>
      <c r="FH167" s="64"/>
      <c r="FI167" s="64"/>
      <c r="FJ167" s="64"/>
      <c r="FK167" s="64"/>
      <c r="FL167" s="64"/>
      <c r="FM167" s="64"/>
      <c r="FN167" s="64"/>
      <c r="FO167" s="64"/>
      <c r="FP167" s="64"/>
      <c r="FQ167" s="64"/>
      <c r="FR167" s="64"/>
      <c r="FS167" s="64"/>
      <c r="FT167" s="64"/>
      <c r="FU167" s="64"/>
      <c r="FV167" s="64"/>
      <c r="FW167" s="64"/>
      <c r="FX167" s="64"/>
      <c r="FY167" s="64"/>
      <c r="FZ167" s="64"/>
      <c r="GA167" s="64"/>
      <c r="GB167" s="64"/>
      <c r="GC167" s="64"/>
      <c r="GD167" s="64"/>
      <c r="GE167" s="64"/>
      <c r="GF167" s="64"/>
      <c r="GG167" s="64"/>
      <c r="GH167" s="64"/>
      <c r="GI167" s="64"/>
      <c r="GJ167" s="64"/>
      <c r="GK167" s="64"/>
      <c r="GL167" s="64"/>
      <c r="GM167" s="64"/>
      <c r="GN167" s="64"/>
      <c r="GO167" s="64"/>
      <c r="GP167" s="64"/>
      <c r="GQ167" s="64"/>
      <c r="GR167" s="64"/>
      <c r="GS167" s="64"/>
      <c r="GT167" s="64"/>
      <c r="GU167" s="64"/>
      <c r="GV167" s="64"/>
      <c r="GW167" s="64"/>
      <c r="GX167" s="64"/>
      <c r="GY167" s="64"/>
      <c r="GZ167" s="64"/>
      <c r="HA167" s="64"/>
      <c r="HB167" s="64"/>
      <c r="HC167" s="64"/>
      <c r="HD167" s="64"/>
      <c r="HE167" s="64"/>
      <c r="HF167" s="64"/>
      <c r="HG167" s="64"/>
      <c r="HH167" s="64"/>
      <c r="HI167" s="64"/>
      <c r="HJ167" s="64"/>
      <c r="HK167" s="64"/>
      <c r="HL167" s="64"/>
      <c r="HM167" s="64"/>
      <c r="HN167" s="64"/>
      <c r="HO167" s="64"/>
      <c r="HP167" s="64"/>
      <c r="HQ167" s="64"/>
      <c r="HR167" s="64"/>
      <c r="HS167" s="64"/>
      <c r="HT167" s="64"/>
      <c r="HU167" s="64"/>
      <c r="HV167" s="64"/>
      <c r="HW167" s="64"/>
      <c r="HX167" s="64"/>
      <c r="HY167" s="64"/>
      <c r="HZ167" s="64"/>
      <c r="IA167" s="64"/>
      <c r="IB167" s="64"/>
      <c r="IC167" s="64"/>
      <c r="ID167" s="64"/>
      <c r="IE167" s="64"/>
      <c r="IF167" s="64"/>
      <c r="IG167" s="64"/>
      <c r="IH167" s="64"/>
      <c r="II167" s="64"/>
      <c r="IJ167" s="64"/>
      <c r="IK167" s="64"/>
      <c r="IL167" s="64"/>
      <c r="IM167" s="64"/>
      <c r="IN167" s="64"/>
      <c r="IO167" s="64"/>
      <c r="IP167" s="64"/>
      <c r="IQ167" s="64"/>
      <c r="IR167" s="64"/>
      <c r="IS167" s="64"/>
      <c r="IT167" s="64"/>
      <c r="IU167" s="64"/>
      <c r="IV167" s="64"/>
      <c r="IW167" s="64"/>
      <c r="IX167" s="64"/>
      <c r="IY167" s="64"/>
      <c r="IZ167" s="64"/>
      <c r="JA167" s="64"/>
      <c r="JB167" s="64"/>
      <c r="JC167" s="64"/>
      <c r="JD167" s="64"/>
      <c r="JE167" s="64"/>
      <c r="JF167" s="64"/>
      <c r="JG167" s="64"/>
      <c r="JH167" s="64"/>
      <c r="JI167" s="64"/>
      <c r="JJ167" s="64"/>
      <c r="JK167" s="64"/>
      <c r="JL167" s="64"/>
      <c r="JM167" s="64"/>
      <c r="JN167" s="64"/>
      <c r="JO167" s="64"/>
      <c r="JP167" s="64"/>
      <c r="JQ167" s="64"/>
      <c r="JR167" s="64"/>
      <c r="JS167" s="64"/>
      <c r="JT167" s="64"/>
      <c r="JU167" s="64"/>
      <c r="JV167" s="64"/>
      <c r="JW167" s="64"/>
      <c r="JX167" s="64"/>
      <c r="JY167" s="64"/>
      <c r="JZ167" s="64"/>
      <c r="KA167" s="64"/>
      <c r="KB167" s="64"/>
      <c r="KC167" s="64"/>
      <c r="KD167" s="64"/>
      <c r="KE167" s="64"/>
      <c r="KF167" s="64"/>
      <c r="KG167" s="64"/>
      <c r="KH167" s="64"/>
      <c r="KI167" s="64"/>
      <c r="KJ167" s="64"/>
      <c r="KK167" s="64"/>
      <c r="KL167" s="64"/>
      <c r="KM167" s="64"/>
      <c r="KN167" s="64"/>
      <c r="KO167" s="64"/>
      <c r="KP167" s="64"/>
      <c r="KQ167" s="64"/>
      <c r="KR167" s="64"/>
      <c r="KS167" s="64"/>
      <c r="KT167" s="64"/>
      <c r="KU167" s="64"/>
      <c r="KV167" s="64"/>
      <c r="KW167" s="64"/>
      <c r="KX167" s="64"/>
      <c r="KY167" s="64"/>
      <c r="KZ167" s="64"/>
      <c r="LA167" s="64"/>
      <c r="LB167" s="64"/>
      <c r="LC167" s="64"/>
      <c r="LD167" s="64"/>
      <c r="LE167" s="64"/>
      <c r="LF167" s="64"/>
      <c r="LG167" s="64"/>
      <c r="LH167" s="64"/>
      <c r="LI167" s="64"/>
      <c r="LJ167" s="64"/>
      <c r="LK167" s="64"/>
      <c r="LL167" s="64"/>
      <c r="LM167" s="64"/>
      <c r="LN167" s="64"/>
      <c r="LO167" s="64"/>
      <c r="LP167" s="64"/>
      <c r="LQ167" s="64"/>
      <c r="LR167" s="64"/>
      <c r="LS167" s="64"/>
      <c r="LT167" s="64"/>
      <c r="LU167" s="64"/>
      <c r="LV167" s="64"/>
      <c r="LW167" s="64"/>
      <c r="LX167" s="64"/>
      <c r="LY167" s="64"/>
      <c r="LZ167" s="64"/>
      <c r="MA167" s="64"/>
      <c r="MB167" s="64"/>
      <c r="MC167" s="64"/>
      <c r="MD167" s="64"/>
      <c r="ME167" s="64"/>
      <c r="MF167" s="64"/>
      <c r="MG167" s="64"/>
      <c r="MH167" s="64"/>
      <c r="MI167" s="64"/>
      <c r="MJ167" s="64"/>
      <c r="MK167" s="64"/>
      <c r="ML167" s="64"/>
      <c r="MM167" s="64"/>
      <c r="MN167" s="64"/>
      <c r="MO167" s="64"/>
      <c r="MP167" s="64"/>
      <c r="MQ167" s="64"/>
      <c r="MR167" s="64"/>
      <c r="MS167" s="64"/>
      <c r="MT167" s="64"/>
      <c r="MU167" s="64"/>
      <c r="MV167" s="64"/>
      <c r="MW167" s="64"/>
      <c r="MX167" s="64"/>
      <c r="MY167" s="64"/>
      <c r="MZ167" s="64"/>
      <c r="NA167" s="64"/>
      <c r="NB167" s="64"/>
      <c r="NC167" s="64"/>
      <c r="ND167" s="64"/>
      <c r="NE167" s="64"/>
      <c r="NF167" s="64"/>
      <c r="NG167" s="64"/>
      <c r="NH167" s="64"/>
      <c r="NI167" s="64"/>
      <c r="NJ167" s="64"/>
      <c r="NK167" s="64"/>
      <c r="NL167" s="64"/>
      <c r="NM167" s="64"/>
      <c r="NN167" s="64"/>
      <c r="NO167" s="64"/>
      <c r="NP167" s="64"/>
      <c r="NQ167" s="64"/>
      <c r="NR167" s="64"/>
      <c r="NS167" s="64"/>
      <c r="NT167" s="64"/>
      <c r="NU167" s="64"/>
      <c r="NV167" s="64"/>
      <c r="NW167" s="64"/>
      <c r="NX167" s="64"/>
      <c r="NY167" s="64"/>
      <c r="NZ167" s="64"/>
      <c r="OA167" s="64"/>
      <c r="OB167" s="64"/>
      <c r="OC167" s="64"/>
      <c r="OD167" s="64"/>
      <c r="OE167" s="64"/>
      <c r="OF167" s="64"/>
      <c r="OG167" s="64"/>
      <c r="OH167" s="64"/>
      <c r="OI167" s="64"/>
      <c r="OJ167" s="64"/>
      <c r="OK167" s="64"/>
      <c r="OL167" s="64"/>
    </row>
    <row r="168" spans="1:402" x14ac:dyDescent="0.3">
      <c r="A168" s="815"/>
      <c r="B168" s="807"/>
      <c r="C168" s="812"/>
      <c r="D168" s="83" t="s">
        <v>164</v>
      </c>
      <c r="E168" s="466">
        <f>IF(AND($F$2="No",$F$3="No"),SUM(I168:L168),IF(AND($F$2="Yes", $F$3="No"), SUM(I168:L168)+N168, IF(AND($F$2="No", $F$3="Yes"),SUM(I168:L168)+M168, SUM(I168:L168)+N168+M168)))</f>
        <v>-319787309.65564436</v>
      </c>
      <c r="F168" s="89">
        <f>IF(AND($F$2="No",$F$3="No"),SUM(H168:L168,O168),IF(AND($F$2="Yes", $F$3="No"), SUM(H168:L168,O168)+N168, IF(AND($F$2="No", $F$3="Yes"),SUM(H168:L168,O168)+M168, SUM(H168:L168,O168)+N168+M168)))</f>
        <v>141587485.63482755</v>
      </c>
      <c r="G168" s="491"/>
      <c r="H168" s="89">
        <f>('Input data meat and eggs'!S416*'Input data meat and eggs'!B48+'Input data meat and eggs'!T416*'Input data meat and eggs'!B47+'Input data meat and eggs'!U416*'Input data meat and eggs'!B35+'Input data meat and eggs'!V416*SUMPRODUCT('Input data meat and eggs'!B37:B46,'Input data meat and eggs'!E65:E74))*'Input data meat and eggs'!$E$416</f>
        <v>461374795.29047191</v>
      </c>
      <c r="I168" s="89">
        <v>0</v>
      </c>
      <c r="J168" s="89">
        <v>0</v>
      </c>
      <c r="K168" s="89">
        <v>0</v>
      </c>
      <c r="L168" s="89">
        <v>0</v>
      </c>
      <c r="M168" s="89">
        <f>(('Input data meat and eggs'!S416+'Input data meat and eggs'!T416)*'Common input data'!F13+
'Input data meat and eggs'!U416*'Common input data'!B13+'Input data meat and eggs'!V416*('Input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eggs'!$E$416</f>
        <v>-335453877.39369142</v>
      </c>
      <c r="N168" s="89">
        <f>('Input data meat and eggs'!V416*('Input data meat and eggs'!E67*'Common input data'!B21*'Common input data'!G30/'Common input data'!F30+'Input data meat and eggs'!E71*'Common input data'!C21*'Common input data'!J31/'Common input data'!I31))*'Input data meat and eggs'!$E$416</f>
        <v>15666567.738047067</v>
      </c>
      <c r="O168" s="89">
        <v>0</v>
      </c>
      <c r="P168" s="89">
        <v>0</v>
      </c>
      <c r="Q168" s="89">
        <f t="shared" si="20"/>
        <v>141587485.63482755</v>
      </c>
      <c r="R168" s="85"/>
      <c r="S168" s="85"/>
      <c r="T168" s="107"/>
    </row>
    <row r="169" spans="1:402" x14ac:dyDescent="0.3">
      <c r="A169" s="815"/>
      <c r="B169" s="807"/>
      <c r="C169" s="812"/>
      <c r="D169" s="83" t="s">
        <v>165</v>
      </c>
      <c r="E169" s="466">
        <f>SUM(I169:L169)</f>
        <v>52771109.114333525</v>
      </c>
      <c r="F169" s="89">
        <f>SUM(H169:L169,O169)</f>
        <v>53108511.694756471</v>
      </c>
      <c r="G169" s="491"/>
      <c r="H169" s="89">
        <f>('Input data meat and eggs'!S416*'Input data meat and eggs'!C48+'Input data meat and eggs'!T416*'Input data meat and eggs'!C47+'Input data meat and eggs'!U416*'Input data meat and eggs'!C35+'Input data meat and eggs'!V416*SUMPRODUCT('Input data meat and eggs'!C37:C46,'Input data meat and eggs'!E65:E74))*'Input data meat and eggs'!$E$416</f>
        <v>337402.58042294288</v>
      </c>
      <c r="I169" s="89">
        <v>0</v>
      </c>
      <c r="J169" s="89">
        <f>'Input data meat and eggs'!N416*'Input data meat and eggs'!G416/12*'Input data meat and eggs'!E416</f>
        <v>1677805.5123393859</v>
      </c>
      <c r="K169" s="89">
        <v>0</v>
      </c>
      <c r="L169" s="89">
        <f>('Input data meat and eggs'!L416*'Input data meat and eggs'!G416/12)*'Input data meat and eggs'!$E$416</f>
        <v>51093303.601994142</v>
      </c>
      <c r="M169" s="89">
        <v>0</v>
      </c>
      <c r="N169" s="89">
        <v>0</v>
      </c>
      <c r="O169" s="89">
        <v>0</v>
      </c>
      <c r="P169" s="89">
        <v>0</v>
      </c>
      <c r="Q169" s="89">
        <f t="shared" si="20"/>
        <v>53108511.694756471</v>
      </c>
      <c r="R169" s="85"/>
      <c r="S169" s="85"/>
      <c r="T169" s="107"/>
    </row>
    <row r="170" spans="1:402" x14ac:dyDescent="0.3">
      <c r="A170" s="815"/>
      <c r="B170" s="807"/>
      <c r="C170" s="812"/>
      <c r="D170" s="84" t="s">
        <v>166</v>
      </c>
      <c r="E170" s="466">
        <f>SUM(I170:L170)</f>
        <v>2693478.7432193072</v>
      </c>
      <c r="F170" s="89">
        <f>SUM(H170:L170,O170)</f>
        <v>3137296.1363326935</v>
      </c>
      <c r="G170" s="491"/>
      <c r="H170" s="89">
        <f>(('Input data meat and eggs'!S416*'Input data meat and eggs'!D48+'Input data meat and eggs'!T416*'Input data meat and eggs'!D47+'Input data meat and eggs'!U416*'Input data meat and eggs'!D35+'Input data meat and eggs'!V416*SUMPRODUCT('Input data meat and eggs'!D37:D46,'Input data meat and eggs'!E65:E74))*'Input data meat and eggs'!B58)*'Input data meat and eggs'!$E$416</f>
        <v>443817.39311338612</v>
      </c>
      <c r="I170" s="89">
        <f>(('Input data meat and eggs'!S416*'Input data meat and eggs'!D48+'Input data meat and eggs'!T416*'Input data meat and eggs'!D47+'Input data meat and eggs'!U416*'Input data meat and eggs'!D35+'Input data meat and eggs'!V416*SUMPRODUCT('Input data meat and eggs'!D37:D46,'Input data meat and eggs'!E65:E74))*'Input data meat and eggs'!C58)*'Input data meat and eggs'!$E$416</f>
        <v>1121791.4825702023</v>
      </c>
      <c r="J170" s="89">
        <f>('Input data meat and eggs'!K416*'Input data meat and eggs'!G416/12*('Input data meat and eggs'!$O$416*'Input data meat and eggs'!$B$445+'Input data meat and eggs'!$P$416*'Input data meat and eggs'!$C$445+'Input data meat and eggs'!$Q$416*'Input data meat and eggs'!$D$445+'Input data meat and eggs'!$R$416*'Input data meat and eggs'!$E$445)*44/28)*'Input data meat and eggs'!$E$416</f>
        <v>1555608.618596429</v>
      </c>
      <c r="K170" s="89">
        <f>('Input data meat and eggs'!$B$446*44/28*'Input data meat and eggs'!K416*'Input data meat and eggs'!G416/12*('Input data meat and eggs'!O416*'Input data meat and eggs'!B458+'Input data meat and eggs'!P416*'Input data meat and eggs'!C458+'Input data meat and eggs'!Q416*'Input data meat and eggs'!D458))*'Input data meat and eggs'!$E$416</f>
        <v>16078.642052676269</v>
      </c>
      <c r="L170" s="89">
        <v>0</v>
      </c>
      <c r="M170" s="89">
        <v>0</v>
      </c>
      <c r="N170" s="89">
        <v>0</v>
      </c>
      <c r="O170" s="89">
        <v>0</v>
      </c>
      <c r="P170" s="89">
        <v>0</v>
      </c>
      <c r="Q170" s="89">
        <f t="shared" si="20"/>
        <v>3137296.1363326935</v>
      </c>
      <c r="R170" s="85"/>
      <c r="S170" s="85"/>
      <c r="T170" s="107"/>
    </row>
    <row r="171" spans="1:402" s="102" customFormat="1" x14ac:dyDescent="0.3">
      <c r="A171" s="816"/>
      <c r="B171" s="804" t="s">
        <v>697</v>
      </c>
      <c r="C171" s="814"/>
      <c r="D171" s="269" t="s">
        <v>473</v>
      </c>
      <c r="E171" s="464">
        <f>IF($F$1="GWP100 without fb",E172+E173*'Common input data'!$C$5+E174*'Common input data'!$D$5,IF($F$1="GWP100 with fb",E172+E173*'Common input data'!$C$6+E174*'Common input data'!$D$6,IF($F$1="GTP100 without fb",E172+E173*'Common input data'!$C$7+E174*'Common input data'!$D$7,IF($F$1="GTP100 with fb",E172+E173*'Common input data'!$C$8+E174*'Common input data'!$D$8,E172+E173*'Common input data'!$C$9+E174*'Common input data'!$D$9))))</f>
        <v>8914984.1687260717</v>
      </c>
      <c r="F171" s="465">
        <f>IF($F$1="GWP100 without fb",F172+F173*'Common input data'!$C$5+F174*'Common input data'!$D$5,IF($F$1="GWP100 with fb",F172+F173*'Common input data'!$C$6+F174*'Common input data'!$D$6,IF($F$1="GTP100 without fb",F172+F173*'Common input data'!$C$7+F174*'Common input data'!$D$7,IF($F$1="GTP100 with fb",F172+F173*'Common input data'!$C$8+F174*'Common input data'!$D$8,F172+F173*'Common input data'!$C$9+F174*'Common input data'!$D$9))))</f>
        <v>11015229.057052022</v>
      </c>
      <c r="G171" s="510"/>
      <c r="H171" s="387"/>
      <c r="I171" s="387"/>
      <c r="J171" s="387"/>
      <c r="K171" s="387"/>
      <c r="L171" s="387"/>
      <c r="M171" s="387"/>
      <c r="N171" s="387"/>
      <c r="O171" s="387"/>
      <c r="P171" s="387"/>
      <c r="Q171" s="387"/>
      <c r="R171" s="104"/>
      <c r="S171" s="104"/>
      <c r="T171" s="107"/>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c r="AQ171" s="64"/>
      <c r="AR171" s="64"/>
      <c r="AS171" s="64"/>
      <c r="AT171" s="64"/>
      <c r="AU171" s="64"/>
      <c r="AV171" s="64"/>
      <c r="AW171" s="64"/>
      <c r="AX171" s="64"/>
      <c r="AY171" s="64"/>
      <c r="AZ171" s="64"/>
      <c r="BA171" s="64"/>
      <c r="BB171" s="64"/>
      <c r="BC171" s="64"/>
      <c r="BD171" s="64"/>
      <c r="BE171" s="64"/>
      <c r="BF171" s="64"/>
      <c r="BG171" s="64"/>
      <c r="BH171" s="64"/>
      <c r="BI171" s="64"/>
      <c r="BJ171" s="64"/>
      <c r="BK171" s="64"/>
      <c r="BL171" s="64"/>
      <c r="BM171" s="64"/>
      <c r="BN171" s="64"/>
      <c r="BO171" s="64"/>
      <c r="BP171" s="64"/>
      <c r="BQ171" s="64"/>
      <c r="BR171" s="64"/>
      <c r="BS171" s="64"/>
      <c r="BT171" s="64"/>
      <c r="BU171" s="64"/>
      <c r="BV171" s="64"/>
      <c r="BW171" s="64"/>
      <c r="BX171" s="64"/>
      <c r="BY171" s="64"/>
      <c r="BZ171" s="64"/>
      <c r="CA171" s="64"/>
      <c r="CB171" s="64"/>
      <c r="CC171" s="64"/>
      <c r="CD171" s="64"/>
      <c r="CE171" s="64"/>
      <c r="CF171" s="64"/>
      <c r="CG171" s="64"/>
      <c r="CH171" s="64"/>
      <c r="CI171" s="64"/>
      <c r="CJ171" s="64"/>
      <c r="CK171" s="64"/>
      <c r="CL171" s="64"/>
      <c r="CM171" s="64"/>
      <c r="CN171" s="64"/>
      <c r="CO171" s="64"/>
      <c r="CP171" s="64"/>
      <c r="CQ171" s="64"/>
      <c r="CR171" s="64"/>
      <c r="CS171" s="64"/>
      <c r="CT171" s="64"/>
      <c r="CU171" s="64"/>
      <c r="CV171" s="64"/>
      <c r="CW171" s="64"/>
      <c r="CX171" s="64"/>
      <c r="CY171" s="64"/>
      <c r="CZ171" s="64"/>
      <c r="DA171" s="64"/>
      <c r="DB171" s="64"/>
      <c r="DC171" s="64"/>
      <c r="DD171" s="64"/>
      <c r="DE171" s="64"/>
      <c r="DF171" s="64"/>
      <c r="DG171" s="64"/>
      <c r="DH171" s="64"/>
      <c r="DI171" s="64"/>
      <c r="DJ171" s="64"/>
      <c r="DK171" s="64"/>
      <c r="DL171" s="64"/>
      <c r="DM171" s="64"/>
      <c r="DN171" s="64"/>
      <c r="DO171" s="64"/>
      <c r="DP171" s="64"/>
      <c r="DQ171" s="64"/>
      <c r="DR171" s="64"/>
      <c r="DS171" s="64"/>
      <c r="DT171" s="64"/>
      <c r="DU171" s="64"/>
      <c r="DV171" s="64"/>
      <c r="DW171" s="64"/>
      <c r="DX171" s="64"/>
      <c r="DY171" s="64"/>
      <c r="DZ171" s="64"/>
      <c r="EA171" s="64"/>
      <c r="EB171" s="64"/>
      <c r="EC171" s="64"/>
      <c r="ED171" s="64"/>
      <c r="EE171" s="64"/>
      <c r="EF171" s="64"/>
      <c r="EG171" s="64"/>
      <c r="EH171" s="64"/>
      <c r="EI171" s="64"/>
      <c r="EJ171" s="64"/>
      <c r="EK171" s="64"/>
      <c r="EL171" s="64"/>
      <c r="EM171" s="64"/>
      <c r="EN171" s="64"/>
      <c r="EO171" s="64"/>
      <c r="EP171" s="64"/>
      <c r="EQ171" s="64"/>
      <c r="ER171" s="64"/>
      <c r="ES171" s="64"/>
      <c r="ET171" s="64"/>
      <c r="EU171" s="64"/>
      <c r="EV171" s="64"/>
      <c r="EW171" s="64"/>
      <c r="EX171" s="64"/>
      <c r="EY171" s="64"/>
      <c r="EZ171" s="64"/>
      <c r="FA171" s="64"/>
      <c r="FB171" s="64"/>
      <c r="FC171" s="64"/>
      <c r="FD171" s="64"/>
      <c r="FE171" s="64"/>
      <c r="FF171" s="64"/>
      <c r="FG171" s="64"/>
      <c r="FH171" s="64"/>
      <c r="FI171" s="64"/>
      <c r="FJ171" s="64"/>
      <c r="FK171" s="64"/>
      <c r="FL171" s="64"/>
      <c r="FM171" s="64"/>
      <c r="FN171" s="64"/>
      <c r="FO171" s="64"/>
      <c r="FP171" s="64"/>
      <c r="FQ171" s="64"/>
      <c r="FR171" s="64"/>
      <c r="FS171" s="64"/>
      <c r="FT171" s="64"/>
      <c r="FU171" s="64"/>
      <c r="FV171" s="64"/>
      <c r="FW171" s="64"/>
      <c r="FX171" s="64"/>
      <c r="FY171" s="64"/>
      <c r="FZ171" s="64"/>
      <c r="GA171" s="64"/>
      <c r="GB171" s="64"/>
      <c r="GC171" s="64"/>
      <c r="GD171" s="64"/>
      <c r="GE171" s="64"/>
      <c r="GF171" s="64"/>
      <c r="GG171" s="64"/>
      <c r="GH171" s="64"/>
      <c r="GI171" s="64"/>
      <c r="GJ171" s="64"/>
      <c r="GK171" s="64"/>
      <c r="GL171" s="64"/>
      <c r="GM171" s="64"/>
      <c r="GN171" s="64"/>
      <c r="GO171" s="64"/>
      <c r="GP171" s="64"/>
      <c r="GQ171" s="64"/>
      <c r="GR171" s="64"/>
      <c r="GS171" s="64"/>
      <c r="GT171" s="64"/>
      <c r="GU171" s="64"/>
      <c r="GV171" s="64"/>
      <c r="GW171" s="64"/>
      <c r="GX171" s="64"/>
      <c r="GY171" s="64"/>
      <c r="GZ171" s="64"/>
      <c r="HA171" s="64"/>
      <c r="HB171" s="64"/>
      <c r="HC171" s="64"/>
      <c r="HD171" s="64"/>
      <c r="HE171" s="64"/>
      <c r="HF171" s="64"/>
      <c r="HG171" s="64"/>
      <c r="HH171" s="64"/>
      <c r="HI171" s="64"/>
      <c r="HJ171" s="64"/>
      <c r="HK171" s="64"/>
      <c r="HL171" s="64"/>
      <c r="HM171" s="64"/>
      <c r="HN171" s="64"/>
      <c r="HO171" s="64"/>
      <c r="HP171" s="64"/>
      <c r="HQ171" s="64"/>
      <c r="HR171" s="64"/>
      <c r="HS171" s="64"/>
      <c r="HT171" s="64"/>
      <c r="HU171" s="64"/>
      <c r="HV171" s="64"/>
      <c r="HW171" s="64"/>
      <c r="HX171" s="64"/>
      <c r="HY171" s="64"/>
      <c r="HZ171" s="64"/>
      <c r="IA171" s="64"/>
      <c r="IB171" s="64"/>
      <c r="IC171" s="64"/>
      <c r="ID171" s="64"/>
      <c r="IE171" s="64"/>
      <c r="IF171" s="64"/>
      <c r="IG171" s="64"/>
      <c r="IH171" s="64"/>
      <c r="II171" s="64"/>
      <c r="IJ171" s="64"/>
      <c r="IK171" s="64"/>
      <c r="IL171" s="64"/>
      <c r="IM171" s="64"/>
      <c r="IN171" s="64"/>
      <c r="IO171" s="64"/>
      <c r="IP171" s="64"/>
      <c r="IQ171" s="64"/>
      <c r="IR171" s="64"/>
      <c r="IS171" s="64"/>
      <c r="IT171" s="64"/>
      <c r="IU171" s="64"/>
      <c r="IV171" s="64"/>
      <c r="IW171" s="64"/>
      <c r="IX171" s="64"/>
      <c r="IY171" s="64"/>
      <c r="IZ171" s="64"/>
      <c r="JA171" s="64"/>
      <c r="JB171" s="64"/>
      <c r="JC171" s="64"/>
      <c r="JD171" s="64"/>
      <c r="JE171" s="64"/>
      <c r="JF171" s="64"/>
      <c r="JG171" s="64"/>
      <c r="JH171" s="64"/>
      <c r="JI171" s="64"/>
      <c r="JJ171" s="64"/>
      <c r="JK171" s="64"/>
      <c r="JL171" s="64"/>
      <c r="JM171" s="64"/>
      <c r="JN171" s="64"/>
      <c r="JO171" s="64"/>
      <c r="JP171" s="64"/>
      <c r="JQ171" s="64"/>
      <c r="JR171" s="64"/>
      <c r="JS171" s="64"/>
      <c r="JT171" s="64"/>
      <c r="JU171" s="64"/>
      <c r="JV171" s="64"/>
      <c r="JW171" s="64"/>
      <c r="JX171" s="64"/>
      <c r="JY171" s="64"/>
      <c r="JZ171" s="64"/>
      <c r="KA171" s="64"/>
      <c r="KB171" s="64"/>
      <c r="KC171" s="64"/>
      <c r="KD171" s="64"/>
      <c r="KE171" s="64"/>
      <c r="KF171" s="64"/>
      <c r="KG171" s="64"/>
      <c r="KH171" s="64"/>
      <c r="KI171" s="64"/>
      <c r="KJ171" s="64"/>
      <c r="KK171" s="64"/>
      <c r="KL171" s="64"/>
      <c r="KM171" s="64"/>
      <c r="KN171" s="64"/>
      <c r="KO171" s="64"/>
      <c r="KP171" s="64"/>
      <c r="KQ171" s="64"/>
      <c r="KR171" s="64"/>
      <c r="KS171" s="64"/>
      <c r="KT171" s="64"/>
      <c r="KU171" s="64"/>
      <c r="KV171" s="64"/>
      <c r="KW171" s="64"/>
      <c r="KX171" s="64"/>
      <c r="KY171" s="64"/>
      <c r="KZ171" s="64"/>
      <c r="LA171" s="64"/>
      <c r="LB171" s="64"/>
      <c r="LC171" s="64"/>
      <c r="LD171" s="64"/>
      <c r="LE171" s="64"/>
      <c r="LF171" s="64"/>
      <c r="LG171" s="64"/>
      <c r="LH171" s="64"/>
      <c r="LI171" s="64"/>
      <c r="LJ171" s="64"/>
      <c r="LK171" s="64"/>
      <c r="LL171" s="64"/>
      <c r="LM171" s="64"/>
      <c r="LN171" s="64"/>
      <c r="LO171" s="64"/>
      <c r="LP171" s="64"/>
      <c r="LQ171" s="64"/>
      <c r="LR171" s="64"/>
      <c r="LS171" s="64"/>
      <c r="LT171" s="64"/>
      <c r="LU171" s="64"/>
      <c r="LV171" s="64"/>
      <c r="LW171" s="64"/>
      <c r="LX171" s="64"/>
      <c r="LY171" s="64"/>
      <c r="LZ171" s="64"/>
      <c r="MA171" s="64"/>
      <c r="MB171" s="64"/>
      <c r="MC171" s="64"/>
      <c r="MD171" s="64"/>
      <c r="ME171" s="64"/>
      <c r="MF171" s="64"/>
      <c r="MG171" s="64"/>
      <c r="MH171" s="64"/>
      <c r="MI171" s="64"/>
      <c r="MJ171" s="64"/>
      <c r="MK171" s="64"/>
      <c r="ML171" s="64"/>
      <c r="MM171" s="64"/>
      <c r="MN171" s="64"/>
      <c r="MO171" s="64"/>
      <c r="MP171" s="64"/>
      <c r="MQ171" s="64"/>
      <c r="MR171" s="64"/>
      <c r="MS171" s="64"/>
      <c r="MT171" s="64"/>
      <c r="MU171" s="64"/>
      <c r="MV171" s="64"/>
      <c r="MW171" s="64"/>
      <c r="MX171" s="64"/>
      <c r="MY171" s="64"/>
      <c r="MZ171" s="64"/>
      <c r="NA171" s="64"/>
      <c r="NB171" s="64"/>
      <c r="NC171" s="64"/>
      <c r="ND171" s="64"/>
      <c r="NE171" s="64"/>
      <c r="NF171" s="64"/>
      <c r="NG171" s="64"/>
      <c r="NH171" s="64"/>
      <c r="NI171" s="64"/>
      <c r="NJ171" s="64"/>
      <c r="NK171" s="64"/>
      <c r="NL171" s="64"/>
      <c r="NM171" s="64"/>
      <c r="NN171" s="64"/>
      <c r="NO171" s="64"/>
      <c r="NP171" s="64"/>
      <c r="NQ171" s="64"/>
      <c r="NR171" s="64"/>
      <c r="NS171" s="64"/>
      <c r="NT171" s="64"/>
      <c r="NU171" s="64"/>
      <c r="NV171" s="64"/>
      <c r="NW171" s="64"/>
      <c r="NX171" s="64"/>
      <c r="NY171" s="64"/>
      <c r="NZ171" s="64"/>
      <c r="OA171" s="64"/>
      <c r="OB171" s="64"/>
      <c r="OC171" s="64"/>
      <c r="OD171" s="64"/>
      <c r="OE171" s="64"/>
      <c r="OF171" s="64"/>
      <c r="OG171" s="64"/>
      <c r="OH171" s="64"/>
      <c r="OI171" s="64"/>
      <c r="OJ171" s="64"/>
      <c r="OK171" s="64"/>
      <c r="OL171" s="64"/>
    </row>
    <row r="172" spans="1:402" x14ac:dyDescent="0.3">
      <c r="A172" s="815"/>
      <c r="B172" s="807"/>
      <c r="C172" s="812"/>
      <c r="D172" s="83" t="s">
        <v>164</v>
      </c>
      <c r="E172" s="466">
        <f>IF(AND($F$2="No",$F$3="No"),SUM(I172:L172),IF(AND($F$2="Yes", $F$3="No"), SUM(I172:L172)+N172, IF(AND($F$2="No", $F$3="Yes"),SUM(I172:L172)+M172, SUM(I172:L172)+N172+M172)))</f>
        <v>-66199.871349363297</v>
      </c>
      <c r="F172" s="89">
        <f>IF(AND($F$2="No",$F$3="No"),SUM(H172:L172,O172),IF(AND($F$2="Yes", $F$3="No"), SUM(H172:L172,O172)+N172, IF(AND($F$2="No", $F$3="Yes"),SUM(H172:L172,O172)+M172, SUM(H172:L172,O172)+N172+M172)))</f>
        <v>1490748.8166255134</v>
      </c>
      <c r="G172" s="491"/>
      <c r="H172" s="89">
        <f>('Input data meat and eggs'!S417*'Input data meat and eggs'!B48+'Input data meat and eggs'!T417*'Input data meat and eggs'!B47+'Input data meat and eggs'!U417*'Input data meat and eggs'!B35+'Input data meat and eggs'!V417*SUMPRODUCT('Input data meat and eggs'!B37:B46,'Input data meat and eggs'!E65:E74))*'Input data meat and eggs'!$E$417</f>
        <v>1556948.6879748767</v>
      </c>
      <c r="I172" s="89">
        <v>0</v>
      </c>
      <c r="J172" s="89">
        <v>0</v>
      </c>
      <c r="K172" s="89">
        <v>0</v>
      </c>
      <c r="L172" s="89">
        <v>0</v>
      </c>
      <c r="M172" s="89">
        <f>(('Input data meat and eggs'!S417+'Input data meat and eggs'!T417)*'Common input data'!F13+
'Input data meat and eggs'!U417*'Common input data'!B13+'Input data meat and eggs'!V417*('Input data meat and eggs'!E65*'Common input data'!B13*'Common input data'!G28/'Common input data'!F28+'Input data meat and eggs'!E67*'Common input data'!F13*'Common input data'!J31/'Common input data'!I31+'Common input data'!D13*('Input data meat and eggs'!E68+'Input data meat and eggs'!E69*'Common input data'!G26/'Common input data'!F26)+'Common input data'!C13*('Input data meat and eggs'!E71*'Common input data'!G30/'Common input data'!F30+'Input data meat and eggs'!E72)+'Input data meat and eggs'!E73*'Common input data'!E13*'Common input data'!G29/'Common input data'!F29))*'Input data meat and eggs'!$E$417</f>
        <v>-221178.84151692016</v>
      </c>
      <c r="N172" s="89">
        <f>('Input data meat and eggs'!V417*('Input data meat and eggs'!E67*'Common input data'!B21*'Common input data'!G30/'Common input data'!F30+'Input data meat and eggs'!E71*'Common input data'!C21*'Common input data'!J31/'Common input data'!I31))*'Input data meat and eggs'!$E$417</f>
        <v>154978.97016755686</v>
      </c>
      <c r="O172" s="89">
        <v>0</v>
      </c>
      <c r="P172" s="89">
        <v>0</v>
      </c>
      <c r="Q172" s="89">
        <f t="shared" si="20"/>
        <v>1490748.8166255134</v>
      </c>
      <c r="R172" s="85"/>
      <c r="S172" s="85"/>
      <c r="T172" s="107"/>
    </row>
    <row r="173" spans="1:402" x14ac:dyDescent="0.3">
      <c r="A173" s="815"/>
      <c r="B173" s="807"/>
      <c r="C173" s="812"/>
      <c r="D173" s="83" t="s">
        <v>165</v>
      </c>
      <c r="E173" s="466">
        <f>SUM(I173:L173)</f>
        <v>197364.69008550048</v>
      </c>
      <c r="F173" s="89">
        <f>SUM(H173:L173,O173)</f>
        <v>199227.32890934055</v>
      </c>
      <c r="G173" s="491"/>
      <c r="H173" s="89">
        <f>('Input data meat and eggs'!S417*'Input data meat and eggs'!C48+'Input data meat and eggs'!T417*'Input data meat and eggs'!C47+'Input data meat and eggs'!U417*'Input data meat and eggs'!C35+'Input data meat and eggs'!V417*SUMPRODUCT('Input data meat and eggs'!C37:C46,'Input data meat and eggs'!E65:E74))*'Input data meat and eggs'!$E$417</f>
        <v>1862.6388238400771</v>
      </c>
      <c r="I173" s="89">
        <v>0</v>
      </c>
      <c r="J173" s="89">
        <f>'Input data meat and eggs'!N417*'Input data meat and eggs'!G417/12*'Input data meat and eggs'!E417</f>
        <v>25195.979701044565</v>
      </c>
      <c r="K173" s="89">
        <v>0</v>
      </c>
      <c r="L173" s="89">
        <f>('Input data meat and eggs'!L417*'Input data meat and eggs'!G417/12)*'Input data meat and eggs'!$E$417</f>
        <v>172168.71038445592</v>
      </c>
      <c r="M173" s="89">
        <v>0</v>
      </c>
      <c r="N173" s="89">
        <v>0</v>
      </c>
      <c r="O173" s="89">
        <v>0</v>
      </c>
      <c r="P173" s="89">
        <v>0</v>
      </c>
      <c r="Q173" s="89">
        <f t="shared" si="20"/>
        <v>199227.32890934055</v>
      </c>
      <c r="R173" s="85"/>
      <c r="S173" s="85"/>
      <c r="T173" s="107"/>
    </row>
    <row r="174" spans="1:402" x14ac:dyDescent="0.3">
      <c r="A174" s="811"/>
      <c r="B174" s="807"/>
      <c r="C174" s="812"/>
      <c r="D174" s="84" t="s">
        <v>166</v>
      </c>
      <c r="E174" s="466">
        <f>SUM(I174:L174)</f>
        <v>7620.0824737195262</v>
      </c>
      <c r="F174" s="89">
        <f>SUM(H174:L174,O174)</f>
        <v>9230.708246674265</v>
      </c>
      <c r="G174" s="491"/>
      <c r="H174" s="89">
        <f>(('Input data meat and eggs'!S417*'Input data meat and eggs'!D48+'Input data meat and eggs'!T417*'Input data meat and eggs'!D47+'Input data meat and eggs'!U417*'Input data meat and eggs'!D35+'Input data meat and eggs'!V417*SUMPRODUCT('Input data meat and eggs'!D37:D46,'Input data meat and eggs'!E65:E74))*'Input data meat and eggs'!B58)*'Input data meat and eggs'!$E$417</f>
        <v>1610.6257729547387</v>
      </c>
      <c r="I174" s="89">
        <f>(('Input data meat and eggs'!S417*'Input data meat and eggs'!D48+'Input data meat and eggs'!T417*'Input data meat and eggs'!D47+'Input data meat and eggs'!U417*'Input data meat and eggs'!D35+'Input data meat and eggs'!V417*SUMPRODUCT('Input data meat and eggs'!D37:D46,'Input data meat and eggs'!E65:E74))*'Input data meat and eggs'!C58)*'Input data meat and eggs'!$E$417</f>
        <v>4071.012767287104</v>
      </c>
      <c r="J174" s="89">
        <f>('Input data meat and eggs'!K417*'Input data meat and eggs'!G417/12*('Input data meat and eggs'!$O$417*'Input data meat and eggs'!$B$445+'Input data meat and eggs'!$P$417*'Input data meat and eggs'!$C$445+'Input data meat and eggs'!$Q$417*'Input data meat and eggs'!$D$445+'Input data meat and eggs'!$R$417*'Input data meat and eggs'!$E$445)*44/28)*'Input data meat and eggs'!$E$417</f>
        <v>2943.0704003655842</v>
      </c>
      <c r="K174" s="89">
        <f>('Input data meat and eggs'!$B$446*44/28*'Input data meat and eggs'!K417*'Input data meat and eggs'!G417/12*('Input data meat and eggs'!O417*'Input data meat and eggs'!B458+'Input data meat and eggs'!P417*'Input data meat and eggs'!C458+'Input data meat and eggs'!Q417*'Input data meat and eggs'!D458))*'Input data meat and eggs'!$E$417</f>
        <v>605.99930606683779</v>
      </c>
      <c r="L174" s="89">
        <v>0</v>
      </c>
      <c r="M174" s="89">
        <v>0</v>
      </c>
      <c r="N174" s="89">
        <v>0</v>
      </c>
      <c r="O174" s="89">
        <v>0</v>
      </c>
      <c r="P174" s="89">
        <v>0</v>
      </c>
      <c r="Q174" s="89">
        <f>SUM(F174+P174)</f>
        <v>9230.708246674265</v>
      </c>
      <c r="R174" s="85"/>
      <c r="S174" s="85"/>
      <c r="T174" s="107"/>
    </row>
    <row r="175" spans="1:402" s="102" customFormat="1" x14ac:dyDescent="0.3">
      <c r="A175" s="809" t="s">
        <v>712</v>
      </c>
      <c r="B175" s="804" t="s">
        <v>422</v>
      </c>
      <c r="C175" s="814"/>
      <c r="D175" s="269" t="s">
        <v>473</v>
      </c>
      <c r="E175" s="464">
        <f>IF($F$1="GWP100 without fb",E176+E177*'Common input data'!$C$5+E178*'Common input data'!$D$5,IF($F$1="GWP100 with fb",E176+E177*'Common input data'!$C$6+E178*'Common input data'!$D$6,IF($F$1="GTP100 without fb",E176+E177*'Common input data'!$C$7+E178*'Common input data'!$D$7,IF($F$1="GTP100 with fb",E176+E177*'Common input data'!$C$8+E178*'Common input data'!$D$8,E176+E177*'Common input data'!$C$9+E178*'Common input data'!$D$9))))</f>
        <v>6596.2569024682798</v>
      </c>
      <c r="F175" s="465">
        <f>IF($F$1="GWP100 without fb",F176+F177*'Common input data'!$C$5+F178*'Common input data'!$D$5,IF($F$1="GWP100 with fb",F176+F177*'Common input data'!$C$6+F178*'Common input data'!$D$6,IF($F$1="GTP100 without fb",F176+F177*'Common input data'!$C$7+F178*'Common input data'!$D$7,IF($F$1="GTP100 with fb",F176+F177*'Common input data'!$C$8+F178*'Common input data'!$D$8,F176+F177*'Common input data'!$C$9+F178*'Common input data'!$D$9))))</f>
        <v>8854.1866572630461</v>
      </c>
      <c r="G175" s="510"/>
      <c r="H175" s="387"/>
      <c r="I175" s="387"/>
      <c r="J175" s="387"/>
      <c r="K175" s="387"/>
      <c r="L175" s="387"/>
      <c r="M175" s="387"/>
      <c r="N175" s="387"/>
      <c r="O175" s="387"/>
      <c r="P175" s="387"/>
      <c r="Q175" s="387"/>
      <c r="R175" s="106"/>
      <c r="S175" s="106"/>
      <c r="T175" s="107"/>
      <c r="U175" s="64"/>
      <c r="V175" s="64"/>
      <c r="W175" s="64"/>
      <c r="X175" s="64"/>
      <c r="Y175" s="64"/>
      <c r="Z175" s="64"/>
      <c r="AA175" s="64"/>
      <c r="AB175" s="64"/>
      <c r="AC175" s="64"/>
      <c r="AD175" s="64"/>
      <c r="AE175" s="64"/>
      <c r="AF175" s="64"/>
      <c r="AG175" s="64"/>
      <c r="AH175" s="64"/>
      <c r="AI175" s="64"/>
      <c r="AJ175" s="64"/>
      <c r="AK175" s="64"/>
      <c r="AL175" s="64"/>
      <c r="AM175" s="64"/>
      <c r="AN175" s="64"/>
      <c r="AO175" s="64"/>
      <c r="AP175" s="64"/>
      <c r="AQ175" s="64"/>
      <c r="AR175" s="64"/>
      <c r="AS175" s="64"/>
      <c r="AT175" s="64"/>
      <c r="AU175" s="64"/>
      <c r="AV175" s="64"/>
      <c r="AW175" s="64"/>
      <c r="AX175" s="64"/>
      <c r="AY175" s="64"/>
      <c r="AZ175" s="64"/>
      <c r="BA175" s="64"/>
      <c r="BB175" s="64"/>
      <c r="BC175" s="64"/>
      <c r="BD175" s="64"/>
      <c r="BE175" s="64"/>
      <c r="BF175" s="64"/>
      <c r="BG175" s="64"/>
      <c r="BH175" s="64"/>
      <c r="BI175" s="64"/>
      <c r="BJ175" s="64"/>
      <c r="BK175" s="64"/>
      <c r="BL175" s="64"/>
      <c r="BM175" s="64"/>
      <c r="BN175" s="64"/>
      <c r="BO175" s="64"/>
      <c r="BP175" s="64"/>
      <c r="BQ175" s="64"/>
      <c r="BR175" s="64"/>
      <c r="BS175" s="64"/>
      <c r="BT175" s="64"/>
      <c r="BU175" s="64"/>
      <c r="BV175" s="64"/>
      <c r="BW175" s="64"/>
      <c r="BX175" s="64"/>
      <c r="BY175" s="64"/>
      <c r="BZ175" s="64"/>
      <c r="CA175" s="64"/>
      <c r="CB175" s="64"/>
      <c r="CC175" s="64"/>
      <c r="CD175" s="64"/>
      <c r="CE175" s="64"/>
      <c r="CF175" s="64"/>
      <c r="CG175" s="64"/>
      <c r="CH175" s="64"/>
      <c r="CI175" s="64"/>
      <c r="CJ175" s="64"/>
      <c r="CK175" s="64"/>
      <c r="CL175" s="64"/>
      <c r="CM175" s="64"/>
      <c r="CN175" s="64"/>
      <c r="CO175" s="64"/>
      <c r="CP175" s="64"/>
      <c r="CQ175" s="64"/>
      <c r="CR175" s="64"/>
      <c r="CS175" s="64"/>
      <c r="CT175" s="64"/>
      <c r="CU175" s="64"/>
      <c r="CV175" s="64"/>
      <c r="CW175" s="64"/>
      <c r="CX175" s="64"/>
      <c r="CY175" s="64"/>
      <c r="CZ175" s="64"/>
      <c r="DA175" s="64"/>
      <c r="DB175" s="64"/>
      <c r="DC175" s="64"/>
      <c r="DD175" s="64"/>
      <c r="DE175" s="64"/>
      <c r="DF175" s="64"/>
      <c r="DG175" s="64"/>
      <c r="DH175" s="64"/>
      <c r="DI175" s="64"/>
      <c r="DJ175" s="64"/>
      <c r="DK175" s="64"/>
      <c r="DL175" s="64"/>
      <c r="DM175" s="64"/>
      <c r="DN175" s="64"/>
      <c r="DO175" s="64"/>
      <c r="DP175" s="64"/>
      <c r="DQ175" s="64"/>
      <c r="DR175" s="64"/>
      <c r="DS175" s="64"/>
      <c r="DT175" s="64"/>
      <c r="DU175" s="64"/>
      <c r="DV175" s="64"/>
      <c r="DW175" s="64"/>
      <c r="DX175" s="64"/>
      <c r="DY175" s="64"/>
      <c r="DZ175" s="64"/>
      <c r="EA175" s="64"/>
      <c r="EB175" s="64"/>
      <c r="EC175" s="64"/>
      <c r="ED175" s="64"/>
      <c r="EE175" s="64"/>
      <c r="EF175" s="64"/>
      <c r="EG175" s="64"/>
      <c r="EH175" s="64"/>
      <c r="EI175" s="64"/>
      <c r="EJ175" s="64"/>
      <c r="EK175" s="64"/>
      <c r="EL175" s="64"/>
      <c r="EM175" s="64"/>
      <c r="EN175" s="64"/>
      <c r="EO175" s="64"/>
      <c r="EP175" s="64"/>
      <c r="EQ175" s="64"/>
      <c r="ER175" s="64"/>
      <c r="ES175" s="64"/>
      <c r="ET175" s="64"/>
      <c r="EU175" s="64"/>
      <c r="EV175" s="64"/>
      <c r="EW175" s="64"/>
      <c r="EX175" s="64"/>
      <c r="EY175" s="64"/>
      <c r="EZ175" s="64"/>
      <c r="FA175" s="64"/>
      <c r="FB175" s="64"/>
      <c r="FC175" s="64"/>
      <c r="FD175" s="64"/>
      <c r="FE175" s="64"/>
      <c r="FF175" s="64"/>
      <c r="FG175" s="64"/>
      <c r="FH175" s="64"/>
      <c r="FI175" s="64"/>
      <c r="FJ175" s="64"/>
      <c r="FK175" s="64"/>
      <c r="FL175" s="64"/>
      <c r="FM175" s="64"/>
      <c r="FN175" s="64"/>
      <c r="FO175" s="64"/>
      <c r="FP175" s="64"/>
      <c r="FQ175" s="64"/>
      <c r="FR175" s="64"/>
      <c r="FS175" s="64"/>
      <c r="FT175" s="64"/>
      <c r="FU175" s="64"/>
      <c r="FV175" s="64"/>
      <c r="FW175" s="64"/>
      <c r="FX175" s="64"/>
      <c r="FY175" s="64"/>
      <c r="FZ175" s="64"/>
      <c r="GA175" s="64"/>
      <c r="GB175" s="64"/>
      <c r="GC175" s="64"/>
      <c r="GD175" s="64"/>
      <c r="GE175" s="64"/>
      <c r="GF175" s="64"/>
      <c r="GG175" s="64"/>
      <c r="GH175" s="64"/>
      <c r="GI175" s="64"/>
      <c r="GJ175" s="64"/>
      <c r="GK175" s="64"/>
      <c r="GL175" s="64"/>
      <c r="GM175" s="64"/>
      <c r="GN175" s="64"/>
      <c r="GO175" s="64"/>
      <c r="GP175" s="64"/>
      <c r="GQ175" s="64"/>
      <c r="GR175" s="64"/>
      <c r="GS175" s="64"/>
      <c r="GT175" s="64"/>
      <c r="GU175" s="64"/>
      <c r="GV175" s="64"/>
      <c r="GW175" s="64"/>
      <c r="GX175" s="64"/>
      <c r="GY175" s="64"/>
      <c r="GZ175" s="64"/>
      <c r="HA175" s="64"/>
      <c r="HB175" s="64"/>
      <c r="HC175" s="64"/>
      <c r="HD175" s="64"/>
      <c r="HE175" s="64"/>
      <c r="HF175" s="64"/>
      <c r="HG175" s="64"/>
      <c r="HH175" s="64"/>
      <c r="HI175" s="64"/>
      <c r="HJ175" s="64"/>
      <c r="HK175" s="64"/>
      <c r="HL175" s="64"/>
      <c r="HM175" s="64"/>
      <c r="HN175" s="64"/>
      <c r="HO175" s="64"/>
      <c r="HP175" s="64"/>
      <c r="HQ175" s="64"/>
      <c r="HR175" s="64"/>
      <c r="HS175" s="64"/>
      <c r="HT175" s="64"/>
      <c r="HU175" s="64"/>
      <c r="HV175" s="64"/>
      <c r="HW175" s="64"/>
      <c r="HX175" s="64"/>
      <c r="HY175" s="64"/>
      <c r="HZ175" s="64"/>
      <c r="IA175" s="64"/>
      <c r="IB175" s="64"/>
      <c r="IC175" s="64"/>
      <c r="ID175" s="64"/>
      <c r="IE175" s="64"/>
      <c r="IF175" s="64"/>
      <c r="IG175" s="64"/>
      <c r="IH175" s="64"/>
      <c r="II175" s="64"/>
      <c r="IJ175" s="64"/>
      <c r="IK175" s="64"/>
      <c r="IL175" s="64"/>
      <c r="IM175" s="64"/>
      <c r="IN175" s="64"/>
      <c r="IO175" s="64"/>
      <c r="IP175" s="64"/>
      <c r="IQ175" s="64"/>
      <c r="IR175" s="64"/>
      <c r="IS175" s="64"/>
      <c r="IT175" s="64"/>
      <c r="IU175" s="64"/>
      <c r="IV175" s="64"/>
      <c r="IW175" s="64"/>
      <c r="IX175" s="64"/>
      <c r="IY175" s="64"/>
      <c r="IZ175" s="64"/>
      <c r="JA175" s="64"/>
      <c r="JB175" s="64"/>
      <c r="JC175" s="64"/>
      <c r="JD175" s="64"/>
      <c r="JE175" s="64"/>
      <c r="JF175" s="64"/>
      <c r="JG175" s="64"/>
      <c r="JH175" s="64"/>
      <c r="JI175" s="64"/>
      <c r="JJ175" s="64"/>
      <c r="JK175" s="64"/>
      <c r="JL175" s="64"/>
      <c r="JM175" s="64"/>
      <c r="JN175" s="64"/>
      <c r="JO175" s="64"/>
      <c r="JP175" s="64"/>
      <c r="JQ175" s="64"/>
      <c r="JR175" s="64"/>
      <c r="JS175" s="64"/>
      <c r="JT175" s="64"/>
      <c r="JU175" s="64"/>
      <c r="JV175" s="64"/>
      <c r="JW175" s="64"/>
      <c r="JX175" s="64"/>
      <c r="JY175" s="64"/>
      <c r="JZ175" s="64"/>
      <c r="KA175" s="64"/>
      <c r="KB175" s="64"/>
      <c r="KC175" s="64"/>
      <c r="KD175" s="64"/>
      <c r="KE175" s="64"/>
      <c r="KF175" s="64"/>
      <c r="KG175" s="64"/>
      <c r="KH175" s="64"/>
      <c r="KI175" s="64"/>
      <c r="KJ175" s="64"/>
      <c r="KK175" s="64"/>
      <c r="KL175" s="64"/>
      <c r="KM175" s="64"/>
      <c r="KN175" s="64"/>
      <c r="KO175" s="64"/>
      <c r="KP175" s="64"/>
      <c r="KQ175" s="64"/>
      <c r="KR175" s="64"/>
      <c r="KS175" s="64"/>
      <c r="KT175" s="64"/>
      <c r="KU175" s="64"/>
      <c r="KV175" s="64"/>
      <c r="KW175" s="64"/>
      <c r="KX175" s="64"/>
      <c r="KY175" s="64"/>
      <c r="KZ175" s="64"/>
      <c r="LA175" s="64"/>
      <c r="LB175" s="64"/>
      <c r="LC175" s="64"/>
      <c r="LD175" s="64"/>
      <c r="LE175" s="64"/>
      <c r="LF175" s="64"/>
      <c r="LG175" s="64"/>
      <c r="LH175" s="64"/>
      <c r="LI175" s="64"/>
      <c r="LJ175" s="64"/>
      <c r="LK175" s="64"/>
      <c r="LL175" s="64"/>
      <c r="LM175" s="64"/>
      <c r="LN175" s="64"/>
      <c r="LO175" s="64"/>
      <c r="LP175" s="64"/>
      <c r="LQ175" s="64"/>
      <c r="LR175" s="64"/>
      <c r="LS175" s="64"/>
      <c r="LT175" s="64"/>
      <c r="LU175" s="64"/>
      <c r="LV175" s="64"/>
      <c r="LW175" s="64"/>
      <c r="LX175" s="64"/>
      <c r="LY175" s="64"/>
      <c r="LZ175" s="64"/>
      <c r="MA175" s="64"/>
      <c r="MB175" s="64"/>
      <c r="MC175" s="64"/>
      <c r="MD175" s="64"/>
      <c r="ME175" s="64"/>
      <c r="MF175" s="64"/>
      <c r="MG175" s="64"/>
      <c r="MH175" s="64"/>
      <c r="MI175" s="64"/>
      <c r="MJ175" s="64"/>
      <c r="MK175" s="64"/>
      <c r="ML175" s="64"/>
      <c r="MM175" s="64"/>
      <c r="MN175" s="64"/>
      <c r="MO175" s="64"/>
      <c r="MP175" s="64"/>
      <c r="MQ175" s="64"/>
      <c r="MR175" s="64"/>
      <c r="MS175" s="64"/>
      <c r="MT175" s="64"/>
      <c r="MU175" s="64"/>
      <c r="MV175" s="64"/>
      <c r="MW175" s="64"/>
      <c r="MX175" s="64"/>
      <c r="MY175" s="64"/>
      <c r="MZ175" s="64"/>
      <c r="NA175" s="64"/>
      <c r="NB175" s="64"/>
      <c r="NC175" s="64"/>
      <c r="ND175" s="64"/>
      <c r="NE175" s="64"/>
      <c r="NF175" s="64"/>
      <c r="NG175" s="64"/>
      <c r="NH175" s="64"/>
      <c r="NI175" s="64"/>
      <c r="NJ175" s="64"/>
      <c r="NK175" s="64"/>
      <c r="NL175" s="64"/>
      <c r="NM175" s="64"/>
      <c r="NN175" s="64"/>
      <c r="NO175" s="64"/>
      <c r="NP175" s="64"/>
      <c r="NQ175" s="64"/>
      <c r="NR175" s="64"/>
      <c r="NS175" s="64"/>
      <c r="NT175" s="64"/>
      <c r="NU175" s="64"/>
      <c r="NV175" s="64"/>
      <c r="NW175" s="64"/>
      <c r="NX175" s="64"/>
      <c r="NY175" s="64"/>
      <c r="NZ175" s="64"/>
      <c r="OA175" s="64"/>
      <c r="OB175" s="64"/>
      <c r="OC175" s="64"/>
      <c r="OD175" s="64"/>
      <c r="OE175" s="64"/>
      <c r="OF175" s="64"/>
      <c r="OG175" s="64"/>
      <c r="OH175" s="64"/>
      <c r="OI175" s="64"/>
      <c r="OJ175" s="64"/>
      <c r="OK175" s="64"/>
      <c r="OL175" s="64"/>
    </row>
    <row r="176" spans="1:402" x14ac:dyDescent="0.3">
      <c r="A176" s="811"/>
      <c r="B176" s="807"/>
      <c r="C176" s="812"/>
      <c r="D176" s="83" t="s">
        <v>164</v>
      </c>
      <c r="E176" s="466">
        <f>IF(AND($F$2="No",$F$3="No"),SUM(I176:L176),IF(AND($F$2="Yes", $F$3="No"), SUM(I176:L176)+N176, IF(AND($F$2="No", $F$3="Yes"),SUM(I176:L176)+M176, SUM(I176:L176)+N176+M176)))</f>
        <v>43.843362139891696</v>
      </c>
      <c r="F176" s="89">
        <f>IF(AND($F$2="No",$F$3="No"),SUM(H176:L176,O176),IF(AND($F$2="Yes", $F$3="No"), SUM(H176:L176,O176)+N176, IF(AND($F$2="No", $F$3="Yes"),SUM(H176:L176,O176)+M176, SUM(H176:L176,O176)+N176+M176)))</f>
        <v>1793.3077026547189</v>
      </c>
      <c r="G176" s="491"/>
      <c r="H176" s="89">
        <f>'Input data meat and eggs'!S421*'Input data meat and eggs'!B48+'Input data meat and eggs'!T421*'Input data meat and eggs'!B47+'Input data meat and eggs'!U421*'Input data meat and eggs'!B35+'Input data meat and eggs'!V421*SUMPRODUCT('Input data meat and eggs'!B37:B46,'Input data meat and eggs'!F65:F74)</f>
        <v>1472.8723405148271</v>
      </c>
      <c r="I176" s="89">
        <v>0</v>
      </c>
      <c r="J176" s="89">
        <v>0</v>
      </c>
      <c r="K176" s="89">
        <v>0</v>
      </c>
      <c r="L176" s="89">
        <v>0</v>
      </c>
      <c r="M176" s="89">
        <f>('Input data meat and eggs'!S421+'Input data meat and eggs'!T421)*'Common input data'!F13+
'Input data meat and eggs'!U421*'Common input data'!B13+'Input data meat and eggs'!V421*('Input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f>
        <v>-123.87201668518347</v>
      </c>
      <c r="N176" s="89">
        <f>'Input data meat and eggs'!V421*('Input data meat and eggs'!F67*'Common input data'!B21*'Common input data'!G30/'Common input data'!F30+'Input data meat and eggs'!F71*'Common input data'!C21*'Common input data'!J31/'Common input data'!I31)</f>
        <v>167.71537882507516</v>
      </c>
      <c r="O176" s="89">
        <f>'Input data meat and eggs'!B82*'Common input data'!C63</f>
        <v>276.59199999999998</v>
      </c>
      <c r="P176" s="89">
        <f>('Input data meat and eggs'!B92*'Common input data'!C63+'Input data meat and eggs'!C92*3.6*'Common input data'!B49)*'Input data meat and eggs'!$F$421</f>
        <v>182.87624150943395</v>
      </c>
      <c r="Q176" s="89"/>
      <c r="R176" s="90"/>
      <c r="S176" s="90"/>
      <c r="T176" s="107"/>
    </row>
    <row r="177" spans="1:402" x14ac:dyDescent="0.3">
      <c r="A177" s="815"/>
      <c r="B177" s="807"/>
      <c r="C177" s="807"/>
      <c r="D177" s="83" t="s">
        <v>165</v>
      </c>
      <c r="E177" s="466">
        <f>SUM(I177:L177)</f>
        <v>142.06878486905595</v>
      </c>
      <c r="F177" s="89">
        <f>SUM(H177:L177,O177)</f>
        <v>143.83277306523226</v>
      </c>
      <c r="G177" s="491"/>
      <c r="H177" s="89">
        <f>'Input data meat and eggs'!S421*'Input data meat and eggs'!C48+'Input data meat and eggs'!T421*'Input data meat and eggs'!C47+'Input data meat and eggs'!U421*'Input data meat and eggs'!C35+'Input data meat and eggs'!V421*SUMPRODUCT('Input data meat and eggs'!C37:C46,'Input data meat and eggs'!F65:F74)</f>
        <v>1.7639881961763209</v>
      </c>
      <c r="I177" s="89">
        <v>0</v>
      </c>
      <c r="J177" s="89">
        <f>'Input data meat and eggs'!M421*'Input data meat and eggs'!G421/12*'Input data meat and eggs'!$C$450*'Input data meat and eggs'!$C$452*'Input data meat and eggs'!$C$453*
('Input data meat and eggs'!$O$421*'Input data meat and eggs'!$B$443
+'Input data meat and eggs'!$P$421*'Input data meat and eggs'!$C$443+
'Input data meat and eggs'!$Q$421*'Input data meat and eggs'!$D$443+
'Input data meat and eggs'!$R$421*'Input data meat and eggs'!$E$443)</f>
        <v>6.5687848690559427</v>
      </c>
      <c r="K177" s="89">
        <v>0</v>
      </c>
      <c r="L177" s="89">
        <f>'Input data meat and eggs'!L421*'Input data meat and eggs'!G421/12</f>
        <v>135.5</v>
      </c>
      <c r="M177" s="89">
        <v>0</v>
      </c>
      <c r="N177" s="89">
        <v>0</v>
      </c>
      <c r="O177" s="89">
        <v>0</v>
      </c>
      <c r="P177" s="89">
        <f>('Input data meat and eggs'!C92*3.6*'Common input data'!B50)*'Input data meat and eggs'!$F$401</f>
        <v>3.0067964150943399E-2</v>
      </c>
      <c r="Q177" s="89"/>
      <c r="R177" s="90"/>
      <c r="S177" s="90"/>
      <c r="T177" s="107"/>
    </row>
    <row r="178" spans="1:402" x14ac:dyDescent="0.3">
      <c r="A178" s="815"/>
      <c r="B178" s="807"/>
      <c r="C178" s="808"/>
      <c r="D178" s="84" t="s">
        <v>166</v>
      </c>
      <c r="E178" s="466">
        <f>SUM(I178:L178)</f>
        <v>5.7787746804714315</v>
      </c>
      <c r="F178" s="89">
        <f>SUM(H178:L178,O178)</f>
        <v>7.2837740617128501</v>
      </c>
      <c r="G178" s="491"/>
      <c r="H178" s="89">
        <f>('Input data meat and eggs'!S421*'Input data meat and eggs'!D48+'Input data meat and eggs'!T421*'Input data meat and eggs'!D47+'Input data meat and eggs'!U421*'Input data meat and eggs'!D35+'Input data meat and eggs'!V421*SUMPRODUCT('Input data meat and eggs'!D37:D46,'Input data meat and eggs'!F65:F74))*'Input data meat and eggs'!B58</f>
        <v>1.5049993812414189</v>
      </c>
      <c r="I178" s="89">
        <f>('Input data meat and eggs'!S421*'Input data meat and eggs'!D48+'Input data meat and eggs'!T421*'Input data meat and eggs'!D47+'Input data meat and eggs'!U421*'Input data meat and eggs'!D35+'Input data meat and eggs'!V421*SUMPRODUCT('Input data meat and eggs'!D37:D46,'Input data meat and eggs'!F65:F74))*'Input data meat and eggs'!C58</f>
        <v>3.8040318233285739</v>
      </c>
      <c r="J178" s="89">
        <f>'Input data meat and eggs'!K421*'Input data meat and eggs'!G421/12*('Input data meat and eggs'!$O$421*'Input data meat and eggs'!$B$445+'Input data meat and eggs'!$P$421*'Input data meat and eggs'!$C$445+'Input data meat and eggs'!$Q$421*'Input data meat and eggs'!$D$445+'Input data meat and eggs'!$R$421*'Input data meat and eggs'!$E$445)*44/28</f>
        <v>1.2913406593406596</v>
      </c>
      <c r="K178" s="89">
        <f>'Input data meat and eggs'!$B$446*44/28*'Input data meat and eggs'!K421*'Input data meat and eggs'!G421/12*('Input data meat and eggs'!O421*'Input data meat and eggs'!B458+'Input data meat and eggs'!P421*'Input data meat and eggs'!C458+'Input data meat and eggs'!Q421*'Input data meat and eggs'!D458)</f>
        <v>0.6834021978021978</v>
      </c>
      <c r="L178" s="89">
        <v>0</v>
      </c>
      <c r="M178" s="89">
        <v>0</v>
      </c>
      <c r="N178" s="89">
        <v>0</v>
      </c>
      <c r="O178" s="89">
        <v>0</v>
      </c>
      <c r="P178" s="89">
        <f>('Input data meat and eggs'!C92*3.6*'Common input data'!B51)*'Input data meat and eggs'!$F$401</f>
        <v>2.8030024358490562E-3</v>
      </c>
      <c r="Q178" s="89"/>
      <c r="R178" s="90"/>
      <c r="S178" s="90"/>
      <c r="T178" s="107"/>
    </row>
    <row r="179" spans="1:402" s="102" customFormat="1" x14ac:dyDescent="0.3">
      <c r="A179" s="816"/>
      <c r="B179" s="804" t="s">
        <v>704</v>
      </c>
      <c r="C179" s="805"/>
      <c r="D179" s="269" t="s">
        <v>473</v>
      </c>
      <c r="E179" s="464">
        <f>IF($F$1="GWP100 without fb",E180+E181*'Common input data'!$C$5+E182*'Common input data'!$D$5,IF($F$1="GWP100 with fb",E180+E181*'Common input data'!$C$6+E182*'Common input data'!$D$6,IF($F$1="GTP100 without fb",E180+E181*'Common input data'!$C$7+E182*'Common input data'!$D$7,IF($F$1="GTP100 with fb",E180+E181*'Common input data'!$C$8+E182*'Common input data'!$D$8,E180+E181*'Common input data'!$C$9+E182*'Common input data'!$D$9))))</f>
        <v>1824.7201372309864</v>
      </c>
      <c r="F179" s="465">
        <f>IF($F$1="GWP100 without fb",F180+F181*'Common input data'!$C$5+F182*'Common input data'!$D$5,IF($F$1="GWP100 with fb",F180+F181*'Common input data'!$C$6+F182*'Common input data'!$D$6,IF($F$1="GTP100 without fb",F180+F181*'Common input data'!$C$7+F182*'Common input data'!$D$7,IF($F$1="GTP100 with fb",F180+F181*'Common input data'!$C$8+F182*'Common input data'!$D$8,F180+F181*'Common input data'!$C$9+F182*'Common input data'!$D$9))))</f>
        <v>3254.7158320221274</v>
      </c>
      <c r="G179" s="510"/>
      <c r="H179" s="387"/>
      <c r="I179" s="387"/>
      <c r="J179" s="387"/>
      <c r="K179" s="387"/>
      <c r="L179" s="387"/>
      <c r="M179" s="387"/>
      <c r="N179" s="387"/>
      <c r="O179" s="387"/>
      <c r="P179" s="387"/>
      <c r="Q179" s="387"/>
      <c r="R179" s="106"/>
      <c r="S179" s="106"/>
      <c r="T179" s="107"/>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c r="AQ179" s="64"/>
      <c r="AR179" s="64"/>
      <c r="AS179" s="64"/>
      <c r="AT179" s="64"/>
      <c r="AU179" s="64"/>
      <c r="AV179" s="64"/>
      <c r="AW179" s="64"/>
      <c r="AX179" s="64"/>
      <c r="AY179" s="64"/>
      <c r="AZ179" s="64"/>
      <c r="BA179" s="64"/>
      <c r="BB179" s="64"/>
      <c r="BC179" s="64"/>
      <c r="BD179" s="64"/>
      <c r="BE179" s="64"/>
      <c r="BF179" s="64"/>
      <c r="BG179" s="64"/>
      <c r="BH179" s="64"/>
      <c r="BI179" s="64"/>
      <c r="BJ179" s="64"/>
      <c r="BK179" s="64"/>
      <c r="BL179" s="64"/>
      <c r="BM179" s="64"/>
      <c r="BN179" s="64"/>
      <c r="BO179" s="64"/>
      <c r="BP179" s="64"/>
      <c r="BQ179" s="64"/>
      <c r="BR179" s="64"/>
      <c r="BS179" s="64"/>
      <c r="BT179" s="64"/>
      <c r="BU179" s="64"/>
      <c r="BV179" s="64"/>
      <c r="BW179" s="64"/>
      <c r="BX179" s="64"/>
      <c r="BY179" s="64"/>
      <c r="BZ179" s="64"/>
      <c r="CA179" s="64"/>
      <c r="CB179" s="64"/>
      <c r="CC179" s="64"/>
      <c r="CD179" s="64"/>
      <c r="CE179" s="64"/>
      <c r="CF179" s="64"/>
      <c r="CG179" s="64"/>
      <c r="CH179" s="64"/>
      <c r="CI179" s="64"/>
      <c r="CJ179" s="64"/>
      <c r="CK179" s="64"/>
      <c r="CL179" s="64"/>
      <c r="CM179" s="64"/>
      <c r="CN179" s="64"/>
      <c r="CO179" s="64"/>
      <c r="CP179" s="64"/>
      <c r="CQ179" s="64"/>
      <c r="CR179" s="64"/>
      <c r="CS179" s="64"/>
      <c r="CT179" s="64"/>
      <c r="CU179" s="64"/>
      <c r="CV179" s="64"/>
      <c r="CW179" s="64"/>
      <c r="CX179" s="64"/>
      <c r="CY179" s="64"/>
      <c r="CZ179" s="64"/>
      <c r="DA179" s="64"/>
      <c r="DB179" s="64"/>
      <c r="DC179" s="64"/>
      <c r="DD179" s="64"/>
      <c r="DE179" s="64"/>
      <c r="DF179" s="64"/>
      <c r="DG179" s="64"/>
      <c r="DH179" s="64"/>
      <c r="DI179" s="64"/>
      <c r="DJ179" s="64"/>
      <c r="DK179" s="64"/>
      <c r="DL179" s="64"/>
      <c r="DM179" s="64"/>
      <c r="DN179" s="64"/>
      <c r="DO179" s="64"/>
      <c r="DP179" s="64"/>
      <c r="DQ179" s="64"/>
      <c r="DR179" s="64"/>
      <c r="DS179" s="64"/>
      <c r="DT179" s="64"/>
      <c r="DU179" s="64"/>
      <c r="DV179" s="64"/>
      <c r="DW179" s="64"/>
      <c r="DX179" s="64"/>
      <c r="DY179" s="64"/>
      <c r="DZ179" s="64"/>
      <c r="EA179" s="64"/>
      <c r="EB179" s="64"/>
      <c r="EC179" s="64"/>
      <c r="ED179" s="64"/>
      <c r="EE179" s="64"/>
      <c r="EF179" s="64"/>
      <c r="EG179" s="64"/>
      <c r="EH179" s="64"/>
      <c r="EI179" s="64"/>
      <c r="EJ179" s="64"/>
      <c r="EK179" s="64"/>
      <c r="EL179" s="64"/>
      <c r="EM179" s="64"/>
      <c r="EN179" s="64"/>
      <c r="EO179" s="64"/>
      <c r="EP179" s="64"/>
      <c r="EQ179" s="64"/>
      <c r="ER179" s="64"/>
      <c r="ES179" s="64"/>
      <c r="ET179" s="64"/>
      <c r="EU179" s="64"/>
      <c r="EV179" s="64"/>
      <c r="EW179" s="64"/>
      <c r="EX179" s="64"/>
      <c r="EY179" s="64"/>
      <c r="EZ179" s="64"/>
      <c r="FA179" s="64"/>
      <c r="FB179" s="64"/>
      <c r="FC179" s="64"/>
      <c r="FD179" s="64"/>
      <c r="FE179" s="64"/>
      <c r="FF179" s="64"/>
      <c r="FG179" s="64"/>
      <c r="FH179" s="64"/>
      <c r="FI179" s="64"/>
      <c r="FJ179" s="64"/>
      <c r="FK179" s="64"/>
      <c r="FL179" s="64"/>
      <c r="FM179" s="64"/>
      <c r="FN179" s="64"/>
      <c r="FO179" s="64"/>
      <c r="FP179" s="64"/>
      <c r="FQ179" s="64"/>
      <c r="FR179" s="64"/>
      <c r="FS179" s="64"/>
      <c r="FT179" s="64"/>
      <c r="FU179" s="64"/>
      <c r="FV179" s="64"/>
      <c r="FW179" s="64"/>
      <c r="FX179" s="64"/>
      <c r="FY179" s="64"/>
      <c r="FZ179" s="64"/>
      <c r="GA179" s="64"/>
      <c r="GB179" s="64"/>
      <c r="GC179" s="64"/>
      <c r="GD179" s="64"/>
      <c r="GE179" s="64"/>
      <c r="GF179" s="64"/>
      <c r="GG179" s="64"/>
      <c r="GH179" s="64"/>
      <c r="GI179" s="64"/>
      <c r="GJ179" s="64"/>
      <c r="GK179" s="64"/>
      <c r="GL179" s="64"/>
      <c r="GM179" s="64"/>
      <c r="GN179" s="64"/>
      <c r="GO179" s="64"/>
      <c r="GP179" s="64"/>
      <c r="GQ179" s="64"/>
      <c r="GR179" s="64"/>
      <c r="GS179" s="64"/>
      <c r="GT179" s="64"/>
      <c r="GU179" s="64"/>
      <c r="GV179" s="64"/>
      <c r="GW179" s="64"/>
      <c r="GX179" s="64"/>
      <c r="GY179" s="64"/>
      <c r="GZ179" s="64"/>
      <c r="HA179" s="64"/>
      <c r="HB179" s="64"/>
      <c r="HC179" s="64"/>
      <c r="HD179" s="64"/>
      <c r="HE179" s="64"/>
      <c r="HF179" s="64"/>
      <c r="HG179" s="64"/>
      <c r="HH179" s="64"/>
      <c r="HI179" s="64"/>
      <c r="HJ179" s="64"/>
      <c r="HK179" s="64"/>
      <c r="HL179" s="64"/>
      <c r="HM179" s="64"/>
      <c r="HN179" s="64"/>
      <c r="HO179" s="64"/>
      <c r="HP179" s="64"/>
      <c r="HQ179" s="64"/>
      <c r="HR179" s="64"/>
      <c r="HS179" s="64"/>
      <c r="HT179" s="64"/>
      <c r="HU179" s="64"/>
      <c r="HV179" s="64"/>
      <c r="HW179" s="64"/>
      <c r="HX179" s="64"/>
      <c r="HY179" s="64"/>
      <c r="HZ179" s="64"/>
      <c r="IA179" s="64"/>
      <c r="IB179" s="64"/>
      <c r="IC179" s="64"/>
      <c r="ID179" s="64"/>
      <c r="IE179" s="64"/>
      <c r="IF179" s="64"/>
      <c r="IG179" s="64"/>
      <c r="IH179" s="64"/>
      <c r="II179" s="64"/>
      <c r="IJ179" s="64"/>
      <c r="IK179" s="64"/>
      <c r="IL179" s="64"/>
      <c r="IM179" s="64"/>
      <c r="IN179" s="64"/>
      <c r="IO179" s="64"/>
      <c r="IP179" s="64"/>
      <c r="IQ179" s="64"/>
      <c r="IR179" s="64"/>
      <c r="IS179" s="64"/>
      <c r="IT179" s="64"/>
      <c r="IU179" s="64"/>
      <c r="IV179" s="64"/>
      <c r="IW179" s="64"/>
      <c r="IX179" s="64"/>
      <c r="IY179" s="64"/>
      <c r="IZ179" s="64"/>
      <c r="JA179" s="64"/>
      <c r="JB179" s="64"/>
      <c r="JC179" s="64"/>
      <c r="JD179" s="64"/>
      <c r="JE179" s="64"/>
      <c r="JF179" s="64"/>
      <c r="JG179" s="64"/>
      <c r="JH179" s="64"/>
      <c r="JI179" s="64"/>
      <c r="JJ179" s="64"/>
      <c r="JK179" s="64"/>
      <c r="JL179" s="64"/>
      <c r="JM179" s="64"/>
      <c r="JN179" s="64"/>
      <c r="JO179" s="64"/>
      <c r="JP179" s="64"/>
      <c r="JQ179" s="64"/>
      <c r="JR179" s="64"/>
      <c r="JS179" s="64"/>
      <c r="JT179" s="64"/>
      <c r="JU179" s="64"/>
      <c r="JV179" s="64"/>
      <c r="JW179" s="64"/>
      <c r="JX179" s="64"/>
      <c r="JY179" s="64"/>
      <c r="JZ179" s="64"/>
      <c r="KA179" s="64"/>
      <c r="KB179" s="64"/>
      <c r="KC179" s="64"/>
      <c r="KD179" s="64"/>
      <c r="KE179" s="64"/>
      <c r="KF179" s="64"/>
      <c r="KG179" s="64"/>
      <c r="KH179" s="64"/>
      <c r="KI179" s="64"/>
      <c r="KJ179" s="64"/>
      <c r="KK179" s="64"/>
      <c r="KL179" s="64"/>
      <c r="KM179" s="64"/>
      <c r="KN179" s="64"/>
      <c r="KO179" s="64"/>
      <c r="KP179" s="64"/>
      <c r="KQ179" s="64"/>
      <c r="KR179" s="64"/>
      <c r="KS179" s="64"/>
      <c r="KT179" s="64"/>
      <c r="KU179" s="64"/>
      <c r="KV179" s="64"/>
      <c r="KW179" s="64"/>
      <c r="KX179" s="64"/>
      <c r="KY179" s="64"/>
      <c r="KZ179" s="64"/>
      <c r="LA179" s="64"/>
      <c r="LB179" s="64"/>
      <c r="LC179" s="64"/>
      <c r="LD179" s="64"/>
      <c r="LE179" s="64"/>
      <c r="LF179" s="64"/>
      <c r="LG179" s="64"/>
      <c r="LH179" s="64"/>
      <c r="LI179" s="64"/>
      <c r="LJ179" s="64"/>
      <c r="LK179" s="64"/>
      <c r="LL179" s="64"/>
      <c r="LM179" s="64"/>
      <c r="LN179" s="64"/>
      <c r="LO179" s="64"/>
      <c r="LP179" s="64"/>
      <c r="LQ179" s="64"/>
      <c r="LR179" s="64"/>
      <c r="LS179" s="64"/>
      <c r="LT179" s="64"/>
      <c r="LU179" s="64"/>
      <c r="LV179" s="64"/>
      <c r="LW179" s="64"/>
      <c r="LX179" s="64"/>
      <c r="LY179" s="64"/>
      <c r="LZ179" s="64"/>
      <c r="MA179" s="64"/>
      <c r="MB179" s="64"/>
      <c r="MC179" s="64"/>
      <c r="MD179" s="64"/>
      <c r="ME179" s="64"/>
      <c r="MF179" s="64"/>
      <c r="MG179" s="64"/>
      <c r="MH179" s="64"/>
      <c r="MI179" s="64"/>
      <c r="MJ179" s="64"/>
      <c r="MK179" s="64"/>
      <c r="ML179" s="64"/>
      <c r="MM179" s="64"/>
      <c r="MN179" s="64"/>
      <c r="MO179" s="64"/>
      <c r="MP179" s="64"/>
      <c r="MQ179" s="64"/>
      <c r="MR179" s="64"/>
      <c r="MS179" s="64"/>
      <c r="MT179" s="64"/>
      <c r="MU179" s="64"/>
      <c r="MV179" s="64"/>
      <c r="MW179" s="64"/>
      <c r="MX179" s="64"/>
      <c r="MY179" s="64"/>
      <c r="MZ179" s="64"/>
      <c r="NA179" s="64"/>
      <c r="NB179" s="64"/>
      <c r="NC179" s="64"/>
      <c r="ND179" s="64"/>
      <c r="NE179" s="64"/>
      <c r="NF179" s="64"/>
      <c r="NG179" s="64"/>
      <c r="NH179" s="64"/>
      <c r="NI179" s="64"/>
      <c r="NJ179" s="64"/>
      <c r="NK179" s="64"/>
      <c r="NL179" s="64"/>
      <c r="NM179" s="64"/>
      <c r="NN179" s="64"/>
      <c r="NO179" s="64"/>
      <c r="NP179" s="64"/>
      <c r="NQ179" s="64"/>
      <c r="NR179" s="64"/>
      <c r="NS179" s="64"/>
      <c r="NT179" s="64"/>
      <c r="NU179" s="64"/>
      <c r="NV179" s="64"/>
      <c r="NW179" s="64"/>
      <c r="NX179" s="64"/>
      <c r="NY179" s="64"/>
      <c r="NZ179" s="64"/>
      <c r="OA179" s="64"/>
      <c r="OB179" s="64"/>
      <c r="OC179" s="64"/>
      <c r="OD179" s="64"/>
      <c r="OE179" s="64"/>
      <c r="OF179" s="64"/>
      <c r="OG179" s="64"/>
      <c r="OH179" s="64"/>
      <c r="OI179" s="64"/>
      <c r="OJ179" s="64"/>
      <c r="OK179" s="64"/>
      <c r="OL179" s="64"/>
    </row>
    <row r="180" spans="1:402" x14ac:dyDescent="0.3">
      <c r="A180" s="815"/>
      <c r="B180" s="807"/>
      <c r="C180" s="812"/>
      <c r="D180" s="83" t="s">
        <v>164</v>
      </c>
      <c r="E180" s="466">
        <f>IF(AND($F$2="No",$F$3="No"),SUM(I180:L180),IF(AND($F$2="Yes", $F$3="No"), SUM(I180:L180)+N180, IF(AND($F$2="No", $F$3="Yes"),SUM(I180:L180)+M180, SUM(I180:L180)+N180+M180)))</f>
        <v>-414.39977598917665</v>
      </c>
      <c r="F180" s="89">
        <f>IF(AND($F$2="No",$F$3="No"),SUM(H180:L180,O180),IF(AND($F$2="Yes", $F$3="No"), SUM(H180:L180,O180)+N180, IF(AND($F$2="No", $F$3="Yes"),SUM(H180:L180,O180)+M180, SUM(H180:L180,O180)+N180+M180)))</f>
        <v>816.21036041595005</v>
      </c>
      <c r="G180" s="491"/>
      <c r="H180" s="89">
        <f>'Input data meat and eggs'!S422*'Input data meat and eggs'!B48+'Input data meat and eggs'!T422*'Input data meat and eggs'!B47+'Input data meat and eggs'!U422*'Input data meat and eggs'!B35+'Input data meat and eggs'!V422*SUMPRODUCT('Input data meat and eggs'!B37:B46,'Input data meat and eggs'!F65:F74)</f>
        <v>553.88013640512668</v>
      </c>
      <c r="I180" s="89">
        <v>0</v>
      </c>
      <c r="J180" s="89">
        <v>0</v>
      </c>
      <c r="K180" s="89">
        <v>0</v>
      </c>
      <c r="L180" s="89">
        <v>0</v>
      </c>
      <c r="M180" s="89">
        <f>('Input data meat and eggs'!S422+'Input data meat and eggs'!T422)*'Common input data'!F13+
'Input data meat and eggs'!U422*'Common input data'!B13+'Input data meat and eggs'!V422*('Input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f>
        <v>-418.83669077290881</v>
      </c>
      <c r="N180" s="89">
        <f>'Input data meat and eggs'!V422*('Input data meat and eggs'!F67*'Common input data'!B21*'Common input data'!G30/'Common input data'!F30+'Input data meat and eggs'!F71*'Common input data'!C21*'Common input data'!J31/'Common input data'!I31)</f>
        <v>4.4369147837321474</v>
      </c>
      <c r="O180" s="89">
        <f>('Input data meat and eggs'!B83*'Common input data'!C63)*'Input data meat and eggs'!F422</f>
        <v>676.73</v>
      </c>
      <c r="P180" s="89">
        <v>0</v>
      </c>
      <c r="Q180" s="89"/>
      <c r="R180" s="90"/>
      <c r="S180" s="90"/>
      <c r="T180" s="107"/>
    </row>
    <row r="181" spans="1:402" x14ac:dyDescent="0.3">
      <c r="A181" s="815"/>
      <c r="B181" s="807"/>
      <c r="C181" s="808"/>
      <c r="D181" s="83" t="s">
        <v>165</v>
      </c>
      <c r="E181" s="466">
        <f>SUM(I181:L181)</f>
        <v>45.527533482823415</v>
      </c>
      <c r="F181" s="89">
        <f>SUM(H181:L181,O181)</f>
        <v>45.816251017560681</v>
      </c>
      <c r="G181" s="491"/>
      <c r="H181" s="89">
        <f>'Input data meat and eggs'!S422*'Input data meat and eggs'!C48+'Input data meat and eggs'!T422*'Input data meat and eggs'!C47+'Input data meat and eggs'!U422*'Input data meat and eggs'!C35+'Input data meat and eggs'!V422*SUMPRODUCT('Input data meat and eggs'!C37:C46,'Input data meat and eggs'!F65:F74)</f>
        <v>0.28871753473726591</v>
      </c>
      <c r="I181" s="89">
        <v>0</v>
      </c>
      <c r="J181" s="89">
        <f>'Input data meat and eggs'!M422*'Input data meat and eggs'!G422/12*'Input data meat and eggs'!$C$450*'Input data meat and eggs'!$C$452*'Input data meat and eggs'!$C$453*
('Input data meat and eggs'!$O$422*'Input data meat and eggs'!$B$443
+'Input data meat and eggs'!$P$422*'Input data meat and eggs'!$C$443+
'Input data meat and eggs'!$Q$422*'Input data meat and eggs'!$D$443+
'Input data meat and eggs'!$R$422*'Input data meat and eggs'!$E$443)</f>
        <v>2.2275334828234268</v>
      </c>
      <c r="K181" s="89">
        <v>0</v>
      </c>
      <c r="L181" s="89">
        <f>'Input data meat and eggs'!L422*'Input data meat and eggs'!G422/12</f>
        <v>43.29999999999999</v>
      </c>
      <c r="M181" s="89">
        <v>0</v>
      </c>
      <c r="N181" s="89">
        <v>0</v>
      </c>
      <c r="O181" s="89">
        <v>0</v>
      </c>
      <c r="P181" s="89">
        <v>0</v>
      </c>
      <c r="Q181" s="89"/>
      <c r="R181" s="90"/>
      <c r="S181" s="90"/>
      <c r="T181" s="107"/>
    </row>
    <row r="182" spans="1:402" x14ac:dyDescent="0.3">
      <c r="A182" s="815"/>
      <c r="B182" s="807"/>
      <c r="C182" s="808"/>
      <c r="D182" s="84" t="s">
        <v>166</v>
      </c>
      <c r="E182" s="466">
        <f>SUM(I182:L182)</f>
        <v>2.3194086402824405</v>
      </c>
      <c r="F182" s="89">
        <f>SUM(H182:L182,O182)</f>
        <v>2.9555467684869603</v>
      </c>
      <c r="G182" s="491"/>
      <c r="H182" s="89">
        <f>('Input data meat and eggs'!S422*'Input data meat and eggs'!D48+'Input data meat and eggs'!T422*'Input data meat and eggs'!D47+'Input data meat and eggs'!U422*'Input data meat and eggs'!D35+'Input data meat and eggs'!V422*SUMPRODUCT('Input data meat and eggs'!D37:D46,'Input data meat and eggs'!F65:F74))*'Input data meat and eggs'!B58</f>
        <v>0.63613812820451987</v>
      </c>
      <c r="I182" s="89">
        <f>('Input data meat and eggs'!S422*'Input data meat and eggs'!D48+'Input data meat and eggs'!T422*'Input data meat and eggs'!D47+'Input data meat and eggs'!U422*'Input data meat and eggs'!D35+'Input data meat and eggs'!V422*SUMPRODUCT('Input data meat and eggs'!D37:D46,'Input data meat and eggs'!F65:F74))*'Input data meat and eggs'!C58</f>
        <v>1.6079007831395833</v>
      </c>
      <c r="J182" s="89">
        <f>'Input data meat and eggs'!K422*'Input data meat and eggs'!G422/12*('Input data meat and eggs'!$O$422*'Input data meat and eggs'!$B$445+'Input data meat and eggs'!$P$422*'Input data meat and eggs'!$C$445+'Input data meat and eggs'!$Q$422*'Input data meat and eggs'!$D$445+'Input data meat and eggs'!$R$422*'Input data meat and eggs'!$E$445)*44/28</f>
        <v>0.46527527472527469</v>
      </c>
      <c r="K182" s="89">
        <f>'Input data meat and eggs'!$B$446*44/28*'Input data meat and eggs'!K422*'Input data meat and eggs'!G422/12*('Input data meat and eggs'!O422*'Input data meat and eggs'!B458+'Input data meat and eggs'!P422*'Input data meat and eggs'!C458+'Input data meat and eggs'!Q422*'Input data meat and eggs'!D458)</f>
        <v>0.2462325824175825</v>
      </c>
      <c r="L182" s="89">
        <v>0</v>
      </c>
      <c r="M182" s="89">
        <v>0</v>
      </c>
      <c r="N182" s="89">
        <v>0</v>
      </c>
      <c r="O182" s="89">
        <v>0</v>
      </c>
      <c r="P182" s="89">
        <v>0</v>
      </c>
      <c r="Q182" s="89"/>
      <c r="R182" s="90"/>
      <c r="S182" s="90"/>
      <c r="T182" s="107"/>
    </row>
    <row r="183" spans="1:402" s="102" customFormat="1" x14ac:dyDescent="0.3">
      <c r="A183" s="816"/>
      <c r="B183" s="804" t="s">
        <v>719</v>
      </c>
      <c r="C183" s="810"/>
      <c r="D183" s="269" t="s">
        <v>473</v>
      </c>
      <c r="E183" s="464">
        <f>IF($F$1="GWP100 without fb",E184+E185*'Common input data'!$C$5+E186*'Common input data'!$D$5,IF($F$1="GWP100 with fb",E184+E185*'Common input data'!$C$6+E186*'Common input data'!$D$6,IF($F$1="GTP100 without fb",E184+E185*'Common input data'!$C$7+E186*'Common input data'!$D$7,IF($F$1="GTP100 with fb",E184+E185*'Common input data'!$C$8+E186*'Common input data'!$D$8,E184+E185*'Common input data'!$C$9+E186*'Common input data'!$D$9))))</f>
        <v>34653548108.094116</v>
      </c>
      <c r="F183" s="465">
        <f>IF($F$1="GWP100 without fb",F184+F185*'Common input data'!$C$5+F186*'Common input data'!$D$5,IF($F$1="GWP100 with fb",F184+F185*'Common input data'!$C$6+F186*'Common input data'!$D$6,IF($F$1="GTP100 without fb",F184+F185*'Common input data'!$C$7+F186*'Common input data'!$D$7,IF($F$1="GTP100 with fb",F184+F185*'Common input data'!$C$8+F186*'Common input data'!$D$8,F184+F185*'Common input data'!$C$9+F186*'Common input data'!$D$9))))</f>
        <v>48964413090.888161</v>
      </c>
      <c r="G183" s="510"/>
      <c r="H183" s="387"/>
      <c r="I183" s="387"/>
      <c r="J183" s="387"/>
      <c r="K183" s="387"/>
      <c r="L183" s="387"/>
      <c r="M183" s="387"/>
      <c r="N183" s="387"/>
      <c r="O183" s="387"/>
      <c r="P183" s="387"/>
      <c r="Q183" s="387"/>
      <c r="R183" s="106"/>
      <c r="S183" s="106"/>
      <c r="T183" s="107"/>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c r="AQ183" s="64"/>
      <c r="AR183" s="64"/>
      <c r="AS183" s="64"/>
      <c r="AT183" s="64"/>
      <c r="AU183" s="64"/>
      <c r="AV183" s="64"/>
      <c r="AW183" s="64"/>
      <c r="AX183" s="64"/>
      <c r="AY183" s="64"/>
      <c r="AZ183" s="64"/>
      <c r="BA183" s="64"/>
      <c r="BB183" s="64"/>
      <c r="BC183" s="64"/>
      <c r="BD183" s="64"/>
      <c r="BE183" s="64"/>
      <c r="BF183" s="64"/>
      <c r="BG183" s="64"/>
      <c r="BH183" s="64"/>
      <c r="BI183" s="64"/>
      <c r="BJ183" s="64"/>
      <c r="BK183" s="64"/>
      <c r="BL183" s="64"/>
      <c r="BM183" s="64"/>
      <c r="BN183" s="64"/>
      <c r="BO183" s="64"/>
      <c r="BP183" s="64"/>
      <c r="BQ183" s="64"/>
      <c r="BR183" s="64"/>
      <c r="BS183" s="64"/>
      <c r="BT183" s="64"/>
      <c r="BU183" s="64"/>
      <c r="BV183" s="64"/>
      <c r="BW183" s="64"/>
      <c r="BX183" s="64"/>
      <c r="BY183" s="64"/>
      <c r="BZ183" s="64"/>
      <c r="CA183" s="64"/>
      <c r="CB183" s="64"/>
      <c r="CC183" s="64"/>
      <c r="CD183" s="64"/>
      <c r="CE183" s="64"/>
      <c r="CF183" s="64"/>
      <c r="CG183" s="64"/>
      <c r="CH183" s="64"/>
      <c r="CI183" s="64"/>
      <c r="CJ183" s="64"/>
      <c r="CK183" s="64"/>
      <c r="CL183" s="64"/>
      <c r="CM183" s="64"/>
      <c r="CN183" s="64"/>
      <c r="CO183" s="64"/>
      <c r="CP183" s="64"/>
      <c r="CQ183" s="64"/>
      <c r="CR183" s="64"/>
      <c r="CS183" s="64"/>
      <c r="CT183" s="64"/>
      <c r="CU183" s="64"/>
      <c r="CV183" s="64"/>
      <c r="CW183" s="64"/>
      <c r="CX183" s="64"/>
      <c r="CY183" s="64"/>
      <c r="CZ183" s="64"/>
      <c r="DA183" s="64"/>
      <c r="DB183" s="64"/>
      <c r="DC183" s="64"/>
      <c r="DD183" s="64"/>
      <c r="DE183" s="64"/>
      <c r="DF183" s="64"/>
      <c r="DG183" s="64"/>
      <c r="DH183" s="64"/>
      <c r="DI183" s="64"/>
      <c r="DJ183" s="64"/>
      <c r="DK183" s="64"/>
      <c r="DL183" s="64"/>
      <c r="DM183" s="64"/>
      <c r="DN183" s="64"/>
      <c r="DO183" s="64"/>
      <c r="DP183" s="64"/>
      <c r="DQ183" s="64"/>
      <c r="DR183" s="64"/>
      <c r="DS183" s="64"/>
      <c r="DT183" s="64"/>
      <c r="DU183" s="64"/>
      <c r="DV183" s="64"/>
      <c r="DW183" s="64"/>
      <c r="DX183" s="64"/>
      <c r="DY183" s="64"/>
      <c r="DZ183" s="64"/>
      <c r="EA183" s="64"/>
      <c r="EB183" s="64"/>
      <c r="EC183" s="64"/>
      <c r="ED183" s="64"/>
      <c r="EE183" s="64"/>
      <c r="EF183" s="64"/>
      <c r="EG183" s="64"/>
      <c r="EH183" s="64"/>
      <c r="EI183" s="64"/>
      <c r="EJ183" s="64"/>
      <c r="EK183" s="64"/>
      <c r="EL183" s="64"/>
      <c r="EM183" s="64"/>
      <c r="EN183" s="64"/>
      <c r="EO183" s="64"/>
      <c r="EP183" s="64"/>
      <c r="EQ183" s="64"/>
      <c r="ER183" s="64"/>
      <c r="ES183" s="64"/>
      <c r="ET183" s="64"/>
      <c r="EU183" s="64"/>
      <c r="EV183" s="64"/>
      <c r="EW183" s="64"/>
      <c r="EX183" s="64"/>
      <c r="EY183" s="64"/>
      <c r="EZ183" s="64"/>
      <c r="FA183" s="64"/>
      <c r="FB183" s="64"/>
      <c r="FC183" s="64"/>
      <c r="FD183" s="64"/>
      <c r="FE183" s="64"/>
      <c r="FF183" s="64"/>
      <c r="FG183" s="64"/>
      <c r="FH183" s="64"/>
      <c r="FI183" s="64"/>
      <c r="FJ183" s="64"/>
      <c r="FK183" s="64"/>
      <c r="FL183" s="64"/>
      <c r="FM183" s="64"/>
      <c r="FN183" s="64"/>
      <c r="FO183" s="64"/>
      <c r="FP183" s="64"/>
      <c r="FQ183" s="64"/>
      <c r="FR183" s="64"/>
      <c r="FS183" s="64"/>
      <c r="FT183" s="64"/>
      <c r="FU183" s="64"/>
      <c r="FV183" s="64"/>
      <c r="FW183" s="64"/>
      <c r="FX183" s="64"/>
      <c r="FY183" s="64"/>
      <c r="FZ183" s="64"/>
      <c r="GA183" s="64"/>
      <c r="GB183" s="64"/>
      <c r="GC183" s="64"/>
      <c r="GD183" s="64"/>
      <c r="GE183" s="64"/>
      <c r="GF183" s="64"/>
      <c r="GG183" s="64"/>
      <c r="GH183" s="64"/>
      <c r="GI183" s="64"/>
      <c r="GJ183" s="64"/>
      <c r="GK183" s="64"/>
      <c r="GL183" s="64"/>
      <c r="GM183" s="64"/>
      <c r="GN183" s="64"/>
      <c r="GO183" s="64"/>
      <c r="GP183" s="64"/>
      <c r="GQ183" s="64"/>
      <c r="GR183" s="64"/>
      <c r="GS183" s="64"/>
      <c r="GT183" s="64"/>
      <c r="GU183" s="64"/>
      <c r="GV183" s="64"/>
      <c r="GW183" s="64"/>
      <c r="GX183" s="64"/>
      <c r="GY183" s="64"/>
      <c r="GZ183" s="64"/>
      <c r="HA183" s="64"/>
      <c r="HB183" s="64"/>
      <c r="HC183" s="64"/>
      <c r="HD183" s="64"/>
      <c r="HE183" s="64"/>
      <c r="HF183" s="64"/>
      <c r="HG183" s="64"/>
      <c r="HH183" s="64"/>
      <c r="HI183" s="64"/>
      <c r="HJ183" s="64"/>
      <c r="HK183" s="64"/>
      <c r="HL183" s="64"/>
      <c r="HM183" s="64"/>
      <c r="HN183" s="64"/>
      <c r="HO183" s="64"/>
      <c r="HP183" s="64"/>
      <c r="HQ183" s="64"/>
      <c r="HR183" s="64"/>
      <c r="HS183" s="64"/>
      <c r="HT183" s="64"/>
      <c r="HU183" s="64"/>
      <c r="HV183" s="64"/>
      <c r="HW183" s="64"/>
      <c r="HX183" s="64"/>
      <c r="HY183" s="64"/>
      <c r="HZ183" s="64"/>
      <c r="IA183" s="64"/>
      <c r="IB183" s="64"/>
      <c r="IC183" s="64"/>
      <c r="ID183" s="64"/>
      <c r="IE183" s="64"/>
      <c r="IF183" s="64"/>
      <c r="IG183" s="64"/>
      <c r="IH183" s="64"/>
      <c r="II183" s="64"/>
      <c r="IJ183" s="64"/>
      <c r="IK183" s="64"/>
      <c r="IL183" s="64"/>
      <c r="IM183" s="64"/>
      <c r="IN183" s="64"/>
      <c r="IO183" s="64"/>
      <c r="IP183" s="64"/>
      <c r="IQ183" s="64"/>
      <c r="IR183" s="64"/>
      <c r="IS183" s="64"/>
      <c r="IT183" s="64"/>
      <c r="IU183" s="64"/>
      <c r="IV183" s="64"/>
      <c r="IW183" s="64"/>
      <c r="IX183" s="64"/>
      <c r="IY183" s="64"/>
      <c r="IZ183" s="64"/>
      <c r="JA183" s="64"/>
      <c r="JB183" s="64"/>
      <c r="JC183" s="64"/>
      <c r="JD183" s="64"/>
      <c r="JE183" s="64"/>
      <c r="JF183" s="64"/>
      <c r="JG183" s="64"/>
      <c r="JH183" s="64"/>
      <c r="JI183" s="64"/>
      <c r="JJ183" s="64"/>
      <c r="JK183" s="64"/>
      <c r="JL183" s="64"/>
      <c r="JM183" s="64"/>
      <c r="JN183" s="64"/>
      <c r="JO183" s="64"/>
      <c r="JP183" s="64"/>
      <c r="JQ183" s="64"/>
      <c r="JR183" s="64"/>
      <c r="JS183" s="64"/>
      <c r="JT183" s="64"/>
      <c r="JU183" s="64"/>
      <c r="JV183" s="64"/>
      <c r="JW183" s="64"/>
      <c r="JX183" s="64"/>
      <c r="JY183" s="64"/>
      <c r="JZ183" s="64"/>
      <c r="KA183" s="64"/>
      <c r="KB183" s="64"/>
      <c r="KC183" s="64"/>
      <c r="KD183" s="64"/>
      <c r="KE183" s="64"/>
      <c r="KF183" s="64"/>
      <c r="KG183" s="64"/>
      <c r="KH183" s="64"/>
      <c r="KI183" s="64"/>
      <c r="KJ183" s="64"/>
      <c r="KK183" s="64"/>
      <c r="KL183" s="64"/>
      <c r="KM183" s="64"/>
      <c r="KN183" s="64"/>
      <c r="KO183" s="64"/>
      <c r="KP183" s="64"/>
      <c r="KQ183" s="64"/>
      <c r="KR183" s="64"/>
      <c r="KS183" s="64"/>
      <c r="KT183" s="64"/>
      <c r="KU183" s="64"/>
      <c r="KV183" s="64"/>
      <c r="KW183" s="64"/>
      <c r="KX183" s="64"/>
      <c r="KY183" s="64"/>
      <c r="KZ183" s="64"/>
      <c r="LA183" s="64"/>
      <c r="LB183" s="64"/>
      <c r="LC183" s="64"/>
      <c r="LD183" s="64"/>
      <c r="LE183" s="64"/>
      <c r="LF183" s="64"/>
      <c r="LG183" s="64"/>
      <c r="LH183" s="64"/>
      <c r="LI183" s="64"/>
      <c r="LJ183" s="64"/>
      <c r="LK183" s="64"/>
      <c r="LL183" s="64"/>
      <c r="LM183" s="64"/>
      <c r="LN183" s="64"/>
      <c r="LO183" s="64"/>
      <c r="LP183" s="64"/>
      <c r="LQ183" s="64"/>
      <c r="LR183" s="64"/>
      <c r="LS183" s="64"/>
      <c r="LT183" s="64"/>
      <c r="LU183" s="64"/>
      <c r="LV183" s="64"/>
      <c r="LW183" s="64"/>
      <c r="LX183" s="64"/>
      <c r="LY183" s="64"/>
      <c r="LZ183" s="64"/>
      <c r="MA183" s="64"/>
      <c r="MB183" s="64"/>
      <c r="MC183" s="64"/>
      <c r="MD183" s="64"/>
      <c r="ME183" s="64"/>
      <c r="MF183" s="64"/>
      <c r="MG183" s="64"/>
      <c r="MH183" s="64"/>
      <c r="MI183" s="64"/>
      <c r="MJ183" s="64"/>
      <c r="MK183" s="64"/>
      <c r="ML183" s="64"/>
      <c r="MM183" s="64"/>
      <c r="MN183" s="64"/>
      <c r="MO183" s="64"/>
      <c r="MP183" s="64"/>
      <c r="MQ183" s="64"/>
      <c r="MR183" s="64"/>
      <c r="MS183" s="64"/>
      <c r="MT183" s="64"/>
      <c r="MU183" s="64"/>
      <c r="MV183" s="64"/>
      <c r="MW183" s="64"/>
      <c r="MX183" s="64"/>
      <c r="MY183" s="64"/>
      <c r="MZ183" s="64"/>
      <c r="NA183" s="64"/>
      <c r="NB183" s="64"/>
      <c r="NC183" s="64"/>
      <c r="ND183" s="64"/>
      <c r="NE183" s="64"/>
      <c r="NF183" s="64"/>
      <c r="NG183" s="64"/>
      <c r="NH183" s="64"/>
      <c r="NI183" s="64"/>
      <c r="NJ183" s="64"/>
      <c r="NK183" s="64"/>
      <c r="NL183" s="64"/>
      <c r="NM183" s="64"/>
      <c r="NN183" s="64"/>
      <c r="NO183" s="64"/>
      <c r="NP183" s="64"/>
      <c r="NQ183" s="64"/>
      <c r="NR183" s="64"/>
      <c r="NS183" s="64"/>
      <c r="NT183" s="64"/>
      <c r="NU183" s="64"/>
      <c r="NV183" s="64"/>
      <c r="NW183" s="64"/>
      <c r="NX183" s="64"/>
      <c r="NY183" s="64"/>
      <c r="NZ183" s="64"/>
      <c r="OA183" s="64"/>
      <c r="OB183" s="64"/>
      <c r="OC183" s="64"/>
      <c r="OD183" s="64"/>
      <c r="OE183" s="64"/>
      <c r="OF183" s="64"/>
      <c r="OG183" s="64"/>
      <c r="OH183" s="64"/>
      <c r="OI183" s="64"/>
      <c r="OJ183" s="64"/>
      <c r="OK183" s="64"/>
      <c r="OL183" s="64"/>
    </row>
    <row r="184" spans="1:402" x14ac:dyDescent="0.3">
      <c r="A184" s="815"/>
      <c r="B184" s="807"/>
      <c r="C184" s="808"/>
      <c r="D184" s="83" t="s">
        <v>164</v>
      </c>
      <c r="E184" s="466">
        <f>IF(AND($F$2="No",$F$3="No"),SUM(I184:L184),IF(AND($F$2="Yes", $F$3="No"), SUM(I184:L184)+N184, IF(AND($F$2="No", $F$3="Yes"),SUM(I184:L184)+M184, SUM(I184:L184)+N184+M184)))</f>
        <v>-1066536611.4022391</v>
      </c>
      <c r="F184" s="89">
        <f>IF(AND($F$2="No",$F$3="No"),SUM(H184:L184,O184),IF(AND($F$2="Yes", $F$3="No"), SUM(H184:L184,O184)+N184, IF(AND($F$2="No", $F$3="Yes"),SUM(H184:L184,O184)+M184, SUM(H184:L184,O184)+N184+M184)))</f>
        <v>10394529930.114693</v>
      </c>
      <c r="G184" s="491"/>
      <c r="H184" s="89">
        <f>H176*'Input data meat and eggs'!$C$421+H180*'Input data meat and eggs'!$C$422</f>
        <v>8183014075.3965054</v>
      </c>
      <c r="I184" s="89">
        <f>I176*'Input data meat and eggs'!$C$421+I180*'Input data meat and eggs'!$C$422</f>
        <v>0</v>
      </c>
      <c r="J184" s="89">
        <f>J176*'Input data meat and eggs'!$C$421+J180*'Input data meat and eggs'!$C$422</f>
        <v>0</v>
      </c>
      <c r="K184" s="89">
        <f>K176*'Input data meat and eggs'!$C$421+K180*'Input data meat and eggs'!$C$422</f>
        <v>0</v>
      </c>
      <c r="L184" s="89">
        <f>L176*'Input data meat and eggs'!$C$421+L180*'Input data meat and eggs'!$C$422</f>
        <v>0</v>
      </c>
      <c r="M184" s="89">
        <f>M176*'Input data meat and eggs'!$C$421+M180*'Input data meat and eggs'!$C$422</f>
        <v>-1820057575.1757975</v>
      </c>
      <c r="N184" s="89">
        <f>N176*'Input data meat and eggs'!$C$421+N180*'Input data meat and eggs'!$C$422</f>
        <v>753520963.77355838</v>
      </c>
      <c r="O184" s="89">
        <f>O176*'Input data meat and eggs'!$C$421+O180*'Input data meat and eggs'!$C$422</f>
        <v>3278052466.1204281</v>
      </c>
      <c r="P184" s="89">
        <f>P176*'Input data meat and eggs'!$E$421+P180*'Input data meat and eggs'!$E$422</f>
        <v>230533790.04679245</v>
      </c>
      <c r="Q184" s="89">
        <f>(F184+P184)</f>
        <v>10625063720.161486</v>
      </c>
      <c r="R184" s="90"/>
      <c r="S184" s="90"/>
      <c r="T184" s="107"/>
    </row>
    <row r="185" spans="1:402" x14ac:dyDescent="0.3">
      <c r="A185" s="815"/>
      <c r="B185" s="807"/>
      <c r="C185" s="808"/>
      <c r="D185" s="83" t="s">
        <v>165</v>
      </c>
      <c r="E185" s="466">
        <f>SUM(I185:L185)</f>
        <v>765294413.91205049</v>
      </c>
      <c r="F185" s="89">
        <f>SUM(H185:L185,O185)</f>
        <v>773955720.07332301</v>
      </c>
      <c r="G185" s="491"/>
      <c r="H185" s="89">
        <f>H177*'Input data meat and eggs'!$C$421+H181*'Input data meat and eggs'!$C$422</f>
        <v>8661306.1612725221</v>
      </c>
      <c r="I185" s="89">
        <f>I177*'Input data meat and eggs'!$C$421+I181*'Input data meat and eggs'!$C$422</f>
        <v>0</v>
      </c>
      <c r="J185" s="89">
        <f>J177*'Input data meat and eggs'!$C$421+J181*'Input data meat and eggs'!$C$422</f>
        <v>35757093.068623327</v>
      </c>
      <c r="K185" s="89">
        <f>K177*'Input data meat and eggs'!$C$421+K181*'Input data meat and eggs'!$C$422</f>
        <v>0</v>
      </c>
      <c r="L185" s="89">
        <f>L177*'Input data meat and eggs'!$C$421+L181*'Input data meat and eggs'!$C$422</f>
        <v>729537320.84342718</v>
      </c>
      <c r="M185" s="89">
        <f>M177*'Input data meat and eggs'!$C$421+M181*'Input data meat and eggs'!$C$422</f>
        <v>0</v>
      </c>
      <c r="N185" s="89">
        <f>N177*'Input data meat and eggs'!$C$421+N181*'Input data meat and eggs'!$C$422</f>
        <v>0</v>
      </c>
      <c r="O185" s="89">
        <f>O177*'Input data meat and eggs'!$C$421+O181*'Input data meat and eggs'!$C$422</f>
        <v>0</v>
      </c>
      <c r="P185" s="89">
        <f>P177*'Input data meat and eggs'!$E$421+P181*'Input data meat and eggs'!$E$422</f>
        <v>37903.675608679252</v>
      </c>
      <c r="Q185" s="89">
        <f t="shared" ref="Q185" si="21">(F185+P185)</f>
        <v>773993623.74893165</v>
      </c>
      <c r="R185" s="90"/>
      <c r="S185" s="90"/>
      <c r="T185" s="107"/>
    </row>
    <row r="186" spans="1:402" x14ac:dyDescent="0.3">
      <c r="A186" s="815"/>
      <c r="B186" s="807"/>
      <c r="C186" s="808"/>
      <c r="D186" s="84" t="s">
        <v>166</v>
      </c>
      <c r="E186" s="466">
        <f>SUM(I186:L186)</f>
        <v>32550586.062035695</v>
      </c>
      <c r="F186" s="89">
        <f>SUM(H186:L186,O186)</f>
        <v>41125465.363357343</v>
      </c>
      <c r="G186" s="491"/>
      <c r="H186" s="89">
        <f>H178*'Input data meat and eggs'!$C$421+H182*'Input data meat and eggs'!$C$422</f>
        <v>8574879.3013216462</v>
      </c>
      <c r="I186" s="89">
        <f>I178*'Input data meat and eggs'!$C$421+I182*'Input data meat and eggs'!$C$422</f>
        <v>21673838.640732672</v>
      </c>
      <c r="J186" s="89">
        <f>J178*'Input data meat and eggs'!$C$421+J182*'Input data meat and eggs'!$C$422</f>
        <v>7112615.2631482454</v>
      </c>
      <c r="K186" s="89">
        <f>K178*'Input data meat and eggs'!$C$421+K182*'Input data meat and eggs'!$C$422</f>
        <v>3764132.1581547768</v>
      </c>
      <c r="L186" s="89">
        <f>L178*'Input data meat and eggs'!$C$421+L182*'Input data meat and eggs'!$C$422</f>
        <v>0</v>
      </c>
      <c r="M186" s="89">
        <f>M178*'Input data meat and eggs'!$C$421+M182*'Input data meat and eggs'!$C$422</f>
        <v>0</v>
      </c>
      <c r="N186" s="89">
        <f>N178*'Input data meat and eggs'!$C$421+N182*'Input data meat and eggs'!$C$422</f>
        <v>0</v>
      </c>
      <c r="O186" s="89">
        <f>O178*'Input data meat and eggs'!$C$421+O182*'Input data meat and eggs'!$C$422</f>
        <v>0</v>
      </c>
      <c r="P186" s="89">
        <f>P178*'Input data meat and eggs'!$E$421+P182*'Input data meat and eggs'!$E$422</f>
        <v>3533.4648706313201</v>
      </c>
      <c r="Q186" s="89">
        <f>(F186+P186)</f>
        <v>41128998.828227974</v>
      </c>
      <c r="R186" s="90"/>
      <c r="S186" s="90"/>
      <c r="T186" s="107"/>
    </row>
    <row r="187" spans="1:402" s="102" customFormat="1" x14ac:dyDescent="0.3">
      <c r="A187" s="817"/>
      <c r="B187" s="804" t="s">
        <v>720</v>
      </c>
      <c r="C187" s="805">
        <v>4.7430552938419038E-2</v>
      </c>
      <c r="D187" s="269" t="s">
        <v>473</v>
      </c>
      <c r="E187" s="320">
        <f>IF($F$1="GWP100 without fb",E188+E189*'Common input data'!$C$5+E190*'Common input data'!$D$5,IF($F$1="GWP100 with fb",E188+E189*'Common input data'!$C$6+E190*'Common input data'!$D$6,IF($F$1="GTP100 without fb",E188+E189*'Common input data'!$C$7+E190*'Common input data'!$D$7,IF($F$1="GTP100 with fb",E188+E189*'Common input data'!$C$8+E190*'Common input data'!$D$8,E188+E189*'Common input data'!$C$9+E190*'Common input data'!$D$9))))</f>
        <v>6.5839365165931101</v>
      </c>
      <c r="F187" s="302">
        <f>IF($F$1="GWP100 without fb",F188+F189*'Common input data'!$C$5+F190*'Common input data'!$D$5,IF($F$1="GWP100 with fb",F188+F189*'Common input data'!$C$6+F190*'Common input data'!$D$6,IF($F$1="GTP100 without fb",F188+F189*'Common input data'!$C$7+F190*'Common input data'!$D$7,IF($F$1="GTP100 with fb",F188+F189*'Common input data'!$C$8+F190*'Common input data'!$D$8,F188+F189*'Common input data'!$C$9+F190*'Common input data'!$D$9))))</f>
        <v>9.3029027318374222</v>
      </c>
      <c r="G187" s="321">
        <f>IF($F$1="GWP100 without fb",G188+G189*'Common input data'!$C$5+G190*'Common input data'!$D$5,IF($F$1="GWP100 with fb",G188+G189*'Common input data'!$C$6+G190*'Common input data'!$D$6,IF($F$1="GTP100 without fb",G188+G189*'Common input data'!$C$7+G190*'Common input data'!$D$7,IF($F$1="GTP100 with fb",G188+G189*'Common input data'!$C$8+G190*'Common input data'!$D$8,G188+G189*'Common input data'!$C$9+G190*'Common input data'!$D$9))))</f>
        <v>10.501258199137963</v>
      </c>
      <c r="H187" s="502"/>
      <c r="I187" s="502"/>
      <c r="J187" s="502"/>
      <c r="K187" s="502"/>
      <c r="L187" s="502"/>
      <c r="M187" s="502"/>
      <c r="N187" s="502"/>
      <c r="O187" s="502"/>
      <c r="P187" s="502"/>
      <c r="Q187" s="502"/>
      <c r="R187" s="503"/>
      <c r="S187" s="503"/>
      <c r="T187" s="107"/>
      <c r="U187" s="64"/>
      <c r="V187" s="64"/>
      <c r="W187" s="64"/>
      <c r="X187" s="64"/>
      <c r="Y187" s="64"/>
      <c r="Z187" s="64"/>
      <c r="AA187" s="64"/>
      <c r="AB187" s="64"/>
      <c r="AC187" s="64"/>
      <c r="AD187" s="64"/>
      <c r="AE187" s="64"/>
      <c r="AF187" s="64"/>
      <c r="AG187" s="64"/>
      <c r="AH187" s="64"/>
      <c r="AI187" s="64"/>
      <c r="AJ187" s="64"/>
      <c r="AK187" s="64"/>
      <c r="AL187" s="64"/>
      <c r="AM187" s="64"/>
      <c r="AN187" s="64"/>
      <c r="AO187" s="64"/>
      <c r="AP187" s="64"/>
      <c r="AQ187" s="64"/>
      <c r="AR187" s="64"/>
      <c r="AS187" s="64"/>
      <c r="AT187" s="64"/>
      <c r="AU187" s="64"/>
      <c r="AV187" s="64"/>
      <c r="AW187" s="64"/>
      <c r="AX187" s="64"/>
      <c r="AY187" s="64"/>
      <c r="AZ187" s="64"/>
      <c r="BA187" s="64"/>
      <c r="BB187" s="64"/>
      <c r="BC187" s="64"/>
      <c r="BD187" s="64"/>
      <c r="BE187" s="64"/>
      <c r="BF187" s="64"/>
      <c r="BG187" s="64"/>
      <c r="BH187" s="64"/>
      <c r="BI187" s="64"/>
      <c r="BJ187" s="64"/>
      <c r="BK187" s="64"/>
      <c r="BL187" s="64"/>
      <c r="BM187" s="64"/>
      <c r="BN187" s="64"/>
      <c r="BO187" s="64"/>
      <c r="BP187" s="64"/>
      <c r="BQ187" s="64"/>
      <c r="BR187" s="64"/>
      <c r="BS187" s="64"/>
      <c r="BT187" s="64"/>
      <c r="BU187" s="64"/>
      <c r="BV187" s="64"/>
      <c r="BW187" s="64"/>
      <c r="BX187" s="64"/>
      <c r="BY187" s="64"/>
      <c r="BZ187" s="64"/>
      <c r="CA187" s="64"/>
      <c r="CB187" s="64"/>
      <c r="CC187" s="64"/>
      <c r="CD187" s="64"/>
      <c r="CE187" s="64"/>
      <c r="CF187" s="64"/>
      <c r="CG187" s="64"/>
      <c r="CH187" s="64"/>
      <c r="CI187" s="64"/>
      <c r="CJ187" s="64"/>
      <c r="CK187" s="64"/>
      <c r="CL187" s="64"/>
      <c r="CM187" s="64"/>
      <c r="CN187" s="64"/>
      <c r="CO187" s="64"/>
      <c r="CP187" s="64"/>
      <c r="CQ187" s="64"/>
      <c r="CR187" s="64"/>
      <c r="CS187" s="64"/>
      <c r="CT187" s="64"/>
      <c r="CU187" s="64"/>
      <c r="CV187" s="64"/>
      <c r="CW187" s="64"/>
      <c r="CX187" s="64"/>
      <c r="CY187" s="64"/>
      <c r="CZ187" s="64"/>
      <c r="DA187" s="64"/>
      <c r="DB187" s="64"/>
      <c r="DC187" s="64"/>
      <c r="DD187" s="64"/>
      <c r="DE187" s="64"/>
      <c r="DF187" s="64"/>
      <c r="DG187" s="64"/>
      <c r="DH187" s="64"/>
      <c r="DI187" s="64"/>
      <c r="DJ187" s="64"/>
      <c r="DK187" s="64"/>
      <c r="DL187" s="64"/>
      <c r="DM187" s="64"/>
      <c r="DN187" s="64"/>
      <c r="DO187" s="64"/>
      <c r="DP187" s="64"/>
      <c r="DQ187" s="64"/>
      <c r="DR187" s="64"/>
      <c r="DS187" s="64"/>
      <c r="DT187" s="64"/>
      <c r="DU187" s="64"/>
      <c r="DV187" s="64"/>
      <c r="DW187" s="64"/>
      <c r="DX187" s="64"/>
      <c r="DY187" s="64"/>
      <c r="DZ187" s="64"/>
      <c r="EA187" s="64"/>
      <c r="EB187" s="64"/>
      <c r="EC187" s="64"/>
      <c r="ED187" s="64"/>
      <c r="EE187" s="64"/>
      <c r="EF187" s="64"/>
      <c r="EG187" s="64"/>
      <c r="EH187" s="64"/>
      <c r="EI187" s="64"/>
      <c r="EJ187" s="64"/>
      <c r="EK187" s="64"/>
      <c r="EL187" s="64"/>
      <c r="EM187" s="64"/>
      <c r="EN187" s="64"/>
      <c r="EO187" s="64"/>
      <c r="EP187" s="64"/>
      <c r="EQ187" s="64"/>
      <c r="ER187" s="64"/>
      <c r="ES187" s="64"/>
      <c r="ET187" s="64"/>
      <c r="EU187" s="64"/>
      <c r="EV187" s="64"/>
      <c r="EW187" s="64"/>
      <c r="EX187" s="64"/>
      <c r="EY187" s="64"/>
      <c r="EZ187" s="64"/>
      <c r="FA187" s="64"/>
      <c r="FB187" s="64"/>
      <c r="FC187" s="64"/>
      <c r="FD187" s="64"/>
      <c r="FE187" s="64"/>
      <c r="FF187" s="64"/>
      <c r="FG187" s="64"/>
      <c r="FH187" s="64"/>
      <c r="FI187" s="64"/>
      <c r="FJ187" s="64"/>
      <c r="FK187" s="64"/>
      <c r="FL187" s="64"/>
      <c r="FM187" s="64"/>
      <c r="FN187" s="64"/>
      <c r="FO187" s="64"/>
      <c r="FP187" s="64"/>
      <c r="FQ187" s="64"/>
      <c r="FR187" s="64"/>
      <c r="FS187" s="64"/>
      <c r="FT187" s="64"/>
      <c r="FU187" s="64"/>
      <c r="FV187" s="64"/>
      <c r="FW187" s="64"/>
      <c r="FX187" s="64"/>
      <c r="FY187" s="64"/>
      <c r="FZ187" s="64"/>
      <c r="GA187" s="64"/>
      <c r="GB187" s="64"/>
      <c r="GC187" s="64"/>
      <c r="GD187" s="64"/>
      <c r="GE187" s="64"/>
      <c r="GF187" s="64"/>
      <c r="GG187" s="64"/>
      <c r="GH187" s="64"/>
      <c r="GI187" s="64"/>
      <c r="GJ187" s="64"/>
      <c r="GK187" s="64"/>
      <c r="GL187" s="64"/>
      <c r="GM187" s="64"/>
      <c r="GN187" s="64"/>
      <c r="GO187" s="64"/>
      <c r="GP187" s="64"/>
      <c r="GQ187" s="64"/>
      <c r="GR187" s="64"/>
      <c r="GS187" s="64"/>
      <c r="GT187" s="64"/>
      <c r="GU187" s="64"/>
      <c r="GV187" s="64"/>
      <c r="GW187" s="64"/>
      <c r="GX187" s="64"/>
      <c r="GY187" s="64"/>
      <c r="GZ187" s="64"/>
      <c r="HA187" s="64"/>
      <c r="HB187" s="64"/>
      <c r="HC187" s="64"/>
      <c r="HD187" s="64"/>
      <c r="HE187" s="64"/>
      <c r="HF187" s="64"/>
      <c r="HG187" s="64"/>
      <c r="HH187" s="64"/>
      <c r="HI187" s="64"/>
      <c r="HJ187" s="64"/>
      <c r="HK187" s="64"/>
      <c r="HL187" s="64"/>
      <c r="HM187" s="64"/>
      <c r="HN187" s="64"/>
      <c r="HO187" s="64"/>
      <c r="HP187" s="64"/>
      <c r="HQ187" s="64"/>
      <c r="HR187" s="64"/>
      <c r="HS187" s="64"/>
      <c r="HT187" s="64"/>
      <c r="HU187" s="64"/>
      <c r="HV187" s="64"/>
      <c r="HW187" s="64"/>
      <c r="HX187" s="64"/>
      <c r="HY187" s="64"/>
      <c r="HZ187" s="64"/>
      <c r="IA187" s="64"/>
      <c r="IB187" s="64"/>
      <c r="IC187" s="64"/>
      <c r="ID187" s="64"/>
      <c r="IE187" s="64"/>
      <c r="IF187" s="64"/>
      <c r="IG187" s="64"/>
      <c r="IH187" s="64"/>
      <c r="II187" s="64"/>
      <c r="IJ187" s="64"/>
      <c r="IK187" s="64"/>
      <c r="IL187" s="64"/>
      <c r="IM187" s="64"/>
      <c r="IN187" s="64"/>
      <c r="IO187" s="64"/>
      <c r="IP187" s="64"/>
      <c r="IQ187" s="64"/>
      <c r="IR187" s="64"/>
      <c r="IS187" s="64"/>
      <c r="IT187" s="64"/>
      <c r="IU187" s="64"/>
      <c r="IV187" s="64"/>
      <c r="IW187" s="64"/>
      <c r="IX187" s="64"/>
      <c r="IY187" s="64"/>
      <c r="IZ187" s="64"/>
      <c r="JA187" s="64"/>
      <c r="JB187" s="64"/>
      <c r="JC187" s="64"/>
      <c r="JD187" s="64"/>
      <c r="JE187" s="64"/>
      <c r="JF187" s="64"/>
      <c r="JG187" s="64"/>
      <c r="JH187" s="64"/>
      <c r="JI187" s="64"/>
      <c r="JJ187" s="64"/>
      <c r="JK187" s="64"/>
      <c r="JL187" s="64"/>
      <c r="JM187" s="64"/>
      <c r="JN187" s="64"/>
      <c r="JO187" s="64"/>
      <c r="JP187" s="64"/>
      <c r="JQ187" s="64"/>
      <c r="JR187" s="64"/>
      <c r="JS187" s="64"/>
      <c r="JT187" s="64"/>
      <c r="JU187" s="64"/>
      <c r="JV187" s="64"/>
      <c r="JW187" s="64"/>
      <c r="JX187" s="64"/>
      <c r="JY187" s="64"/>
      <c r="JZ187" s="64"/>
      <c r="KA187" s="64"/>
      <c r="KB187" s="64"/>
      <c r="KC187" s="64"/>
      <c r="KD187" s="64"/>
      <c r="KE187" s="64"/>
      <c r="KF187" s="64"/>
      <c r="KG187" s="64"/>
      <c r="KH187" s="64"/>
      <c r="KI187" s="64"/>
      <c r="KJ187" s="64"/>
      <c r="KK187" s="64"/>
      <c r="KL187" s="64"/>
      <c r="KM187" s="64"/>
      <c r="KN187" s="64"/>
      <c r="KO187" s="64"/>
      <c r="KP187" s="64"/>
      <c r="KQ187" s="64"/>
      <c r="KR187" s="64"/>
      <c r="KS187" s="64"/>
      <c r="KT187" s="64"/>
      <c r="KU187" s="64"/>
      <c r="KV187" s="64"/>
      <c r="KW187" s="64"/>
      <c r="KX187" s="64"/>
      <c r="KY187" s="64"/>
      <c r="KZ187" s="64"/>
      <c r="LA187" s="64"/>
      <c r="LB187" s="64"/>
      <c r="LC187" s="64"/>
      <c r="LD187" s="64"/>
      <c r="LE187" s="64"/>
      <c r="LF187" s="64"/>
      <c r="LG187" s="64"/>
      <c r="LH187" s="64"/>
      <c r="LI187" s="64"/>
      <c r="LJ187" s="64"/>
      <c r="LK187" s="64"/>
      <c r="LL187" s="64"/>
      <c r="LM187" s="64"/>
      <c r="LN187" s="64"/>
      <c r="LO187" s="64"/>
      <c r="LP187" s="64"/>
      <c r="LQ187" s="64"/>
      <c r="LR187" s="64"/>
      <c r="LS187" s="64"/>
      <c r="LT187" s="64"/>
      <c r="LU187" s="64"/>
      <c r="LV187" s="64"/>
      <c r="LW187" s="64"/>
      <c r="LX187" s="64"/>
      <c r="LY187" s="64"/>
      <c r="LZ187" s="64"/>
      <c r="MA187" s="64"/>
      <c r="MB187" s="64"/>
      <c r="MC187" s="64"/>
      <c r="MD187" s="64"/>
      <c r="ME187" s="64"/>
      <c r="MF187" s="64"/>
      <c r="MG187" s="64"/>
      <c r="MH187" s="64"/>
      <c r="MI187" s="64"/>
      <c r="MJ187" s="64"/>
      <c r="MK187" s="64"/>
      <c r="ML187" s="64"/>
      <c r="MM187" s="64"/>
      <c r="MN187" s="64"/>
      <c r="MO187" s="64"/>
      <c r="MP187" s="64"/>
      <c r="MQ187" s="64"/>
      <c r="MR187" s="64"/>
      <c r="MS187" s="64"/>
      <c r="MT187" s="64"/>
      <c r="MU187" s="64"/>
      <c r="MV187" s="64"/>
      <c r="MW187" s="64"/>
      <c r="MX187" s="64"/>
      <c r="MY187" s="64"/>
      <c r="MZ187" s="64"/>
      <c r="NA187" s="64"/>
      <c r="NB187" s="64"/>
      <c r="NC187" s="64"/>
      <c r="ND187" s="64"/>
      <c r="NE187" s="64"/>
      <c r="NF187" s="64"/>
      <c r="NG187" s="64"/>
      <c r="NH187" s="64"/>
      <c r="NI187" s="64"/>
      <c r="NJ187" s="64"/>
      <c r="NK187" s="64"/>
      <c r="NL187" s="64"/>
      <c r="NM187" s="64"/>
      <c r="NN187" s="64"/>
      <c r="NO187" s="64"/>
      <c r="NP187" s="64"/>
      <c r="NQ187" s="64"/>
      <c r="NR187" s="64"/>
      <c r="NS187" s="64"/>
      <c r="NT187" s="64"/>
      <c r="NU187" s="64"/>
      <c r="NV187" s="64"/>
      <c r="NW187" s="64"/>
      <c r="NX187" s="64"/>
      <c r="NY187" s="64"/>
      <c r="NZ187" s="64"/>
      <c r="OA187" s="64"/>
      <c r="OB187" s="64"/>
      <c r="OC187" s="64"/>
      <c r="OD187" s="64"/>
      <c r="OE187" s="64"/>
      <c r="OF187" s="64"/>
      <c r="OG187" s="64"/>
      <c r="OH187" s="64"/>
      <c r="OI187" s="64"/>
      <c r="OJ187" s="64"/>
      <c r="OK187" s="64"/>
      <c r="OL187" s="64"/>
    </row>
    <row r="188" spans="1:402" x14ac:dyDescent="0.3">
      <c r="A188" s="815"/>
      <c r="B188" s="807"/>
      <c r="C188" s="808"/>
      <c r="D188" s="83" t="s">
        <v>164</v>
      </c>
      <c r="E188" s="258">
        <f>IF(AND($F$2="No",$F$3="No"),SUM(I188:L188),IF(AND($F$2="Yes", $F$3="No"), SUM(I188:L188)+N188, IF(AND($F$2="No", $F$3="Yes"),SUM(I188:L188)+M188, SUM(I188:L188)+N188+M188)))</f>
        <v>-0.20263464278437132</v>
      </c>
      <c r="F188" s="85">
        <f>IF(AND($F$2="No",$F$3="No"),SUM(H188:L188,O188),IF(AND($F$2="Yes", $F$3="No"), SUM(H188:L188,O188)+N188, IF(AND($F$2="No", $F$3="Yes"),SUM(H188:L188,O188)+M188, SUM(H188:L188,O188)+N188+M188)))</f>
        <v>1.9748894100606444</v>
      </c>
      <c r="G188" s="278">
        <f>SUM(Q188:S188)/(1-'Common input data'!B$126)</f>
        <v>2.4656680365887782</v>
      </c>
      <c r="H188" s="306">
        <f>H184*'Common input data'!$G$37/'Input data meat and eggs'!$H$421</f>
        <v>1.5547165623197583</v>
      </c>
      <c r="I188" s="306">
        <f>I184*'Common input data'!$G$37/'Input data meat and eggs'!$H$421</f>
        <v>0</v>
      </c>
      <c r="J188" s="306">
        <f>J184*'Common input data'!$G$37/'Input data meat and eggs'!$H$421</f>
        <v>0</v>
      </c>
      <c r="K188" s="306">
        <f>K184*'Common input data'!$G$37/'Input data meat and eggs'!$H$421</f>
        <v>0</v>
      </c>
      <c r="L188" s="306">
        <f>L184*'Common input data'!$G$37/'Input data meat and eggs'!$H$421</f>
        <v>0</v>
      </c>
      <c r="M188" s="306">
        <f>M184*'Common input data'!$G$37/'Input data meat and eggs'!$H$421</f>
        <v>-0.34579845890882699</v>
      </c>
      <c r="N188" s="306">
        <f>N184*'Common input data'!$G$37/'Input data meat and eggs'!$H$421</f>
        <v>0.14316381612445567</v>
      </c>
      <c r="O188" s="306">
        <f>O184*'Common input data'!$G$37/'Input data meat and eggs'!$H$421</f>
        <v>0.62280749052525763</v>
      </c>
      <c r="P188" s="306">
        <f>P184*'Common input data'!$G$37/'Input data meat and eggs'!$H$421</f>
        <v>4.3799839308320786E-2</v>
      </c>
      <c r="Q188" s="306">
        <f>Q184*'Common input data'!$G$37/'Input data meat and eggs'!$H$421</f>
        <v>2.0186892493689657</v>
      </c>
      <c r="R188" s="495">
        <f>'Common input data'!B92</f>
        <v>0.1</v>
      </c>
      <c r="S188" s="495">
        <f>'Common input data'!B99+'Common input data'!C99</f>
        <v>0.13</v>
      </c>
      <c r="T188" s="107"/>
    </row>
    <row r="189" spans="1:402" x14ac:dyDescent="0.3">
      <c r="A189" s="815"/>
      <c r="B189" s="807"/>
      <c r="C189" s="808"/>
      <c r="D189" s="83" t="s">
        <v>165</v>
      </c>
      <c r="E189" s="258">
        <f>SUM(I189:L189)</f>
        <v>0.1454006909186705</v>
      </c>
      <c r="F189" s="85">
        <f>SUM(H189:L189,O189)</f>
        <v>0.14704627969759487</v>
      </c>
      <c r="G189" s="278">
        <f>SUM(Q189:S189)/(1-'Common input data'!B$126)</f>
        <v>0.16124285212286188</v>
      </c>
      <c r="H189" s="306">
        <f>H185*'Common input data'!$G$37/'Input data meat and eggs'!$H$421</f>
        <v>1.6455887789243566E-3</v>
      </c>
      <c r="I189" s="306">
        <f>I185*'Common input data'!$G$37/'Input data meat and eggs'!$H$421</f>
        <v>0</v>
      </c>
      <c r="J189" s="306">
        <f>J185*'Common input data'!$G$37/'Input data meat and eggs'!$H$421</f>
        <v>6.7936024919404807E-3</v>
      </c>
      <c r="K189" s="306">
        <f>K185*'Common input data'!$G$37/'Input data meat and eggs'!$H$421</f>
        <v>0</v>
      </c>
      <c r="L189" s="306">
        <f>L185*'Common input data'!$G$37/'Input data meat and eggs'!$H$421</f>
        <v>0.13860708842673003</v>
      </c>
      <c r="M189" s="306">
        <f>M185*'Common input data'!$G$37/'Input data meat and eggs'!$H$421</f>
        <v>0</v>
      </c>
      <c r="N189" s="306">
        <f>N185*'Common input data'!$G$37/'Input data meat and eggs'!$H$421</f>
        <v>0</v>
      </c>
      <c r="O189" s="306">
        <f>O185*'Common input data'!$G$37/'Input data meat and eggs'!$H$421</f>
        <v>0</v>
      </c>
      <c r="P189" s="306">
        <f>P185*'Common input data'!$G$37/'Input data meat and eggs'!$H$421</f>
        <v>7.2014384551518303E-6</v>
      </c>
      <c r="Q189" s="306">
        <f>Q185*'Common input data'!$G$37/'Input data meat and eggs'!$H$421</f>
        <v>0.14705348113605002</v>
      </c>
      <c r="R189" s="495">
        <v>0</v>
      </c>
      <c r="S189" s="495">
        <v>0</v>
      </c>
      <c r="T189" s="107"/>
    </row>
    <row r="190" spans="1:402" x14ac:dyDescent="0.3">
      <c r="A190" s="815"/>
      <c r="B190" s="807"/>
      <c r="C190" s="808"/>
      <c r="D190" s="84" t="s">
        <v>166</v>
      </c>
      <c r="E190" s="258">
        <f>SUM(I190:L190)</f>
        <v>6.1843881481298121E-3</v>
      </c>
      <c r="F190" s="85">
        <f>SUM(H190:L190,O190)</f>
        <v>7.8135564163038674E-3</v>
      </c>
      <c r="G190" s="278">
        <f>SUM(Q190:S190)/(1-'Common input data'!B$126)</f>
        <v>8.5682321824559794E-3</v>
      </c>
      <c r="H190" s="306">
        <f>H186*'Common input data'!$G$37/'Input data meat and eggs'!$H$421</f>
        <v>1.6291682681740553E-3</v>
      </c>
      <c r="I190" s="306">
        <f>I186*'Common input data'!$G$37/'Input data meat and eggs'!$H$421</f>
        <v>4.117880721372251E-3</v>
      </c>
      <c r="J190" s="306">
        <f>J186*'Common input data'!$G$37/'Input data meat and eggs'!$H$421</f>
        <v>1.3513481278582633E-3</v>
      </c>
      <c r="K190" s="306">
        <f>K186*'Common input data'!$G$37/'Input data meat and eggs'!$H$421</f>
        <v>7.151592988992975E-4</v>
      </c>
      <c r="L190" s="306">
        <f>L186*'Common input data'!$G$37/'Input data meat and eggs'!$H$421</f>
        <v>0</v>
      </c>
      <c r="M190" s="306">
        <f>M186*'Common input data'!$G$37/'Input data meat and eggs'!$H$421</f>
        <v>0</v>
      </c>
      <c r="N190" s="306">
        <f>N186*'Common input data'!$G$37/'Input data meat and eggs'!$H$421</f>
        <v>0</v>
      </c>
      <c r="O190" s="306">
        <f>O186*'Common input data'!$G$37/'Input data meat and eggs'!$H$421</f>
        <v>0</v>
      </c>
      <c r="P190" s="306">
        <f>P186*'Common input data'!$G$37/'Input data meat and eggs'!$H$421</f>
        <v>6.713340959858203E-7</v>
      </c>
      <c r="Q190" s="306">
        <f>Q186*'Common input data'!$G$37/'Input data meat and eggs'!$H$421</f>
        <v>7.8142277503998533E-3</v>
      </c>
      <c r="R190" s="495">
        <v>0</v>
      </c>
      <c r="S190" s="495">
        <v>0</v>
      </c>
      <c r="T190" s="107"/>
    </row>
    <row r="191" spans="1:402" s="102" customFormat="1" x14ac:dyDescent="0.3">
      <c r="A191" s="809"/>
      <c r="B191" s="804" t="s">
        <v>430</v>
      </c>
      <c r="C191" s="810">
        <v>1.8085782243082504E-2</v>
      </c>
      <c r="D191" s="269" t="s">
        <v>473</v>
      </c>
      <c r="E191" s="320">
        <f>IF($F$1="GWP100 without fb",E192+E193*'Common input data'!$C$5+E194*'Common input data'!$D$5,IF($F$1="GWP100 with fb",E192+E193*'Common input data'!$C$6+E194*'Common input data'!$D$6,IF($F$1="GTP100 without fb",E192+E193*'Common input data'!$C$7+E194*'Common input data'!$D$7,IF($F$1="GTP100 with fb",E192+E193*'Common input data'!$C$8+E194*'Common input data'!$D$8,E192+E193*'Common input data'!$C$9+E194*'Common input data'!$D$9))))</f>
        <v>14.587853266928347</v>
      </c>
      <c r="F191" s="302">
        <f>IF($F$1="GWP100 without fb",F192+F193*'Common input data'!$C$5+F194*'Common input data'!$D$5,IF($F$1="GWP100 with fb",F192+F193*'Common input data'!$C$6+F194*'Common input data'!$D$6,IF($F$1="GTP100 without fb",F192+F193*'Common input data'!$C$7+F194*'Common input data'!$D$7,IF($F$1="GTP100 with fb",F192+F193*'Common input data'!$C$8+F194*'Common input data'!$D$8,F192+F193*'Common input data'!$C$9+F194*'Common input data'!$D$9))))</f>
        <v>19.418919803384906</v>
      </c>
      <c r="G191" s="321">
        <f>IF($F$1="GWP100 without fb",G192+G193*'Common input data'!$C$5+G194*'Common input data'!$D$5,IF($F$1="GWP100 with fb",G192+G193*'Common input data'!$C$6+G194*'Common input data'!$D$6,IF($F$1="GTP100 without fb",G192+G193*'Common input data'!$C$7+G194*'Common input data'!$D$7,IF($F$1="GTP100 with fb",G192+G193*'Common input data'!$C$8+G194*'Common input data'!$D$8,G192+G193*'Common input data'!$C$9+G194*'Common input data'!$D$9))))</f>
        <v>22.218094899110397</v>
      </c>
      <c r="H191" s="351"/>
      <c r="I191" s="351"/>
      <c r="J191" s="351"/>
      <c r="K191" s="351"/>
      <c r="L191" s="351"/>
      <c r="M191" s="351"/>
      <c r="N191" s="351"/>
      <c r="O191" s="351"/>
      <c r="P191" s="351"/>
      <c r="Q191" s="351"/>
      <c r="R191" s="502"/>
      <c r="S191" s="502"/>
      <c r="T191" s="107"/>
      <c r="U191" s="64"/>
      <c r="V191" s="64"/>
      <c r="W191" s="64"/>
      <c r="X191" s="64"/>
      <c r="Y191" s="64"/>
      <c r="Z191" s="64"/>
      <c r="AA191" s="64"/>
      <c r="AB191" s="64"/>
      <c r="AC191" s="64"/>
      <c r="AD191" s="64"/>
      <c r="AE191" s="64"/>
      <c r="AF191" s="64"/>
      <c r="AG191" s="64"/>
      <c r="AH191" s="64"/>
      <c r="AI191" s="64"/>
      <c r="AJ191" s="64"/>
      <c r="AK191" s="64"/>
      <c r="AL191" s="64"/>
      <c r="AM191" s="64"/>
      <c r="AN191" s="64"/>
      <c r="AO191" s="64"/>
      <c r="AP191" s="64"/>
      <c r="AQ191" s="64"/>
      <c r="AR191" s="64"/>
      <c r="AS191" s="64"/>
      <c r="AT191" s="64"/>
      <c r="AU191" s="64"/>
      <c r="AV191" s="64"/>
      <c r="AW191" s="64"/>
      <c r="AX191" s="64"/>
      <c r="AY191" s="64"/>
      <c r="AZ191" s="64"/>
      <c r="BA191" s="64"/>
      <c r="BB191" s="64"/>
      <c r="BC191" s="64"/>
      <c r="BD191" s="64"/>
      <c r="BE191" s="64"/>
      <c r="BF191" s="64"/>
      <c r="BG191" s="64"/>
      <c r="BH191" s="64"/>
      <c r="BI191" s="64"/>
      <c r="BJ191" s="64"/>
      <c r="BK191" s="64"/>
      <c r="BL191" s="64"/>
      <c r="BM191" s="64"/>
      <c r="BN191" s="64"/>
      <c r="BO191" s="64"/>
      <c r="BP191" s="64"/>
      <c r="BQ191" s="64"/>
      <c r="BR191" s="64"/>
      <c r="BS191" s="64"/>
      <c r="BT191" s="64"/>
      <c r="BU191" s="64"/>
      <c r="BV191" s="64"/>
      <c r="BW191" s="64"/>
      <c r="BX191" s="64"/>
      <c r="BY191" s="64"/>
      <c r="BZ191" s="64"/>
      <c r="CA191" s="64"/>
      <c r="CB191" s="64"/>
      <c r="CC191" s="64"/>
      <c r="CD191" s="64"/>
      <c r="CE191" s="64"/>
      <c r="CF191" s="64"/>
      <c r="CG191" s="64"/>
      <c r="CH191" s="64"/>
      <c r="CI191" s="64"/>
      <c r="CJ191" s="64"/>
      <c r="CK191" s="64"/>
      <c r="CL191" s="64"/>
      <c r="CM191" s="64"/>
      <c r="CN191" s="64"/>
      <c r="CO191" s="64"/>
      <c r="CP191" s="64"/>
      <c r="CQ191" s="64"/>
      <c r="CR191" s="64"/>
      <c r="CS191" s="64"/>
      <c r="CT191" s="64"/>
      <c r="CU191" s="64"/>
      <c r="CV191" s="64"/>
      <c r="CW191" s="64"/>
      <c r="CX191" s="64"/>
      <c r="CY191" s="64"/>
      <c r="CZ191" s="64"/>
      <c r="DA191" s="64"/>
      <c r="DB191" s="64"/>
      <c r="DC191" s="64"/>
      <c r="DD191" s="64"/>
      <c r="DE191" s="64"/>
      <c r="DF191" s="64"/>
      <c r="DG191" s="64"/>
      <c r="DH191" s="64"/>
      <c r="DI191" s="64"/>
      <c r="DJ191" s="64"/>
      <c r="DK191" s="64"/>
      <c r="DL191" s="64"/>
      <c r="DM191" s="64"/>
      <c r="DN191" s="64"/>
      <c r="DO191" s="64"/>
      <c r="DP191" s="64"/>
      <c r="DQ191" s="64"/>
      <c r="DR191" s="64"/>
      <c r="DS191" s="64"/>
      <c r="DT191" s="64"/>
      <c r="DU191" s="64"/>
      <c r="DV191" s="64"/>
      <c r="DW191" s="64"/>
      <c r="DX191" s="64"/>
      <c r="DY191" s="64"/>
      <c r="DZ191" s="64"/>
      <c r="EA191" s="64"/>
      <c r="EB191" s="64"/>
      <c r="EC191" s="64"/>
      <c r="ED191" s="64"/>
      <c r="EE191" s="64"/>
      <c r="EF191" s="64"/>
      <c r="EG191" s="64"/>
      <c r="EH191" s="64"/>
      <c r="EI191" s="64"/>
      <c r="EJ191" s="64"/>
      <c r="EK191" s="64"/>
      <c r="EL191" s="64"/>
      <c r="EM191" s="64"/>
      <c r="EN191" s="64"/>
      <c r="EO191" s="64"/>
      <c r="EP191" s="64"/>
      <c r="EQ191" s="64"/>
      <c r="ER191" s="64"/>
      <c r="ES191" s="64"/>
      <c r="ET191" s="64"/>
      <c r="EU191" s="64"/>
      <c r="EV191" s="64"/>
      <c r="EW191" s="64"/>
      <c r="EX191" s="64"/>
      <c r="EY191" s="64"/>
      <c r="EZ191" s="64"/>
      <c r="FA191" s="64"/>
      <c r="FB191" s="64"/>
      <c r="FC191" s="64"/>
      <c r="FD191" s="64"/>
      <c r="FE191" s="64"/>
      <c r="FF191" s="64"/>
      <c r="FG191" s="64"/>
      <c r="FH191" s="64"/>
      <c r="FI191" s="64"/>
      <c r="FJ191" s="64"/>
      <c r="FK191" s="64"/>
      <c r="FL191" s="64"/>
      <c r="FM191" s="64"/>
      <c r="FN191" s="64"/>
      <c r="FO191" s="64"/>
      <c r="FP191" s="64"/>
      <c r="FQ191" s="64"/>
      <c r="FR191" s="64"/>
      <c r="FS191" s="64"/>
      <c r="FT191" s="64"/>
      <c r="FU191" s="64"/>
      <c r="FV191" s="64"/>
      <c r="FW191" s="64"/>
      <c r="FX191" s="64"/>
      <c r="FY191" s="64"/>
      <c r="FZ191" s="64"/>
      <c r="GA191" s="64"/>
      <c r="GB191" s="64"/>
      <c r="GC191" s="64"/>
      <c r="GD191" s="64"/>
      <c r="GE191" s="64"/>
      <c r="GF191" s="64"/>
      <c r="GG191" s="64"/>
      <c r="GH191" s="64"/>
      <c r="GI191" s="64"/>
      <c r="GJ191" s="64"/>
      <c r="GK191" s="64"/>
      <c r="GL191" s="64"/>
      <c r="GM191" s="64"/>
      <c r="GN191" s="64"/>
      <c r="GO191" s="64"/>
      <c r="GP191" s="64"/>
      <c r="GQ191" s="64"/>
      <c r="GR191" s="64"/>
      <c r="GS191" s="64"/>
      <c r="GT191" s="64"/>
      <c r="GU191" s="64"/>
      <c r="GV191" s="64"/>
      <c r="GW191" s="64"/>
      <c r="GX191" s="64"/>
      <c r="GY191" s="64"/>
      <c r="GZ191" s="64"/>
      <c r="HA191" s="64"/>
      <c r="HB191" s="64"/>
      <c r="HC191" s="64"/>
      <c r="HD191" s="64"/>
      <c r="HE191" s="64"/>
      <c r="HF191" s="64"/>
      <c r="HG191" s="64"/>
      <c r="HH191" s="64"/>
      <c r="HI191" s="64"/>
      <c r="HJ191" s="64"/>
      <c r="HK191" s="64"/>
      <c r="HL191" s="64"/>
      <c r="HM191" s="64"/>
      <c r="HN191" s="64"/>
      <c r="HO191" s="64"/>
      <c r="HP191" s="64"/>
      <c r="HQ191" s="64"/>
      <c r="HR191" s="64"/>
      <c r="HS191" s="64"/>
      <c r="HT191" s="64"/>
      <c r="HU191" s="64"/>
      <c r="HV191" s="64"/>
      <c r="HW191" s="64"/>
      <c r="HX191" s="64"/>
      <c r="HY191" s="64"/>
      <c r="HZ191" s="64"/>
      <c r="IA191" s="64"/>
      <c r="IB191" s="64"/>
      <c r="IC191" s="64"/>
      <c r="ID191" s="64"/>
      <c r="IE191" s="64"/>
      <c r="IF191" s="64"/>
      <c r="IG191" s="64"/>
      <c r="IH191" s="64"/>
      <c r="II191" s="64"/>
      <c r="IJ191" s="64"/>
      <c r="IK191" s="64"/>
      <c r="IL191" s="64"/>
      <c r="IM191" s="64"/>
      <c r="IN191" s="64"/>
      <c r="IO191" s="64"/>
      <c r="IP191" s="64"/>
      <c r="IQ191" s="64"/>
      <c r="IR191" s="64"/>
      <c r="IS191" s="64"/>
      <c r="IT191" s="64"/>
      <c r="IU191" s="64"/>
      <c r="IV191" s="64"/>
      <c r="IW191" s="64"/>
      <c r="IX191" s="64"/>
      <c r="IY191" s="64"/>
      <c r="IZ191" s="64"/>
      <c r="JA191" s="64"/>
      <c r="JB191" s="64"/>
      <c r="JC191" s="64"/>
      <c r="JD191" s="64"/>
      <c r="JE191" s="64"/>
      <c r="JF191" s="64"/>
      <c r="JG191" s="64"/>
      <c r="JH191" s="64"/>
      <c r="JI191" s="64"/>
      <c r="JJ191" s="64"/>
      <c r="JK191" s="64"/>
      <c r="JL191" s="64"/>
      <c r="JM191" s="64"/>
      <c r="JN191" s="64"/>
      <c r="JO191" s="64"/>
      <c r="JP191" s="64"/>
      <c r="JQ191" s="64"/>
      <c r="JR191" s="64"/>
      <c r="JS191" s="64"/>
      <c r="JT191" s="64"/>
      <c r="JU191" s="64"/>
      <c r="JV191" s="64"/>
      <c r="JW191" s="64"/>
      <c r="JX191" s="64"/>
      <c r="JY191" s="64"/>
      <c r="JZ191" s="64"/>
      <c r="KA191" s="64"/>
      <c r="KB191" s="64"/>
      <c r="KC191" s="64"/>
      <c r="KD191" s="64"/>
      <c r="KE191" s="64"/>
      <c r="KF191" s="64"/>
      <c r="KG191" s="64"/>
      <c r="KH191" s="64"/>
      <c r="KI191" s="64"/>
      <c r="KJ191" s="64"/>
      <c r="KK191" s="64"/>
      <c r="KL191" s="64"/>
      <c r="KM191" s="64"/>
      <c r="KN191" s="64"/>
      <c r="KO191" s="64"/>
      <c r="KP191" s="64"/>
      <c r="KQ191" s="64"/>
      <c r="KR191" s="64"/>
      <c r="KS191" s="64"/>
      <c r="KT191" s="64"/>
      <c r="KU191" s="64"/>
      <c r="KV191" s="64"/>
      <c r="KW191" s="64"/>
      <c r="KX191" s="64"/>
      <c r="KY191" s="64"/>
      <c r="KZ191" s="64"/>
      <c r="LA191" s="64"/>
      <c r="LB191" s="64"/>
      <c r="LC191" s="64"/>
      <c r="LD191" s="64"/>
      <c r="LE191" s="64"/>
      <c r="LF191" s="64"/>
      <c r="LG191" s="64"/>
      <c r="LH191" s="64"/>
      <c r="LI191" s="64"/>
      <c r="LJ191" s="64"/>
      <c r="LK191" s="64"/>
      <c r="LL191" s="64"/>
      <c r="LM191" s="64"/>
      <c r="LN191" s="64"/>
      <c r="LO191" s="64"/>
      <c r="LP191" s="64"/>
      <c r="LQ191" s="64"/>
      <c r="LR191" s="64"/>
      <c r="LS191" s="64"/>
      <c r="LT191" s="64"/>
      <c r="LU191" s="64"/>
      <c r="LV191" s="64"/>
      <c r="LW191" s="64"/>
      <c r="LX191" s="64"/>
      <c r="LY191" s="64"/>
      <c r="LZ191" s="64"/>
      <c r="MA191" s="64"/>
      <c r="MB191" s="64"/>
      <c r="MC191" s="64"/>
      <c r="MD191" s="64"/>
      <c r="ME191" s="64"/>
      <c r="MF191" s="64"/>
      <c r="MG191" s="64"/>
      <c r="MH191" s="64"/>
      <c r="MI191" s="64"/>
      <c r="MJ191" s="64"/>
      <c r="MK191" s="64"/>
      <c r="ML191" s="64"/>
      <c r="MM191" s="64"/>
      <c r="MN191" s="64"/>
      <c r="MO191" s="64"/>
      <c r="MP191" s="64"/>
      <c r="MQ191" s="64"/>
      <c r="MR191" s="64"/>
      <c r="MS191" s="64"/>
      <c r="MT191" s="64"/>
      <c r="MU191" s="64"/>
      <c r="MV191" s="64"/>
      <c r="MW191" s="64"/>
      <c r="MX191" s="64"/>
      <c r="MY191" s="64"/>
      <c r="MZ191" s="64"/>
      <c r="NA191" s="64"/>
      <c r="NB191" s="64"/>
      <c r="NC191" s="64"/>
      <c r="ND191" s="64"/>
      <c r="NE191" s="64"/>
      <c r="NF191" s="64"/>
      <c r="NG191" s="64"/>
      <c r="NH191" s="64"/>
      <c r="NI191" s="64"/>
      <c r="NJ191" s="64"/>
      <c r="NK191" s="64"/>
      <c r="NL191" s="64"/>
      <c r="NM191" s="64"/>
      <c r="NN191" s="64"/>
      <c r="NO191" s="64"/>
      <c r="NP191" s="64"/>
      <c r="NQ191" s="64"/>
      <c r="NR191" s="64"/>
      <c r="NS191" s="64"/>
      <c r="NT191" s="64"/>
      <c r="NU191" s="64"/>
      <c r="NV191" s="64"/>
      <c r="NW191" s="64"/>
      <c r="NX191" s="64"/>
      <c r="NY191" s="64"/>
      <c r="NZ191" s="64"/>
      <c r="OA191" s="64"/>
      <c r="OB191" s="64"/>
      <c r="OC191" s="64"/>
      <c r="OD191" s="64"/>
      <c r="OE191" s="64"/>
      <c r="OF191" s="64"/>
      <c r="OG191" s="64"/>
      <c r="OH191" s="64"/>
      <c r="OI191" s="64"/>
      <c r="OJ191" s="64"/>
      <c r="OK191" s="64"/>
      <c r="OL191" s="64"/>
    </row>
    <row r="192" spans="1:402" x14ac:dyDescent="0.3">
      <c r="A192" s="815"/>
      <c r="B192" s="807"/>
      <c r="C192" s="808"/>
      <c r="D192" s="83" t="s">
        <v>164</v>
      </c>
      <c r="E192" s="258">
        <f>IF(AND($F$2="No",$F$3="No"),SUM(I192:L192),IF(AND($F$2="Yes", $F$3="No"), SUM(I192:L192)+N192, IF(AND($F$2="No", $F$3="Yes"),SUM(I192:L192)+M192, SUM(I192:L192)+N192+M192)))</f>
        <v>-1.3999992432066781</v>
      </c>
      <c r="F192" s="85">
        <f>IF(AND($F$2="No",$F$3="No"),SUM(H192:L192,O192),IF(AND($F$2="Yes", $F$3="No"), SUM(H192:L192,O192)+N192, IF(AND($F$2="No", $F$3="Yes"),SUM(H192:L192,O192)+M192, SUM(H192:L192,O192)+N192+M192)))</f>
        <v>2.757467433837669</v>
      </c>
      <c r="G192" s="278">
        <f>SUM(Q192:S192)/(1-'Common input data'!B$126)</f>
        <v>3.9419185284962861</v>
      </c>
      <c r="H192" s="306">
        <f>('Input data meat and eggs'!S423*'Input data meat and eggs'!B48+'Input data meat and eggs'!T423*'Input data meat and eggs'!B47+'Input data meat and eggs'!U423*'Input data meat and eggs'!B35+'Input data meat and eggs'!V423*SUMPRODUCT('Input data meat and eggs'!B37:B46,'Input data meat and eggs'!F65:F74))*'Input data meat and eggs'!$E$423/'Input data meat and eggs'!$H$423</f>
        <v>1.8712166770443468</v>
      </c>
      <c r="I192" s="306">
        <v>0</v>
      </c>
      <c r="J192" s="306">
        <v>0</v>
      </c>
      <c r="K192" s="306">
        <v>0</v>
      </c>
      <c r="L192" s="306">
        <v>0</v>
      </c>
      <c r="M192" s="306">
        <f>(('Input data meat and eggs'!S423+'Input data meat and eggs'!T423)*'Common input data'!F13+
'Input data meat and eggs'!U423*'Common input data'!B13+'Input data meat and eggs'!V423*('Input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data'!F29))*'Input data meat and eggs'!$E$423/'Input data meat and eggs'!$H$423</f>
        <v>-1.4149888201787462</v>
      </c>
      <c r="N192" s="306">
        <f>('Input data meat and eggs'!V423*('Input data meat and eggs'!F67*'Common input data'!B21*'Common input data'!G30/'Common input data'!F30+'Input data meat and eggs'!F71*'Common input data'!C21*'Common input data'!J31/'Common input data'!I31))*'Input data meat and eggs'!$E$423/'Input data meat and eggs'!$H$423</f>
        <v>1.4989576972068068E-2</v>
      </c>
      <c r="O192" s="306">
        <f>'Input data meat and eggs'!B83*'Common input data'!C63</f>
        <v>2.2862499999999999</v>
      </c>
      <c r="P192" s="306">
        <f>'Input data meat and eggs'!B92*'Common input data'!C63+'Input data meat and eggs'!C92*3.6*'Common input data'!B49</f>
        <v>0.60756226415094339</v>
      </c>
      <c r="Q192" s="306">
        <f>(F192+P192)</f>
        <v>3.3650296979886125</v>
      </c>
      <c r="R192" s="306">
        <f>'Common input data'!B92</f>
        <v>0.1</v>
      </c>
      <c r="S192" s="306">
        <f>'Common input data'!B99+'Common input data'!C99</f>
        <v>0.13</v>
      </c>
      <c r="T192" s="107"/>
    </row>
    <row r="193" spans="1:402" x14ac:dyDescent="0.3">
      <c r="A193" s="815"/>
      <c r="B193" s="807"/>
      <c r="C193" s="808"/>
      <c r="D193" s="83" t="s">
        <v>165</v>
      </c>
      <c r="E193" s="258">
        <f>SUM(I193:L193)</f>
        <v>0.37170565061989841</v>
      </c>
      <c r="F193" s="85">
        <f>SUM(H193:L193,O193)</f>
        <v>0.37268104769671351</v>
      </c>
      <c r="G193" s="278">
        <f>SUM(Q193:S193)/(1-'Common input data'!B$126)</f>
        <v>0.40875545200111341</v>
      </c>
      <c r="H193" s="306">
        <f>('Input data meat and eggs'!S423*'Input data meat and eggs'!C48+'Input data meat and eggs'!T423*'Input data meat and eggs'!C47+'Input data meat and eggs'!U423*'Input data meat and eggs'!C35+'Input data meat and eggs'!V423*SUMPRODUCT('Input data meat and eggs'!C37:C46,'Input data meat and eggs'!F65:F74))*'Input data meat and eggs'!$E$423/'Input data meat and eggs'!$H$423</f>
        <v>9.7539707681508763E-4</v>
      </c>
      <c r="I193" s="306">
        <v>0</v>
      </c>
      <c r="J193" s="306">
        <f>('Input data meat and eggs'!M423*'Input data meat and eggs'!G423/12*'Input data meat and eggs'!$C$450*'Input data meat and eggs'!$C$452*'Input data meat and eggs'!$C$453*
('Input data meat and eggs'!$O$423*'Input data meat and eggs'!$B$443
+'Input data meat and eggs'!$P$423*'Input data meat and eggs'!$C$443+
'Input data meat and eggs'!$Q$423*'Input data meat and eggs'!$D$443+
'Input data meat and eggs'!$R$423*'Input data meat and eggs'!$E$443))*'Input data meat and eggs'!$E$423/'Input data meat and eggs'!$H$423</f>
        <v>1.818650647575433E-2</v>
      </c>
      <c r="K193" s="306">
        <v>0</v>
      </c>
      <c r="L193" s="306">
        <f>('Input data meat and eggs'!L423*'Input data meat and eggs'!G423/12)*'Input data meat and eggs'!$E$423/'Input data meat and eggs'!$H$423</f>
        <v>0.35351914414414409</v>
      </c>
      <c r="M193" s="306">
        <v>0</v>
      </c>
      <c r="N193" s="306">
        <v>0</v>
      </c>
      <c r="O193" s="306">
        <v>0</v>
      </c>
      <c r="P193" s="306">
        <f>'Input data meat and eggs'!C92*3.6*'Common input data'!B50</f>
        <v>1.0392452830188681E-4</v>
      </c>
      <c r="Q193" s="306">
        <f>(F193+P193)</f>
        <v>0.37278497222501539</v>
      </c>
      <c r="R193" s="306">
        <v>0</v>
      </c>
      <c r="S193" s="306">
        <v>0</v>
      </c>
      <c r="T193" s="107"/>
    </row>
    <row r="194" spans="1:402" x14ac:dyDescent="0.3">
      <c r="A194" s="815"/>
      <c r="B194" s="807"/>
      <c r="C194" s="808"/>
      <c r="D194" s="84" t="s">
        <v>166</v>
      </c>
      <c r="E194" s="258">
        <f>SUM(I194:L194)</f>
        <v>1.1241142245162683E-2</v>
      </c>
      <c r="F194" s="85">
        <f>SUM(H194:L194,O194)</f>
        <v>1.3390257543150928E-2</v>
      </c>
      <c r="G194" s="278">
        <f>SUM(Q194:S194)/(1-'Common input data'!B$126)</f>
        <v>1.469292282743709E-2</v>
      </c>
      <c r="H194" s="306">
        <f>(('Input data meat and eggs'!S423*'Input data meat and eggs'!D48+'Input data meat and eggs'!T423*'Input data meat and eggs'!D47+'Input data meat and eggs'!U423*'Input data meat and eggs'!D35+'Input data meat and eggs'!V423*SUMPRODUCT('Input data meat and eggs'!D37:D46,'Input data meat and eggs'!F65:F74))*'Input data meat and eggs'!B58)*'Input data meat and eggs'!$E$423/'Input data meat and eggs'!$H$423</f>
        <v>2.1491152979882431E-3</v>
      </c>
      <c r="I194" s="306">
        <f>(('Input data meat and eggs'!S423*'Input data meat and eggs'!D48+'Input data meat and eggs'!T423*'Input data meat and eggs'!D47+'Input data meat and eggs'!U423*'Input data meat and eggs'!D35+'Input data meat and eggs'!V423*SUMPRODUCT('Input data meat and eggs'!D37:D46,'Input data meat and eggs'!F65:F74))*'Input data meat and eggs'!C58)*'Input data meat and eggs'!$E$423/'Input data meat and eggs'!$H$423</f>
        <v>5.4320972403364299E-3</v>
      </c>
      <c r="J194" s="306">
        <f>('Input data meat and eggs'!K423*'Input data meat and eggs'!G423/12*('Input data meat and eggs'!$O$423*'Input data meat and eggs'!$B$445+'Input data meat and eggs'!$P$423*'Input data meat and eggs'!$C$445+'Input data meat and eggs'!$Q$423*'Input data meat and eggs'!$D$445+'Input data meat and eggs'!$R$423*'Input data meat and eggs'!$E$445)*44/28)*'Input data meat and eggs'!$E$423/'Input data meat and eggs'!$H$423</f>
        <v>3.7987001596376585E-3</v>
      </c>
      <c r="K194" s="306">
        <f>('Input data meat and eggs'!$B$446*44/28*'Input data meat and eggs'!K423*'Input data meat and eggs'!G423/12*('Input data meat and eggs'!O423*'Input data meat and eggs'!B458+'Input data meat and eggs'!P423*'Input data meat and eggs'!C458+'Input data meat and eggs'!Q423*'Input data meat and eggs'!D458))*'Input data meat and eggs'!$E$423/'Input data meat and eggs'!$H$423</f>
        <v>2.0103448451885956E-3</v>
      </c>
      <c r="L194" s="306">
        <v>0</v>
      </c>
      <c r="M194" s="306">
        <v>0</v>
      </c>
      <c r="N194" s="306">
        <v>0</v>
      </c>
      <c r="O194" s="306">
        <v>0</v>
      </c>
      <c r="P194" s="306">
        <f>'Input data meat and eggs'!C92*3.6*'Common input data'!B51</f>
        <v>9.6880754716981128E-6</v>
      </c>
      <c r="Q194" s="306">
        <f>(F194+P194)</f>
        <v>1.3399945618622625E-2</v>
      </c>
      <c r="R194" s="306">
        <v>0</v>
      </c>
      <c r="S194" s="306">
        <v>0</v>
      </c>
      <c r="T194" s="107"/>
    </row>
    <row r="195" spans="1:402" s="102" customFormat="1" x14ac:dyDescent="0.3">
      <c r="A195" s="816"/>
      <c r="B195" s="804" t="s">
        <v>427</v>
      </c>
      <c r="C195" s="810">
        <v>6.793938459758643E-2</v>
      </c>
      <c r="D195" s="269" t="s">
        <v>473</v>
      </c>
      <c r="E195" s="320">
        <f>IF($F$1="GWP100 without fb",E196+E197*'Common input data'!$C$5+E198*'Common input data'!$D$5,IF($F$1="GWP100 with fb",E196+E197*'Common input data'!$C$6+E198*'Common input data'!$D$6,IF($F$1="GTP100 without fb",E196+E197*'Common input data'!$C$7+E198*'Common input data'!$D$7,IF($F$1="GTP100 with fb",E196+E197*'Common input data'!$C$8+E198*'Common input data'!$D$8,E196+E197*'Common input data'!$C$9+E198*'Common input data'!$D$9))))</f>
        <v>9.9268778859716367</v>
      </c>
      <c r="F195" s="302">
        <f>IF($F$1="GWP100 without fb",F196+F197*'Common input data'!$C$5+F198*'Common input data'!$D$5,IF($F$1="GWP100 with fb",F196+F197*'Common input data'!$C$6+F198*'Common input data'!$D$6,IF($F$1="GTP100 without fb",F196+F197*'Common input data'!$C$7+F198*'Common input data'!$D$7,IF($F$1="GTP100 with fb",F196+F197*'Common input data'!$C$8+F198*'Common input data'!$D$8,F196+F197*'Common input data'!$C$9+F198*'Common input data'!$D$9))))</f>
        <v>15.00181243120195</v>
      </c>
      <c r="G195" s="321">
        <f>IF($F$1="GWP100 without fb",G196+G197*'Common input data'!$C$5+G198*'Common input data'!$D$5,IF($F$1="GWP100 with fb",G196+G197*'Common input data'!$C$6+G198*'Common input data'!$D$6,IF($F$1="GTP100 without fb",G196+G197*'Common input data'!$C$7+G198*'Common input data'!$D$7,IF($F$1="GTP100 with fb",G196+G197*'Common input data'!$C$8+G198*'Common input data'!$D$8,G196+G197*'Common input data'!$C$9+G198*'Common input data'!$D$9))))</f>
        <v>17.374775412067677</v>
      </c>
      <c r="H195" s="502"/>
      <c r="I195" s="502"/>
      <c r="J195" s="502"/>
      <c r="K195" s="502"/>
      <c r="L195" s="502"/>
      <c r="M195" s="502"/>
      <c r="N195" s="502"/>
      <c r="O195" s="502"/>
      <c r="P195" s="502"/>
      <c r="Q195" s="502"/>
      <c r="R195" s="502"/>
      <c r="S195" s="502"/>
      <c r="T195" s="107"/>
      <c r="U195" s="64"/>
      <c r="V195" s="64"/>
      <c r="W195" s="64"/>
      <c r="X195" s="64"/>
      <c r="Y195" s="64"/>
      <c r="Z195" s="64"/>
      <c r="AA195" s="64"/>
      <c r="AB195" s="64"/>
      <c r="AC195" s="64"/>
      <c r="AD195" s="64"/>
      <c r="AE195" s="64"/>
      <c r="AF195" s="64"/>
      <c r="AG195" s="64"/>
      <c r="AH195" s="64"/>
      <c r="AI195" s="64"/>
      <c r="AJ195" s="64"/>
      <c r="AK195" s="64"/>
      <c r="AL195" s="64"/>
      <c r="AM195" s="64"/>
      <c r="AN195" s="64"/>
      <c r="AO195" s="64"/>
      <c r="AP195" s="64"/>
      <c r="AQ195" s="64"/>
      <c r="AR195" s="64"/>
      <c r="AS195" s="64"/>
      <c r="AT195" s="64"/>
      <c r="AU195" s="64"/>
      <c r="AV195" s="64"/>
      <c r="AW195" s="64"/>
      <c r="AX195" s="64"/>
      <c r="AY195" s="64"/>
      <c r="AZ195" s="64"/>
      <c r="BA195" s="64"/>
      <c r="BB195" s="64"/>
      <c r="BC195" s="64"/>
      <c r="BD195" s="64"/>
      <c r="BE195" s="64"/>
      <c r="BF195" s="64"/>
      <c r="BG195" s="64"/>
      <c r="BH195" s="64"/>
      <c r="BI195" s="64"/>
      <c r="BJ195" s="64"/>
      <c r="BK195" s="64"/>
      <c r="BL195" s="64"/>
      <c r="BM195" s="64"/>
      <c r="BN195" s="64"/>
      <c r="BO195" s="64"/>
      <c r="BP195" s="64"/>
      <c r="BQ195" s="64"/>
      <c r="BR195" s="64"/>
      <c r="BS195" s="64"/>
      <c r="BT195" s="64"/>
      <c r="BU195" s="64"/>
      <c r="BV195" s="64"/>
      <c r="BW195" s="64"/>
      <c r="BX195" s="64"/>
      <c r="BY195" s="64"/>
      <c r="BZ195" s="64"/>
      <c r="CA195" s="64"/>
      <c r="CB195" s="64"/>
      <c r="CC195" s="64"/>
      <c r="CD195" s="64"/>
      <c r="CE195" s="64"/>
      <c r="CF195" s="64"/>
      <c r="CG195" s="64"/>
      <c r="CH195" s="64"/>
      <c r="CI195" s="64"/>
      <c r="CJ195" s="64"/>
      <c r="CK195" s="64"/>
      <c r="CL195" s="64"/>
      <c r="CM195" s="64"/>
      <c r="CN195" s="64"/>
      <c r="CO195" s="64"/>
      <c r="CP195" s="64"/>
      <c r="CQ195" s="64"/>
      <c r="CR195" s="64"/>
      <c r="CS195" s="64"/>
      <c r="CT195" s="64"/>
      <c r="CU195" s="64"/>
      <c r="CV195" s="64"/>
      <c r="CW195" s="64"/>
      <c r="CX195" s="64"/>
      <c r="CY195" s="64"/>
      <c r="CZ195" s="64"/>
      <c r="DA195" s="64"/>
      <c r="DB195" s="64"/>
      <c r="DC195" s="64"/>
      <c r="DD195" s="64"/>
      <c r="DE195" s="64"/>
      <c r="DF195" s="64"/>
      <c r="DG195" s="64"/>
      <c r="DH195" s="64"/>
      <c r="DI195" s="64"/>
      <c r="DJ195" s="64"/>
      <c r="DK195" s="64"/>
      <c r="DL195" s="64"/>
      <c r="DM195" s="64"/>
      <c r="DN195" s="64"/>
      <c r="DO195" s="64"/>
      <c r="DP195" s="64"/>
      <c r="DQ195" s="64"/>
      <c r="DR195" s="64"/>
      <c r="DS195" s="64"/>
      <c r="DT195" s="64"/>
      <c r="DU195" s="64"/>
      <c r="DV195" s="64"/>
      <c r="DW195" s="64"/>
      <c r="DX195" s="64"/>
      <c r="DY195" s="64"/>
      <c r="DZ195" s="64"/>
      <c r="EA195" s="64"/>
      <c r="EB195" s="64"/>
      <c r="EC195" s="64"/>
      <c r="ED195" s="64"/>
      <c r="EE195" s="64"/>
      <c r="EF195" s="64"/>
      <c r="EG195" s="64"/>
      <c r="EH195" s="64"/>
      <c r="EI195" s="64"/>
      <c r="EJ195" s="64"/>
      <c r="EK195" s="64"/>
      <c r="EL195" s="64"/>
      <c r="EM195" s="64"/>
      <c r="EN195" s="64"/>
      <c r="EO195" s="64"/>
      <c r="EP195" s="64"/>
      <c r="EQ195" s="64"/>
      <c r="ER195" s="64"/>
      <c r="ES195" s="64"/>
      <c r="ET195" s="64"/>
      <c r="EU195" s="64"/>
      <c r="EV195" s="64"/>
      <c r="EW195" s="64"/>
      <c r="EX195" s="64"/>
      <c r="EY195" s="64"/>
      <c r="EZ195" s="64"/>
      <c r="FA195" s="64"/>
      <c r="FB195" s="64"/>
      <c r="FC195" s="64"/>
      <c r="FD195" s="64"/>
      <c r="FE195" s="64"/>
      <c r="FF195" s="64"/>
      <c r="FG195" s="64"/>
      <c r="FH195" s="64"/>
      <c r="FI195" s="64"/>
      <c r="FJ195" s="64"/>
      <c r="FK195" s="64"/>
      <c r="FL195" s="64"/>
      <c r="FM195" s="64"/>
      <c r="FN195" s="64"/>
      <c r="FO195" s="64"/>
      <c r="FP195" s="64"/>
      <c r="FQ195" s="64"/>
      <c r="FR195" s="64"/>
      <c r="FS195" s="64"/>
      <c r="FT195" s="64"/>
      <c r="FU195" s="64"/>
      <c r="FV195" s="64"/>
      <c r="FW195" s="64"/>
      <c r="FX195" s="64"/>
      <c r="FY195" s="64"/>
      <c r="FZ195" s="64"/>
      <c r="GA195" s="64"/>
      <c r="GB195" s="64"/>
      <c r="GC195" s="64"/>
      <c r="GD195" s="64"/>
      <c r="GE195" s="64"/>
      <c r="GF195" s="64"/>
      <c r="GG195" s="64"/>
      <c r="GH195" s="64"/>
      <c r="GI195" s="64"/>
      <c r="GJ195" s="64"/>
      <c r="GK195" s="64"/>
      <c r="GL195" s="64"/>
      <c r="GM195" s="64"/>
      <c r="GN195" s="64"/>
      <c r="GO195" s="64"/>
      <c r="GP195" s="64"/>
      <c r="GQ195" s="64"/>
      <c r="GR195" s="64"/>
      <c r="GS195" s="64"/>
      <c r="GT195" s="64"/>
      <c r="GU195" s="64"/>
      <c r="GV195" s="64"/>
      <c r="GW195" s="64"/>
      <c r="GX195" s="64"/>
      <c r="GY195" s="64"/>
      <c r="GZ195" s="64"/>
      <c r="HA195" s="64"/>
      <c r="HB195" s="64"/>
      <c r="HC195" s="64"/>
      <c r="HD195" s="64"/>
      <c r="HE195" s="64"/>
      <c r="HF195" s="64"/>
      <c r="HG195" s="64"/>
      <c r="HH195" s="64"/>
      <c r="HI195" s="64"/>
      <c r="HJ195" s="64"/>
      <c r="HK195" s="64"/>
      <c r="HL195" s="64"/>
      <c r="HM195" s="64"/>
      <c r="HN195" s="64"/>
      <c r="HO195" s="64"/>
      <c r="HP195" s="64"/>
      <c r="HQ195" s="64"/>
      <c r="HR195" s="64"/>
      <c r="HS195" s="64"/>
      <c r="HT195" s="64"/>
      <c r="HU195" s="64"/>
      <c r="HV195" s="64"/>
      <c r="HW195" s="64"/>
      <c r="HX195" s="64"/>
      <c r="HY195" s="64"/>
      <c r="HZ195" s="64"/>
      <c r="IA195" s="64"/>
      <c r="IB195" s="64"/>
      <c r="IC195" s="64"/>
      <c r="ID195" s="64"/>
      <c r="IE195" s="64"/>
      <c r="IF195" s="64"/>
      <c r="IG195" s="64"/>
      <c r="IH195" s="64"/>
      <c r="II195" s="64"/>
      <c r="IJ195" s="64"/>
      <c r="IK195" s="64"/>
      <c r="IL195" s="64"/>
      <c r="IM195" s="64"/>
      <c r="IN195" s="64"/>
      <c r="IO195" s="64"/>
      <c r="IP195" s="64"/>
      <c r="IQ195" s="64"/>
      <c r="IR195" s="64"/>
      <c r="IS195" s="64"/>
      <c r="IT195" s="64"/>
      <c r="IU195" s="64"/>
      <c r="IV195" s="64"/>
      <c r="IW195" s="64"/>
      <c r="IX195" s="64"/>
      <c r="IY195" s="64"/>
      <c r="IZ195" s="64"/>
      <c r="JA195" s="64"/>
      <c r="JB195" s="64"/>
      <c r="JC195" s="64"/>
      <c r="JD195" s="64"/>
      <c r="JE195" s="64"/>
      <c r="JF195" s="64"/>
      <c r="JG195" s="64"/>
      <c r="JH195" s="64"/>
      <c r="JI195" s="64"/>
      <c r="JJ195" s="64"/>
      <c r="JK195" s="64"/>
      <c r="JL195" s="64"/>
      <c r="JM195" s="64"/>
      <c r="JN195" s="64"/>
      <c r="JO195" s="64"/>
      <c r="JP195" s="64"/>
      <c r="JQ195" s="64"/>
      <c r="JR195" s="64"/>
      <c r="JS195" s="64"/>
      <c r="JT195" s="64"/>
      <c r="JU195" s="64"/>
      <c r="JV195" s="64"/>
      <c r="JW195" s="64"/>
      <c r="JX195" s="64"/>
      <c r="JY195" s="64"/>
      <c r="JZ195" s="64"/>
      <c r="KA195" s="64"/>
      <c r="KB195" s="64"/>
      <c r="KC195" s="64"/>
      <c r="KD195" s="64"/>
      <c r="KE195" s="64"/>
      <c r="KF195" s="64"/>
      <c r="KG195" s="64"/>
      <c r="KH195" s="64"/>
      <c r="KI195" s="64"/>
      <c r="KJ195" s="64"/>
      <c r="KK195" s="64"/>
      <c r="KL195" s="64"/>
      <c r="KM195" s="64"/>
      <c r="KN195" s="64"/>
      <c r="KO195" s="64"/>
      <c r="KP195" s="64"/>
      <c r="KQ195" s="64"/>
      <c r="KR195" s="64"/>
      <c r="KS195" s="64"/>
      <c r="KT195" s="64"/>
      <c r="KU195" s="64"/>
      <c r="KV195" s="64"/>
      <c r="KW195" s="64"/>
      <c r="KX195" s="64"/>
      <c r="KY195" s="64"/>
      <c r="KZ195" s="64"/>
      <c r="LA195" s="64"/>
      <c r="LB195" s="64"/>
      <c r="LC195" s="64"/>
      <c r="LD195" s="64"/>
      <c r="LE195" s="64"/>
      <c r="LF195" s="64"/>
      <c r="LG195" s="64"/>
      <c r="LH195" s="64"/>
      <c r="LI195" s="64"/>
      <c r="LJ195" s="64"/>
      <c r="LK195" s="64"/>
      <c r="LL195" s="64"/>
      <c r="LM195" s="64"/>
      <c r="LN195" s="64"/>
      <c r="LO195" s="64"/>
      <c r="LP195" s="64"/>
      <c r="LQ195" s="64"/>
      <c r="LR195" s="64"/>
      <c r="LS195" s="64"/>
      <c r="LT195" s="64"/>
      <c r="LU195" s="64"/>
      <c r="LV195" s="64"/>
      <c r="LW195" s="64"/>
      <c r="LX195" s="64"/>
      <c r="LY195" s="64"/>
      <c r="LZ195" s="64"/>
      <c r="MA195" s="64"/>
      <c r="MB195" s="64"/>
      <c r="MC195" s="64"/>
      <c r="MD195" s="64"/>
      <c r="ME195" s="64"/>
      <c r="MF195" s="64"/>
      <c r="MG195" s="64"/>
      <c r="MH195" s="64"/>
      <c r="MI195" s="64"/>
      <c r="MJ195" s="64"/>
      <c r="MK195" s="64"/>
      <c r="ML195" s="64"/>
      <c r="MM195" s="64"/>
      <c r="MN195" s="64"/>
      <c r="MO195" s="64"/>
      <c r="MP195" s="64"/>
      <c r="MQ195" s="64"/>
      <c r="MR195" s="64"/>
      <c r="MS195" s="64"/>
      <c r="MT195" s="64"/>
      <c r="MU195" s="64"/>
      <c r="MV195" s="64"/>
      <c r="MW195" s="64"/>
      <c r="MX195" s="64"/>
      <c r="MY195" s="64"/>
      <c r="MZ195" s="64"/>
      <c r="NA195" s="64"/>
      <c r="NB195" s="64"/>
      <c r="NC195" s="64"/>
      <c r="ND195" s="64"/>
      <c r="NE195" s="64"/>
      <c r="NF195" s="64"/>
      <c r="NG195" s="64"/>
      <c r="NH195" s="64"/>
      <c r="NI195" s="64"/>
      <c r="NJ195" s="64"/>
      <c r="NK195" s="64"/>
      <c r="NL195" s="64"/>
      <c r="NM195" s="64"/>
      <c r="NN195" s="64"/>
      <c r="NO195" s="64"/>
      <c r="NP195" s="64"/>
      <c r="NQ195" s="64"/>
      <c r="NR195" s="64"/>
      <c r="NS195" s="64"/>
      <c r="NT195" s="64"/>
      <c r="NU195" s="64"/>
      <c r="NV195" s="64"/>
      <c r="NW195" s="64"/>
      <c r="NX195" s="64"/>
      <c r="NY195" s="64"/>
      <c r="NZ195" s="64"/>
      <c r="OA195" s="64"/>
      <c r="OB195" s="64"/>
      <c r="OC195" s="64"/>
      <c r="OD195" s="64"/>
      <c r="OE195" s="64"/>
      <c r="OF195" s="64"/>
      <c r="OG195" s="64"/>
      <c r="OH195" s="64"/>
      <c r="OI195" s="64"/>
      <c r="OJ195" s="64"/>
      <c r="OK195" s="64"/>
      <c r="OL195" s="64"/>
    </row>
    <row r="196" spans="1:402" x14ac:dyDescent="0.3">
      <c r="A196" s="815"/>
      <c r="B196" s="807"/>
      <c r="C196" s="808"/>
      <c r="D196" s="83" t="s">
        <v>164</v>
      </c>
      <c r="E196" s="258">
        <f>IF(AND($F$2="No",$F$3="No"),SUM(I196:L196),IF(AND($F$2="Yes", $F$3="No"), SUM(I196:L196)+N196, IF(AND($F$2="No", $F$3="Yes"),SUM(I196:L196)+M196, SUM(I196:L196)+N196+M196)))</f>
        <v>-3.6824875207716691E-2</v>
      </c>
      <c r="F196" s="85">
        <f>IF(AND($F$2="No",$F$3="No"),SUM(H196:L196,O196),IF(AND($F$2="Yes", $F$3="No"), SUM(H196:L196,O196)+N196, IF(AND($F$2="No", $F$3="Yes"),SUM(H196:L196,O196)+M196, SUM(H196:L196,O196)+N196+M196)))</f>
        <v>4.2550638617665228</v>
      </c>
      <c r="G196" s="278">
        <f>SUM(Q196:S196)/(1-'Common input data'!B$126)</f>
        <v>5.5840198749095027</v>
      </c>
      <c r="H196" s="306">
        <f>('Input data meat and eggs'!S424*'Input data meat and eggs'!B48+'Input data meat and eggs'!T424*'Input data meat and eggs'!B47+'Input data meat and eggs'!U424*'Input data meat and eggs'!B35+'Input data meat and eggs'!V424*SUMPRODUCT('Input data meat and eggs'!B37:B46,'Input data meat and eggs'!F65:F74))*'Input data meat and eggs'!$E$424/'Input data meat and eggs'!$H$424</f>
        <v>2.0056387369742401</v>
      </c>
      <c r="I196" s="306">
        <v>0</v>
      </c>
      <c r="J196" s="306">
        <v>0</v>
      </c>
      <c r="K196" s="306">
        <v>0</v>
      </c>
      <c r="L196" s="306">
        <v>0</v>
      </c>
      <c r="M196" s="306">
        <f>(('Input data meat and eggs'!S424+'Input data meat and eggs'!T424)*'Common input data'!F13+
'Input data meat and eggs'!U424*'Common input data'!B13+'Input data meat and eggs'!V424*('Input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data'!F29))*'Input data meat and eggs'!$E$424/'Input data meat and eggs'!$H$424</f>
        <v>-8.3284715875069013E-2</v>
      </c>
      <c r="N196" s="306">
        <f>('Input data meat and eggs'!V424*('Input data meat and eggs'!F67*'Common input data'!B21*'Common input data'!G30/'Common input data'!F30+'Input data meat and eggs'!F71*'Common input data'!C21*'Common input data'!J31/'Common input data'!I31))*'Input data meat and eggs'!$E$424/'Input data meat and eggs'!$H$424</f>
        <v>4.6459840667352321E-2</v>
      </c>
      <c r="O196" s="306">
        <f>'Input data meat and eggs'!B83*'Common input data'!C63</f>
        <v>2.2862499999999999</v>
      </c>
      <c r="P196" s="306">
        <f>'Input data meat and eggs'!B92*'Common input data'!C63+'Input data meat and eggs'!C92*3.6*'Common input data'!B49</f>
        <v>0.60756226415094339</v>
      </c>
      <c r="Q196" s="306">
        <f>(F196+P196)</f>
        <v>4.8626261259174663</v>
      </c>
      <c r="R196" s="306">
        <f>'Common input data'!B92</f>
        <v>0.1</v>
      </c>
      <c r="S196" s="306">
        <f>'Common input data'!B99+'Common input data'!C99</f>
        <v>0.13</v>
      </c>
      <c r="T196" s="107"/>
    </row>
    <row r="197" spans="1:402" x14ac:dyDescent="0.3">
      <c r="A197" s="815"/>
      <c r="B197" s="807"/>
      <c r="C197" s="808"/>
      <c r="D197" s="83" t="s">
        <v>165</v>
      </c>
      <c r="E197" s="258">
        <f>SUM(I197:L197)</f>
        <v>0.21027597796520278</v>
      </c>
      <c r="F197" s="85">
        <f>SUM(H197:L197,O197)</f>
        <v>0.21119389703954436</v>
      </c>
      <c r="G197" s="278">
        <f>SUM(Q197:S197)/(1-'Common input data'!B$126)</f>
        <v>0.23168620785948055</v>
      </c>
      <c r="H197" s="306">
        <f>('Input data meat and eggs'!S424*'Input data meat and eggs'!C48+'Input data meat and eggs'!T424*'Input data meat and eggs'!C47+'Input data meat and eggs'!U424*'Input data meat and eggs'!C35+'Input data meat and eggs'!V424*SUMPRODUCT('Input data meat and eggs'!C37:C46,'Input data meat and eggs'!F65:F74))*'Input data meat and eggs'!$E$424/'Input data meat and eggs'!$H$424</f>
        <v>9.1791907434158357E-4</v>
      </c>
      <c r="I197" s="306">
        <v>0</v>
      </c>
      <c r="J197" s="306">
        <f>('Input data meat and eggs'!M424*'Input data meat and eggs'!G424/12*'Input data meat and eggs'!$C$450*'Input data meat and eggs'!$C$452*'Input data meat and eggs'!$C$453*
('Input data meat and eggs'!$O$424*'Input data meat and eggs'!$B$443
+'Input data meat and eggs'!$P$424*'Input data meat and eggs'!$C$443+
'Input data meat and eggs'!$Q$424*'Input data meat and eggs'!$D$443+
'Input data meat and eggs'!$R$424*'Input data meat and eggs'!$E$443))*'Input data meat and eggs'!$E$424/'Input data meat and eggs'!$H$424</f>
        <v>2.1358002398012554E-2</v>
      </c>
      <c r="K197" s="306">
        <v>0</v>
      </c>
      <c r="L197" s="306">
        <f>('Input data meat and eggs'!L424*'Input data meat and eggs'!G424/12)*'Input data meat and eggs'!$E$424/'Input data meat and eggs'!$H$424</f>
        <v>0.18891797556719023</v>
      </c>
      <c r="M197" s="306">
        <v>0</v>
      </c>
      <c r="N197" s="306">
        <v>0</v>
      </c>
      <c r="O197" s="306">
        <v>0</v>
      </c>
      <c r="P197" s="306">
        <f>'Input data meat and eggs'!C92*3.6*'Common input data'!B50</f>
        <v>1.0392452830188681E-4</v>
      </c>
      <c r="Q197" s="306">
        <f>(F197+P197)</f>
        <v>0.21129782156784624</v>
      </c>
      <c r="R197" s="306">
        <v>0</v>
      </c>
      <c r="S197" s="306">
        <v>0</v>
      </c>
      <c r="T197" s="107"/>
    </row>
    <row r="198" spans="1:402" x14ac:dyDescent="0.3">
      <c r="A198" s="815"/>
      <c r="B198" s="807"/>
      <c r="C198" s="808"/>
      <c r="D198" s="84" t="s">
        <v>166</v>
      </c>
      <c r="E198" s="258">
        <f>SUM(I198:L198)</f>
        <v>9.4440252025585827E-3</v>
      </c>
      <c r="F198" s="85">
        <f>SUM(H198:L198,O198)</f>
        <v>1.1966966678157446E-2</v>
      </c>
      <c r="G198" s="278">
        <f>SUM(Q198:S198)/(1-'Common input data'!B$126)</f>
        <v>1.3132296878979325E-2</v>
      </c>
      <c r="H198" s="306">
        <f>(('Input data meat and eggs'!S424*'Input data meat and eggs'!D48+'Input data meat and eggs'!T424*'Input data meat and eggs'!D47+'Input data meat and eggs'!U424*'Input data meat and eggs'!D35+'Input data meat and eggs'!V424*SUMPRODUCT('Input data meat and eggs'!D37:D46,'Input data meat and eggs'!F65:F74))*'Input data meat and eggs'!B58)*'Input data meat and eggs'!$E$424/'Input data meat and eggs'!$H$424</f>
        <v>2.5229414755988614E-3</v>
      </c>
      <c r="I198" s="306">
        <f>(('Input data meat and eggs'!S424*'Input data meat and eggs'!D48+'Input data meat and eggs'!T424*'Input data meat and eggs'!D47+'Input data meat and eggs'!U424*'Input data meat and eggs'!D35+'Input data meat and eggs'!V424*SUMPRODUCT('Input data meat and eggs'!D37:D46,'Input data meat and eggs'!F65:F74))*'Input data meat and eggs'!C58)*'Input data meat and eggs'!$E$424/'Input data meat and eggs'!$H$424</f>
        <v>6.3769791411190596E-3</v>
      </c>
      <c r="J198" s="306">
        <f>('Input data meat and eggs'!K424*'Input data meat and eggs'!G424/12*('Input data meat and eggs'!$O$424*'Input data meat and eggs'!$B$445+'Input data meat and eggs'!$P$424*'Input data meat and eggs'!$C$445+'Input data meat and eggs'!$Q$424*'Input data meat and eggs'!$D$445+'Input data meat and eggs'!$R$424*'Input data meat and eggs'!$E$445)*44/28)*'Input data meat and eggs'!$E$424/'Input data meat and eggs'!$H$424</f>
        <v>1.816324561558634E-3</v>
      </c>
      <c r="K198" s="306">
        <f>('Input data meat and eggs'!$B$446*44/28*'Input data meat and eggs'!K424*'Input data meat and eggs'!G424/12*('Input data meat and eggs'!O424*'Input data meat and eggs'!B458+'Input data meat and eggs'!P424*'Input data meat and eggs'!C458+'Input data meat and eggs'!Q424*'Input data meat and eggs'!D458))*'Input data meat and eggs'!$E$424/'Input data meat and eggs'!$H$424</f>
        <v>1.2507214998808906E-3</v>
      </c>
      <c r="L198" s="306">
        <v>0</v>
      </c>
      <c r="M198" s="306">
        <v>0</v>
      </c>
      <c r="N198" s="306">
        <v>0</v>
      </c>
      <c r="O198" s="306">
        <v>0</v>
      </c>
      <c r="P198" s="306">
        <f>'Input data meat and eggs'!C92*3.6*'Common input data'!B51</f>
        <v>9.6880754716981128E-6</v>
      </c>
      <c r="Q198" s="306">
        <f>(F198+P198)</f>
        <v>1.1976654753629143E-2</v>
      </c>
      <c r="R198" s="306">
        <v>0</v>
      </c>
      <c r="S198" s="306">
        <v>0</v>
      </c>
      <c r="T198" s="107"/>
    </row>
    <row r="199" spans="1:402" s="102" customFormat="1" x14ac:dyDescent="0.3">
      <c r="A199" s="816"/>
      <c r="B199" s="804" t="s">
        <v>429</v>
      </c>
      <c r="C199" s="810">
        <v>5.8273087194233263E-3</v>
      </c>
      <c r="D199" s="269" t="s">
        <v>473</v>
      </c>
      <c r="E199" s="320">
        <f>IF($F$1="GWP100 without fb",E200+E201*'Common input data'!$C$5+E202*'Common input data'!$D$5,IF($F$1="GWP100 with fb",E200+E201*'Common input data'!$C$6+E202*'Common input data'!$D$6,IF($F$1="GTP100 without fb",E200+E201*'Common input data'!$C$7+E202*'Common input data'!$D$7,IF($F$1="GTP100 with fb",E200+E201*'Common input data'!$C$8+E202*'Common input data'!$D$8,E200+E201*'Common input data'!$C$9+E202*'Common input data'!$D$9))))</f>
        <v>10.204139828205051</v>
      </c>
      <c r="F199" s="302">
        <f>IF($F$1="GWP100 without fb",F200+F201*'Common input data'!$C$5+F202*'Common input data'!$D$5,IF($F$1="GWP100 with fb",F200+F201*'Common input data'!$C$6+F202*'Common input data'!$D$6,IF($F$1="GTP100 without fb",F200+F201*'Common input data'!$C$7+F202*'Common input data'!$D$7,IF($F$1="GTP100 with fb",F200+F201*'Common input data'!$C$8+F202*'Common input data'!$D$8,F200+F201*'Common input data'!$C$9+F202*'Common input data'!$D$9))))</f>
        <v>14.593424729415641</v>
      </c>
      <c r="G199" s="321">
        <f>IF($F$1="GWP100 without fb",G200+G201*'Common input data'!$C$5+G202*'Common input data'!$D$5,IF($F$1="GWP100 with fb",G200+G201*'Common input data'!$C$6+G202*'Common input data'!$D$6,IF($F$1="GTP100 without fb",G200+G201*'Common input data'!$C$7+G202*'Common input data'!$D$7,IF($F$1="GTP100 with fb",G200+G201*'Common input data'!$C$8+G202*'Common input data'!$D$8,G200+G201*'Common input data'!$C$9+G202*'Common input data'!$D$9))))</f>
        <v>16.926981879407251</v>
      </c>
      <c r="H199" s="502"/>
      <c r="I199" s="502"/>
      <c r="J199" s="502"/>
      <c r="K199" s="502"/>
      <c r="L199" s="502"/>
      <c r="M199" s="502"/>
      <c r="N199" s="502"/>
      <c r="O199" s="502"/>
      <c r="P199" s="502"/>
      <c r="Q199" s="502"/>
      <c r="R199" s="502"/>
      <c r="S199" s="502"/>
      <c r="T199" s="107"/>
      <c r="U199" s="64"/>
      <c r="V199" s="64"/>
      <c r="W199" s="64"/>
      <c r="X199" s="64"/>
      <c r="Y199" s="64"/>
      <c r="Z199" s="64"/>
      <c r="AA199" s="64"/>
      <c r="AB199" s="64"/>
      <c r="AC199" s="64"/>
      <c r="AD199" s="64"/>
      <c r="AE199" s="64"/>
      <c r="AF199" s="64"/>
      <c r="AG199" s="64"/>
      <c r="AH199" s="64"/>
      <c r="AI199" s="64"/>
      <c r="AJ199" s="64"/>
      <c r="AK199" s="64"/>
      <c r="AL199" s="64"/>
      <c r="AM199" s="64"/>
      <c r="AN199" s="64"/>
      <c r="AO199" s="64"/>
      <c r="AP199" s="64"/>
      <c r="AQ199" s="64"/>
      <c r="AR199" s="64"/>
      <c r="AS199" s="64"/>
      <c r="AT199" s="64"/>
      <c r="AU199" s="64"/>
      <c r="AV199" s="64"/>
      <c r="AW199" s="64"/>
      <c r="AX199" s="64"/>
      <c r="AY199" s="64"/>
      <c r="AZ199" s="64"/>
      <c r="BA199" s="64"/>
      <c r="BB199" s="64"/>
      <c r="BC199" s="64"/>
      <c r="BD199" s="64"/>
      <c r="BE199" s="64"/>
      <c r="BF199" s="64"/>
      <c r="BG199" s="64"/>
      <c r="BH199" s="64"/>
      <c r="BI199" s="64"/>
      <c r="BJ199" s="64"/>
      <c r="BK199" s="64"/>
      <c r="BL199" s="64"/>
      <c r="BM199" s="64"/>
      <c r="BN199" s="64"/>
      <c r="BO199" s="64"/>
      <c r="BP199" s="64"/>
      <c r="BQ199" s="64"/>
      <c r="BR199" s="64"/>
      <c r="BS199" s="64"/>
      <c r="BT199" s="64"/>
      <c r="BU199" s="64"/>
      <c r="BV199" s="64"/>
      <c r="BW199" s="64"/>
      <c r="BX199" s="64"/>
      <c r="BY199" s="64"/>
      <c r="BZ199" s="64"/>
      <c r="CA199" s="64"/>
      <c r="CB199" s="64"/>
      <c r="CC199" s="64"/>
      <c r="CD199" s="64"/>
      <c r="CE199" s="64"/>
      <c r="CF199" s="64"/>
      <c r="CG199" s="64"/>
      <c r="CH199" s="64"/>
      <c r="CI199" s="64"/>
      <c r="CJ199" s="64"/>
      <c r="CK199" s="64"/>
      <c r="CL199" s="64"/>
      <c r="CM199" s="64"/>
      <c r="CN199" s="64"/>
      <c r="CO199" s="64"/>
      <c r="CP199" s="64"/>
      <c r="CQ199" s="64"/>
      <c r="CR199" s="64"/>
      <c r="CS199" s="64"/>
      <c r="CT199" s="64"/>
      <c r="CU199" s="64"/>
      <c r="CV199" s="64"/>
      <c r="CW199" s="64"/>
      <c r="CX199" s="64"/>
      <c r="CY199" s="64"/>
      <c r="CZ199" s="64"/>
      <c r="DA199" s="64"/>
      <c r="DB199" s="64"/>
      <c r="DC199" s="64"/>
      <c r="DD199" s="64"/>
      <c r="DE199" s="64"/>
      <c r="DF199" s="64"/>
      <c r="DG199" s="64"/>
      <c r="DH199" s="64"/>
      <c r="DI199" s="64"/>
      <c r="DJ199" s="64"/>
      <c r="DK199" s="64"/>
      <c r="DL199" s="64"/>
      <c r="DM199" s="64"/>
      <c r="DN199" s="64"/>
      <c r="DO199" s="64"/>
      <c r="DP199" s="64"/>
      <c r="DQ199" s="64"/>
      <c r="DR199" s="64"/>
      <c r="DS199" s="64"/>
      <c r="DT199" s="64"/>
      <c r="DU199" s="64"/>
      <c r="DV199" s="64"/>
      <c r="DW199" s="64"/>
      <c r="DX199" s="64"/>
      <c r="DY199" s="64"/>
      <c r="DZ199" s="64"/>
      <c r="EA199" s="64"/>
      <c r="EB199" s="64"/>
      <c r="EC199" s="64"/>
      <c r="ED199" s="64"/>
      <c r="EE199" s="64"/>
      <c r="EF199" s="64"/>
      <c r="EG199" s="64"/>
      <c r="EH199" s="64"/>
      <c r="EI199" s="64"/>
      <c r="EJ199" s="64"/>
      <c r="EK199" s="64"/>
      <c r="EL199" s="64"/>
      <c r="EM199" s="64"/>
      <c r="EN199" s="64"/>
      <c r="EO199" s="64"/>
      <c r="EP199" s="64"/>
      <c r="EQ199" s="64"/>
      <c r="ER199" s="64"/>
      <c r="ES199" s="64"/>
      <c r="ET199" s="64"/>
      <c r="EU199" s="64"/>
      <c r="EV199" s="64"/>
      <c r="EW199" s="64"/>
      <c r="EX199" s="64"/>
      <c r="EY199" s="64"/>
      <c r="EZ199" s="64"/>
      <c r="FA199" s="64"/>
      <c r="FB199" s="64"/>
      <c r="FC199" s="64"/>
      <c r="FD199" s="64"/>
      <c r="FE199" s="64"/>
      <c r="FF199" s="64"/>
      <c r="FG199" s="64"/>
      <c r="FH199" s="64"/>
      <c r="FI199" s="64"/>
      <c r="FJ199" s="64"/>
      <c r="FK199" s="64"/>
      <c r="FL199" s="64"/>
      <c r="FM199" s="64"/>
      <c r="FN199" s="64"/>
      <c r="FO199" s="64"/>
      <c r="FP199" s="64"/>
      <c r="FQ199" s="64"/>
      <c r="FR199" s="64"/>
      <c r="FS199" s="64"/>
      <c r="FT199" s="64"/>
      <c r="FU199" s="64"/>
      <c r="FV199" s="64"/>
      <c r="FW199" s="64"/>
      <c r="FX199" s="64"/>
      <c r="FY199" s="64"/>
      <c r="FZ199" s="64"/>
      <c r="GA199" s="64"/>
      <c r="GB199" s="64"/>
      <c r="GC199" s="64"/>
      <c r="GD199" s="64"/>
      <c r="GE199" s="64"/>
      <c r="GF199" s="64"/>
      <c r="GG199" s="64"/>
      <c r="GH199" s="64"/>
      <c r="GI199" s="64"/>
      <c r="GJ199" s="64"/>
      <c r="GK199" s="64"/>
      <c r="GL199" s="64"/>
      <c r="GM199" s="64"/>
      <c r="GN199" s="64"/>
      <c r="GO199" s="64"/>
      <c r="GP199" s="64"/>
      <c r="GQ199" s="64"/>
      <c r="GR199" s="64"/>
      <c r="GS199" s="64"/>
      <c r="GT199" s="64"/>
      <c r="GU199" s="64"/>
      <c r="GV199" s="64"/>
      <c r="GW199" s="64"/>
      <c r="GX199" s="64"/>
      <c r="GY199" s="64"/>
      <c r="GZ199" s="64"/>
      <c r="HA199" s="64"/>
      <c r="HB199" s="64"/>
      <c r="HC199" s="64"/>
      <c r="HD199" s="64"/>
      <c r="HE199" s="64"/>
      <c r="HF199" s="64"/>
      <c r="HG199" s="64"/>
      <c r="HH199" s="64"/>
      <c r="HI199" s="64"/>
      <c r="HJ199" s="64"/>
      <c r="HK199" s="64"/>
      <c r="HL199" s="64"/>
      <c r="HM199" s="64"/>
      <c r="HN199" s="64"/>
      <c r="HO199" s="64"/>
      <c r="HP199" s="64"/>
      <c r="HQ199" s="64"/>
      <c r="HR199" s="64"/>
      <c r="HS199" s="64"/>
      <c r="HT199" s="64"/>
      <c r="HU199" s="64"/>
      <c r="HV199" s="64"/>
      <c r="HW199" s="64"/>
      <c r="HX199" s="64"/>
      <c r="HY199" s="64"/>
      <c r="HZ199" s="64"/>
      <c r="IA199" s="64"/>
      <c r="IB199" s="64"/>
      <c r="IC199" s="64"/>
      <c r="ID199" s="64"/>
      <c r="IE199" s="64"/>
      <c r="IF199" s="64"/>
      <c r="IG199" s="64"/>
      <c r="IH199" s="64"/>
      <c r="II199" s="64"/>
      <c r="IJ199" s="64"/>
      <c r="IK199" s="64"/>
      <c r="IL199" s="64"/>
      <c r="IM199" s="64"/>
      <c r="IN199" s="64"/>
      <c r="IO199" s="64"/>
      <c r="IP199" s="64"/>
      <c r="IQ199" s="64"/>
      <c r="IR199" s="64"/>
      <c r="IS199" s="64"/>
      <c r="IT199" s="64"/>
      <c r="IU199" s="64"/>
      <c r="IV199" s="64"/>
      <c r="IW199" s="64"/>
      <c r="IX199" s="64"/>
      <c r="IY199" s="64"/>
      <c r="IZ199" s="64"/>
      <c r="JA199" s="64"/>
      <c r="JB199" s="64"/>
      <c r="JC199" s="64"/>
      <c r="JD199" s="64"/>
      <c r="JE199" s="64"/>
      <c r="JF199" s="64"/>
      <c r="JG199" s="64"/>
      <c r="JH199" s="64"/>
      <c r="JI199" s="64"/>
      <c r="JJ199" s="64"/>
      <c r="JK199" s="64"/>
      <c r="JL199" s="64"/>
      <c r="JM199" s="64"/>
      <c r="JN199" s="64"/>
      <c r="JO199" s="64"/>
      <c r="JP199" s="64"/>
      <c r="JQ199" s="64"/>
      <c r="JR199" s="64"/>
      <c r="JS199" s="64"/>
      <c r="JT199" s="64"/>
      <c r="JU199" s="64"/>
      <c r="JV199" s="64"/>
      <c r="JW199" s="64"/>
      <c r="JX199" s="64"/>
      <c r="JY199" s="64"/>
      <c r="JZ199" s="64"/>
      <c r="KA199" s="64"/>
      <c r="KB199" s="64"/>
      <c r="KC199" s="64"/>
      <c r="KD199" s="64"/>
      <c r="KE199" s="64"/>
      <c r="KF199" s="64"/>
      <c r="KG199" s="64"/>
      <c r="KH199" s="64"/>
      <c r="KI199" s="64"/>
      <c r="KJ199" s="64"/>
      <c r="KK199" s="64"/>
      <c r="KL199" s="64"/>
      <c r="KM199" s="64"/>
      <c r="KN199" s="64"/>
      <c r="KO199" s="64"/>
      <c r="KP199" s="64"/>
      <c r="KQ199" s="64"/>
      <c r="KR199" s="64"/>
      <c r="KS199" s="64"/>
      <c r="KT199" s="64"/>
      <c r="KU199" s="64"/>
      <c r="KV199" s="64"/>
      <c r="KW199" s="64"/>
      <c r="KX199" s="64"/>
      <c r="KY199" s="64"/>
      <c r="KZ199" s="64"/>
      <c r="LA199" s="64"/>
      <c r="LB199" s="64"/>
      <c r="LC199" s="64"/>
      <c r="LD199" s="64"/>
      <c r="LE199" s="64"/>
      <c r="LF199" s="64"/>
      <c r="LG199" s="64"/>
      <c r="LH199" s="64"/>
      <c r="LI199" s="64"/>
      <c r="LJ199" s="64"/>
      <c r="LK199" s="64"/>
      <c r="LL199" s="64"/>
      <c r="LM199" s="64"/>
      <c r="LN199" s="64"/>
      <c r="LO199" s="64"/>
      <c r="LP199" s="64"/>
      <c r="LQ199" s="64"/>
      <c r="LR199" s="64"/>
      <c r="LS199" s="64"/>
      <c r="LT199" s="64"/>
      <c r="LU199" s="64"/>
      <c r="LV199" s="64"/>
      <c r="LW199" s="64"/>
      <c r="LX199" s="64"/>
      <c r="LY199" s="64"/>
      <c r="LZ199" s="64"/>
      <c r="MA199" s="64"/>
      <c r="MB199" s="64"/>
      <c r="MC199" s="64"/>
      <c r="MD199" s="64"/>
      <c r="ME199" s="64"/>
      <c r="MF199" s="64"/>
      <c r="MG199" s="64"/>
      <c r="MH199" s="64"/>
      <c r="MI199" s="64"/>
      <c r="MJ199" s="64"/>
      <c r="MK199" s="64"/>
      <c r="ML199" s="64"/>
      <c r="MM199" s="64"/>
      <c r="MN199" s="64"/>
      <c r="MO199" s="64"/>
      <c r="MP199" s="64"/>
      <c r="MQ199" s="64"/>
      <c r="MR199" s="64"/>
      <c r="MS199" s="64"/>
      <c r="MT199" s="64"/>
      <c r="MU199" s="64"/>
      <c r="MV199" s="64"/>
      <c r="MW199" s="64"/>
      <c r="MX199" s="64"/>
      <c r="MY199" s="64"/>
      <c r="MZ199" s="64"/>
      <c r="NA199" s="64"/>
      <c r="NB199" s="64"/>
      <c r="NC199" s="64"/>
      <c r="ND199" s="64"/>
      <c r="NE199" s="64"/>
      <c r="NF199" s="64"/>
      <c r="NG199" s="64"/>
      <c r="NH199" s="64"/>
      <c r="NI199" s="64"/>
      <c r="NJ199" s="64"/>
      <c r="NK199" s="64"/>
      <c r="NL199" s="64"/>
      <c r="NM199" s="64"/>
      <c r="NN199" s="64"/>
      <c r="NO199" s="64"/>
      <c r="NP199" s="64"/>
      <c r="NQ199" s="64"/>
      <c r="NR199" s="64"/>
      <c r="NS199" s="64"/>
      <c r="NT199" s="64"/>
      <c r="NU199" s="64"/>
      <c r="NV199" s="64"/>
      <c r="NW199" s="64"/>
      <c r="NX199" s="64"/>
      <c r="NY199" s="64"/>
      <c r="NZ199" s="64"/>
      <c r="OA199" s="64"/>
      <c r="OB199" s="64"/>
      <c r="OC199" s="64"/>
      <c r="OD199" s="64"/>
      <c r="OE199" s="64"/>
      <c r="OF199" s="64"/>
      <c r="OG199" s="64"/>
      <c r="OH199" s="64"/>
      <c r="OI199" s="64"/>
      <c r="OJ199" s="64"/>
      <c r="OK199" s="64"/>
      <c r="OL199" s="64"/>
    </row>
    <row r="200" spans="1:402" x14ac:dyDescent="0.3">
      <c r="A200" s="815"/>
      <c r="B200" s="807"/>
      <c r="C200" s="812"/>
      <c r="D200" s="83" t="s">
        <v>164</v>
      </c>
      <c r="E200" s="258">
        <f>IF(AND($F$2="No",$F$3="No"),SUM(I200:L200),IF(AND($F$2="Yes", $F$3="No"), SUM(I200:L200)+N200, IF(AND($F$2="No", $F$3="Yes"),SUM(I200:L200)+M200, SUM(I200:L200)+N200+M200)))</f>
        <v>0.44914526591570197</v>
      </c>
      <c r="F200" s="85">
        <f>IF(AND($F$2="No",$F$3="No"),SUM(H200:L200,O200),IF(AND($F$2="Yes", $F$3="No"), SUM(H200:L200,O200)+N200, IF(AND($F$2="No", $F$3="Yes"),SUM(H200:L200,O200)+M200, SUM(H200:L200,O200)+N200+M200)))</f>
        <v>4.3095953654180077</v>
      </c>
      <c r="G200" s="278">
        <f>SUM(Q200:S200)/(1-'Common input data'!B$126)</f>
        <v>5.6438131903168323</v>
      </c>
      <c r="H200" s="306">
        <f>('Input data meat and eggs'!S425*'Input data meat and eggs'!B48+'Input data meat and eggs'!T425*'Input data meat and eggs'!B47+'Input data meat and eggs'!U425*'Input data meat and eggs'!B35+'Input data meat and eggs'!V425*SUMPRODUCT('Input data meat and eggs'!B37:B46,'Input data meat and eggs'!F65:F74))*'Input data meat and eggs'!$E$425/'Input data meat and eggs'!$H$425</f>
        <v>1.5742000995023062</v>
      </c>
      <c r="I200" s="306">
        <v>0</v>
      </c>
      <c r="J200" s="306">
        <v>0</v>
      </c>
      <c r="K200" s="306">
        <v>0</v>
      </c>
      <c r="L200" s="306">
        <v>0</v>
      </c>
      <c r="M200" s="306">
        <f>(('Input data meat and eggs'!S425+'Input data meat and eggs'!T425)*'Common input data'!F13+
'Input data meat and eggs'!U425*'Common input data'!B13+'Input data meat and eggs'!V425*('Input data meat and eggs'!F65*'Common input data'!B13*'Common input data'!G28/'Common input data'!F28+'Input data meat and eggs'!F67*'Common input data'!F13*'Common input data'!J31/'Common input data'!I31+'Common input data'!D13*('Input data meat and eggs'!F68+'Input data meat and eggs'!F69*'Common input data'!G26/'Common input data'!F26)+'Common input data'!C13*('Input data meat and eggs'!F71*'Common input data'!G30/'Common input data'!F30+'Input data meat and eggs'!F72)+'Input data meat and eggs'!F73*'Common input data'!E13*'Common input data'!G29/'Common input data'!F29))*'Input data meat and eggs'!$E$425/'Input data meat and eggs'!$H$425</f>
        <v>0.20713173225758486</v>
      </c>
      <c r="N200" s="306">
        <f>('Input data meat and eggs'!V425*('Input data meat and eggs'!F67*'Common input data'!B21*'Common input data'!G30/'Common input data'!F30+'Input data meat and eggs'!F71*'Common input data'!C21*'Common input data'!J31/'Common input data'!I31))*'Input data meat and eggs'!$E$425/'Input data meat and eggs'!$H$425</f>
        <v>0.24201353365811712</v>
      </c>
      <c r="O200" s="306">
        <f>'Input data meat and eggs'!B83*'Common input data'!C63</f>
        <v>2.2862499999999999</v>
      </c>
      <c r="P200" s="306">
        <f>'Input data meat and eggs'!B92*'Common input data'!C63+'Input data meat and eggs'!C92*3.6*'Common input data'!B49</f>
        <v>0.60756226415094339</v>
      </c>
      <c r="Q200" s="306">
        <f>(F200+P200)</f>
        <v>4.9171576295689512</v>
      </c>
      <c r="R200" s="306">
        <f>'Common input data'!B92</f>
        <v>0.1</v>
      </c>
      <c r="S200" s="306">
        <f>'Common input data'!B99+'Common input data'!C99</f>
        <v>0.13</v>
      </c>
      <c r="T200" s="107"/>
    </row>
    <row r="201" spans="1:402" x14ac:dyDescent="0.3">
      <c r="A201" s="815"/>
      <c r="B201" s="807"/>
      <c r="C201" s="812"/>
      <c r="D201" s="83" t="s">
        <v>165</v>
      </c>
      <c r="E201" s="258">
        <f>SUM(I201:L201)</f>
        <v>0.22468649953204881</v>
      </c>
      <c r="F201" s="85">
        <f>SUM(H201:L201,O201)</f>
        <v>0.22698633272167915</v>
      </c>
      <c r="G201" s="278">
        <f>SUM(Q201:S201)/(1-'Common input data'!B$126)</f>
        <v>0.24900247505480377</v>
      </c>
      <c r="H201" s="306">
        <f>('Input data meat and eggs'!S425*'Input data meat and eggs'!C48+'Input data meat and eggs'!T425*'Input data meat and eggs'!C47+'Input data meat and eggs'!U425*'Input data meat and eggs'!C35+'Input data meat and eggs'!V425*SUMPRODUCT('Input data meat and eggs'!C37:C46,'Input data meat and eggs'!F65:F74))*'Input data meat and eggs'!$E$425/'Input data meat and eggs'!$H$425</f>
        <v>2.299833189630323E-3</v>
      </c>
      <c r="I201" s="306">
        <v>0</v>
      </c>
      <c r="J201" s="306">
        <f>('Input data meat and eggs'!M425*'Input data meat and eggs'!G425/12*'Input data meat and eggs'!$C$450*'Input data meat and eggs'!$C$452*'Input data meat and eggs'!$C$453*
('Input data meat and eggs'!$O$425*'Input data meat and eggs'!$B$443
+'Input data meat and eggs'!$P$425*'Input data meat and eggs'!$C$443+
'Input data meat and eggs'!$Q$425*'Input data meat and eggs'!$D$443+
'Input data meat and eggs'!$R$425*'Input data meat and eggs'!$E$443))*'Input data meat and eggs'!$E$425/'Input data meat and eggs'!$H$425</f>
        <v>2.2821697667246989E-2</v>
      </c>
      <c r="K201" s="306">
        <v>0</v>
      </c>
      <c r="L201" s="306">
        <f>('Input data meat and eggs'!L425*'Input data meat and eggs'!G425/12)*'Input data meat and eggs'!$E$425/'Input data meat and eggs'!$H$425</f>
        <v>0.20186480186480182</v>
      </c>
      <c r="M201" s="306">
        <v>0</v>
      </c>
      <c r="N201" s="306">
        <v>0</v>
      </c>
      <c r="O201" s="306">
        <v>0</v>
      </c>
      <c r="P201" s="306">
        <f>'Input data meat and eggs'!C92*3.6*'Common input data'!B50</f>
        <v>1.0392452830188681E-4</v>
      </c>
      <c r="Q201" s="306">
        <f>(F201+P201)</f>
        <v>0.22709025724998103</v>
      </c>
      <c r="R201" s="306">
        <v>0</v>
      </c>
      <c r="S201" s="306">
        <v>0</v>
      </c>
      <c r="T201" s="107"/>
    </row>
    <row r="202" spans="1:402" x14ac:dyDescent="0.3">
      <c r="A202" s="815"/>
      <c r="B202" s="807"/>
      <c r="C202" s="812"/>
      <c r="D202" s="84" t="s">
        <v>166</v>
      </c>
      <c r="E202" s="258">
        <f>SUM(I202:L202)</f>
        <v>7.0995086516768106E-3</v>
      </c>
      <c r="F202" s="85">
        <f>SUM(H202:L202,O202)</f>
        <v>8.6117250049011461E-3</v>
      </c>
      <c r="G202" s="278">
        <f>SUM(Q202:S202)/(1-'Common input data'!B$126)</f>
        <v>9.4533038161982944E-3</v>
      </c>
      <c r="H202" s="306">
        <f>(('Input data meat and eggs'!S425*'Input data meat and eggs'!D48+'Input data meat and eggs'!T425*'Input data meat and eggs'!D47+'Input data meat and eggs'!U425*'Input data meat and eggs'!D35+'Input data meat and eggs'!V425*SUMPRODUCT('Input data meat and eggs'!D37:D46,'Input data meat and eggs'!F65:F74))*'Input data meat and eggs'!B58)*'Input data meat and eggs'!$E$425/'Input data meat and eggs'!$H$425</f>
        <v>1.5122163532243357E-3</v>
      </c>
      <c r="I202" s="306">
        <f>(('Input data meat and eggs'!S425*'Input data meat and eggs'!D48+'Input data meat and eggs'!T425*'Input data meat and eggs'!D47+'Input data meat and eggs'!U425*'Input data meat and eggs'!D35+'Input data meat and eggs'!V425*SUMPRODUCT('Input data meat and eggs'!D37:D46,'Input data meat and eggs'!F65:F74))*'Input data meat and eggs'!C58)*'Input data meat and eggs'!$E$425/'Input data meat and eggs'!$H$425</f>
        <v>3.8222734195931785E-3</v>
      </c>
      <c r="J202" s="306">
        <f>('Input data meat and eggs'!K425*'Input data meat and eggs'!G425/12*('Input data meat and eggs'!$O$425*'Input data meat and eggs'!$B$445+'Input data meat and eggs'!$P$425*'Input data meat and eggs'!$C$445+'Input data meat and eggs'!$Q$425*'Input data meat and eggs'!$D$445+'Input data meat and eggs'!$R$425*'Input data meat and eggs'!$E$445)*44/28)*'Input data meat and eggs'!$E$425/'Input data meat and eggs'!$H$425</f>
        <v>1.9407999510920228E-3</v>
      </c>
      <c r="K202" s="306">
        <f>('Input data meat and eggs'!$B$446*44/28*'Input data meat and eggs'!K425*'Input data meat and eggs'!G425/12*('Input data meat and eggs'!O425*'Input data meat and eggs'!B458+'Input data meat and eggs'!P425*'Input data meat and eggs'!C458+'Input data meat and eggs'!Q425*'Input data meat and eggs'!D458))*'Input data meat and eggs'!$E$425/'Input data meat and eggs'!$H$425</f>
        <v>1.3364352809916091E-3</v>
      </c>
      <c r="L202" s="306">
        <v>0</v>
      </c>
      <c r="M202" s="306">
        <v>0</v>
      </c>
      <c r="N202" s="306">
        <v>0</v>
      </c>
      <c r="O202" s="306">
        <v>0</v>
      </c>
      <c r="P202" s="306">
        <f>'Input data meat and eggs'!C92*3.6*'Common input data'!B51</f>
        <v>9.6880754716981128E-6</v>
      </c>
      <c r="Q202" s="306">
        <f>(F202+P202)</f>
        <v>8.6214130803728434E-3</v>
      </c>
      <c r="R202" s="306">
        <v>0</v>
      </c>
      <c r="S202" s="306">
        <v>0</v>
      </c>
      <c r="T202" s="107"/>
    </row>
    <row r="203" spans="1:402" s="102" customFormat="1" x14ac:dyDescent="0.3">
      <c r="A203" s="809" t="s">
        <v>70</v>
      </c>
      <c r="B203" s="804" t="str">
        <f>'Input data meat and eggs'!C13</f>
        <v>Beef from extensive dairy production**</v>
      </c>
      <c r="C203" s="810">
        <f>'Input data meat and eggs'!D13</f>
        <v>0.1523491052185092</v>
      </c>
      <c r="D203" s="269" t="s">
        <v>473</v>
      </c>
      <c r="E203" s="320">
        <f>IF($F$1="GWP100 without fb",E204+E205*'Common input data'!$C$5+E206*'Common input data'!$D$5,IF($F$1="GWP100 with fb",E204+E205*'Common input data'!$C$6+E206*'Common input data'!$D$6,IF($F$1="GTP100 without fb",E204+E205*'Common input data'!$C$7+E206*'Common input data'!$D$7,IF($F$1="GTP100 with fb",E204+E205*'Common input data'!$C$8+E206*'Common input data'!$D$8,E204+E205*'Common input data'!$C$9+E206*'Common input data'!$D$9))))</f>
        <v>17.821066291930197</v>
      </c>
      <c r="F203" s="302">
        <f>IF($F$1="GWP100 without fb",F204+F205*'Common input data'!$C$5+F206*'Common input data'!$D$5,IF($F$1="GWP100 with fb",F204+F205*'Common input data'!$C$6+F206*'Common input data'!$D$6,IF($F$1="GTP100 without fb",F204+F205*'Common input data'!$C$7+F206*'Common input data'!$D$7,IF($F$1="GTP100 with fb",F204+F205*'Common input data'!$C$8+F206*'Common input data'!$D$8,F204+F205*'Common input data'!$C$9+F206*'Common input data'!$D$9))))</f>
        <v>22.520725390673739</v>
      </c>
      <c r="G203" s="321">
        <f>IF($F$1="GWP100 without fb",G204+G205*'Common input data'!$C$5+G206*'Common input data'!$D$5,IF($F$1="GWP100 with fb",G204+G205*'Common input data'!$C$6+G206*'Common input data'!$D$6,IF($F$1="GTP100 without fb",G204+G205*'Common input data'!$C$7+G206*'Common input data'!$D$7,IF($F$1="GTP100 with fb",G204+G205*'Common input data'!$C$8+G206*'Common input data'!$D$8,G204+G205*'Common input data'!$C$9+G206*'Common input data'!$D$9))))</f>
        <v>25.728846639558675</v>
      </c>
      <c r="H203" s="502"/>
      <c r="I203" s="502"/>
      <c r="J203" s="502"/>
      <c r="K203" s="502"/>
      <c r="L203" s="502"/>
      <c r="M203" s="502"/>
      <c r="N203" s="502"/>
      <c r="O203" s="502"/>
      <c r="P203" s="502"/>
      <c r="Q203" s="502"/>
      <c r="R203" s="502"/>
      <c r="S203" s="502"/>
      <c r="T203" s="107"/>
      <c r="U203" s="64"/>
      <c r="V203" s="64"/>
      <c r="W203" s="64"/>
      <c r="X203" s="64"/>
      <c r="Y203" s="64"/>
      <c r="Z203" s="64"/>
      <c r="AA203" s="64"/>
      <c r="AB203" s="64"/>
      <c r="AC203" s="64"/>
      <c r="AD203" s="64"/>
      <c r="AE203" s="64"/>
      <c r="AF203" s="64"/>
      <c r="AG203" s="64"/>
      <c r="AH203" s="64"/>
      <c r="AI203" s="64"/>
      <c r="AJ203" s="64"/>
      <c r="AK203" s="64"/>
      <c r="AL203" s="64"/>
      <c r="AM203" s="64"/>
      <c r="AN203" s="64"/>
      <c r="AO203" s="64"/>
      <c r="AP203" s="64"/>
      <c r="AQ203" s="64"/>
      <c r="AR203" s="64"/>
      <c r="AS203" s="64"/>
      <c r="AT203" s="64"/>
      <c r="AU203" s="64"/>
      <c r="AV203" s="64"/>
      <c r="AW203" s="64"/>
      <c r="AX203" s="64"/>
      <c r="AY203" s="64"/>
      <c r="AZ203" s="64"/>
      <c r="BA203" s="64"/>
      <c r="BB203" s="64"/>
      <c r="BC203" s="64"/>
      <c r="BD203" s="64"/>
      <c r="BE203" s="64"/>
      <c r="BF203" s="64"/>
      <c r="BG203" s="64"/>
      <c r="BH203" s="64"/>
      <c r="BI203" s="64"/>
      <c r="BJ203" s="64"/>
      <c r="BK203" s="64"/>
      <c r="BL203" s="64"/>
      <c r="BM203" s="64"/>
      <c r="BN203" s="64"/>
      <c r="BO203" s="64"/>
      <c r="BP203" s="64"/>
      <c r="BQ203" s="64"/>
      <c r="BR203" s="64"/>
      <c r="BS203" s="64"/>
      <c r="BT203" s="64"/>
      <c r="BU203" s="64"/>
      <c r="BV203" s="64"/>
      <c r="BW203" s="64"/>
      <c r="BX203" s="64"/>
      <c r="BY203" s="64"/>
      <c r="BZ203" s="64"/>
      <c r="CA203" s="64"/>
      <c r="CB203" s="64"/>
      <c r="CC203" s="64"/>
      <c r="CD203" s="64"/>
      <c r="CE203" s="64"/>
      <c r="CF203" s="64"/>
      <c r="CG203" s="64"/>
      <c r="CH203" s="64"/>
      <c r="CI203" s="64"/>
      <c r="CJ203" s="64"/>
      <c r="CK203" s="64"/>
      <c r="CL203" s="64"/>
      <c r="CM203" s="64"/>
      <c r="CN203" s="64"/>
      <c r="CO203" s="64"/>
      <c r="CP203" s="64"/>
      <c r="CQ203" s="64"/>
      <c r="CR203" s="64"/>
      <c r="CS203" s="64"/>
      <c r="CT203" s="64"/>
      <c r="CU203" s="64"/>
      <c r="CV203" s="64"/>
      <c r="CW203" s="64"/>
      <c r="CX203" s="64"/>
      <c r="CY203" s="64"/>
      <c r="CZ203" s="64"/>
      <c r="DA203" s="64"/>
      <c r="DB203" s="64"/>
      <c r="DC203" s="64"/>
      <c r="DD203" s="64"/>
      <c r="DE203" s="64"/>
      <c r="DF203" s="64"/>
      <c r="DG203" s="64"/>
      <c r="DH203" s="64"/>
      <c r="DI203" s="64"/>
      <c r="DJ203" s="64"/>
      <c r="DK203" s="64"/>
      <c r="DL203" s="64"/>
      <c r="DM203" s="64"/>
      <c r="DN203" s="64"/>
      <c r="DO203" s="64"/>
      <c r="DP203" s="64"/>
      <c r="DQ203" s="64"/>
      <c r="DR203" s="64"/>
      <c r="DS203" s="64"/>
      <c r="DT203" s="64"/>
      <c r="DU203" s="64"/>
      <c r="DV203" s="64"/>
      <c r="DW203" s="64"/>
      <c r="DX203" s="64"/>
      <c r="DY203" s="64"/>
      <c r="DZ203" s="64"/>
      <c r="EA203" s="64"/>
      <c r="EB203" s="64"/>
      <c r="EC203" s="64"/>
      <c r="ED203" s="64"/>
      <c r="EE203" s="64"/>
      <c r="EF203" s="64"/>
      <c r="EG203" s="64"/>
      <c r="EH203" s="64"/>
      <c r="EI203" s="64"/>
      <c r="EJ203" s="64"/>
      <c r="EK203" s="64"/>
      <c r="EL203" s="64"/>
      <c r="EM203" s="64"/>
      <c r="EN203" s="64"/>
      <c r="EO203" s="64"/>
      <c r="EP203" s="64"/>
      <c r="EQ203" s="64"/>
      <c r="ER203" s="64"/>
      <c r="ES203" s="64"/>
      <c r="ET203" s="64"/>
      <c r="EU203" s="64"/>
      <c r="EV203" s="64"/>
      <c r="EW203" s="64"/>
      <c r="EX203" s="64"/>
      <c r="EY203" s="64"/>
      <c r="EZ203" s="64"/>
      <c r="FA203" s="64"/>
      <c r="FB203" s="64"/>
      <c r="FC203" s="64"/>
      <c r="FD203" s="64"/>
      <c r="FE203" s="64"/>
      <c r="FF203" s="64"/>
      <c r="FG203" s="64"/>
      <c r="FH203" s="64"/>
      <c r="FI203" s="64"/>
      <c r="FJ203" s="64"/>
      <c r="FK203" s="64"/>
      <c r="FL203" s="64"/>
      <c r="FM203" s="64"/>
      <c r="FN203" s="64"/>
      <c r="FO203" s="64"/>
      <c r="FP203" s="64"/>
      <c r="FQ203" s="64"/>
      <c r="FR203" s="64"/>
      <c r="FS203" s="64"/>
      <c r="FT203" s="64"/>
      <c r="FU203" s="64"/>
      <c r="FV203" s="64"/>
      <c r="FW203" s="64"/>
      <c r="FX203" s="64"/>
      <c r="FY203" s="64"/>
      <c r="FZ203" s="64"/>
      <c r="GA203" s="64"/>
      <c r="GB203" s="64"/>
      <c r="GC203" s="64"/>
      <c r="GD203" s="64"/>
      <c r="GE203" s="64"/>
      <c r="GF203" s="64"/>
      <c r="GG203" s="64"/>
      <c r="GH203" s="64"/>
      <c r="GI203" s="64"/>
      <c r="GJ203" s="64"/>
      <c r="GK203" s="64"/>
      <c r="GL203" s="64"/>
      <c r="GM203" s="64"/>
      <c r="GN203" s="64"/>
      <c r="GO203" s="64"/>
      <c r="GP203" s="64"/>
      <c r="GQ203" s="64"/>
      <c r="GR203" s="64"/>
      <c r="GS203" s="64"/>
      <c r="GT203" s="64"/>
      <c r="GU203" s="64"/>
      <c r="GV203" s="64"/>
      <c r="GW203" s="64"/>
      <c r="GX203" s="64"/>
      <c r="GY203" s="64"/>
      <c r="GZ203" s="64"/>
      <c r="HA203" s="64"/>
      <c r="HB203" s="64"/>
      <c r="HC203" s="64"/>
      <c r="HD203" s="64"/>
      <c r="HE203" s="64"/>
      <c r="HF203" s="64"/>
      <c r="HG203" s="64"/>
      <c r="HH203" s="64"/>
      <c r="HI203" s="64"/>
      <c r="HJ203" s="64"/>
      <c r="HK203" s="64"/>
      <c r="HL203" s="64"/>
      <c r="HM203" s="64"/>
      <c r="HN203" s="64"/>
      <c r="HO203" s="64"/>
      <c r="HP203" s="64"/>
      <c r="HQ203" s="64"/>
      <c r="HR203" s="64"/>
      <c r="HS203" s="64"/>
      <c r="HT203" s="64"/>
      <c r="HU203" s="64"/>
      <c r="HV203" s="64"/>
      <c r="HW203" s="64"/>
      <c r="HX203" s="64"/>
      <c r="HY203" s="64"/>
      <c r="HZ203" s="64"/>
      <c r="IA203" s="64"/>
      <c r="IB203" s="64"/>
      <c r="IC203" s="64"/>
      <c r="ID203" s="64"/>
      <c r="IE203" s="64"/>
      <c r="IF203" s="64"/>
      <c r="IG203" s="64"/>
      <c r="IH203" s="64"/>
      <c r="II203" s="64"/>
      <c r="IJ203" s="64"/>
      <c r="IK203" s="64"/>
      <c r="IL203" s="64"/>
      <c r="IM203" s="64"/>
      <c r="IN203" s="64"/>
      <c r="IO203" s="64"/>
      <c r="IP203" s="64"/>
      <c r="IQ203" s="64"/>
      <c r="IR203" s="64"/>
      <c r="IS203" s="64"/>
      <c r="IT203" s="64"/>
      <c r="IU203" s="64"/>
      <c r="IV203" s="64"/>
      <c r="IW203" s="64"/>
      <c r="IX203" s="64"/>
      <c r="IY203" s="64"/>
      <c r="IZ203" s="64"/>
      <c r="JA203" s="64"/>
      <c r="JB203" s="64"/>
      <c r="JC203" s="64"/>
      <c r="JD203" s="64"/>
      <c r="JE203" s="64"/>
      <c r="JF203" s="64"/>
      <c r="JG203" s="64"/>
      <c r="JH203" s="64"/>
      <c r="JI203" s="64"/>
      <c r="JJ203" s="64"/>
      <c r="JK203" s="64"/>
      <c r="JL203" s="64"/>
      <c r="JM203" s="64"/>
      <c r="JN203" s="64"/>
      <c r="JO203" s="64"/>
      <c r="JP203" s="64"/>
      <c r="JQ203" s="64"/>
      <c r="JR203" s="64"/>
      <c r="JS203" s="64"/>
      <c r="JT203" s="64"/>
      <c r="JU203" s="64"/>
      <c r="JV203" s="64"/>
      <c r="JW203" s="64"/>
      <c r="JX203" s="64"/>
      <c r="JY203" s="64"/>
      <c r="JZ203" s="64"/>
      <c r="KA203" s="64"/>
      <c r="KB203" s="64"/>
      <c r="KC203" s="64"/>
      <c r="KD203" s="64"/>
      <c r="KE203" s="64"/>
      <c r="KF203" s="64"/>
      <c r="KG203" s="64"/>
      <c r="KH203" s="64"/>
      <c r="KI203" s="64"/>
      <c r="KJ203" s="64"/>
      <c r="KK203" s="64"/>
      <c r="KL203" s="64"/>
      <c r="KM203" s="64"/>
      <c r="KN203" s="64"/>
      <c r="KO203" s="64"/>
      <c r="KP203" s="64"/>
      <c r="KQ203" s="64"/>
      <c r="KR203" s="64"/>
      <c r="KS203" s="64"/>
      <c r="KT203" s="64"/>
      <c r="KU203" s="64"/>
      <c r="KV203" s="64"/>
      <c r="KW203" s="64"/>
      <c r="KX203" s="64"/>
      <c r="KY203" s="64"/>
      <c r="KZ203" s="64"/>
      <c r="LA203" s="64"/>
      <c r="LB203" s="64"/>
      <c r="LC203" s="64"/>
      <c r="LD203" s="64"/>
      <c r="LE203" s="64"/>
      <c r="LF203" s="64"/>
      <c r="LG203" s="64"/>
      <c r="LH203" s="64"/>
      <c r="LI203" s="64"/>
      <c r="LJ203" s="64"/>
      <c r="LK203" s="64"/>
      <c r="LL203" s="64"/>
      <c r="LM203" s="64"/>
      <c r="LN203" s="64"/>
      <c r="LO203" s="64"/>
      <c r="LP203" s="64"/>
      <c r="LQ203" s="64"/>
      <c r="LR203" s="64"/>
      <c r="LS203" s="64"/>
      <c r="LT203" s="64"/>
      <c r="LU203" s="64"/>
      <c r="LV203" s="64"/>
      <c r="LW203" s="64"/>
      <c r="LX203" s="64"/>
      <c r="LY203" s="64"/>
      <c r="LZ203" s="64"/>
      <c r="MA203" s="64"/>
      <c r="MB203" s="64"/>
      <c r="MC203" s="64"/>
      <c r="MD203" s="64"/>
      <c r="ME203" s="64"/>
      <c r="MF203" s="64"/>
      <c r="MG203" s="64"/>
      <c r="MH203" s="64"/>
      <c r="MI203" s="64"/>
      <c r="MJ203" s="64"/>
      <c r="MK203" s="64"/>
      <c r="ML203" s="64"/>
      <c r="MM203" s="64"/>
      <c r="MN203" s="64"/>
      <c r="MO203" s="64"/>
      <c r="MP203" s="64"/>
      <c r="MQ203" s="64"/>
      <c r="MR203" s="64"/>
      <c r="MS203" s="64"/>
      <c r="MT203" s="64"/>
      <c r="MU203" s="64"/>
      <c r="MV203" s="64"/>
      <c r="MW203" s="64"/>
      <c r="MX203" s="64"/>
      <c r="MY203" s="64"/>
      <c r="MZ203" s="64"/>
      <c r="NA203" s="64"/>
      <c r="NB203" s="64"/>
      <c r="NC203" s="64"/>
      <c r="ND203" s="64"/>
      <c r="NE203" s="64"/>
      <c r="NF203" s="64"/>
      <c r="NG203" s="64"/>
      <c r="NH203" s="64"/>
      <c r="NI203" s="64"/>
      <c r="NJ203" s="64"/>
      <c r="NK203" s="64"/>
      <c r="NL203" s="64"/>
      <c r="NM203" s="64"/>
      <c r="NN203" s="64"/>
      <c r="NO203" s="64"/>
      <c r="NP203" s="64"/>
      <c r="NQ203" s="64"/>
      <c r="NR203" s="64"/>
      <c r="NS203" s="64"/>
      <c r="NT203" s="64"/>
      <c r="NU203" s="64"/>
      <c r="NV203" s="64"/>
      <c r="NW203" s="64"/>
      <c r="NX203" s="64"/>
      <c r="NY203" s="64"/>
      <c r="NZ203" s="64"/>
      <c r="OA203" s="64"/>
      <c r="OB203" s="64"/>
      <c r="OC203" s="64"/>
      <c r="OD203" s="64"/>
      <c r="OE203" s="64"/>
      <c r="OF203" s="64"/>
      <c r="OG203" s="64"/>
      <c r="OH203" s="64"/>
      <c r="OI203" s="64"/>
      <c r="OJ203" s="64"/>
      <c r="OK203" s="64"/>
      <c r="OL203" s="64"/>
    </row>
    <row r="204" spans="1:402" x14ac:dyDescent="0.3">
      <c r="A204" s="815"/>
      <c r="B204" s="807"/>
      <c r="C204" s="812"/>
      <c r="D204" s="83" t="s">
        <v>164</v>
      </c>
      <c r="E204" s="258">
        <f>IF(AND($F$2="No",$F$3="No"),SUM(I204:L204),IF(AND($F$2="Yes", $F$3="No"), SUM(I204:L204)+N204, IF(AND($F$2="No", $F$3="Yes"),SUM(I204:L204)+M204, SUM(I204:L204)+N204+M204)))</f>
        <v>-1.4990407482251673</v>
      </c>
      <c r="F204" s="85">
        <f>IF(AND($F$2="No",$F$3="No"),SUM(H204:L204,O204),IF(AND($F$2="Yes", $F$3="No"), SUM(H204:L204,O204)+N204, IF(AND($F$2="No", $F$3="Yes"),SUM(H204:L204,O204)+M204, SUM(H204:L204,O204)+N204+M204)))</f>
        <v>2.6027104047969774</v>
      </c>
      <c r="G204" s="278">
        <f>SUM(Q204:S204)/(1-'Common input data'!B$126)</f>
        <v>3.8818779264779839</v>
      </c>
      <c r="H204" s="306">
        <f>H124</f>
        <v>1.8155011530221443</v>
      </c>
      <c r="I204" s="306">
        <f t="shared" ref="I204:N204" si="22">I124</f>
        <v>0</v>
      </c>
      <c r="J204" s="306">
        <f t="shared" si="22"/>
        <v>0</v>
      </c>
      <c r="K204" s="306">
        <f t="shared" si="22"/>
        <v>0</v>
      </c>
      <c r="L204" s="306">
        <f t="shared" si="22"/>
        <v>0</v>
      </c>
      <c r="M204" s="306">
        <f t="shared" si="22"/>
        <v>-1.5161733470618586</v>
      </c>
      <c r="N204" s="306">
        <f t="shared" si="22"/>
        <v>1.7132598836691371E-2</v>
      </c>
      <c r="O204" s="306">
        <f>'Input data meat and eggs'!B83*'Common input data'!C63</f>
        <v>2.2862499999999999</v>
      </c>
      <c r="P204" s="306">
        <f>'Input data meat and eggs'!B92*'Common input data'!C63+'Input data meat and eggs'!C92*3.6*'Common input data'!B49</f>
        <v>0.60756226415094339</v>
      </c>
      <c r="Q204" s="306">
        <f>(F204+P204)</f>
        <v>3.2102726689479208</v>
      </c>
      <c r="R204" s="306">
        <f>'Common input data'!B92</f>
        <v>0.1</v>
      </c>
      <c r="S204" s="306">
        <f>'Common input data'!B102+'Common input data'!C102</f>
        <v>0.23000000000000004</v>
      </c>
      <c r="T204" s="107"/>
    </row>
    <row r="205" spans="1:402" x14ac:dyDescent="0.3">
      <c r="A205" s="815"/>
      <c r="B205" s="807"/>
      <c r="C205" s="812"/>
      <c r="D205" s="83" t="s">
        <v>165</v>
      </c>
      <c r="E205" s="258">
        <f>SUM(I205:L205)</f>
        <v>0.45924702027173497</v>
      </c>
      <c r="F205" s="85">
        <f>SUM(H205:L205,O205)</f>
        <v>0.46022073883026976</v>
      </c>
      <c r="G205" s="278">
        <f>SUM(Q205:S205)/(1-'Common input data'!B$126)</f>
        <v>0.50474195543703038</v>
      </c>
      <c r="H205" s="306">
        <f t="shared" ref="H205:N205" si="23">H125</f>
        <v>9.7371855853480049E-4</v>
      </c>
      <c r="I205" s="306">
        <f t="shared" si="23"/>
        <v>0</v>
      </c>
      <c r="J205" s="306">
        <f t="shared" si="23"/>
        <v>3.741433228883944E-2</v>
      </c>
      <c r="K205" s="306">
        <f t="shared" si="23"/>
        <v>0</v>
      </c>
      <c r="L205" s="306">
        <f t="shared" si="23"/>
        <v>0.42183268798289553</v>
      </c>
      <c r="M205" s="306">
        <f t="shared" si="23"/>
        <v>0</v>
      </c>
      <c r="N205" s="306">
        <f t="shared" si="23"/>
        <v>0</v>
      </c>
      <c r="O205" s="306">
        <v>0</v>
      </c>
      <c r="P205" s="306">
        <f>'Input data meat and eggs'!C92*3.6*'Common input data'!B50</f>
        <v>1.0392452830188681E-4</v>
      </c>
      <c r="Q205" s="306">
        <f>(F205+P205)</f>
        <v>0.46032466335857164</v>
      </c>
      <c r="R205" s="306">
        <v>0</v>
      </c>
      <c r="S205" s="306">
        <v>0</v>
      </c>
      <c r="T205" s="107"/>
    </row>
    <row r="206" spans="1:402" x14ac:dyDescent="0.3">
      <c r="A206" s="815"/>
      <c r="B206" s="807"/>
      <c r="C206" s="812"/>
      <c r="D206" s="84" t="s">
        <v>166</v>
      </c>
      <c r="E206" s="258">
        <f>SUM(I206:L206)</f>
        <v>1.2435262922538177E-2</v>
      </c>
      <c r="F206" s="85">
        <f>SUM(H206:L206,O206)</f>
        <v>1.4330570018951636E-2</v>
      </c>
      <c r="G206" s="278">
        <f>SUM(Q206:S206)/(1-'Common input data'!B$126)</f>
        <v>1.5723967208797516E-2</v>
      </c>
      <c r="H206" s="306">
        <f t="shared" ref="H206:N206" si="24">H126</f>
        <v>1.8953070964134579E-3</v>
      </c>
      <c r="I206" s="306">
        <f t="shared" si="24"/>
        <v>4.7905724079369142E-3</v>
      </c>
      <c r="J206" s="306">
        <f t="shared" si="24"/>
        <v>7.0492495591572245E-3</v>
      </c>
      <c r="K206" s="306">
        <f t="shared" si="24"/>
        <v>5.9544095544403859E-4</v>
      </c>
      <c r="L206" s="306">
        <f t="shared" si="24"/>
        <v>0</v>
      </c>
      <c r="M206" s="306">
        <f t="shared" si="24"/>
        <v>0</v>
      </c>
      <c r="N206" s="306">
        <f t="shared" si="24"/>
        <v>0</v>
      </c>
      <c r="O206" s="306">
        <v>0</v>
      </c>
      <c r="P206" s="306">
        <f>'Input data meat and eggs'!C92*3.6*'Common input data'!B51</f>
        <v>9.6880754716981128E-6</v>
      </c>
      <c r="Q206" s="306">
        <f>(F206+P206)</f>
        <v>1.4340258094423334E-2</v>
      </c>
      <c r="R206" s="306">
        <v>0</v>
      </c>
      <c r="S206" s="306">
        <v>0</v>
      </c>
      <c r="T206" s="107"/>
    </row>
    <row r="207" spans="1:402" s="102" customFormat="1" x14ac:dyDescent="0.3">
      <c r="A207" s="809" t="s">
        <v>67</v>
      </c>
      <c r="B207" s="804" t="str">
        <f>'Input data meat and eggs'!C14</f>
        <v>Extensive suckler cows and offsprings***</v>
      </c>
      <c r="C207" s="810">
        <f>'Input data meat and eggs'!D14</f>
        <v>4.6041615953273184E-2</v>
      </c>
      <c r="D207" s="269" t="s">
        <v>473</v>
      </c>
      <c r="E207" s="320">
        <f>IF($F$1="GWP100 without fb",E208+E209*'Common input data'!$C$5+E210*'Common input data'!$D$5,IF($F$1="GWP100 with fb",E208+E209*'Common input data'!$C$6+E210*'Common input data'!$D$6,IF($F$1="GTP100 without fb",E208+E209*'Common input data'!$C$7+E210*'Common input data'!$D$7,IF($F$1="GTP100 with fb",E208+E209*'Common input data'!$C$8+E210*'Common input data'!$D$8,E208+E209*'Common input data'!$C$9+E210*'Common input data'!$D$9))))</f>
        <v>23.387462334911085</v>
      </c>
      <c r="F207" s="302">
        <f>IF($F$1="GWP100 without fb",F208+F209*'Common input data'!$C$5+F210*'Common input data'!$D$5,IF($F$1="GWP100 with fb",F208+F209*'Common input data'!$C$6+F210*'Common input data'!$D$6,IF($F$1="GTP100 without fb",F208+F209*'Common input data'!$C$7+F210*'Common input data'!$D$7,IF($F$1="GTP100 with fb",F208+F209*'Common input data'!$C$8+F210*'Common input data'!$D$8,F208+F209*'Common input data'!$C$9+F210*'Common input data'!$D$9))))</f>
        <v>32.597839738385389</v>
      </c>
      <c r="G207" s="321">
        <f>IF($F$1="GWP100 without fb",G208+G209*'Common input data'!$C$5+G210*'Common input data'!$D$5,IF($F$1="GWP100 with fb",G208+G209*'Common input data'!$C$6+G210*'Common input data'!$D$6,IF($F$1="GTP100 without fb",G208+G209*'Common input data'!$C$7+G210*'Common input data'!$D$7,IF($F$1="GTP100 with fb",G208+G209*'Common input data'!$C$8+G210*'Common input data'!$D$8,G208+G209*'Common input data'!$C$9+G210*'Common input data'!$D$9))))</f>
        <v>37.545154576266668</v>
      </c>
      <c r="H207" s="502"/>
      <c r="I207" s="502"/>
      <c r="J207" s="502"/>
      <c r="K207" s="502"/>
      <c r="L207" s="502"/>
      <c r="M207" s="502"/>
      <c r="N207" s="502"/>
      <c r="O207" s="502"/>
      <c r="P207" s="502"/>
      <c r="Q207" s="502"/>
      <c r="R207" s="502"/>
      <c r="S207" s="502"/>
      <c r="T207" s="107"/>
      <c r="U207" s="64"/>
      <c r="V207" s="64"/>
      <c r="W207" s="64"/>
      <c r="X207" s="64"/>
      <c r="Y207" s="64"/>
      <c r="Z207" s="64"/>
      <c r="AA207" s="64"/>
      <c r="AB207" s="64"/>
      <c r="AC207" s="64"/>
      <c r="AD207" s="64"/>
      <c r="AE207" s="64"/>
      <c r="AF207" s="64"/>
      <c r="AG207" s="64"/>
      <c r="AH207" s="64"/>
      <c r="AI207" s="64"/>
      <c r="AJ207" s="64"/>
      <c r="AK207" s="64"/>
      <c r="AL207" s="64"/>
      <c r="AM207" s="64"/>
      <c r="AN207" s="64"/>
      <c r="AO207" s="64"/>
      <c r="AP207" s="64"/>
      <c r="AQ207" s="64"/>
      <c r="AR207" s="64"/>
      <c r="AS207" s="64"/>
      <c r="AT207" s="64"/>
      <c r="AU207" s="64"/>
      <c r="AV207" s="64"/>
      <c r="AW207" s="64"/>
      <c r="AX207" s="64"/>
      <c r="AY207" s="64"/>
      <c r="AZ207" s="64"/>
      <c r="BA207" s="64"/>
      <c r="BB207" s="64"/>
      <c r="BC207" s="64"/>
      <c r="BD207" s="64"/>
      <c r="BE207" s="64"/>
      <c r="BF207" s="64"/>
      <c r="BG207" s="64"/>
      <c r="BH207" s="64"/>
      <c r="BI207" s="64"/>
      <c r="BJ207" s="64"/>
      <c r="BK207" s="64"/>
      <c r="BL207" s="64"/>
      <c r="BM207" s="64"/>
      <c r="BN207" s="64"/>
      <c r="BO207" s="64"/>
      <c r="BP207" s="64"/>
      <c r="BQ207" s="64"/>
      <c r="BR207" s="64"/>
      <c r="BS207" s="64"/>
      <c r="BT207" s="64"/>
      <c r="BU207" s="64"/>
      <c r="BV207" s="64"/>
      <c r="BW207" s="64"/>
      <c r="BX207" s="64"/>
      <c r="BY207" s="64"/>
      <c r="BZ207" s="64"/>
      <c r="CA207" s="64"/>
      <c r="CB207" s="64"/>
      <c r="CC207" s="64"/>
      <c r="CD207" s="64"/>
      <c r="CE207" s="64"/>
      <c r="CF207" s="64"/>
      <c r="CG207" s="64"/>
      <c r="CH207" s="64"/>
      <c r="CI207" s="64"/>
      <c r="CJ207" s="64"/>
      <c r="CK207" s="64"/>
      <c r="CL207" s="64"/>
      <c r="CM207" s="64"/>
      <c r="CN207" s="64"/>
      <c r="CO207" s="64"/>
      <c r="CP207" s="64"/>
      <c r="CQ207" s="64"/>
      <c r="CR207" s="64"/>
      <c r="CS207" s="64"/>
      <c r="CT207" s="64"/>
      <c r="CU207" s="64"/>
      <c r="CV207" s="64"/>
      <c r="CW207" s="64"/>
      <c r="CX207" s="64"/>
      <c r="CY207" s="64"/>
      <c r="CZ207" s="64"/>
      <c r="DA207" s="64"/>
      <c r="DB207" s="64"/>
      <c r="DC207" s="64"/>
      <c r="DD207" s="64"/>
      <c r="DE207" s="64"/>
      <c r="DF207" s="64"/>
      <c r="DG207" s="64"/>
      <c r="DH207" s="64"/>
      <c r="DI207" s="64"/>
      <c r="DJ207" s="64"/>
      <c r="DK207" s="64"/>
      <c r="DL207" s="64"/>
      <c r="DM207" s="64"/>
      <c r="DN207" s="64"/>
      <c r="DO207" s="64"/>
      <c r="DP207" s="64"/>
      <c r="DQ207" s="64"/>
      <c r="DR207" s="64"/>
      <c r="DS207" s="64"/>
      <c r="DT207" s="64"/>
      <c r="DU207" s="64"/>
      <c r="DV207" s="64"/>
      <c r="DW207" s="64"/>
      <c r="DX207" s="64"/>
      <c r="DY207" s="64"/>
      <c r="DZ207" s="64"/>
      <c r="EA207" s="64"/>
      <c r="EB207" s="64"/>
      <c r="EC207" s="64"/>
      <c r="ED207" s="64"/>
      <c r="EE207" s="64"/>
      <c r="EF207" s="64"/>
      <c r="EG207" s="64"/>
      <c r="EH207" s="64"/>
      <c r="EI207" s="64"/>
      <c r="EJ207" s="64"/>
      <c r="EK207" s="64"/>
      <c r="EL207" s="64"/>
      <c r="EM207" s="64"/>
      <c r="EN207" s="64"/>
      <c r="EO207" s="64"/>
      <c r="EP207" s="64"/>
      <c r="EQ207" s="64"/>
      <c r="ER207" s="64"/>
      <c r="ES207" s="64"/>
      <c r="ET207" s="64"/>
      <c r="EU207" s="64"/>
      <c r="EV207" s="64"/>
      <c r="EW207" s="64"/>
      <c r="EX207" s="64"/>
      <c r="EY207" s="64"/>
      <c r="EZ207" s="64"/>
      <c r="FA207" s="64"/>
      <c r="FB207" s="64"/>
      <c r="FC207" s="64"/>
      <c r="FD207" s="64"/>
      <c r="FE207" s="64"/>
      <c r="FF207" s="64"/>
      <c r="FG207" s="64"/>
      <c r="FH207" s="64"/>
      <c r="FI207" s="64"/>
      <c r="FJ207" s="64"/>
      <c r="FK207" s="64"/>
      <c r="FL207" s="64"/>
      <c r="FM207" s="64"/>
      <c r="FN207" s="64"/>
      <c r="FO207" s="64"/>
      <c r="FP207" s="64"/>
      <c r="FQ207" s="64"/>
      <c r="FR207" s="64"/>
      <c r="FS207" s="64"/>
      <c r="FT207" s="64"/>
      <c r="FU207" s="64"/>
      <c r="FV207" s="64"/>
      <c r="FW207" s="64"/>
      <c r="FX207" s="64"/>
      <c r="FY207" s="64"/>
      <c r="FZ207" s="64"/>
      <c r="GA207" s="64"/>
      <c r="GB207" s="64"/>
      <c r="GC207" s="64"/>
      <c r="GD207" s="64"/>
      <c r="GE207" s="64"/>
      <c r="GF207" s="64"/>
      <c r="GG207" s="64"/>
      <c r="GH207" s="64"/>
      <c r="GI207" s="64"/>
      <c r="GJ207" s="64"/>
      <c r="GK207" s="64"/>
      <c r="GL207" s="64"/>
      <c r="GM207" s="64"/>
      <c r="GN207" s="64"/>
      <c r="GO207" s="64"/>
      <c r="GP207" s="64"/>
      <c r="GQ207" s="64"/>
      <c r="GR207" s="64"/>
      <c r="GS207" s="64"/>
      <c r="GT207" s="64"/>
      <c r="GU207" s="64"/>
      <c r="GV207" s="64"/>
      <c r="GW207" s="64"/>
      <c r="GX207" s="64"/>
      <c r="GY207" s="64"/>
      <c r="GZ207" s="64"/>
      <c r="HA207" s="64"/>
      <c r="HB207" s="64"/>
      <c r="HC207" s="64"/>
      <c r="HD207" s="64"/>
      <c r="HE207" s="64"/>
      <c r="HF207" s="64"/>
      <c r="HG207" s="64"/>
      <c r="HH207" s="64"/>
      <c r="HI207" s="64"/>
      <c r="HJ207" s="64"/>
      <c r="HK207" s="64"/>
      <c r="HL207" s="64"/>
      <c r="HM207" s="64"/>
      <c r="HN207" s="64"/>
      <c r="HO207" s="64"/>
      <c r="HP207" s="64"/>
      <c r="HQ207" s="64"/>
      <c r="HR207" s="64"/>
      <c r="HS207" s="64"/>
      <c r="HT207" s="64"/>
      <c r="HU207" s="64"/>
      <c r="HV207" s="64"/>
      <c r="HW207" s="64"/>
      <c r="HX207" s="64"/>
      <c r="HY207" s="64"/>
      <c r="HZ207" s="64"/>
      <c r="IA207" s="64"/>
      <c r="IB207" s="64"/>
      <c r="IC207" s="64"/>
      <c r="ID207" s="64"/>
      <c r="IE207" s="64"/>
      <c r="IF207" s="64"/>
      <c r="IG207" s="64"/>
      <c r="IH207" s="64"/>
      <c r="II207" s="64"/>
      <c r="IJ207" s="64"/>
      <c r="IK207" s="64"/>
      <c r="IL207" s="64"/>
      <c r="IM207" s="64"/>
      <c r="IN207" s="64"/>
      <c r="IO207" s="64"/>
      <c r="IP207" s="64"/>
      <c r="IQ207" s="64"/>
      <c r="IR207" s="64"/>
      <c r="IS207" s="64"/>
      <c r="IT207" s="64"/>
      <c r="IU207" s="64"/>
      <c r="IV207" s="64"/>
      <c r="IW207" s="64"/>
      <c r="IX207" s="64"/>
      <c r="IY207" s="64"/>
      <c r="IZ207" s="64"/>
      <c r="JA207" s="64"/>
      <c r="JB207" s="64"/>
      <c r="JC207" s="64"/>
      <c r="JD207" s="64"/>
      <c r="JE207" s="64"/>
      <c r="JF207" s="64"/>
      <c r="JG207" s="64"/>
      <c r="JH207" s="64"/>
      <c r="JI207" s="64"/>
      <c r="JJ207" s="64"/>
      <c r="JK207" s="64"/>
      <c r="JL207" s="64"/>
      <c r="JM207" s="64"/>
      <c r="JN207" s="64"/>
      <c r="JO207" s="64"/>
      <c r="JP207" s="64"/>
      <c r="JQ207" s="64"/>
      <c r="JR207" s="64"/>
      <c r="JS207" s="64"/>
      <c r="JT207" s="64"/>
      <c r="JU207" s="64"/>
      <c r="JV207" s="64"/>
      <c r="JW207" s="64"/>
      <c r="JX207" s="64"/>
      <c r="JY207" s="64"/>
      <c r="JZ207" s="64"/>
      <c r="KA207" s="64"/>
      <c r="KB207" s="64"/>
      <c r="KC207" s="64"/>
      <c r="KD207" s="64"/>
      <c r="KE207" s="64"/>
      <c r="KF207" s="64"/>
      <c r="KG207" s="64"/>
      <c r="KH207" s="64"/>
      <c r="KI207" s="64"/>
      <c r="KJ207" s="64"/>
      <c r="KK207" s="64"/>
      <c r="KL207" s="64"/>
      <c r="KM207" s="64"/>
      <c r="KN207" s="64"/>
      <c r="KO207" s="64"/>
      <c r="KP207" s="64"/>
      <c r="KQ207" s="64"/>
      <c r="KR207" s="64"/>
      <c r="KS207" s="64"/>
      <c r="KT207" s="64"/>
      <c r="KU207" s="64"/>
      <c r="KV207" s="64"/>
      <c r="KW207" s="64"/>
      <c r="KX207" s="64"/>
      <c r="KY207" s="64"/>
      <c r="KZ207" s="64"/>
      <c r="LA207" s="64"/>
      <c r="LB207" s="64"/>
      <c r="LC207" s="64"/>
      <c r="LD207" s="64"/>
      <c r="LE207" s="64"/>
      <c r="LF207" s="64"/>
      <c r="LG207" s="64"/>
      <c r="LH207" s="64"/>
      <c r="LI207" s="64"/>
      <c r="LJ207" s="64"/>
      <c r="LK207" s="64"/>
      <c r="LL207" s="64"/>
      <c r="LM207" s="64"/>
      <c r="LN207" s="64"/>
      <c r="LO207" s="64"/>
      <c r="LP207" s="64"/>
      <c r="LQ207" s="64"/>
      <c r="LR207" s="64"/>
      <c r="LS207" s="64"/>
      <c r="LT207" s="64"/>
      <c r="LU207" s="64"/>
      <c r="LV207" s="64"/>
      <c r="LW207" s="64"/>
      <c r="LX207" s="64"/>
      <c r="LY207" s="64"/>
      <c r="LZ207" s="64"/>
      <c r="MA207" s="64"/>
      <c r="MB207" s="64"/>
      <c r="MC207" s="64"/>
      <c r="MD207" s="64"/>
      <c r="ME207" s="64"/>
      <c r="MF207" s="64"/>
      <c r="MG207" s="64"/>
      <c r="MH207" s="64"/>
      <c r="MI207" s="64"/>
      <c r="MJ207" s="64"/>
      <c r="MK207" s="64"/>
      <c r="ML207" s="64"/>
      <c r="MM207" s="64"/>
      <c r="MN207" s="64"/>
      <c r="MO207" s="64"/>
      <c r="MP207" s="64"/>
      <c r="MQ207" s="64"/>
      <c r="MR207" s="64"/>
      <c r="MS207" s="64"/>
      <c r="MT207" s="64"/>
      <c r="MU207" s="64"/>
      <c r="MV207" s="64"/>
      <c r="MW207" s="64"/>
      <c r="MX207" s="64"/>
      <c r="MY207" s="64"/>
      <c r="MZ207" s="64"/>
      <c r="NA207" s="64"/>
      <c r="NB207" s="64"/>
      <c r="NC207" s="64"/>
      <c r="ND207" s="64"/>
      <c r="NE207" s="64"/>
      <c r="NF207" s="64"/>
      <c r="NG207" s="64"/>
      <c r="NH207" s="64"/>
      <c r="NI207" s="64"/>
      <c r="NJ207" s="64"/>
      <c r="NK207" s="64"/>
      <c r="NL207" s="64"/>
      <c r="NM207" s="64"/>
      <c r="NN207" s="64"/>
      <c r="NO207" s="64"/>
      <c r="NP207" s="64"/>
      <c r="NQ207" s="64"/>
      <c r="NR207" s="64"/>
      <c r="NS207" s="64"/>
      <c r="NT207" s="64"/>
      <c r="NU207" s="64"/>
      <c r="NV207" s="64"/>
      <c r="NW207" s="64"/>
      <c r="NX207" s="64"/>
      <c r="NY207" s="64"/>
      <c r="NZ207" s="64"/>
      <c r="OA207" s="64"/>
      <c r="OB207" s="64"/>
      <c r="OC207" s="64"/>
      <c r="OD207" s="64"/>
      <c r="OE207" s="64"/>
      <c r="OF207" s="64"/>
      <c r="OG207" s="64"/>
      <c r="OH207" s="64"/>
      <c r="OI207" s="64"/>
      <c r="OJ207" s="64"/>
      <c r="OK207" s="64"/>
      <c r="OL207" s="64"/>
    </row>
    <row r="208" spans="1:402" x14ac:dyDescent="0.3">
      <c r="A208" s="815"/>
      <c r="B208" s="807"/>
      <c r="C208" s="812"/>
      <c r="D208" s="83" t="s">
        <v>164</v>
      </c>
      <c r="E208" s="258">
        <f>IF(AND($F$2="No",$F$3="No"),SUM(I208:L208),IF(AND($F$2="Yes", $F$3="No"), SUM(I208:L208)+N208, IF(AND($F$2="No", $F$3="Yes"),SUM(I208:L208)+M208, SUM(I208:L208)+N208+M208)))</f>
        <v>-1.6837907196224822</v>
      </c>
      <c r="F208" s="85">
        <f>IF(AND($F$2="No",$F$3="No"),SUM(H208:L208,O208),IF(AND($F$2="Yes", $F$3="No"), SUM(H208:L208,O208)+N208, IF(AND($F$2="No", $F$3="Yes"),SUM(H208:L208,O208)+M208, SUM(H208:L208,O208)+N208+M208)))</f>
        <v>6.6608111874518556</v>
      </c>
      <c r="G208" s="278">
        <f>SUM(Q208:S208)/(1-'Common input data'!$H$126)</f>
        <v>9.0983902874658291</v>
      </c>
      <c r="H208" s="306">
        <f>AVERAGE(H64,H148)</f>
        <v>2.639826907074339</v>
      </c>
      <c r="I208" s="306">
        <f t="shared" ref="I208:N208" si="25">AVERAGE(I64,I148)</f>
        <v>0</v>
      </c>
      <c r="J208" s="306">
        <f t="shared" si="25"/>
        <v>0</v>
      </c>
      <c r="K208" s="306">
        <f t="shared" si="25"/>
        <v>0</v>
      </c>
      <c r="L208" s="306">
        <f t="shared" si="25"/>
        <v>0</v>
      </c>
      <c r="M208" s="306">
        <f t="shared" si="25"/>
        <v>-1.7656028099427412</v>
      </c>
      <c r="N208" s="306">
        <f t="shared" si="25"/>
        <v>8.1812090320259045E-2</v>
      </c>
      <c r="O208" s="306">
        <f>'Input data meat and eggs'!B83*'Common input data'!K63</f>
        <v>5.7047749999999997</v>
      </c>
      <c r="P208" s="306">
        <f>'Input data meat and eggs'!B92*'Common input data'!K63+'Input data meat and eggs'!C92*3.6*'Common input data'!B49</f>
        <v>1.106920754716981</v>
      </c>
      <c r="Q208" s="306">
        <f>(F208+P208)</f>
        <v>7.7677319421688367</v>
      </c>
      <c r="R208" s="306">
        <f>'Common input data'!B92</f>
        <v>0.1</v>
      </c>
      <c r="S208" s="306">
        <f>'Common input data'!B108+'Common input data'!C108</f>
        <v>0.43000000000000005</v>
      </c>
      <c r="T208" s="107"/>
    </row>
    <row r="209" spans="1:20" x14ac:dyDescent="0.3">
      <c r="A209" s="815"/>
      <c r="B209" s="807"/>
      <c r="C209" s="812"/>
      <c r="D209" s="83" t="s">
        <v>165</v>
      </c>
      <c r="E209" s="258">
        <f>SUM(I209:L209)</f>
        <v>0.56940957089555355</v>
      </c>
      <c r="F209" s="85">
        <f>SUM(H209:L209,O209)</f>
        <v>0.57125017408552059</v>
      </c>
      <c r="G209" s="278">
        <f>SUM(Q209:S209)/(1-'Common input data'!$H$126)</f>
        <v>0.62648475725199837</v>
      </c>
      <c r="H209" s="306">
        <f t="shared" ref="H209:N210" si="26">AVERAGE(H65,H149)</f>
        <v>1.8406031899669477E-3</v>
      </c>
      <c r="I209" s="306">
        <f t="shared" si="26"/>
        <v>0</v>
      </c>
      <c r="J209" s="306">
        <f t="shared" si="26"/>
        <v>3.6240394769344861E-2</v>
      </c>
      <c r="K209" s="306">
        <f t="shared" si="26"/>
        <v>0</v>
      </c>
      <c r="L209" s="306">
        <f t="shared" si="26"/>
        <v>0.53316917612620873</v>
      </c>
      <c r="M209" s="306">
        <f t="shared" si="26"/>
        <v>0</v>
      </c>
      <c r="N209" s="306">
        <f t="shared" si="26"/>
        <v>0</v>
      </c>
      <c r="O209" s="306">
        <v>0</v>
      </c>
      <c r="P209" s="306">
        <f>'Input data meat and eggs'!C92*3.6*'Common input data'!B50</f>
        <v>1.0392452830188681E-4</v>
      </c>
      <c r="Q209" s="306">
        <f>(F209+P209)</f>
        <v>0.57135409861382247</v>
      </c>
      <c r="R209" s="306">
        <v>0</v>
      </c>
      <c r="S209" s="306">
        <v>0</v>
      </c>
      <c r="T209" s="107"/>
    </row>
    <row r="210" spans="1:20" ht="15" thickBot="1" x14ac:dyDescent="0.35">
      <c r="A210" s="818"/>
      <c r="B210" s="819"/>
      <c r="C210" s="820"/>
      <c r="D210" s="100" t="s">
        <v>166</v>
      </c>
      <c r="E210" s="263">
        <f>SUM(I210:L210)</f>
        <v>1.9165529006995797E-2</v>
      </c>
      <c r="F210" s="264">
        <f>SUM(H210:L210,O210)</f>
        <v>2.1860814201428984E-2</v>
      </c>
      <c r="G210" s="478">
        <f>SUM(Q210:S210)/(1-'Common input data'!$H$126)</f>
        <v>2.39808139001104E-2</v>
      </c>
      <c r="H210" s="504">
        <f t="shared" si="26"/>
        <v>2.6952851944331857E-3</v>
      </c>
      <c r="I210" s="504">
        <f t="shared" si="26"/>
        <v>6.8125945966256134E-3</v>
      </c>
      <c r="J210" s="504">
        <f t="shared" si="26"/>
        <v>1.1370494610449932E-2</v>
      </c>
      <c r="K210" s="504">
        <f t="shared" si="26"/>
        <v>9.8243979992025405E-4</v>
      </c>
      <c r="L210" s="504">
        <f t="shared" si="26"/>
        <v>0</v>
      </c>
      <c r="M210" s="504">
        <f t="shared" si="26"/>
        <v>0</v>
      </c>
      <c r="N210" s="504">
        <f t="shared" si="26"/>
        <v>0</v>
      </c>
      <c r="O210" s="504">
        <v>0</v>
      </c>
      <c r="P210" s="504">
        <f>'Input data meat and eggs'!C92*3.6*'Common input data'!B51</f>
        <v>9.6880754716981128E-6</v>
      </c>
      <c r="Q210" s="504">
        <f>(F210+P210)</f>
        <v>2.1870502276900683E-2</v>
      </c>
      <c r="R210" s="504">
        <v>0</v>
      </c>
      <c r="S210" s="504">
        <v>0</v>
      </c>
      <c r="T210" s="107"/>
    </row>
    <row r="212" spans="1:20" x14ac:dyDescent="0.3">
      <c r="G212" s="76"/>
    </row>
  </sheetData>
  <dataConsolidate/>
  <mergeCells count="1">
    <mergeCell ref="H4:I4"/>
  </mergeCells>
  <dataValidations count="3">
    <dataValidation type="list" allowBlank="1" showInputMessage="1" showErrorMessage="1" sqref="F1">
      <formula1>"GWP100 without fb, GWP100 with fb, GTP100 without fb, GTP100 with fb, GTP climate goal"</formula1>
    </dataValidation>
    <dataValidation type="list" allowBlank="1" showInputMessage="1" showErrorMessage="1" sqref="F2">
      <formula1>"Yes, No"</formula1>
    </dataValidation>
    <dataValidation type="list" allowBlank="1" showInputMessage="1" showErrorMessage="1" sqref="F3">
      <formula1>"Yes, 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OP131"/>
  <sheetViews>
    <sheetView zoomScale="50" zoomScaleNormal="50" workbookViewId="0"/>
  </sheetViews>
  <sheetFormatPr defaultColWidth="8.88671875" defaultRowHeight="14.4" x14ac:dyDescent="0.3"/>
  <cols>
    <col min="1" max="1" width="37.6640625" style="64" customWidth="1"/>
    <col min="2" max="2" width="24.5546875" style="64" bestFit="1" customWidth="1"/>
    <col min="3" max="3" width="17.88671875" style="64" bestFit="1" customWidth="1"/>
    <col min="4" max="4" width="43.6640625" style="64" bestFit="1" customWidth="1"/>
    <col min="5" max="5" width="28" style="64" customWidth="1"/>
    <col min="6" max="6" width="38.88671875" style="64" customWidth="1"/>
    <col min="7" max="7" width="41.33203125" style="64" customWidth="1"/>
    <col min="8" max="8" width="34.109375" style="64" bestFit="1" customWidth="1"/>
    <col min="9" max="9" width="36.33203125" style="64" bestFit="1" customWidth="1"/>
    <col min="10" max="10" width="32.33203125" style="64" bestFit="1" customWidth="1"/>
    <col min="11" max="11" width="22.33203125" style="64" bestFit="1" customWidth="1"/>
    <col min="12" max="12" width="35.109375" style="64" bestFit="1" customWidth="1"/>
    <col min="13" max="13" width="24" style="64" bestFit="1" customWidth="1"/>
    <col min="14" max="14" width="37.88671875" style="64" bestFit="1" customWidth="1"/>
    <col min="15" max="15" width="41.6640625" style="64" bestFit="1" customWidth="1"/>
    <col min="16" max="16" width="24" style="64" bestFit="1" customWidth="1"/>
    <col min="17" max="17" width="35.109375" style="64" bestFit="1" customWidth="1"/>
    <col min="18" max="18" width="18.44140625" style="64" bestFit="1" customWidth="1"/>
    <col min="19" max="19" width="27.88671875" style="64" bestFit="1" customWidth="1"/>
    <col min="20" max="16384" width="8.88671875" style="64"/>
  </cols>
  <sheetData>
    <row r="1" spans="1:294" ht="31.2" x14ac:dyDescent="0.6">
      <c r="A1" s="362" t="s">
        <v>1012</v>
      </c>
      <c r="D1" s="291" t="s">
        <v>550</v>
      </c>
      <c r="E1" s="292" t="s">
        <v>1243</v>
      </c>
    </row>
    <row r="2" spans="1:294" ht="17.399999999999999" x14ac:dyDescent="0.35">
      <c r="D2" s="291" t="s">
        <v>551</v>
      </c>
      <c r="E2" s="292" t="s">
        <v>1339</v>
      </c>
    </row>
    <row r="3" spans="1:294" ht="52.2" x14ac:dyDescent="0.35">
      <c r="D3" s="763" t="s">
        <v>1251</v>
      </c>
      <c r="E3" s="292" t="s">
        <v>1339</v>
      </c>
    </row>
    <row r="4" spans="1:294" ht="15" thickBot="1" x14ac:dyDescent="0.35"/>
    <row r="5" spans="1:294" s="292" customFormat="1" ht="17.399999999999999" x14ac:dyDescent="0.35">
      <c r="A5" s="487"/>
      <c r="B5" s="297"/>
      <c r="C5" s="297"/>
      <c r="D5" s="298" t="s">
        <v>531</v>
      </c>
      <c r="E5" s="352"/>
      <c r="F5" s="525"/>
      <c r="G5" s="299" t="s">
        <v>707</v>
      </c>
      <c r="H5" s="300"/>
      <c r="I5" s="488" t="s">
        <v>563</v>
      </c>
      <c r="J5" s="505"/>
      <c r="K5" s="487"/>
      <c r="L5" s="533"/>
      <c r="M5" s="533"/>
      <c r="N5" s="533"/>
      <c r="O5" s="533"/>
      <c r="P5" s="533"/>
      <c r="Q5" s="533"/>
      <c r="R5" s="533"/>
      <c r="S5" s="534"/>
    </row>
    <row r="6" spans="1:294" s="308" customFormat="1" ht="61.2" customHeight="1" x14ac:dyDescent="0.3">
      <c r="A6" s="344"/>
      <c r="B6" s="310" t="s">
        <v>262</v>
      </c>
      <c r="C6" s="310" t="s">
        <v>178</v>
      </c>
      <c r="D6" s="294" t="s">
        <v>554</v>
      </c>
      <c r="E6" s="293" t="s">
        <v>532</v>
      </c>
      <c r="F6" s="473" t="s">
        <v>533</v>
      </c>
      <c r="G6" s="506" t="s">
        <v>1023</v>
      </c>
      <c r="H6" s="489" t="s">
        <v>286</v>
      </c>
      <c r="I6" s="293" t="s">
        <v>246</v>
      </c>
      <c r="J6" s="293" t="s">
        <v>247</v>
      </c>
      <c r="K6" s="518" t="s">
        <v>261</v>
      </c>
      <c r="L6" s="343" t="s">
        <v>177</v>
      </c>
      <c r="M6" s="343" t="s">
        <v>176</v>
      </c>
      <c r="N6" s="310" t="s">
        <v>1024</v>
      </c>
      <c r="O6" s="310" t="s">
        <v>1022</v>
      </c>
      <c r="P6" s="310" t="s">
        <v>1025</v>
      </c>
      <c r="Q6" s="343" t="s">
        <v>175</v>
      </c>
      <c r="R6" s="310" t="s">
        <v>3</v>
      </c>
      <c r="S6" s="535" t="s">
        <v>4</v>
      </c>
    </row>
    <row r="7" spans="1:294" s="414" customFormat="1" ht="20.399999999999999" customHeight="1" x14ac:dyDescent="0.3">
      <c r="A7" s="588" t="s">
        <v>791</v>
      </c>
      <c r="B7" s="532"/>
      <c r="C7" s="532"/>
      <c r="D7" s="774" t="s">
        <v>792</v>
      </c>
      <c r="E7" s="775" t="s">
        <v>792</v>
      </c>
      <c r="F7" s="776"/>
      <c r="G7" s="483"/>
      <c r="H7" s="483"/>
      <c r="I7" s="483"/>
      <c r="J7" s="482"/>
      <c r="K7" s="532"/>
      <c r="L7" s="530"/>
      <c r="M7" s="530"/>
      <c r="N7" s="530"/>
      <c r="O7" s="530"/>
      <c r="P7" s="530"/>
      <c r="Q7" s="530"/>
      <c r="R7" s="530"/>
      <c r="S7" s="530"/>
      <c r="T7" s="14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4"/>
      <c r="HS7" s="84"/>
      <c r="HT7" s="84"/>
      <c r="HU7" s="84"/>
      <c r="HV7" s="84"/>
      <c r="HW7" s="84"/>
      <c r="HX7" s="84"/>
      <c r="HY7" s="84"/>
      <c r="HZ7" s="84"/>
      <c r="IA7" s="84"/>
      <c r="IB7" s="84"/>
      <c r="IC7" s="84"/>
      <c r="ID7" s="84"/>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4"/>
      <c r="JW7" s="84"/>
      <c r="JX7" s="84"/>
      <c r="JY7" s="84"/>
      <c r="JZ7" s="84"/>
      <c r="KA7" s="84"/>
      <c r="KB7" s="84"/>
      <c r="KC7" s="84"/>
      <c r="KD7" s="84"/>
      <c r="KE7" s="84"/>
      <c r="KF7" s="84"/>
      <c r="KG7" s="84"/>
      <c r="KH7" s="84"/>
    </row>
    <row r="8" spans="1:294" s="150" customFormat="1" x14ac:dyDescent="0.3">
      <c r="A8" s="143" t="s">
        <v>657</v>
      </c>
      <c r="B8" s="106"/>
      <c r="C8" s="269" t="s">
        <v>473</v>
      </c>
      <c r="D8" s="769">
        <f>IF($E$1="GWP100 without fb",D9+D10*'Common input data'!$C$5+D11*'Common input data'!$D$5,IF($E$1="GWP100 with fb",D9+D10*'Common input data'!$C$6+D11*'Common input data'!$D$6,IF($E$1="GTP100 without fb",D9+D10*'Common input data'!$C$7+D11*'Common input data'!$D$7,IF($E$1="GTP100 with fb",D9+D10*'Common input data'!$C$8+D11*'Common input data'!$D$8,D9+D10*'Common input data'!$C$9+D11*'Common input data'!$D$9))))</f>
        <v>0.92897392973871495</v>
      </c>
      <c r="E8" s="326">
        <f>IF($E$1="GWP100 without fb",E9+E10*'Common input data'!$C$5+E11*'Common input data'!$D$5,IF($E$1="GWP100 with fb",E9+E10*'Common input data'!$C$6+E11*'Common input data'!$D$6,IF($E$1="GTP100 without fb",E9+E10*'Common input data'!$C$7+E11*'Common input data'!$D$7,IF($E$1="GTP100 with fb",E9+E10*'Common input data'!$C$8+E11*'Common input data'!$D$8,E9+E10*'Common input data'!$C$9+E11*'Common input data'!$D$9))))</f>
        <v>1.2294268950577565</v>
      </c>
      <c r="F8" s="770"/>
      <c r="G8" s="106"/>
      <c r="H8" s="106"/>
      <c r="I8" s="106"/>
      <c r="J8" s="106"/>
      <c r="K8" s="106"/>
      <c r="L8" s="106"/>
      <c r="M8" s="106"/>
      <c r="N8" s="106"/>
      <c r="O8" s="106"/>
      <c r="P8" s="106"/>
      <c r="Q8" s="106"/>
      <c r="R8" s="106"/>
      <c r="S8" s="106"/>
      <c r="T8" s="301"/>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2"/>
      <c r="CZ8" s="252"/>
      <c r="DA8" s="252"/>
      <c r="DB8" s="252"/>
      <c r="DC8" s="252"/>
      <c r="DD8" s="252"/>
      <c r="DE8" s="252"/>
      <c r="DF8" s="252"/>
      <c r="DG8" s="252"/>
      <c r="DH8" s="252"/>
      <c r="DI8" s="252"/>
      <c r="DJ8" s="252"/>
      <c r="DK8" s="252"/>
      <c r="DL8" s="252"/>
      <c r="DM8" s="252"/>
      <c r="DN8" s="252"/>
      <c r="DO8" s="252"/>
      <c r="DP8" s="252"/>
      <c r="DQ8" s="252"/>
      <c r="DR8" s="252"/>
      <c r="DS8" s="252"/>
      <c r="DT8" s="252"/>
      <c r="DU8" s="252"/>
      <c r="DV8" s="252"/>
      <c r="DW8" s="252"/>
      <c r="DX8" s="252"/>
      <c r="DY8" s="252"/>
      <c r="DZ8" s="252"/>
      <c r="EA8" s="252"/>
      <c r="EB8" s="252"/>
      <c r="EC8" s="252"/>
      <c r="ED8" s="252"/>
      <c r="EE8" s="252"/>
      <c r="EF8" s="252"/>
      <c r="EG8" s="252"/>
      <c r="EH8" s="252"/>
      <c r="EI8" s="252"/>
      <c r="EJ8" s="252"/>
      <c r="EK8" s="252"/>
      <c r="EL8" s="252"/>
      <c r="EM8" s="252"/>
      <c r="EN8" s="252"/>
      <c r="EO8" s="252"/>
      <c r="EP8" s="252"/>
      <c r="EQ8" s="252"/>
      <c r="ER8" s="252"/>
      <c r="ES8" s="252"/>
      <c r="ET8" s="252"/>
      <c r="EU8" s="252"/>
      <c r="EV8" s="252"/>
      <c r="EW8" s="252"/>
      <c r="EX8" s="252"/>
      <c r="EY8" s="252"/>
      <c r="EZ8" s="252"/>
      <c r="FA8" s="252"/>
      <c r="FB8" s="252"/>
      <c r="FC8" s="252"/>
      <c r="FD8" s="252"/>
      <c r="FE8" s="252"/>
      <c r="FF8" s="252"/>
      <c r="FG8" s="252"/>
      <c r="FH8" s="252"/>
      <c r="FI8" s="252"/>
      <c r="FJ8" s="252"/>
      <c r="FK8" s="252"/>
      <c r="FL8" s="252"/>
      <c r="FM8" s="252"/>
      <c r="FN8" s="252"/>
      <c r="FO8" s="252"/>
      <c r="FP8" s="252"/>
      <c r="FQ8" s="252"/>
      <c r="FR8" s="252"/>
      <c r="FS8" s="252"/>
      <c r="FT8" s="252"/>
      <c r="FU8" s="252"/>
      <c r="FV8" s="252"/>
      <c r="FW8" s="252"/>
      <c r="FX8" s="252"/>
      <c r="FY8" s="252"/>
      <c r="FZ8" s="252"/>
      <c r="GA8" s="252"/>
      <c r="GB8" s="252"/>
      <c r="GC8" s="252"/>
      <c r="GD8" s="252"/>
      <c r="GE8" s="252"/>
      <c r="GF8" s="252"/>
      <c r="GG8" s="252"/>
      <c r="GH8" s="252"/>
      <c r="GI8" s="252"/>
      <c r="GJ8" s="252"/>
      <c r="GK8" s="252"/>
      <c r="GL8" s="252"/>
      <c r="GM8" s="252"/>
      <c r="GN8" s="252"/>
      <c r="GO8" s="252"/>
      <c r="GP8" s="252"/>
      <c r="GQ8" s="252"/>
      <c r="GR8" s="252"/>
      <c r="GS8" s="252"/>
      <c r="GT8" s="252"/>
      <c r="GU8" s="252"/>
      <c r="GV8" s="252"/>
      <c r="GW8" s="252"/>
      <c r="GX8" s="252"/>
      <c r="GY8" s="252"/>
      <c r="GZ8" s="252"/>
      <c r="HA8" s="252"/>
      <c r="HB8" s="252"/>
      <c r="HC8" s="252"/>
      <c r="HD8" s="252"/>
      <c r="HE8" s="252"/>
      <c r="HF8" s="252"/>
      <c r="HG8" s="252"/>
      <c r="HH8" s="252"/>
      <c r="HI8" s="252"/>
      <c r="HJ8" s="252"/>
      <c r="HK8" s="252"/>
      <c r="HL8" s="252"/>
      <c r="HM8" s="252"/>
      <c r="HN8" s="252"/>
      <c r="HO8" s="252"/>
      <c r="HP8" s="252"/>
      <c r="HQ8" s="252"/>
      <c r="HR8" s="252"/>
      <c r="HS8" s="252"/>
      <c r="HT8" s="252"/>
      <c r="HU8" s="252"/>
      <c r="HV8" s="252"/>
      <c r="HW8" s="252"/>
      <c r="HX8" s="252"/>
      <c r="HY8" s="252"/>
      <c r="HZ8" s="252"/>
      <c r="IA8" s="252"/>
      <c r="IB8" s="252"/>
      <c r="IC8" s="252"/>
      <c r="ID8" s="252"/>
      <c r="IE8" s="252"/>
      <c r="IF8" s="252"/>
      <c r="IG8" s="252"/>
      <c r="IH8" s="252"/>
      <c r="II8" s="252"/>
      <c r="IJ8" s="252"/>
      <c r="IK8" s="252"/>
      <c r="IL8" s="252"/>
      <c r="IM8" s="252"/>
      <c r="IN8" s="252"/>
      <c r="IO8" s="252"/>
      <c r="IP8" s="252"/>
      <c r="IQ8" s="252"/>
      <c r="IR8" s="252"/>
      <c r="IS8" s="252"/>
      <c r="IT8" s="252"/>
      <c r="IU8" s="252"/>
      <c r="IV8" s="252"/>
      <c r="IW8" s="252"/>
      <c r="IX8" s="252"/>
      <c r="IY8" s="252"/>
      <c r="IZ8" s="252"/>
      <c r="JA8" s="252"/>
      <c r="JB8" s="252"/>
      <c r="JC8" s="252"/>
      <c r="JD8" s="252"/>
      <c r="JE8" s="252"/>
      <c r="JF8" s="252"/>
      <c r="JG8" s="252"/>
      <c r="JH8" s="252"/>
      <c r="JI8" s="252"/>
      <c r="JJ8" s="252"/>
      <c r="JK8" s="252"/>
      <c r="JL8" s="252"/>
      <c r="JM8" s="252"/>
      <c r="JN8" s="252"/>
      <c r="JO8" s="252"/>
      <c r="JP8" s="252"/>
      <c r="JQ8" s="252"/>
      <c r="JR8" s="252"/>
      <c r="JS8" s="252"/>
      <c r="JT8" s="252"/>
      <c r="JU8" s="252"/>
      <c r="JV8" s="252"/>
      <c r="JW8" s="252"/>
      <c r="JX8" s="252"/>
      <c r="JY8" s="252"/>
      <c r="JZ8" s="252"/>
      <c r="KA8" s="252"/>
      <c r="KB8" s="252"/>
      <c r="KC8" s="252"/>
      <c r="KD8" s="252"/>
      <c r="KE8" s="252"/>
      <c r="KF8" s="252"/>
      <c r="KG8" s="252"/>
      <c r="KH8" s="252"/>
    </row>
    <row r="9" spans="1:294" s="84" customFormat="1" x14ac:dyDescent="0.3">
      <c r="A9" s="301"/>
      <c r="B9" s="90"/>
      <c r="C9" s="83" t="s">
        <v>164</v>
      </c>
      <c r="D9" s="270">
        <f>IF(AND($E$2="No",$E$3="No"),SUM(H9:K9),IF(AND($E$2="Yes", $E$3="No"), SUM(H9:K9)+M9, IF(AND($E$2="No", $E$3="Yes"),SUM(H9:K9)+L9, SUM(H9:K9)+M9+L9)))</f>
        <v>-2.4831942943822891E-2</v>
      </c>
      <c r="E9" s="90">
        <f>IF(AND($E$2="No",$E$3="No"),SUM(G9:K9,N9:O9),IF(AND($E$2="Yes",$E$3="No"), SUM(G9:K9,N9:O9)+M9, IF(AND($E$2="No", $E$3="Yes"),SUM(G9:K9,N9:O9)+L9, SUM(G9:K9,N9:O9)+M9+L9)))</f>
        <v>0.20713648107630622</v>
      </c>
      <c r="F9" s="278"/>
      <c r="G9" s="90">
        <f>'Meat and eggs'!H104*'Common input data'!$D$37/'Input data meat and eggs'!$B$437</f>
        <v>0.20251717432708741</v>
      </c>
      <c r="H9" s="90">
        <f>'Meat and eggs'!I104*'Common input data'!$D$37/'Input data meat and eggs'!$B$437</f>
        <v>0</v>
      </c>
      <c r="I9" s="90">
        <f>'Meat and eggs'!J104*'Common input data'!$D$37/'Input data meat and eggs'!$B$437</f>
        <v>0</v>
      </c>
      <c r="J9" s="90">
        <f>'Meat and eggs'!K104*'Common input data'!$D$37/'Input data meat and eggs'!$B$437</f>
        <v>0</v>
      </c>
      <c r="K9" s="90">
        <f>'Meat and eggs'!L104*'Common input data'!$D$37/'Input data meat and eggs'!$B$437</f>
        <v>0</v>
      </c>
      <c r="L9" s="90">
        <f>'Meat and eggs'!M104*'Common input data'!$D$37/'Input data meat and eggs'!$B$437</f>
        <v>-4.3977760303201947E-2</v>
      </c>
      <c r="M9" s="90">
        <f>'Meat and eggs'!N104*'Common input data'!$D$37/'Input data meat and eggs'!$B$437</f>
        <v>1.9145817359379057E-2</v>
      </c>
      <c r="N9" s="90">
        <f>'Meat and eggs'!O104*'Common input data'!$D$37/'Input data meat and eggs'!$B$437</f>
        <v>2.5984913487356671E-2</v>
      </c>
      <c r="O9" s="90">
        <f>'Meat and eggs'!P104*'Common input data'!$D$37/'Input data meat and eggs'!$B$437</f>
        <v>3.4663362056850124E-3</v>
      </c>
      <c r="P9" s="90">
        <v>0</v>
      </c>
      <c r="Q9" s="349">
        <f>IF(AND($E$2="No",$E$3="No"),SUM(G9:K9,N9:P9),IF(AND($E$2="Yes",$E$3="No"), SUM(G9:K9,N9:P9)+M9, IF(AND($E$2="No", $E$3="Yes"),SUM(G9:K9,N9:P9)+L9, SUM(G9:K9,N9:P9)+M9+L9)))</f>
        <v>0.20713648107630622</v>
      </c>
      <c r="R9" s="90"/>
      <c r="S9" s="90"/>
      <c r="T9" s="144"/>
    </row>
    <row r="10" spans="1:294" s="84" customFormat="1" x14ac:dyDescent="0.3">
      <c r="A10" s="301"/>
      <c r="B10" s="90"/>
      <c r="C10" s="83" t="s">
        <v>165</v>
      </c>
      <c r="D10" s="270">
        <f>SUM(H10:K10)</f>
        <v>2.0989619994048154E-2</v>
      </c>
      <c r="E10" s="90">
        <f>SUM(G10:K10,N10:O10)</f>
        <v>2.1207377934297948E-2</v>
      </c>
      <c r="F10" s="278"/>
      <c r="G10" s="90">
        <f>'Meat and eggs'!H105*'Common input data'!$D$37/'Input data meat and eggs'!$B$437</f>
        <v>2.1681838177665575E-4</v>
      </c>
      <c r="H10" s="90">
        <f>'Meat and eggs'!I105*'Common input data'!$D$37/'Input data meat and eggs'!$B$437</f>
        <v>0</v>
      </c>
      <c r="I10" s="90">
        <f>'Meat and eggs'!J105*'Common input data'!$D$37/'Input data meat and eggs'!$B$437</f>
        <v>1.371521804893912E-3</v>
      </c>
      <c r="J10" s="90">
        <f>'Meat and eggs'!K105*'Common input data'!$D$37/'Input data meat and eggs'!$B$437</f>
        <v>0</v>
      </c>
      <c r="K10" s="90">
        <f>'Meat and eggs'!L105*'Common input data'!$D$37/'Input data meat and eggs'!$B$437</f>
        <v>1.9618098189154241E-2</v>
      </c>
      <c r="L10" s="90">
        <f>'Meat and eggs'!M105*'Common input data'!$D$37/'Input data meat and eggs'!$B$437</f>
        <v>0</v>
      </c>
      <c r="M10" s="90">
        <f>'Meat and eggs'!N105*'Common input data'!$D$37/'Input data meat and eggs'!$B$437</f>
        <v>0</v>
      </c>
      <c r="N10" s="90">
        <f>'Meat and eggs'!O105*'Common input data'!$D$37/'Input data meat and eggs'!$B$437</f>
        <v>0</v>
      </c>
      <c r="O10" s="90">
        <f>'Meat and eggs'!P105*'Common input data'!$D$37/'Input data meat and eggs'!$B$437</f>
        <v>9.3955847313654224E-7</v>
      </c>
      <c r="P10" s="90">
        <v>0</v>
      </c>
      <c r="Q10" s="85">
        <f>SUM(G10:P10)</f>
        <v>2.1207377934297948E-2</v>
      </c>
      <c r="R10" s="90"/>
      <c r="S10" s="90"/>
      <c r="T10" s="144"/>
    </row>
    <row r="11" spans="1:294" s="84" customFormat="1" x14ac:dyDescent="0.3">
      <c r="A11" s="301"/>
      <c r="B11" s="90"/>
      <c r="C11" s="252" t="s">
        <v>166</v>
      </c>
      <c r="D11" s="270">
        <f>SUM(H11:K11)</f>
        <v>8.0590198954664616E-4</v>
      </c>
      <c r="E11" s="90">
        <f>SUM(G11:K11,N11:O11)</f>
        <v>1.0108710208567783E-3</v>
      </c>
      <c r="F11" s="278"/>
      <c r="G11" s="90">
        <f>'Meat and eggs'!H106*'Common input data'!$D$37/'Input data meat and eggs'!$B$437</f>
        <v>2.0488144358135854E-4</v>
      </c>
      <c r="H11" s="90">
        <f>'Meat and eggs'!I106*'Common input data'!$D$37/'Input data meat and eggs'!$B$437</f>
        <v>5.1785770885175208E-4</v>
      </c>
      <c r="I11" s="90">
        <f>'Meat and eggs'!J106*'Common input data'!$D$37/'Input data meat and eggs'!$B$437</f>
        <v>2.6552793907859667E-4</v>
      </c>
      <c r="J11" s="90">
        <f>'Meat and eggs'!K106*'Common input data'!$D$37/'Input data meat and eggs'!$B$437</f>
        <v>2.2516341616297461E-5</v>
      </c>
      <c r="K11" s="90">
        <f>'Meat and eggs'!L106*'Common input data'!$D$37/'Input data meat and eggs'!$B$437</f>
        <v>0</v>
      </c>
      <c r="L11" s="90">
        <f>'Meat and eggs'!M106*'Common input data'!$D$37/'Input data meat and eggs'!$B$437</f>
        <v>0</v>
      </c>
      <c r="M11" s="90">
        <f>'Meat and eggs'!N106*'Common input data'!$D$37/'Input data meat and eggs'!$B$437</f>
        <v>0</v>
      </c>
      <c r="N11" s="90">
        <f>'Meat and eggs'!O106*'Common input data'!$D$37/'Input data meat and eggs'!$B$437</f>
        <v>0</v>
      </c>
      <c r="O11" s="90">
        <f>'Meat and eggs'!P106*'Common input data'!$D$37/'Input data meat and eggs'!$B$437</f>
        <v>8.7587728773506539E-8</v>
      </c>
      <c r="P11" s="90">
        <v>0</v>
      </c>
      <c r="Q11" s="85">
        <f>SUM(G11:P11)</f>
        <v>1.0108710208567783E-3</v>
      </c>
      <c r="R11" s="90"/>
      <c r="S11" s="90"/>
      <c r="T11" s="144"/>
    </row>
    <row r="12" spans="1:294" s="150" customFormat="1" x14ac:dyDescent="0.3">
      <c r="A12" s="143" t="s">
        <v>70</v>
      </c>
      <c r="B12" s="106"/>
      <c r="C12" s="269" t="s">
        <v>473</v>
      </c>
      <c r="D12" s="320">
        <f>IF($E$1="GWP100 without fb",D13+D14*'Common input data'!$C$5+D15*'Common input data'!$D$5,IF($E$1="GWP100 with fb",D13+D14*'Common input data'!$C$6+D15*'Common input data'!$D$6,IF($E$1="GTP100 without fb",D13+D14*'Common input data'!$C$7+D15*'Common input data'!$D$7,IF($E$1="GTP100 with fb",D13+D14*'Common input data'!$C$8+D15*'Common input data'!$D$8,D13+D14*'Common input data'!$C$9+D15*'Common input data'!$D$9))))</f>
        <v>0.92897392973871495</v>
      </c>
      <c r="E12" s="302">
        <f>IF($E$1="GWP100 without fb",E13+E14*'Common input data'!$C$5+E15*'Common input data'!$D$5,IF($E$1="GWP100 with fb",E13+E14*'Common input data'!$C$6+E15*'Common input data'!$D$6,IF($E$1="GTP100 without fb",E13+E14*'Common input data'!$C$7+E15*'Common input data'!$D$7,IF($E$1="GTP100 with fb",E13+E14*'Common input data'!$C$8+E15*'Common input data'!$D$8,E13+E14*'Common input data'!$C$9+E15*'Common input data'!$D$9))))</f>
        <v>1.2896623648846837</v>
      </c>
      <c r="F12" s="321"/>
      <c r="G12" s="106"/>
      <c r="H12" s="106"/>
      <c r="I12" s="106"/>
      <c r="J12" s="106"/>
      <c r="K12" s="106"/>
      <c r="L12" s="106"/>
      <c r="M12" s="106"/>
      <c r="N12" s="106"/>
      <c r="O12" s="106"/>
      <c r="P12" s="106"/>
      <c r="Q12" s="106"/>
      <c r="R12" s="106"/>
      <c r="S12" s="106"/>
      <c r="T12" s="301"/>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2"/>
      <c r="CN12" s="252"/>
      <c r="CO12" s="252"/>
      <c r="CP12" s="252"/>
      <c r="CQ12" s="252"/>
      <c r="CR12" s="252"/>
      <c r="CS12" s="252"/>
      <c r="CT12" s="252"/>
      <c r="CU12" s="252"/>
      <c r="CV12" s="252"/>
      <c r="CW12" s="252"/>
      <c r="CX12" s="252"/>
      <c r="CY12" s="252"/>
      <c r="CZ12" s="252"/>
      <c r="DA12" s="252"/>
      <c r="DB12" s="252"/>
      <c r="DC12" s="252"/>
      <c r="DD12" s="252"/>
      <c r="DE12" s="252"/>
      <c r="DF12" s="252"/>
      <c r="DG12" s="252"/>
      <c r="DH12" s="252"/>
      <c r="DI12" s="252"/>
      <c r="DJ12" s="252"/>
      <c r="DK12" s="252"/>
      <c r="DL12" s="252"/>
      <c r="DM12" s="252"/>
      <c r="DN12" s="252"/>
      <c r="DO12" s="252"/>
      <c r="DP12" s="252"/>
      <c r="DQ12" s="252"/>
      <c r="DR12" s="252"/>
      <c r="DS12" s="252"/>
      <c r="DT12" s="252"/>
      <c r="DU12" s="252"/>
      <c r="DV12" s="252"/>
      <c r="DW12" s="252"/>
      <c r="DX12" s="252"/>
      <c r="DY12" s="252"/>
      <c r="DZ12" s="252"/>
      <c r="EA12" s="252"/>
      <c r="EB12" s="252"/>
      <c r="EC12" s="252"/>
      <c r="ED12" s="252"/>
      <c r="EE12" s="252"/>
      <c r="EF12" s="252"/>
      <c r="EG12" s="252"/>
      <c r="EH12" s="252"/>
      <c r="EI12" s="252"/>
      <c r="EJ12" s="252"/>
      <c r="EK12" s="252"/>
      <c r="EL12" s="252"/>
      <c r="EM12" s="252"/>
      <c r="EN12" s="252"/>
      <c r="EO12" s="252"/>
      <c r="EP12" s="252"/>
      <c r="EQ12" s="252"/>
      <c r="ER12" s="252"/>
      <c r="ES12" s="252"/>
      <c r="ET12" s="252"/>
      <c r="EU12" s="252"/>
      <c r="EV12" s="252"/>
      <c r="EW12" s="252"/>
      <c r="EX12" s="252"/>
      <c r="EY12" s="252"/>
      <c r="EZ12" s="252"/>
      <c r="FA12" s="252"/>
      <c r="FB12" s="252"/>
      <c r="FC12" s="252"/>
      <c r="FD12" s="252"/>
      <c r="FE12" s="252"/>
      <c r="FF12" s="252"/>
      <c r="FG12" s="252"/>
      <c r="FH12" s="252"/>
      <c r="FI12" s="252"/>
      <c r="FJ12" s="252"/>
      <c r="FK12" s="252"/>
      <c r="FL12" s="252"/>
      <c r="FM12" s="252"/>
      <c r="FN12" s="252"/>
      <c r="FO12" s="252"/>
      <c r="FP12" s="252"/>
      <c r="FQ12" s="252"/>
      <c r="FR12" s="252"/>
      <c r="FS12" s="252"/>
      <c r="FT12" s="252"/>
      <c r="FU12" s="252"/>
      <c r="FV12" s="252"/>
      <c r="FW12" s="252"/>
      <c r="FX12" s="252"/>
      <c r="FY12" s="252"/>
      <c r="FZ12" s="252"/>
      <c r="GA12" s="252"/>
      <c r="GB12" s="252"/>
      <c r="GC12" s="252"/>
      <c r="GD12" s="252"/>
      <c r="GE12" s="252"/>
      <c r="GF12" s="252"/>
      <c r="GG12" s="252"/>
      <c r="GH12" s="252"/>
      <c r="GI12" s="252"/>
      <c r="GJ12" s="252"/>
      <c r="GK12" s="252"/>
      <c r="GL12" s="252"/>
      <c r="GM12" s="252"/>
      <c r="GN12" s="252"/>
      <c r="GO12" s="252"/>
      <c r="GP12" s="252"/>
      <c r="GQ12" s="252"/>
      <c r="GR12" s="252"/>
      <c r="GS12" s="252"/>
      <c r="GT12" s="252"/>
      <c r="GU12" s="252"/>
      <c r="GV12" s="252"/>
      <c r="GW12" s="252"/>
      <c r="GX12" s="252"/>
      <c r="GY12" s="252"/>
      <c r="GZ12" s="252"/>
      <c r="HA12" s="252"/>
      <c r="HB12" s="252"/>
      <c r="HC12" s="252"/>
      <c r="HD12" s="252"/>
      <c r="HE12" s="252"/>
      <c r="HF12" s="252"/>
      <c r="HG12" s="252"/>
      <c r="HH12" s="252"/>
      <c r="HI12" s="252"/>
      <c r="HJ12" s="252"/>
      <c r="HK12" s="252"/>
      <c r="HL12" s="252"/>
      <c r="HM12" s="252"/>
      <c r="HN12" s="252"/>
      <c r="HO12" s="252"/>
      <c r="HP12" s="252"/>
      <c r="HQ12" s="252"/>
      <c r="HR12" s="252"/>
      <c r="HS12" s="252"/>
      <c r="HT12" s="252"/>
      <c r="HU12" s="252"/>
      <c r="HV12" s="252"/>
      <c r="HW12" s="252"/>
      <c r="HX12" s="252"/>
      <c r="HY12" s="252"/>
      <c r="HZ12" s="252"/>
      <c r="IA12" s="252"/>
      <c r="IB12" s="252"/>
      <c r="IC12" s="252"/>
      <c r="ID12" s="252"/>
      <c r="IE12" s="252"/>
      <c r="IF12" s="252"/>
      <c r="IG12" s="252"/>
      <c r="IH12" s="252"/>
      <c r="II12" s="252"/>
      <c r="IJ12" s="252"/>
      <c r="IK12" s="252"/>
      <c r="IL12" s="252"/>
      <c r="IM12" s="252"/>
      <c r="IN12" s="252"/>
      <c r="IO12" s="252"/>
      <c r="IP12" s="252"/>
      <c r="IQ12" s="252"/>
      <c r="IR12" s="252"/>
      <c r="IS12" s="252"/>
      <c r="IT12" s="252"/>
      <c r="IU12" s="252"/>
      <c r="IV12" s="252"/>
      <c r="IW12" s="252"/>
      <c r="IX12" s="252"/>
      <c r="IY12" s="252"/>
      <c r="IZ12" s="252"/>
      <c r="JA12" s="252"/>
      <c r="JB12" s="252"/>
      <c r="JC12" s="252"/>
      <c r="JD12" s="252"/>
      <c r="JE12" s="252"/>
      <c r="JF12" s="252"/>
      <c r="JG12" s="252"/>
      <c r="JH12" s="252"/>
      <c r="JI12" s="252"/>
      <c r="JJ12" s="252"/>
      <c r="JK12" s="252"/>
      <c r="JL12" s="252"/>
      <c r="JM12" s="252"/>
      <c r="JN12" s="252"/>
      <c r="JO12" s="252"/>
      <c r="JP12" s="252"/>
      <c r="JQ12" s="252"/>
      <c r="JR12" s="252"/>
      <c r="JS12" s="252"/>
      <c r="JT12" s="252"/>
      <c r="JU12" s="252"/>
      <c r="JV12" s="252"/>
      <c r="JW12" s="252"/>
      <c r="JX12" s="252"/>
      <c r="JY12" s="252"/>
      <c r="JZ12" s="252"/>
      <c r="KA12" s="252"/>
      <c r="KB12" s="252"/>
      <c r="KC12" s="252"/>
      <c r="KD12" s="252"/>
      <c r="KE12" s="252"/>
      <c r="KF12" s="252"/>
      <c r="KG12" s="252"/>
      <c r="KH12" s="252"/>
    </row>
    <row r="13" spans="1:294" s="84" customFormat="1" x14ac:dyDescent="0.3">
      <c r="A13" s="301"/>
      <c r="B13" s="90"/>
      <c r="C13" s="83" t="s">
        <v>164</v>
      </c>
      <c r="D13" s="270">
        <f>IF(AND($E$2="No",$E$3="No"),SUM(H13:K13),IF(AND($E$2="Yes", $E$3="No"), SUM(H13:K13)+M13, IF(AND($E$2="No", $E$3="Yes"),SUM(H13:K13)+L13, SUM(H13:K13)+M13+L13)))</f>
        <v>-2.4831942943822891E-2</v>
      </c>
      <c r="E13" s="90">
        <f>IF(AND($E$2="No",$E$3="No"),SUM(G13:K13,N13:O13),IF(AND($E$2="Yes",$E$3="No"), SUM(G13:K13,N13:O13)+M13, IF(AND($E$2="No", $E$3="Yes"),SUM(G13:K13,N13:O13)+L13, SUM(G13:K13,N13:O13)+M13+L13)))</f>
        <v>0.26725346498581393</v>
      </c>
      <c r="F13" s="278"/>
      <c r="G13" s="90">
        <f>G9</f>
        <v>0.20251717432708741</v>
      </c>
      <c r="H13" s="90">
        <f t="shared" ref="H13:L13" si="0">H9</f>
        <v>0</v>
      </c>
      <c r="I13" s="90">
        <f t="shared" si="0"/>
        <v>0</v>
      </c>
      <c r="J13" s="90">
        <f t="shared" si="0"/>
        <v>0</v>
      </c>
      <c r="K13" s="90">
        <f t="shared" si="0"/>
        <v>0</v>
      </c>
      <c r="L13" s="90">
        <f t="shared" si="0"/>
        <v>-4.3977760303201947E-2</v>
      </c>
      <c r="M13" s="90">
        <f>M9</f>
        <v>1.9145817359379057E-2</v>
      </c>
      <c r="N13" s="90">
        <f>N9*'Common input data'!$C$63/'Common input data'!$B$63</f>
        <v>7.9026283286290896E-2</v>
      </c>
      <c r="O13" s="90">
        <f>O9*'Common input data'!$C$63/'Common input data'!$B$63</f>
        <v>1.0541950316258542E-2</v>
      </c>
      <c r="P13" s="90">
        <v>0</v>
      </c>
      <c r="Q13" s="349">
        <f>IF(AND($E$2="No",$E$3="No"),SUM(G13:K13,N13:P13),IF(AND($E$2="Yes",$E$3="No"), SUM(G13:K13,N13:P13)+M13, IF(AND($E$2="No", $E$3="Yes"),SUM(G13:K13,N13:P13)+L13, SUM(G13:K13,N13:P13)+M13+L13)))</f>
        <v>0.26725346498581393</v>
      </c>
      <c r="R13" s="90"/>
      <c r="S13" s="90"/>
      <c r="T13" s="144"/>
    </row>
    <row r="14" spans="1:294" s="84" customFormat="1" x14ac:dyDescent="0.3">
      <c r="A14" s="301"/>
      <c r="B14" s="90"/>
      <c r="C14" s="83" t="s">
        <v>165</v>
      </c>
      <c r="D14" s="270">
        <f>SUM(H14:K14)</f>
        <v>2.0989619994048154E-2</v>
      </c>
      <c r="E14" s="90">
        <f>SUM(G14:K14,N14:O14)</f>
        <v>2.1209295795923525E-2</v>
      </c>
      <c r="F14" s="278"/>
      <c r="G14" s="90">
        <f t="shared" ref="G14:M15" si="1">G10</f>
        <v>2.1681838177665575E-4</v>
      </c>
      <c r="H14" s="90">
        <f t="shared" si="1"/>
        <v>0</v>
      </c>
      <c r="I14" s="90">
        <f t="shared" si="1"/>
        <v>1.371521804893912E-3</v>
      </c>
      <c r="J14" s="90">
        <f t="shared" si="1"/>
        <v>0</v>
      </c>
      <c r="K14" s="90">
        <f t="shared" si="1"/>
        <v>1.9618098189154241E-2</v>
      </c>
      <c r="L14" s="90">
        <f t="shared" si="1"/>
        <v>0</v>
      </c>
      <c r="M14" s="90">
        <f t="shared" si="1"/>
        <v>0</v>
      </c>
      <c r="N14" s="90">
        <f>N10*'Common input data'!$C$63/'Common input data'!$B$63</f>
        <v>0</v>
      </c>
      <c r="O14" s="90">
        <f>O10*'Common input data'!$C$63/'Common input data'!$B$63</f>
        <v>2.857420098714226E-6</v>
      </c>
      <c r="P14" s="90">
        <v>0</v>
      </c>
      <c r="Q14" s="85">
        <f>SUM(G14:P14)</f>
        <v>2.1209295795923525E-2</v>
      </c>
      <c r="R14" s="90"/>
      <c r="S14" s="90"/>
      <c r="T14" s="144"/>
    </row>
    <row r="15" spans="1:294" s="84" customFormat="1" x14ac:dyDescent="0.3">
      <c r="A15" s="301"/>
      <c r="B15" s="90"/>
      <c r="C15" s="252" t="s">
        <v>166</v>
      </c>
      <c r="D15" s="780">
        <f>SUM(H15:K15)</f>
        <v>8.0590198954664616E-4</v>
      </c>
      <c r="E15" s="108">
        <f>SUM(G15:K15,N15:O15)</f>
        <v>1.0110498081794294E-3</v>
      </c>
      <c r="F15" s="521"/>
      <c r="G15" s="90">
        <f t="shared" si="1"/>
        <v>2.0488144358135854E-4</v>
      </c>
      <c r="H15" s="90">
        <f t="shared" si="1"/>
        <v>5.1785770885175208E-4</v>
      </c>
      <c r="I15" s="90">
        <f t="shared" si="1"/>
        <v>2.6552793907859667E-4</v>
      </c>
      <c r="J15" s="90">
        <f t="shared" si="1"/>
        <v>2.2516341616297461E-5</v>
      </c>
      <c r="K15" s="90">
        <f t="shared" si="1"/>
        <v>0</v>
      </c>
      <c r="L15" s="90">
        <f t="shared" si="1"/>
        <v>0</v>
      </c>
      <c r="M15" s="90">
        <f t="shared" si="1"/>
        <v>0</v>
      </c>
      <c r="N15" s="90">
        <f>N11*'Common input data'!$C$63/'Common input data'!$B$63</f>
        <v>0</v>
      </c>
      <c r="O15" s="90">
        <f>O11*'Common input data'!$C$63/'Common input data'!$B$63</f>
        <v>2.663750514245817E-7</v>
      </c>
      <c r="P15" s="90">
        <v>0</v>
      </c>
      <c r="Q15" s="85">
        <f>SUM(G15:P15)</f>
        <v>1.0110498081794294E-3</v>
      </c>
      <c r="R15" s="90"/>
      <c r="S15" s="90"/>
      <c r="T15" s="144"/>
    </row>
    <row r="16" spans="1:294" s="414" customFormat="1" ht="17.399999999999999" x14ac:dyDescent="0.3">
      <c r="A16" s="481" t="s">
        <v>552</v>
      </c>
      <c r="B16" s="482"/>
      <c r="C16" s="482"/>
      <c r="D16" s="777" t="s">
        <v>803</v>
      </c>
      <c r="E16" s="778" t="s">
        <v>803</v>
      </c>
      <c r="F16" s="779" t="s">
        <v>803</v>
      </c>
      <c r="G16" s="483"/>
      <c r="P16" s="483"/>
      <c r="Q16" s="483"/>
      <c r="R16" s="482"/>
      <c r="S16" s="482"/>
      <c r="T16" s="14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c r="DY16" s="84"/>
      <c r="DZ16" s="84"/>
      <c r="EA16" s="84"/>
      <c r="EB16" s="84"/>
      <c r="EC16" s="84"/>
      <c r="ED16" s="84"/>
      <c r="EE16" s="84"/>
      <c r="EF16" s="84"/>
      <c r="EG16" s="84"/>
      <c r="EH16" s="84"/>
      <c r="EI16" s="84"/>
      <c r="EJ16" s="84"/>
      <c r="EK16" s="84"/>
      <c r="EL16" s="84"/>
      <c r="EM16" s="84"/>
      <c r="EN16" s="84"/>
      <c r="EO16" s="84"/>
      <c r="EP16" s="84"/>
      <c r="EQ16" s="84"/>
      <c r="ER16" s="84"/>
      <c r="ES16" s="84"/>
      <c r="ET16" s="84"/>
      <c r="EU16" s="84"/>
      <c r="EV16" s="84"/>
      <c r="EW16" s="84"/>
      <c r="EX16" s="84"/>
      <c r="EY16" s="84"/>
      <c r="EZ16" s="84"/>
      <c r="FA16" s="84"/>
      <c r="FB16" s="84"/>
      <c r="FC16" s="84"/>
      <c r="FD16" s="84"/>
      <c r="FE16" s="84"/>
      <c r="FF16" s="84"/>
      <c r="FG16" s="84"/>
      <c r="FH16" s="84"/>
      <c r="FI16" s="84"/>
      <c r="FJ16" s="84"/>
      <c r="FK16" s="84"/>
      <c r="FL16" s="84"/>
      <c r="FM16" s="84"/>
      <c r="FN16" s="84"/>
      <c r="FO16" s="84"/>
      <c r="FP16" s="84"/>
      <c r="FQ16" s="84"/>
      <c r="FR16" s="84"/>
      <c r="FS16" s="84"/>
      <c r="FT16" s="84"/>
      <c r="FU16" s="84"/>
      <c r="FV16" s="84"/>
      <c r="FW16" s="84"/>
      <c r="FX16" s="84"/>
      <c r="FY16" s="84"/>
      <c r="FZ16" s="84"/>
      <c r="GA16" s="84"/>
      <c r="GB16" s="84"/>
      <c r="GC16" s="84"/>
      <c r="GD16" s="84"/>
      <c r="GE16" s="84"/>
      <c r="GF16" s="84"/>
      <c r="GG16" s="84"/>
      <c r="GH16" s="84"/>
      <c r="GI16" s="84"/>
      <c r="GJ16" s="84"/>
      <c r="GK16" s="84"/>
      <c r="GL16" s="84"/>
      <c r="GM16" s="84"/>
      <c r="GN16" s="84"/>
      <c r="GO16" s="84"/>
      <c r="GP16" s="84"/>
      <c r="GQ16" s="84"/>
      <c r="GR16" s="84"/>
      <c r="GS16" s="84"/>
      <c r="GT16" s="84"/>
      <c r="GU16" s="84"/>
      <c r="GV16" s="84"/>
      <c r="GW16" s="84"/>
      <c r="GX16" s="84"/>
      <c r="GY16" s="84"/>
      <c r="GZ16" s="84"/>
      <c r="HA16" s="84"/>
      <c r="HB16" s="84"/>
      <c r="HC16" s="84"/>
      <c r="HD16" s="84"/>
      <c r="HE16" s="84"/>
      <c r="HF16" s="84"/>
      <c r="HG16" s="84"/>
      <c r="HH16" s="84"/>
      <c r="HI16" s="84"/>
      <c r="HJ16" s="84"/>
      <c r="HK16" s="84"/>
      <c r="HL16" s="84"/>
      <c r="HM16" s="84"/>
      <c r="HN16" s="84"/>
      <c r="HO16" s="84"/>
      <c r="HP16" s="84"/>
      <c r="HQ16" s="84"/>
      <c r="HR16" s="84"/>
      <c r="HS16" s="84"/>
      <c r="HT16" s="84"/>
      <c r="HU16" s="84"/>
      <c r="HV16" s="84"/>
      <c r="HW16" s="84"/>
      <c r="HX16" s="84"/>
      <c r="HY16" s="84"/>
      <c r="HZ16" s="84"/>
      <c r="IA16" s="84"/>
      <c r="IB16" s="84"/>
      <c r="IC16" s="84"/>
      <c r="ID16" s="84"/>
      <c r="IE16" s="84"/>
      <c r="IF16" s="84"/>
      <c r="IG16" s="84"/>
      <c r="IH16" s="84"/>
      <c r="II16" s="84"/>
      <c r="IJ16" s="84"/>
      <c r="IK16" s="84"/>
      <c r="IL16" s="84"/>
      <c r="IM16" s="84"/>
      <c r="IN16" s="84"/>
      <c r="IO16" s="84"/>
      <c r="IP16" s="84"/>
      <c r="IQ16" s="84"/>
      <c r="IR16" s="84"/>
      <c r="IS16" s="84"/>
      <c r="IT16" s="84"/>
      <c r="IU16" s="84"/>
      <c r="IV16" s="84"/>
      <c r="IW16" s="84"/>
      <c r="IX16" s="84"/>
      <c r="IY16" s="84"/>
      <c r="IZ16" s="84"/>
      <c r="JA16" s="84"/>
      <c r="JB16" s="84"/>
      <c r="JC16" s="84"/>
      <c r="JD16" s="84"/>
      <c r="JE16" s="84"/>
      <c r="JF16" s="84"/>
      <c r="JG16" s="84"/>
      <c r="JH16" s="84"/>
      <c r="JI16" s="84"/>
      <c r="JJ16" s="84"/>
      <c r="JK16" s="84"/>
      <c r="JL16" s="84"/>
      <c r="JM16" s="84"/>
      <c r="JN16" s="84"/>
      <c r="JO16" s="84"/>
      <c r="JP16" s="84"/>
      <c r="JQ16" s="84"/>
      <c r="JR16" s="84"/>
      <c r="JS16" s="84"/>
      <c r="JT16" s="84"/>
      <c r="JU16" s="84"/>
      <c r="JV16" s="84"/>
      <c r="JW16" s="84"/>
      <c r="JX16" s="84"/>
      <c r="JY16" s="84"/>
      <c r="JZ16" s="84"/>
      <c r="KA16" s="84"/>
      <c r="KB16" s="84"/>
      <c r="KC16" s="84"/>
      <c r="KD16" s="84"/>
      <c r="KE16" s="84"/>
      <c r="KF16" s="84"/>
      <c r="KG16" s="84"/>
      <c r="KH16" s="84"/>
    </row>
    <row r="17" spans="1:406" s="150" customFormat="1" ht="23.25" customHeight="1" x14ac:dyDescent="0.3">
      <c r="A17" s="143" t="s">
        <v>1</v>
      </c>
      <c r="B17" s="106">
        <f>'Input data dairy products'!C4</f>
        <v>1</v>
      </c>
      <c r="C17" s="269" t="s">
        <v>473</v>
      </c>
      <c r="D17" s="769">
        <f>IF($E$1="GWP100 without fb",D18+D19*'Common input data'!$C$5+D20*'Common input data'!$D$5,IF($E$1="GWP100 with fb",D18+D19*'Common input data'!$C$6+D20*'Common input data'!$D$6,IF($E$1="GTP100 without fb",D18+D19*'Common input data'!$C$7+D20*'Common input data'!$D$7,IF($E$1="GTP100 with fb",D18+D19*'Common input data'!$C$8+D20*'Common input data'!$D$8,D18+D19*'Common input data'!$C$9+D20*'Common input data'!$D$9))))</f>
        <v>0.92897392973871495</v>
      </c>
      <c r="E17" s="326">
        <f>IF($E$1="GWP100 without fb",E18+E19*'Common input data'!$C$5+E20*'Common input data'!$D$5,IF($E$1="GWP100 with fb",E18+E19*'Common input data'!$C$6+E20*'Common input data'!$D$6,IF($E$1="GTP100 without fb",E18+E19*'Common input data'!$C$7+E20*'Common input data'!$D$7,IF($E$1="GTP100 with fb",E18+E19*'Common input data'!$C$8+E20*'Common input data'!$D$8,E18+E19*'Common input data'!$C$9+E20*'Common input data'!$D$9))))</f>
        <v>1.2294268950577565</v>
      </c>
      <c r="F17" s="770">
        <f>IF($E$1="GWP100 without fb",F18+F19*'Common input data'!$C$5+F20*'Common input data'!$D$5,IF($E$1="GWP100 with fb",F18+F19*'Common input data'!$C$6+F20*'Common input data'!$D$6,IF($E$1="GTP100 without fb",F18+F19*'Common input data'!$C$7+F20*'Common input data'!$D$7,IF($E$1="GTP100 with fb",F18+F19*'Common input data'!$C$8+F20*'Common input data'!$D$8,F18+F19*'Common input data'!$C$9+F20*'Common input data'!$D$9))))</f>
        <v>1.3693545495444139</v>
      </c>
      <c r="G17" s="106"/>
      <c r="H17" s="106"/>
      <c r="I17" s="106"/>
      <c r="J17" s="106"/>
      <c r="K17" s="106"/>
      <c r="L17" s="106"/>
      <c r="M17" s="106"/>
      <c r="N17" s="106"/>
      <c r="O17" s="106"/>
      <c r="P17" s="106"/>
      <c r="Q17" s="106"/>
      <c r="R17" s="106"/>
      <c r="S17" s="106"/>
      <c r="T17" s="301"/>
      <c r="U17" s="252"/>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2"/>
      <c r="AS17" s="252"/>
      <c r="AT17" s="252"/>
      <c r="AU17" s="252"/>
      <c r="AV17" s="252"/>
      <c r="AW17" s="252"/>
      <c r="AX17" s="252"/>
      <c r="AY17" s="252"/>
      <c r="AZ17" s="252"/>
      <c r="BA17" s="252"/>
      <c r="BB17" s="252"/>
      <c r="BC17" s="252"/>
      <c r="BD17" s="252"/>
      <c r="BE17" s="252"/>
      <c r="BF17" s="252"/>
      <c r="BG17" s="252"/>
      <c r="BH17" s="252"/>
      <c r="BI17" s="252"/>
      <c r="BJ17" s="252"/>
      <c r="BK17" s="252"/>
      <c r="BL17" s="252"/>
      <c r="BM17" s="252"/>
      <c r="BN17" s="252"/>
      <c r="BO17" s="252"/>
      <c r="BP17" s="252"/>
      <c r="BQ17" s="252"/>
      <c r="BR17" s="252"/>
      <c r="BS17" s="252"/>
      <c r="BT17" s="252"/>
      <c r="BU17" s="252"/>
      <c r="BV17" s="252"/>
      <c r="BW17" s="252"/>
      <c r="BX17" s="252"/>
      <c r="BY17" s="252"/>
      <c r="BZ17" s="252"/>
      <c r="CA17" s="252"/>
      <c r="CB17" s="252"/>
      <c r="CC17" s="252"/>
      <c r="CD17" s="252"/>
      <c r="CE17" s="252"/>
      <c r="CF17" s="252"/>
      <c r="CG17" s="252"/>
      <c r="CH17" s="252"/>
      <c r="CI17" s="252"/>
      <c r="CJ17" s="252"/>
      <c r="CK17" s="252"/>
      <c r="CL17" s="252"/>
      <c r="CM17" s="252"/>
      <c r="CN17" s="252"/>
      <c r="CO17" s="252"/>
      <c r="CP17" s="252"/>
      <c r="CQ17" s="252"/>
      <c r="CR17" s="252"/>
      <c r="CS17" s="252"/>
      <c r="CT17" s="252"/>
      <c r="CU17" s="252"/>
      <c r="CV17" s="252"/>
      <c r="CW17" s="252"/>
      <c r="CX17" s="252"/>
      <c r="CY17" s="252"/>
      <c r="CZ17" s="252"/>
      <c r="DA17" s="252"/>
      <c r="DB17" s="252"/>
      <c r="DC17" s="252"/>
      <c r="DD17" s="252"/>
      <c r="DE17" s="252"/>
      <c r="DF17" s="252"/>
      <c r="DG17" s="252"/>
      <c r="DH17" s="252"/>
      <c r="DI17" s="252"/>
      <c r="DJ17" s="252"/>
      <c r="DK17" s="252"/>
      <c r="DL17" s="252"/>
      <c r="DM17" s="252"/>
      <c r="DN17" s="252"/>
      <c r="DO17" s="252"/>
      <c r="DP17" s="252"/>
      <c r="DQ17" s="252"/>
      <c r="DR17" s="252"/>
      <c r="DS17" s="252"/>
      <c r="DT17" s="252"/>
      <c r="DU17" s="252"/>
      <c r="DV17" s="252"/>
      <c r="DW17" s="252"/>
      <c r="DX17" s="252"/>
      <c r="DY17" s="252"/>
      <c r="DZ17" s="252"/>
      <c r="EA17" s="252"/>
      <c r="EB17" s="252"/>
      <c r="EC17" s="252"/>
      <c r="ED17" s="252"/>
      <c r="EE17" s="252"/>
      <c r="EF17" s="252"/>
      <c r="EG17" s="252"/>
      <c r="EH17" s="252"/>
      <c r="EI17" s="252"/>
      <c r="EJ17" s="252"/>
      <c r="EK17" s="252"/>
      <c r="EL17" s="252"/>
      <c r="EM17" s="252"/>
      <c r="EN17" s="252"/>
      <c r="EO17" s="252"/>
      <c r="EP17" s="252"/>
      <c r="EQ17" s="252"/>
      <c r="ER17" s="252"/>
      <c r="ES17" s="252"/>
      <c r="ET17" s="252"/>
      <c r="EU17" s="252"/>
      <c r="EV17" s="252"/>
      <c r="EW17" s="252"/>
      <c r="EX17" s="252"/>
      <c r="EY17" s="252"/>
      <c r="EZ17" s="252"/>
      <c r="FA17" s="252"/>
      <c r="FB17" s="252"/>
      <c r="FC17" s="252"/>
      <c r="FD17" s="252"/>
      <c r="FE17" s="252"/>
      <c r="FF17" s="252"/>
      <c r="FG17" s="252"/>
      <c r="FH17" s="252"/>
      <c r="FI17" s="252"/>
      <c r="FJ17" s="252"/>
      <c r="FK17" s="252"/>
      <c r="FL17" s="252"/>
      <c r="FM17" s="252"/>
      <c r="FN17" s="252"/>
      <c r="FO17" s="252"/>
      <c r="FP17" s="252"/>
      <c r="FQ17" s="252"/>
      <c r="FR17" s="252"/>
      <c r="FS17" s="252"/>
      <c r="FT17" s="252"/>
      <c r="FU17" s="252"/>
      <c r="FV17" s="252"/>
      <c r="FW17" s="252"/>
      <c r="FX17" s="252"/>
      <c r="FY17" s="252"/>
      <c r="FZ17" s="252"/>
      <c r="GA17" s="252"/>
      <c r="GB17" s="252"/>
      <c r="GC17" s="252"/>
      <c r="GD17" s="252"/>
      <c r="GE17" s="252"/>
      <c r="GF17" s="252"/>
      <c r="GG17" s="252"/>
      <c r="GH17" s="252"/>
      <c r="GI17" s="252"/>
      <c r="GJ17" s="252"/>
      <c r="GK17" s="252"/>
      <c r="GL17" s="252"/>
      <c r="GM17" s="252"/>
      <c r="GN17" s="252"/>
      <c r="GO17" s="252"/>
      <c r="GP17" s="252"/>
      <c r="GQ17" s="252"/>
      <c r="GR17" s="252"/>
      <c r="GS17" s="252"/>
      <c r="GT17" s="252"/>
      <c r="GU17" s="252"/>
      <c r="GV17" s="252"/>
      <c r="GW17" s="252"/>
      <c r="GX17" s="252"/>
      <c r="GY17" s="252"/>
      <c r="GZ17" s="252"/>
      <c r="HA17" s="252"/>
      <c r="HB17" s="252"/>
      <c r="HC17" s="252"/>
      <c r="HD17" s="252"/>
      <c r="HE17" s="252"/>
      <c r="HF17" s="252"/>
      <c r="HG17" s="252"/>
      <c r="HH17" s="252"/>
      <c r="HI17" s="252"/>
      <c r="HJ17" s="252"/>
      <c r="HK17" s="252"/>
      <c r="HL17" s="252"/>
      <c r="HM17" s="252"/>
      <c r="HN17" s="252"/>
      <c r="HO17" s="252"/>
      <c r="HP17" s="252"/>
      <c r="HQ17" s="252"/>
      <c r="HR17" s="252"/>
      <c r="HS17" s="252"/>
      <c r="HT17" s="252"/>
      <c r="HU17" s="252"/>
      <c r="HV17" s="252"/>
      <c r="HW17" s="252"/>
      <c r="HX17" s="252"/>
      <c r="HY17" s="252"/>
      <c r="HZ17" s="252"/>
      <c r="IA17" s="252"/>
      <c r="IB17" s="252"/>
      <c r="IC17" s="252"/>
      <c r="ID17" s="252"/>
      <c r="IE17" s="252"/>
      <c r="IF17" s="252"/>
      <c r="IG17" s="252"/>
      <c r="IH17" s="252"/>
      <c r="II17" s="252"/>
      <c r="IJ17" s="252"/>
      <c r="IK17" s="252"/>
      <c r="IL17" s="252"/>
      <c r="IM17" s="252"/>
      <c r="IN17" s="252"/>
      <c r="IO17" s="252"/>
      <c r="IP17" s="252"/>
      <c r="IQ17" s="252"/>
      <c r="IR17" s="252"/>
      <c r="IS17" s="252"/>
      <c r="IT17" s="252"/>
      <c r="IU17" s="252"/>
      <c r="IV17" s="252"/>
      <c r="IW17" s="252"/>
      <c r="IX17" s="252"/>
      <c r="IY17" s="252"/>
      <c r="IZ17" s="252"/>
      <c r="JA17" s="252"/>
      <c r="JB17" s="252"/>
      <c r="JC17" s="252"/>
      <c r="JD17" s="252"/>
      <c r="JE17" s="252"/>
      <c r="JF17" s="252"/>
      <c r="JG17" s="252"/>
      <c r="JH17" s="252"/>
      <c r="JI17" s="252"/>
      <c r="JJ17" s="252"/>
      <c r="JK17" s="252"/>
      <c r="JL17" s="252"/>
      <c r="JM17" s="252"/>
      <c r="JN17" s="252"/>
      <c r="JO17" s="252"/>
      <c r="JP17" s="252"/>
      <c r="JQ17" s="252"/>
      <c r="JR17" s="252"/>
      <c r="JS17" s="252"/>
      <c r="JT17" s="252"/>
      <c r="JU17" s="252"/>
      <c r="JV17" s="252"/>
      <c r="JW17" s="252"/>
      <c r="JX17" s="252"/>
      <c r="JY17" s="252"/>
      <c r="JZ17" s="252"/>
      <c r="KA17" s="252"/>
      <c r="KB17" s="252"/>
      <c r="KC17" s="252"/>
      <c r="KD17" s="252"/>
      <c r="KE17" s="252"/>
      <c r="KF17" s="252"/>
      <c r="KG17" s="252"/>
      <c r="KH17" s="252"/>
    </row>
    <row r="18" spans="1:406" s="102" customFormat="1" x14ac:dyDescent="0.3">
      <c r="A18" s="301"/>
      <c r="B18" s="142"/>
      <c r="C18" s="83" t="s">
        <v>164</v>
      </c>
      <c r="D18" s="270">
        <f>IF(AND($E$2="No",$E$3="No"),SUM(H18:K18),IF(AND($E$2="Yes", $E$3="No"), SUM(H18:K18)+M18, IF(AND($E$2="No", $E$3="Yes"),SUM(H18:K18)+L18, SUM(H18:K18)+M18+L18)))</f>
        <v>-2.4831942943822891E-2</v>
      </c>
      <c r="E18" s="90">
        <f>IF(AND($E$2="No",$E$3="No"),SUM(G18:K18,N18:O18),IF(AND($E$2="Yes",$E$3="No"), SUM(G18:K18,N18:O18)+M18, IF(AND($E$2="No", $E$3="Yes"),SUM(G18:K18,N18:O18)+L18, SUM(G18:K18,N18:O18)+M18+L18)))</f>
        <v>0.20713648107630622</v>
      </c>
      <c r="F18" s="278">
        <f>SUM(Q18:S18)/(1-'Common input data'!B$127)</f>
        <v>0.32422246021095463</v>
      </c>
      <c r="G18" s="85">
        <f>'Input data dairy products'!$D$4*G9</f>
        <v>0.20251717432708741</v>
      </c>
      <c r="H18" s="85">
        <f>'Input data dairy products'!$D$4*H9</f>
        <v>0</v>
      </c>
      <c r="I18" s="85">
        <f>'Input data dairy products'!$D$4*I9</f>
        <v>0</v>
      </c>
      <c r="J18" s="85">
        <f>'Input data dairy products'!$D$4*J9</f>
        <v>0</v>
      </c>
      <c r="K18" s="85">
        <f>'Input data dairy products'!$D$4*K9</f>
        <v>0</v>
      </c>
      <c r="L18" s="85">
        <f>'Input data dairy products'!$D$4*L9</f>
        <v>-4.3977760303201947E-2</v>
      </c>
      <c r="M18" s="85">
        <f>'Input data dairy products'!$D$4*M9</f>
        <v>1.9145817359379057E-2</v>
      </c>
      <c r="N18" s="85">
        <f>N9*'Input data dairy products'!$D$4</f>
        <v>2.5984913487356671E-2</v>
      </c>
      <c r="O18" s="85">
        <f>O9*'Input data dairy products'!$D$4</f>
        <v>3.4663362056850124E-3</v>
      </c>
      <c r="P18" s="85">
        <f>'Input data dairy products'!B29</f>
        <v>0.03</v>
      </c>
      <c r="Q18" s="349">
        <f>IF(AND($E$2="No",$E$3="No"),SUM(G18:K18,N18:P18),IF(AND($E$2="Yes",$E$3="No"), SUM(G18:K18,N18:P18)+M18, IF(AND($E$2="No", $E$3="Yes"),SUM(G18:K18,N18:P18)+L18, SUM(G18:K18,N18:P18)+M18+L18)))</f>
        <v>0.23713648107630619</v>
      </c>
      <c r="R18" s="90">
        <f>'Common input data'!B$91</f>
        <v>0.05</v>
      </c>
      <c r="S18" s="90">
        <f>'Common input data'!C$98</f>
        <v>0.03</v>
      </c>
      <c r="T18" s="107"/>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c r="IW18" s="64"/>
      <c r="IX18" s="64"/>
      <c r="IY18" s="64"/>
      <c r="IZ18" s="64"/>
      <c r="JA18" s="64"/>
      <c r="JB18" s="64"/>
      <c r="JC18" s="64"/>
      <c r="JD18" s="64"/>
      <c r="JE18" s="64"/>
      <c r="JF18" s="64"/>
      <c r="JG18" s="64"/>
      <c r="JH18" s="64"/>
      <c r="JI18" s="64"/>
      <c r="JJ18" s="64"/>
      <c r="JK18" s="64"/>
      <c r="JL18" s="64"/>
      <c r="JM18" s="64"/>
      <c r="JN18" s="64"/>
      <c r="JO18" s="64"/>
      <c r="JP18" s="64"/>
      <c r="JQ18" s="64"/>
      <c r="JR18" s="64"/>
      <c r="JS18" s="64"/>
      <c r="JT18" s="64"/>
      <c r="JU18" s="64"/>
      <c r="JV18" s="64"/>
      <c r="JW18" s="64"/>
      <c r="JX18" s="64"/>
      <c r="JY18" s="64"/>
      <c r="JZ18" s="64"/>
      <c r="KA18" s="64"/>
      <c r="KB18" s="64"/>
      <c r="KC18" s="64"/>
      <c r="KD18" s="64"/>
      <c r="KE18" s="64"/>
      <c r="KF18" s="64"/>
      <c r="KG18" s="64"/>
      <c r="KH18" s="64"/>
      <c r="KI18" s="64"/>
      <c r="KJ18" s="64"/>
      <c r="KK18" s="64"/>
      <c r="KL18" s="64"/>
      <c r="KM18" s="64"/>
      <c r="KN18" s="64"/>
      <c r="KO18" s="64"/>
      <c r="KP18" s="64"/>
      <c r="KQ18" s="64"/>
      <c r="KR18" s="64"/>
      <c r="KS18" s="64"/>
      <c r="KT18" s="64"/>
      <c r="KU18" s="64"/>
      <c r="KV18" s="64"/>
      <c r="KW18" s="64"/>
      <c r="KX18" s="64"/>
      <c r="KY18" s="64"/>
      <c r="KZ18" s="64"/>
      <c r="LA18" s="64"/>
      <c r="LB18" s="64"/>
      <c r="LC18" s="64"/>
      <c r="LD18" s="64"/>
      <c r="LE18" s="64"/>
      <c r="LF18" s="64"/>
      <c r="LG18" s="64"/>
      <c r="LH18" s="64"/>
      <c r="LI18" s="64"/>
      <c r="LJ18" s="64"/>
      <c r="LK18" s="64"/>
      <c r="LL18" s="64"/>
      <c r="LM18" s="64"/>
      <c r="LN18" s="64"/>
      <c r="LO18" s="64"/>
      <c r="LP18" s="64"/>
      <c r="LQ18" s="64"/>
      <c r="LR18" s="64"/>
      <c r="LS18" s="64"/>
      <c r="LT18" s="64"/>
      <c r="LU18" s="64"/>
      <c r="LV18" s="64"/>
      <c r="LW18" s="64"/>
      <c r="LX18" s="64"/>
      <c r="LY18" s="64"/>
      <c r="LZ18" s="64"/>
      <c r="MA18" s="64"/>
      <c r="MB18" s="64"/>
      <c r="MC18" s="64"/>
      <c r="MD18" s="64"/>
      <c r="ME18" s="64"/>
      <c r="MF18" s="64"/>
      <c r="MG18" s="64"/>
      <c r="MH18" s="64"/>
      <c r="MI18" s="64"/>
      <c r="MJ18" s="64"/>
      <c r="MK18" s="64"/>
      <c r="ML18" s="64"/>
      <c r="MM18" s="64"/>
      <c r="MN18" s="64"/>
      <c r="MO18" s="64"/>
      <c r="MP18" s="64"/>
      <c r="MQ18" s="64"/>
      <c r="MR18" s="64"/>
      <c r="MS18" s="64"/>
      <c r="MT18" s="64"/>
      <c r="MU18" s="64"/>
      <c r="MV18" s="64"/>
      <c r="MW18" s="64"/>
      <c r="MX18" s="64"/>
      <c r="MY18" s="64"/>
      <c r="MZ18" s="64"/>
      <c r="NA18" s="64"/>
      <c r="NB18" s="64"/>
      <c r="NC18" s="64"/>
      <c r="ND18" s="64"/>
      <c r="NE18" s="64"/>
      <c r="NF18" s="64"/>
      <c r="NG18" s="64"/>
      <c r="NH18" s="64"/>
      <c r="NI18" s="64"/>
      <c r="NJ18" s="64"/>
      <c r="NK18" s="64"/>
      <c r="NL18" s="64"/>
      <c r="NM18" s="64"/>
      <c r="NN18" s="64"/>
      <c r="NO18" s="64"/>
      <c r="NP18" s="64"/>
      <c r="NQ18" s="64"/>
      <c r="NR18" s="64"/>
      <c r="NS18" s="64"/>
      <c r="NT18" s="64"/>
      <c r="NU18" s="64"/>
      <c r="NV18" s="64"/>
      <c r="NW18" s="64"/>
      <c r="NX18" s="64"/>
      <c r="NY18" s="64"/>
      <c r="NZ18" s="64"/>
      <c r="OA18" s="64"/>
      <c r="OB18" s="64"/>
      <c r="OC18" s="64"/>
      <c r="OD18" s="64"/>
      <c r="OE18" s="64"/>
      <c r="OF18" s="64"/>
      <c r="OG18" s="64"/>
      <c r="OH18" s="64"/>
      <c r="OI18" s="64"/>
      <c r="OJ18" s="64"/>
      <c r="OK18" s="64"/>
      <c r="OL18" s="64"/>
      <c r="OM18" s="64"/>
      <c r="ON18" s="64"/>
      <c r="OO18" s="64"/>
      <c r="OP18" s="64"/>
    </row>
    <row r="19" spans="1:406" x14ac:dyDescent="0.3">
      <c r="A19" s="141"/>
      <c r="B19" s="142"/>
      <c r="C19" s="83" t="s">
        <v>165</v>
      </c>
      <c r="D19" s="270">
        <f>SUM(H19:K19)</f>
        <v>2.0989619994048154E-2</v>
      </c>
      <c r="E19" s="90">
        <f>SUM(G19:K19,N19:O19)</f>
        <v>2.1207377934297948E-2</v>
      </c>
      <c r="F19" s="278">
        <f>SUM(Q19:S19)/(1-'Common input data'!B$127)</f>
        <v>2.1681227669380555E-2</v>
      </c>
      <c r="G19" s="85">
        <f>'Input data dairy products'!$D$4*G10</f>
        <v>2.1681838177665575E-4</v>
      </c>
      <c r="H19" s="85">
        <f>'Input data dairy products'!$D$4*H10</f>
        <v>0</v>
      </c>
      <c r="I19" s="85">
        <f>'Input data dairy products'!$D$4*I10</f>
        <v>1.371521804893912E-3</v>
      </c>
      <c r="J19" s="85">
        <f>'Input data dairy products'!$D$4*J10</f>
        <v>0</v>
      </c>
      <c r="K19" s="85">
        <f>'Input data dairy products'!$D$4*K10</f>
        <v>1.9618098189154241E-2</v>
      </c>
      <c r="L19" s="85">
        <f>'Input data dairy products'!$D$4*L10</f>
        <v>0</v>
      </c>
      <c r="M19" s="85">
        <f>'Input data dairy products'!$D$4*M10</f>
        <v>0</v>
      </c>
      <c r="N19" s="85">
        <f>N10*'Input data dairy products'!$D$4</f>
        <v>0</v>
      </c>
      <c r="O19" s="85">
        <f>O10*'Input data dairy products'!$D$4</f>
        <v>9.3955847313654224E-7</v>
      </c>
      <c r="P19" s="85">
        <v>0</v>
      </c>
      <c r="Q19" s="85">
        <f>SUM(G19:P19)</f>
        <v>2.1207377934297948E-2</v>
      </c>
      <c r="R19" s="90">
        <v>0</v>
      </c>
      <c r="S19" s="90">
        <v>0</v>
      </c>
      <c r="T19" s="107"/>
    </row>
    <row r="20" spans="1:406" x14ac:dyDescent="0.3">
      <c r="A20" s="141"/>
      <c r="B20" s="85"/>
      <c r="C20" s="84" t="s">
        <v>166</v>
      </c>
      <c r="D20" s="780">
        <f>SUM(H20:K20)</f>
        <v>8.0590198954664616E-4</v>
      </c>
      <c r="E20" s="108">
        <f>SUM(G20:K20,N20:O20)</f>
        <v>1.0108710208567783E-3</v>
      </c>
      <c r="F20" s="521">
        <f>SUM(Q20:S20)/(1-'Common input data'!B$127)</f>
        <v>1.0334575455520825E-3</v>
      </c>
      <c r="G20" s="85">
        <f>'Input data dairy products'!$D$4*G11</f>
        <v>2.0488144358135854E-4</v>
      </c>
      <c r="H20" s="85">
        <f>'Input data dairy products'!$D$4*H11</f>
        <v>5.1785770885175208E-4</v>
      </c>
      <c r="I20" s="85">
        <f>'Input data dairy products'!$D$4*I11</f>
        <v>2.6552793907859667E-4</v>
      </c>
      <c r="J20" s="85">
        <f>'Input data dairy products'!$D$4*J11</f>
        <v>2.2516341616297461E-5</v>
      </c>
      <c r="K20" s="85">
        <f>'Input data dairy products'!$D$4*K11</f>
        <v>0</v>
      </c>
      <c r="L20" s="85">
        <f>'Input data dairy products'!$D$4*L11</f>
        <v>0</v>
      </c>
      <c r="M20" s="85">
        <f>'Input data dairy products'!$D$4*M11</f>
        <v>0</v>
      </c>
      <c r="N20" s="85">
        <f>N11*'Input data dairy products'!$D$4</f>
        <v>0</v>
      </c>
      <c r="O20" s="85">
        <f>O11*'Input data dairy products'!$D$4</f>
        <v>8.7587728773506539E-8</v>
      </c>
      <c r="P20" s="85">
        <v>0</v>
      </c>
      <c r="Q20" s="85">
        <f>SUM(G20:P20)</f>
        <v>1.0108710208567783E-3</v>
      </c>
      <c r="R20" s="90">
        <v>0</v>
      </c>
      <c r="S20" s="90">
        <v>0</v>
      </c>
      <c r="T20" s="107"/>
    </row>
    <row r="21" spans="1:406" s="416" customFormat="1" x14ac:dyDescent="0.3">
      <c r="A21" s="426" t="s">
        <v>549</v>
      </c>
      <c r="B21" s="413"/>
      <c r="C21" s="414"/>
      <c r="D21" s="777" t="s">
        <v>793</v>
      </c>
      <c r="E21" s="778" t="s">
        <v>793</v>
      </c>
      <c r="F21" s="779" t="s">
        <v>793</v>
      </c>
      <c r="G21" s="413"/>
      <c r="P21" s="413"/>
      <c r="Q21" s="413"/>
      <c r="R21" s="415"/>
      <c r="S21" s="415"/>
      <c r="T21" s="107"/>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c r="IW21" s="64"/>
      <c r="IX21" s="64"/>
      <c r="IY21" s="64"/>
      <c r="IZ21" s="64"/>
      <c r="JA21" s="64"/>
      <c r="JB21" s="64"/>
      <c r="JC21" s="64"/>
      <c r="JD21" s="64"/>
      <c r="JE21" s="64"/>
      <c r="JF21" s="64"/>
      <c r="JG21" s="64"/>
      <c r="JH21" s="64"/>
      <c r="JI21" s="64"/>
      <c r="JJ21" s="64"/>
      <c r="JK21" s="64"/>
      <c r="JL21" s="64"/>
      <c r="JM21" s="64"/>
      <c r="JN21" s="64"/>
      <c r="JO21" s="64"/>
      <c r="JP21" s="64"/>
      <c r="JQ21" s="64"/>
      <c r="JR21" s="64"/>
      <c r="JS21" s="64"/>
      <c r="JT21" s="64"/>
      <c r="JU21" s="64"/>
      <c r="JV21" s="64"/>
      <c r="JW21" s="64"/>
      <c r="JX21" s="64"/>
      <c r="JY21" s="64"/>
      <c r="JZ21" s="64"/>
      <c r="KA21" s="64"/>
      <c r="KB21" s="64"/>
      <c r="KC21" s="64"/>
      <c r="KD21" s="64"/>
      <c r="KE21" s="64"/>
      <c r="KF21" s="64"/>
      <c r="KG21" s="64"/>
      <c r="KH21" s="64"/>
    </row>
    <row r="22" spans="1:406" s="102" customFormat="1" x14ac:dyDescent="0.3">
      <c r="A22" s="143" t="s">
        <v>260</v>
      </c>
      <c r="B22" s="110">
        <f>SUM(B26:B34)</f>
        <v>1</v>
      </c>
      <c r="C22" s="269" t="s">
        <v>473</v>
      </c>
      <c r="D22" s="769">
        <f>IF($E$1="GWP100 without fb",D23+D24*'Common input data'!$C$5+D25*'Common input data'!$D$5,IF($E$1="GWP100 with fb",D23+D24*'Common input data'!$C$6+D25*'Common input data'!$D$6,IF($E$1="GTP100 without fb",D23+D24*'Common input data'!$C$7+D25*'Common input data'!$D$7,IF($E$1="GTP100 with fb",D23+D24*'Common input data'!$C$8+D25*'Common input data'!$D$8,D23+D24*'Common input data'!$C$9+D25*'Common input data'!$D$9))))</f>
        <v>9.1411034686289536</v>
      </c>
      <c r="E22" s="326">
        <f>IF($E$1="GWP100 without fb",E23+E24*'Common input data'!$C$5+E25*'Common input data'!$D$5,IF($E$1="GWP100 with fb",E23+E24*'Common input data'!$C$6+E25*'Common input data'!$D$6,IF($E$1="GTP100 without fb",E23+E24*'Common input data'!$C$7+E25*'Common input data'!$D$7,IF($E$1="GTP100 with fb",E23+E24*'Common input data'!$C$8+E25*'Common input data'!$D$8,E23+E24*'Common input data'!$C$9+E25*'Common input data'!$D$9))))</f>
        <v>12.204249711525776</v>
      </c>
      <c r="F22" s="770">
        <f>IF($E$1="GWP100 without fb",F23+F24*'Common input data'!$C$5+F25*'Common input data'!$D$5,IF($E$1="GWP100 with fb",F23+F24*'Common input data'!$C$6+F25*'Common input data'!$D$6,IF($E$1="GTP100 without fb",F23+F24*'Common input data'!$C$7+F25*'Common input data'!$D$7,IF($E$1="GTP100 with fb",F23+F24*'Common input data'!$C$8+F25*'Common input data'!$D$8,F23+F24*'Common input data'!$C$9+F25*'Common input data'!$D$9))))</f>
        <v>12.667051931606615</v>
      </c>
      <c r="G22" s="280"/>
      <c r="P22" s="280"/>
      <c r="Q22" s="280"/>
      <c r="R22" s="269"/>
      <c r="S22" s="269"/>
      <c r="T22" s="107"/>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c r="IW22" s="64"/>
      <c r="IX22" s="64"/>
      <c r="IY22" s="64"/>
      <c r="IZ22" s="64"/>
      <c r="JA22" s="64"/>
      <c r="JB22" s="64"/>
      <c r="JC22" s="64"/>
      <c r="JD22" s="64"/>
      <c r="JE22" s="64"/>
      <c r="JF22" s="64"/>
      <c r="JG22" s="64"/>
      <c r="JH22" s="64"/>
      <c r="JI22" s="64"/>
      <c r="JJ22" s="64"/>
      <c r="JK22" s="64"/>
      <c r="JL22" s="64"/>
      <c r="JM22" s="64"/>
      <c r="JN22" s="64"/>
      <c r="JO22" s="64"/>
      <c r="JP22" s="64"/>
      <c r="JQ22" s="64"/>
      <c r="JR22" s="64"/>
      <c r="JS22" s="64"/>
      <c r="JT22" s="64"/>
      <c r="JU22" s="64"/>
      <c r="JV22" s="64"/>
      <c r="JW22" s="64"/>
      <c r="JX22" s="64"/>
      <c r="JY22" s="64"/>
      <c r="JZ22" s="64"/>
      <c r="KA22" s="64"/>
      <c r="KB22" s="64"/>
      <c r="KC22" s="64"/>
      <c r="KD22" s="64"/>
      <c r="KE22" s="64"/>
      <c r="KF22" s="64"/>
      <c r="KG22" s="64"/>
      <c r="KH22" s="64"/>
    </row>
    <row r="23" spans="1:406" x14ac:dyDescent="0.3">
      <c r="A23" s="107"/>
      <c r="C23" s="83" t="s">
        <v>164</v>
      </c>
      <c r="D23" s="270">
        <f>$B$26*D27+$B$30*D31+$B$34*D35</f>
        <v>-0.24434631856721722</v>
      </c>
      <c r="E23" s="90">
        <f t="shared" ref="E23:S25" si="2">$B$26*E27+$B$30*E31+$B$34*E35</f>
        <v>2.1447021756913731</v>
      </c>
      <c r="F23" s="278">
        <f t="shared" si="2"/>
        <v>2.3827376212245208</v>
      </c>
      <c r="G23" s="90">
        <f>$B$26*G27+$B$30*G31+$B$34*G35</f>
        <v>1.9927689953785404</v>
      </c>
      <c r="H23" s="90">
        <f t="shared" si="2"/>
        <v>0</v>
      </c>
      <c r="I23" s="90">
        <f t="shared" si="2"/>
        <v>0</v>
      </c>
      <c r="J23" s="90">
        <f t="shared" si="2"/>
        <v>0</v>
      </c>
      <c r="K23" s="90">
        <f t="shared" si="2"/>
        <v>0</v>
      </c>
      <c r="L23" s="90">
        <f t="shared" si="2"/>
        <v>-0.43274116138350721</v>
      </c>
      <c r="M23" s="90">
        <f t="shared" si="2"/>
        <v>0.18839484281628993</v>
      </c>
      <c r="N23" s="90">
        <f t="shared" si="2"/>
        <v>0.34963842290346192</v>
      </c>
      <c r="O23" s="90">
        <f t="shared" si="2"/>
        <v>4.6641075976588356E-2</v>
      </c>
      <c r="P23" s="90">
        <f t="shared" si="2"/>
        <v>6.096E-2</v>
      </c>
      <c r="Q23" s="90">
        <f t="shared" si="2"/>
        <v>2.2056621756913732</v>
      </c>
      <c r="R23" s="90">
        <f t="shared" si="2"/>
        <v>0.05</v>
      </c>
      <c r="S23" s="90">
        <f t="shared" si="2"/>
        <v>7.5000000000000011E-2</v>
      </c>
      <c r="T23" s="107"/>
    </row>
    <row r="24" spans="1:406" x14ac:dyDescent="0.3">
      <c r="A24" s="141"/>
      <c r="B24" s="142"/>
      <c r="C24" s="83" t="s">
        <v>165</v>
      </c>
      <c r="D24" s="270">
        <f>$B$26*D28+$B$30*D32+$B$34*D36</f>
        <v>0.20653786074143382</v>
      </c>
      <c r="E24" s="90">
        <f t="shared" si="2"/>
        <v>0.20868399579000302</v>
      </c>
      <c r="F24" s="278">
        <f t="shared" si="2"/>
        <v>0.21334675308265022</v>
      </c>
      <c r="G24" s="90">
        <f>$B$26*G28+$B$30*G32+$B$34*G36</f>
        <v>2.1334928766822926E-3</v>
      </c>
      <c r="H24" s="90">
        <f t="shared" si="2"/>
        <v>0</v>
      </c>
      <c r="I24" s="90">
        <f t="shared" si="2"/>
        <v>1.3495774560156094E-2</v>
      </c>
      <c r="J24" s="90">
        <f t="shared" si="2"/>
        <v>0</v>
      </c>
      <c r="K24" s="90">
        <f t="shared" si="2"/>
        <v>0.19304208618127772</v>
      </c>
      <c r="L24" s="90">
        <f t="shared" si="2"/>
        <v>0</v>
      </c>
      <c r="M24" s="90">
        <f t="shared" si="2"/>
        <v>0</v>
      </c>
      <c r="N24" s="90">
        <f t="shared" si="2"/>
        <v>0</v>
      </c>
      <c r="O24" s="90">
        <f t="shared" si="2"/>
        <v>1.2642171886886769E-5</v>
      </c>
      <c r="P24" s="90">
        <f t="shared" si="2"/>
        <v>0</v>
      </c>
      <c r="Q24" s="90">
        <f t="shared" si="2"/>
        <v>0.20868399579000302</v>
      </c>
      <c r="R24" s="90">
        <f t="shared" si="2"/>
        <v>0</v>
      </c>
      <c r="S24" s="90">
        <f t="shared" si="2"/>
        <v>0</v>
      </c>
      <c r="T24" s="107"/>
    </row>
    <row r="25" spans="1:406" x14ac:dyDescent="0.3">
      <c r="A25" s="141"/>
      <c r="B25" s="85"/>
      <c r="C25" s="84" t="s">
        <v>166</v>
      </c>
      <c r="D25" s="270">
        <f>$B$26*D29+$B$30*D33+$B$34*D37</f>
        <v>7.930075577138998E-3</v>
      </c>
      <c r="E25" s="90">
        <f t="shared" si="2"/>
        <v>9.9472875133365755E-3</v>
      </c>
      <c r="F25" s="278">
        <f t="shared" si="2"/>
        <v>1.0169545991852305E-2</v>
      </c>
      <c r="G25" s="90">
        <f>$B$26*G29+$B$30*G33+$B$34*G37</f>
        <v>2.0160334048405682E-3</v>
      </c>
      <c r="H25" s="90">
        <f t="shared" si="2"/>
        <v>5.0957198551012401E-3</v>
      </c>
      <c r="I25" s="90">
        <f t="shared" si="2"/>
        <v>2.6127949205333907E-3</v>
      </c>
      <c r="J25" s="90">
        <f t="shared" si="2"/>
        <v>2.2156080150436699E-4</v>
      </c>
      <c r="K25" s="90">
        <f t="shared" si="2"/>
        <v>0</v>
      </c>
      <c r="L25" s="90">
        <f t="shared" si="2"/>
        <v>0</v>
      </c>
      <c r="M25" s="90">
        <f t="shared" si="2"/>
        <v>0</v>
      </c>
      <c r="N25" s="90">
        <f t="shared" si="2"/>
        <v>0</v>
      </c>
      <c r="O25" s="90">
        <f t="shared" si="2"/>
        <v>1.1785313570108886E-6</v>
      </c>
      <c r="P25" s="90">
        <f t="shared" si="2"/>
        <v>0</v>
      </c>
      <c r="Q25" s="90">
        <f t="shared" si="2"/>
        <v>9.9472875133365755E-3</v>
      </c>
      <c r="R25" s="90">
        <f t="shared" si="2"/>
        <v>0</v>
      </c>
      <c r="S25" s="90">
        <f t="shared" si="2"/>
        <v>0</v>
      </c>
      <c r="T25" s="107"/>
    </row>
    <row r="26" spans="1:406" s="102" customFormat="1" x14ac:dyDescent="0.3">
      <c r="A26" s="143" t="s">
        <v>1</v>
      </c>
      <c r="B26" s="110">
        <f>'Input data dairy products'!C6</f>
        <v>0.64</v>
      </c>
      <c r="C26" s="269" t="s">
        <v>473</v>
      </c>
      <c r="D26" s="320">
        <f>IF($E$1="GWP100 without fb",D27+D28*'Common input data'!$C$5+D29*'Common input data'!$D$5,IF($E$1="GWP100 with fb",D27+D28*'Common input data'!$C$6+D29*'Common input data'!$D$6,IF($E$1="GTP100 without fb",D27+D28*'Common input data'!$C$7+D29*'Common input data'!$D$7,IF($E$1="GTP100 with fb",D27+D28*'Common input data'!$C$8+D29*'Common input data'!$D$8,D27+D28*'Common input data'!$C$9+D29*'Common input data'!$D$9))))</f>
        <v>9.1411034686289536</v>
      </c>
      <c r="E26" s="302">
        <f>IF($E$1="GWP100 without fb",E27+E28*'Common input data'!$C$5+E29*'Common input data'!$D$5,IF($E$1="GWP100 with fb",E27+E28*'Common input data'!$C$6+E29*'Common input data'!$D$6,IF($E$1="GTP100 without fb",E27+E28*'Common input data'!$C$7+E29*'Common input data'!$D$7,IF($E$1="GTP100 with fb",E27+E28*'Common input data'!$C$8+E29*'Common input data'!$D$8,E27+E28*'Common input data'!$C$9+E29*'Common input data'!$D$9))))</f>
        <v>12.09756064736832</v>
      </c>
      <c r="F26" s="321">
        <f>IF($E$1="GWP100 without fb",F27+F28*'Common input data'!$C$5+F29*'Common input data'!$D$5,IF($E$1="GWP100 with fb",F27+F28*'Common input data'!$C$6+F29*'Common input data'!$D$6,IF($E$1="GTP100 without fb",F27+F28*'Common input data'!$C$7+F29*'Common input data'!$D$7,IF($E$1="GTP100 with fb",F27+F28*'Common input data'!$C$8+F29*'Common input data'!$D$8,F27+F28*'Common input data'!$C$9+F29*'Common input data'!$D$9))))</f>
        <v>12.498724010229077</v>
      </c>
      <c r="G26" s="104"/>
      <c r="P26" s="104"/>
      <c r="Q26" s="104"/>
      <c r="R26" s="106"/>
      <c r="S26" s="106"/>
      <c r="T26" s="107"/>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c r="GP26" s="64"/>
      <c r="GQ26" s="64"/>
      <c r="GR26" s="64"/>
      <c r="GS26" s="64"/>
      <c r="GT26" s="64"/>
      <c r="GU26" s="64"/>
      <c r="GV26" s="64"/>
      <c r="GW26" s="64"/>
      <c r="GX26" s="64"/>
      <c r="GY26" s="64"/>
      <c r="GZ26" s="64"/>
      <c r="HA26" s="64"/>
      <c r="HB26" s="64"/>
      <c r="HC26" s="64"/>
      <c r="HD26" s="64"/>
      <c r="HE26" s="64"/>
      <c r="HF26" s="64"/>
      <c r="HG26" s="64"/>
      <c r="HH26" s="64"/>
      <c r="HI26" s="64"/>
      <c r="HJ26" s="64"/>
      <c r="HK26" s="64"/>
      <c r="HL26" s="64"/>
      <c r="HM26" s="64"/>
      <c r="HN26" s="64"/>
      <c r="HO26" s="64"/>
      <c r="HP26" s="64"/>
      <c r="HQ26" s="64"/>
      <c r="HR26" s="64"/>
      <c r="HS26" s="64"/>
      <c r="HT26" s="64"/>
      <c r="HU26" s="64"/>
      <c r="HV26" s="64"/>
      <c r="HW26" s="64"/>
      <c r="HX26" s="64"/>
      <c r="HY26" s="64"/>
      <c r="HZ26" s="64"/>
      <c r="IA26" s="64"/>
      <c r="IB26" s="64"/>
      <c r="IC26" s="64"/>
      <c r="ID26" s="64"/>
      <c r="IE26" s="64"/>
      <c r="IF26" s="64"/>
      <c r="IG26" s="64"/>
      <c r="IH26" s="64"/>
      <c r="II26" s="64"/>
      <c r="IJ26" s="64"/>
      <c r="IK26" s="64"/>
      <c r="IL26" s="64"/>
      <c r="IM26" s="64"/>
      <c r="IN26" s="64"/>
      <c r="IO26" s="64"/>
      <c r="IP26" s="64"/>
      <c r="IQ26" s="64"/>
      <c r="IR26" s="64"/>
      <c r="IS26" s="64"/>
      <c r="IT26" s="64"/>
      <c r="IU26" s="64"/>
      <c r="IV26" s="64"/>
      <c r="IW26" s="64"/>
      <c r="IX26" s="64"/>
      <c r="IY26" s="64"/>
      <c r="IZ26" s="64"/>
      <c r="JA26" s="64"/>
      <c r="JB26" s="64"/>
      <c r="JC26" s="64"/>
      <c r="JD26" s="64"/>
      <c r="JE26" s="64"/>
      <c r="JF26" s="64"/>
      <c r="JG26" s="64"/>
      <c r="JH26" s="64"/>
      <c r="JI26" s="64"/>
      <c r="JJ26" s="64"/>
      <c r="JK26" s="64"/>
      <c r="JL26" s="64"/>
      <c r="JM26" s="64"/>
      <c r="JN26" s="64"/>
      <c r="JO26" s="64"/>
      <c r="JP26" s="64"/>
      <c r="JQ26" s="64"/>
      <c r="JR26" s="64"/>
      <c r="JS26" s="64"/>
      <c r="JT26" s="64"/>
      <c r="JU26" s="64"/>
      <c r="JV26" s="64"/>
      <c r="JW26" s="64"/>
      <c r="JX26" s="64"/>
      <c r="JY26" s="64"/>
      <c r="JZ26" s="64"/>
      <c r="KA26" s="64"/>
      <c r="KB26" s="64"/>
      <c r="KC26" s="64"/>
      <c r="KD26" s="64"/>
      <c r="KE26" s="64"/>
      <c r="KF26" s="64"/>
      <c r="KG26" s="64"/>
      <c r="KH26" s="64"/>
    </row>
    <row r="27" spans="1:406" x14ac:dyDescent="0.3">
      <c r="A27" s="144"/>
      <c r="C27" s="83" t="s">
        <v>164</v>
      </c>
      <c r="D27" s="270">
        <f>IF(AND($E$2="No",$E$3="No"),SUM(H27:K27),IF(AND($E$2="Yes", $E$3="No"), SUM(H27:K27)+M27, IF(AND($E$2="No", $E$3="Yes"),SUM(H27:K27)+L27, SUM(H27:K27)+M27+L27)))</f>
        <v>-0.24434631856721722</v>
      </c>
      <c r="E27" s="90">
        <f>IF(AND($E$2="No",$E$3="No"),SUM(G27:K27,N27:O27),IF(AND($E$2="Yes",$E$3="No"), SUM(G27:K27,N27:O27)+M27, IF(AND($E$2="No", $E$3="Yes"),SUM(G27:K27,N27:O27)+L27, SUM(G27:K27,N27:O27)+M27+L27)))</f>
        <v>2.038222973790853</v>
      </c>
      <c r="F27" s="278">
        <f>SUM(Q27:S27)/(1-'Common input data'!B$127)</f>
        <v>2.2146242511878378</v>
      </c>
      <c r="G27" s="85">
        <f>'Input data dairy products'!$D$6*G9*'Common input data'!D$38</f>
        <v>1.9927689953785401</v>
      </c>
      <c r="H27" s="85">
        <f>'Input data dairy products'!$D$6*H9*'Common input data'!D$38</f>
        <v>0</v>
      </c>
      <c r="I27" s="85">
        <f>'Input data dairy products'!$D$6*I9*'Common input data'!D$38</f>
        <v>0</v>
      </c>
      <c r="J27" s="85">
        <f>'Input data dairy products'!$D$6*J9*'Common input data'!D$38</f>
        <v>0</v>
      </c>
      <c r="K27" s="85">
        <f>'Input data dairy products'!$D$6*K9*'Common input data'!D$38</f>
        <v>0</v>
      </c>
      <c r="L27" s="85">
        <f>'Input data dairy products'!$D$6*L9*'Common input data'!D$38</f>
        <v>-0.43274116138350716</v>
      </c>
      <c r="M27" s="85">
        <f>'Input data dairy products'!$D$6*M9*'Common input data'!D$38</f>
        <v>0.18839484281628993</v>
      </c>
      <c r="N27" s="85">
        <f>'Input data dairy products'!$D$6*N9*'Common input data'!D$38</f>
        <v>0.25569154871558963</v>
      </c>
      <c r="O27" s="85">
        <f>'Input data dairy products'!$D$6*O9*'Common input data'!D$38</f>
        <v>3.4108748263940523E-2</v>
      </c>
      <c r="P27" s="85">
        <f>'Input data dairy products'!C$29*'Common input data'!D$38</f>
        <v>4.8000000000000001E-2</v>
      </c>
      <c r="Q27" s="85">
        <f>IF(AND($E$2="No",$E$3="No"),SUM(G27:K27,N27:P27),IF(AND($E$2="Yes",$E$3="No"), SUM(G27:K27,N27:P27)+M27, IF(AND($E$2="No", $E$3="Yes"),SUM(G27:K27,N27:P27)+L27, SUM(G27:K27,N27:P27)+M27+L27)))</f>
        <v>2.0862229737908531</v>
      </c>
      <c r="R27" s="90">
        <f>'Common input data'!B$91</f>
        <v>0.05</v>
      </c>
      <c r="S27" s="90">
        <f>'Common input data'!C$98</f>
        <v>0.03</v>
      </c>
      <c r="T27" s="107"/>
    </row>
    <row r="28" spans="1:406" x14ac:dyDescent="0.3">
      <c r="A28" s="144"/>
      <c r="B28" s="142"/>
      <c r="C28" s="83" t="s">
        <v>165</v>
      </c>
      <c r="D28" s="270">
        <f>SUM(H28:K28)</f>
        <v>0.20653786074143382</v>
      </c>
      <c r="E28" s="90">
        <f>SUM(G28:K28,N28:O28)</f>
        <v>0.20868059887349177</v>
      </c>
      <c r="F28" s="278">
        <f>SUM(Q28:S28)/(1-'Common input data'!B$127)</f>
        <v>0.21334328026670465</v>
      </c>
      <c r="G28" s="85">
        <f>'Input data dairy products'!$D$6*G10*'Common input data'!D$38</f>
        <v>2.1334928766822926E-3</v>
      </c>
      <c r="H28" s="85">
        <f>'Input data dairy products'!$D$6*H10*'Common input data'!D$38</f>
        <v>0</v>
      </c>
      <c r="I28" s="85">
        <f>'Input data dairy products'!$D$6*I10*'Common input data'!D$38</f>
        <v>1.3495774560156094E-2</v>
      </c>
      <c r="J28" s="85">
        <f>'Input data dairy products'!$D$6*J10*'Common input data'!D$38</f>
        <v>0</v>
      </c>
      <c r="K28" s="85">
        <f>'Input data dairy products'!$D$6*K10*'Common input data'!D$38</f>
        <v>0.19304208618127772</v>
      </c>
      <c r="L28" s="85">
        <f>'Input data dairy products'!$D$6*L10*'Common input data'!D$38</f>
        <v>0</v>
      </c>
      <c r="M28" s="85">
        <f>'Input data dairy products'!$D$6*M10*'Common input data'!D$38</f>
        <v>0</v>
      </c>
      <c r="N28" s="85">
        <f>'Input data dairy products'!$D$6*N10*'Common input data'!D$38</f>
        <v>0</v>
      </c>
      <c r="O28" s="85">
        <f>'Input data dairy products'!$D$6*O10*'Common input data'!D$38</f>
        <v>9.2452553756635756E-6</v>
      </c>
      <c r="P28" s="85">
        <v>0</v>
      </c>
      <c r="Q28" s="85">
        <f>SUM(G28:P28)</f>
        <v>0.20868059887349177</v>
      </c>
      <c r="R28" s="90">
        <v>0</v>
      </c>
      <c r="S28" s="90">
        <v>0</v>
      </c>
      <c r="T28" s="107"/>
    </row>
    <row r="29" spans="1:406" x14ac:dyDescent="0.3">
      <c r="A29" s="174"/>
      <c r="B29" s="85"/>
      <c r="C29" s="84" t="s">
        <v>166</v>
      </c>
      <c r="D29" s="270">
        <f>SUM(H29:K29)</f>
        <v>7.930075577138998E-3</v>
      </c>
      <c r="E29" s="90">
        <f>SUM(G29:K29,N29:O29)</f>
        <v>9.9469708452306974E-3</v>
      </c>
      <c r="F29" s="278">
        <f>SUM(Q29:S29)/(1-'Common input data'!B$127)</f>
        <v>1.016922224823249E-2</v>
      </c>
      <c r="G29" s="85">
        <f>'Input data dairy products'!$D$6*G11*'Common input data'!D$38</f>
        <v>2.0160334048405682E-3</v>
      </c>
      <c r="H29" s="85">
        <f>'Input data dairy products'!$D$6*H11*'Common input data'!D$38</f>
        <v>5.0957198551012401E-3</v>
      </c>
      <c r="I29" s="85">
        <f>'Input data dairy products'!$D$6*I11*'Common input data'!D$38</f>
        <v>2.6127949205333911E-3</v>
      </c>
      <c r="J29" s="85">
        <f>'Input data dairy products'!$D$6*J11*'Common input data'!D$38</f>
        <v>2.2156080150436701E-4</v>
      </c>
      <c r="K29" s="85">
        <f>'Input data dairy products'!$D$6*K11*'Common input data'!D$38</f>
        <v>0</v>
      </c>
      <c r="L29" s="85">
        <f>'Input data dairy products'!$D$6*L11*'Common input data'!D$38</f>
        <v>0</v>
      </c>
      <c r="M29" s="85">
        <f>'Input data dairy products'!$D$6*M11*'Common input data'!D$38</f>
        <v>0</v>
      </c>
      <c r="N29" s="85">
        <f>'Input data dairy products'!$D$6*N11*'Common input data'!D$38</f>
        <v>0</v>
      </c>
      <c r="O29" s="85">
        <f>'Input data dairy products'!$D$6*O11*'Common input data'!D$38</f>
        <v>8.6186325113130425E-7</v>
      </c>
      <c r="P29" s="85">
        <v>0</v>
      </c>
      <c r="Q29" s="85">
        <f>SUM(G29:P29)</f>
        <v>9.9469708452306974E-3</v>
      </c>
      <c r="R29" s="90">
        <v>0</v>
      </c>
      <c r="S29" s="90">
        <v>0</v>
      </c>
      <c r="T29" s="107"/>
    </row>
    <row r="30" spans="1:406" s="102" customFormat="1" x14ac:dyDescent="0.3">
      <c r="A30" s="284" t="s">
        <v>69</v>
      </c>
      <c r="B30" s="110">
        <f>'Input data dairy products'!C7</f>
        <v>0.18</v>
      </c>
      <c r="C30" s="269" t="s">
        <v>473</v>
      </c>
      <c r="D30" s="320">
        <f>IF($E$1="GWP100 without fb",D31+D32*'Common input data'!$C$5+D33*'Common input data'!$D$5,IF($E$1="GWP100 with fb",D31+D32*'Common input data'!$C$6+D33*'Common input data'!$D$6,IF($E$1="GTP100 without fb",D31+D32*'Common input data'!$C$7+D33*'Common input data'!$D$7,IF($E$1="GTP100 with fb",D31+D32*'Common input data'!$C$8+D33*'Common input data'!$D$8,D31+D32*'Common input data'!$C$9+D33*'Common input data'!$D$9))))</f>
        <v>9.1411034686289536</v>
      </c>
      <c r="E30" s="302">
        <f>IF($E$1="GWP100 without fb",E31+E32*'Common input data'!$C$5+E33*'Common input data'!$D$5,IF($E$1="GWP100 with fb",E31+E32*'Common input data'!$C$6+E33*'Common input data'!$D$6,IF($E$1="GTP100 without fb",E31+E32*'Common input data'!$C$7+E33*'Common input data'!$D$7,IF($E$1="GTP100 with fb",E31+E32*'Common input data'!$C$8+E33*'Common input data'!$D$8,E31+E32*'Common input data'!$C$9+E33*'Common input data'!$D$9))))</f>
        <v>12.09756064736832</v>
      </c>
      <c r="F30" s="321">
        <f>IF($E$1="GWP100 without fb",F31+F32*'Common input data'!$C$5+F33*'Common input data'!$D$5,IF($E$1="GWP100 with fb",F31+F32*'Common input data'!$C$6+F33*'Common input data'!$D$6,IF($E$1="GTP100 without fb",F31+F32*'Common input data'!$C$7+F33*'Common input data'!$D$7,IF($E$1="GTP100 with fb",F31+F32*'Common input data'!$C$8+F33*'Common input data'!$D$8,F31+F32*'Common input data'!$C$9+F33*'Common input data'!$D$9))))</f>
        <v>12.549841191562269</v>
      </c>
      <c r="G30" s="104"/>
      <c r="P30" s="104"/>
      <c r="Q30" s="104"/>
      <c r="R30" s="106"/>
      <c r="S30" s="106"/>
      <c r="T30" s="107"/>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c r="IW30" s="64"/>
      <c r="IX30" s="64"/>
      <c r="IY30" s="64"/>
      <c r="IZ30" s="64"/>
      <c r="JA30" s="64"/>
      <c r="JB30" s="64"/>
      <c r="JC30" s="64"/>
      <c r="JD30" s="64"/>
      <c r="JE30" s="64"/>
      <c r="JF30" s="64"/>
      <c r="JG30" s="64"/>
      <c r="JH30" s="64"/>
      <c r="JI30" s="64"/>
      <c r="JJ30" s="64"/>
      <c r="JK30" s="64"/>
      <c r="JL30" s="64"/>
      <c r="JM30" s="64"/>
      <c r="JN30" s="64"/>
      <c r="JO30" s="64"/>
      <c r="JP30" s="64"/>
      <c r="JQ30" s="64"/>
      <c r="JR30" s="64"/>
      <c r="JS30" s="64"/>
      <c r="JT30" s="64"/>
      <c r="JU30" s="64"/>
      <c r="JV30" s="64"/>
      <c r="JW30" s="64"/>
      <c r="JX30" s="64"/>
      <c r="JY30" s="64"/>
      <c r="JZ30" s="64"/>
      <c r="KA30" s="64"/>
      <c r="KB30" s="64"/>
      <c r="KC30" s="64"/>
      <c r="KD30" s="64"/>
      <c r="KE30" s="64"/>
      <c r="KF30" s="64"/>
      <c r="KG30" s="64"/>
      <c r="KH30" s="64"/>
    </row>
    <row r="31" spans="1:406" x14ac:dyDescent="0.3">
      <c r="A31" s="144"/>
      <c r="C31" s="83" t="s">
        <v>164</v>
      </c>
      <c r="D31" s="270">
        <f>IF(AND($E$2="No",$E$3="No"),SUM(H31:K31),IF(AND($E$2="Yes", $E$3="No"), SUM(H31:K31)+M31, IF(AND($E$2="No", $E$3="Yes"),SUM(H31:K31)+L31, SUM(H31:K31)+M31+L31)))</f>
        <v>-0.24434631856721722</v>
      </c>
      <c r="E31" s="90">
        <f>IF(AND($E$2="No",$E$3="No"),SUM(G31:K31,N31:O31),IF(AND($E$2="Yes",$E$3="No"), SUM(G31:K31,N31:O31)+M31, IF(AND($E$2="No", $E$3="Yes"),SUM(G31:K31,N31:O31)+L31, SUM(G31:K31,N31:O31)+M31+L31)))</f>
        <v>2.038222973790853</v>
      </c>
      <c r="F31" s="278">
        <f>SUM(Q31:S31)/(1-'Common input data'!B$127)</f>
        <v>2.2657414325210294</v>
      </c>
      <c r="G31" s="85">
        <f>'Input data dairy products'!$D$7*G9*'Common input data'!D$38</f>
        <v>1.9927689953785401</v>
      </c>
      <c r="H31" s="85">
        <f>'Input data dairy products'!$D$7*H9*'Common input data'!D$38</f>
        <v>0</v>
      </c>
      <c r="I31" s="85">
        <f>'Input data dairy products'!$D$7*I9*'Common input data'!D$38</f>
        <v>0</v>
      </c>
      <c r="J31" s="85">
        <f>'Input data dairy products'!$D$7*J9*'Common input data'!D$38</f>
        <v>0</v>
      </c>
      <c r="K31" s="85">
        <f>'Input data dairy products'!$D$7*K9*'Common input data'!D$38</f>
        <v>0</v>
      </c>
      <c r="L31" s="85">
        <f>'Input data dairy products'!$D$7*L9*'Common input data'!D$38</f>
        <v>-0.43274116138350716</v>
      </c>
      <c r="M31" s="85">
        <f>'Input data dairy products'!$D$7*M9*'Common input data'!D$38</f>
        <v>0.18839484281628993</v>
      </c>
      <c r="N31" s="85">
        <f>'Input data dairy products'!$D$7*N9*'Common input data'!D$38</f>
        <v>0.25569154871558963</v>
      </c>
      <c r="O31" s="85">
        <f>'Input data dairy products'!$D$7*O9*'Common input data'!D$38</f>
        <v>3.4108748263940523E-2</v>
      </c>
      <c r="P31" s="85">
        <f>'Input data dairy products'!C$29*'Common input data'!D$38</f>
        <v>4.8000000000000001E-2</v>
      </c>
      <c r="Q31" s="349">
        <f>IF(AND($E$2="No",$E$3="No"),SUM(G31:K31,N31:P31),IF(AND($E$2="Yes",$E$3="No"), SUM(G31:K31,N31:P31)+M31, IF(AND($E$2="No", $E$3="Yes"),SUM(G31:K31,N31:P31)+L31, SUM(G31:K31,N31:P31)+M31+L31)))</f>
        <v>2.0862229737908531</v>
      </c>
      <c r="R31" s="90">
        <f>'Common input data'!B$91</f>
        <v>0.05</v>
      </c>
      <c r="S31" s="90">
        <f>'Common input data'!B$98+'Common input data'!C$98</f>
        <v>0.08</v>
      </c>
      <c r="T31" s="107"/>
    </row>
    <row r="32" spans="1:406" x14ac:dyDescent="0.3">
      <c r="A32" s="144"/>
      <c r="B32" s="84"/>
      <c r="C32" s="83" t="s">
        <v>165</v>
      </c>
      <c r="D32" s="270">
        <f>SUM(H32:K32)</f>
        <v>0.20653786074143382</v>
      </c>
      <c r="E32" s="90">
        <f>SUM(G32:K32,N32:O32)</f>
        <v>0.20868059887349177</v>
      </c>
      <c r="F32" s="278">
        <f>SUM(Q32:S32)/(1-'Common input data'!B$127)</f>
        <v>0.21334328026670465</v>
      </c>
      <c r="G32" s="85">
        <f>'Input data dairy products'!$D$7*G10*'Common input data'!D$38</f>
        <v>2.1334928766822926E-3</v>
      </c>
      <c r="H32" s="85">
        <f>'Input data dairy products'!$D$7*H10*'Common input data'!D$38</f>
        <v>0</v>
      </c>
      <c r="I32" s="85">
        <f>'Input data dairy products'!$D$7*I10*'Common input data'!D$38</f>
        <v>1.3495774560156094E-2</v>
      </c>
      <c r="J32" s="85">
        <f>'Input data dairy products'!$D$7*J10*'Common input data'!D$38</f>
        <v>0</v>
      </c>
      <c r="K32" s="85">
        <f>'Input data dairy products'!$D$7*K10*'Common input data'!D$38</f>
        <v>0.19304208618127772</v>
      </c>
      <c r="L32" s="85">
        <f>'Input data dairy products'!$D$7*L10*'Common input data'!D$38</f>
        <v>0</v>
      </c>
      <c r="M32" s="85">
        <f>'Input data dairy products'!$D$7*M10*'Common input data'!D$38</f>
        <v>0</v>
      </c>
      <c r="N32" s="85">
        <f>'Input data dairy products'!$D$7*N10*'Common input data'!D$38</f>
        <v>0</v>
      </c>
      <c r="O32" s="85">
        <f>'Input data dairy products'!$D$7*O10*'Common input data'!D$38</f>
        <v>9.2452553756635756E-6</v>
      </c>
      <c r="P32" s="85">
        <v>0</v>
      </c>
      <c r="Q32" s="85">
        <f>SUM(G32:P32)</f>
        <v>0.20868059887349177</v>
      </c>
      <c r="R32" s="90">
        <v>0</v>
      </c>
      <c r="S32" s="90">
        <v>0</v>
      </c>
      <c r="T32" s="107"/>
    </row>
    <row r="33" spans="1:294" x14ac:dyDescent="0.3">
      <c r="A33" s="144"/>
      <c r="B33" s="85"/>
      <c r="C33" s="84" t="s">
        <v>166</v>
      </c>
      <c r="D33" s="270">
        <f>SUM(H33:K33)</f>
        <v>7.930075577138998E-3</v>
      </c>
      <c r="E33" s="90">
        <f>SUM(G33:K33,N33:O33)</f>
        <v>9.9469708452306974E-3</v>
      </c>
      <c r="F33" s="278">
        <f>SUM(Q33:S33)/(1-'Common input data'!B$127)</f>
        <v>1.016922224823249E-2</v>
      </c>
      <c r="G33" s="85">
        <f>'Input data dairy products'!$D$7*G11*'Common input data'!D$38</f>
        <v>2.0160334048405682E-3</v>
      </c>
      <c r="H33" s="85">
        <f>'Input data dairy products'!$D$7*H11*'Common input data'!D$38</f>
        <v>5.0957198551012401E-3</v>
      </c>
      <c r="I33" s="85">
        <f>'Input data dairy products'!$D$7*I11*'Common input data'!D$38</f>
        <v>2.6127949205333911E-3</v>
      </c>
      <c r="J33" s="85">
        <f>'Input data dairy products'!$D$7*J11*'Common input data'!D$38</f>
        <v>2.2156080150436701E-4</v>
      </c>
      <c r="K33" s="85">
        <f>'Input data dairy products'!$D$7*K11*'Common input data'!D$38</f>
        <v>0</v>
      </c>
      <c r="L33" s="85">
        <f>'Input data dairy products'!$D$7*L11*'Common input data'!D$38</f>
        <v>0</v>
      </c>
      <c r="M33" s="85">
        <f>'Input data dairy products'!$D$7*M11*'Common input data'!D$38</f>
        <v>0</v>
      </c>
      <c r="N33" s="85">
        <f>'Input data dairy products'!$D$7*N11*'Common input data'!D$38</f>
        <v>0</v>
      </c>
      <c r="O33" s="85">
        <f>'Input data dairy products'!$D$7*O11*'Common input data'!D$38</f>
        <v>8.6186325113130425E-7</v>
      </c>
      <c r="P33" s="85">
        <v>0</v>
      </c>
      <c r="Q33" s="85">
        <f>SUM(G33:P33)</f>
        <v>9.9469708452306974E-3</v>
      </c>
      <c r="R33" s="94">
        <v>0</v>
      </c>
      <c r="S33" s="90">
        <v>0</v>
      </c>
      <c r="T33" s="107"/>
    </row>
    <row r="34" spans="1:294" s="102" customFormat="1" x14ac:dyDescent="0.3">
      <c r="A34" s="284" t="s">
        <v>70</v>
      </c>
      <c r="B34" s="110">
        <f>'Input data dairy products'!C8</f>
        <v>0.18</v>
      </c>
      <c r="C34" s="269" t="s">
        <v>473</v>
      </c>
      <c r="D34" s="320">
        <f>IF($E$1="GWP100 without fb",D35+D36*'Common input data'!$C$5+D37*'Common input data'!$D$5,IF($E$1="GWP100 with fb",D35+D36*'Common input data'!$C$6+D37*'Common input data'!$D$6,IF($E$1="GTP100 without fb",D35+D36*'Common input data'!$C$7+D37*'Common input data'!$D$7,IF($E$1="GTP100 with fb",D35+D36*'Common input data'!$C$8+D37*'Common input data'!$D$8,D35+D36*'Common input data'!$C$9+D37*'Common input data'!$D$9))))</f>
        <v>9.1411034686289536</v>
      </c>
      <c r="E34" s="302">
        <f>IF($E$1="GWP100 without fb",E35+E36*'Common input data'!$C$5+E37*'Common input data'!$D$5,IF($E$1="GWP100 with fb",E35+E36*'Common input data'!$C$6+E37*'Common input data'!$D$6,IF($E$1="GTP100 without fb",E35+E36*'Common input data'!$C$7+E37*'Common input data'!$D$7,IF($E$1="GTP100 with fb",E35+E36*'Common input data'!$C$8+E37*'Common input data'!$D$8,E35+E36*'Common input data'!$C$9+E37*'Common input data'!$D$9))))</f>
        <v>12.690277670465287</v>
      </c>
      <c r="F34" s="321">
        <f>IF($E$1="GWP100 without fb",F35+F36*'Common input data'!$C$5+F37*'Common input data'!$D$5,IF($E$1="GWP100 with fb",F35+F36*'Common input data'!$C$6+F37*'Common input data'!$D$6,IF($E$1="GTP100 without fb",F35+F36*'Common input data'!$C$7+F37*'Common input data'!$D$7,IF($E$1="GTP100 with fb",F35+F36*'Common input data'!$C$8+F37*'Common input data'!$D$8,F35+F36*'Common input data'!$C$9+F37*'Common input data'!$D$9))))</f>
        <v>13.382761947659976</v>
      </c>
      <c r="G34" s="104"/>
      <c r="P34" s="104"/>
      <c r="Q34" s="104"/>
      <c r="R34" s="106"/>
      <c r="S34" s="106"/>
      <c r="T34" s="107"/>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c r="GH34" s="64"/>
      <c r="GI34" s="64"/>
      <c r="GJ34" s="64"/>
      <c r="GK34" s="64"/>
      <c r="GL34" s="64"/>
      <c r="GM34" s="64"/>
      <c r="GN34" s="64"/>
      <c r="GO34" s="64"/>
      <c r="GP34" s="64"/>
      <c r="GQ34" s="64"/>
      <c r="GR34" s="64"/>
      <c r="GS34" s="64"/>
      <c r="GT34" s="64"/>
      <c r="GU34" s="64"/>
      <c r="GV34" s="64"/>
      <c r="GW34" s="64"/>
      <c r="GX34" s="64"/>
      <c r="GY34" s="64"/>
      <c r="GZ34" s="64"/>
      <c r="HA34" s="64"/>
      <c r="HB34" s="64"/>
      <c r="HC34" s="64"/>
      <c r="HD34" s="64"/>
      <c r="HE34" s="64"/>
      <c r="HF34" s="64"/>
      <c r="HG34" s="64"/>
      <c r="HH34" s="64"/>
      <c r="HI34" s="64"/>
      <c r="HJ34" s="64"/>
      <c r="HK34" s="64"/>
      <c r="HL34" s="64"/>
      <c r="HM34" s="64"/>
      <c r="HN34" s="64"/>
      <c r="HO34" s="64"/>
      <c r="HP34" s="64"/>
      <c r="HQ34" s="64"/>
      <c r="HR34" s="64"/>
      <c r="HS34" s="64"/>
      <c r="HT34" s="64"/>
      <c r="HU34" s="64"/>
      <c r="HV34" s="64"/>
      <c r="HW34" s="64"/>
      <c r="HX34" s="64"/>
      <c r="HY34" s="64"/>
      <c r="HZ34" s="64"/>
      <c r="IA34" s="64"/>
      <c r="IB34" s="64"/>
      <c r="IC34" s="64"/>
      <c r="ID34" s="64"/>
      <c r="IE34" s="64"/>
      <c r="IF34" s="64"/>
      <c r="IG34" s="64"/>
      <c r="IH34" s="64"/>
      <c r="II34" s="64"/>
      <c r="IJ34" s="64"/>
      <c r="IK34" s="64"/>
      <c r="IL34" s="64"/>
      <c r="IM34" s="64"/>
      <c r="IN34" s="64"/>
      <c r="IO34" s="64"/>
      <c r="IP34" s="64"/>
      <c r="IQ34" s="64"/>
      <c r="IR34" s="64"/>
      <c r="IS34" s="64"/>
      <c r="IT34" s="64"/>
      <c r="IU34" s="64"/>
      <c r="IV34" s="64"/>
      <c r="IW34" s="64"/>
      <c r="IX34" s="64"/>
      <c r="IY34" s="64"/>
      <c r="IZ34" s="64"/>
      <c r="JA34" s="64"/>
      <c r="JB34" s="64"/>
      <c r="JC34" s="64"/>
      <c r="JD34" s="64"/>
      <c r="JE34" s="64"/>
      <c r="JF34" s="64"/>
      <c r="JG34" s="64"/>
      <c r="JH34" s="64"/>
      <c r="JI34" s="64"/>
      <c r="JJ34" s="64"/>
      <c r="JK34" s="64"/>
      <c r="JL34" s="64"/>
      <c r="JM34" s="64"/>
      <c r="JN34" s="64"/>
      <c r="JO34" s="64"/>
      <c r="JP34" s="64"/>
      <c r="JQ34" s="64"/>
      <c r="JR34" s="64"/>
      <c r="JS34" s="64"/>
      <c r="JT34" s="64"/>
      <c r="JU34" s="64"/>
      <c r="JV34" s="64"/>
      <c r="JW34" s="64"/>
      <c r="JX34" s="64"/>
      <c r="JY34" s="64"/>
      <c r="JZ34" s="64"/>
      <c r="KA34" s="64"/>
      <c r="KB34" s="64"/>
      <c r="KC34" s="64"/>
      <c r="KD34" s="64"/>
      <c r="KE34" s="64"/>
      <c r="KF34" s="64"/>
      <c r="KG34" s="64"/>
      <c r="KH34" s="64"/>
    </row>
    <row r="35" spans="1:294" x14ac:dyDescent="0.3">
      <c r="A35" s="144"/>
      <c r="C35" s="83" t="s">
        <v>164</v>
      </c>
      <c r="D35" s="270">
        <f>IF(AND($E$2="No",$E$3="No"),SUM(H35:K35),IF(AND($E$2="Yes", $E$3="No"), SUM(H35:K35)+M35, IF(AND($E$2="No", $E$3="Yes"),SUM(H35:K35)+L35, SUM(H35:K35)+M35+L35)))</f>
        <v>-0.24434631856721722</v>
      </c>
      <c r="E35" s="90">
        <f>IF(AND($E$2="No",$E$3="No"),SUM(G35:K35,N35:O35),IF(AND($E$2="Yes",$E$3="No"), SUM(G35:K35,N35:O35)+M35, IF(AND($E$2="No", $E$3="Yes"),SUM(G35:K35,N35:O35)+L35, SUM(G35:K35,N35:O35)+M35+L35)))</f>
        <v>2.6297740954604092</v>
      </c>
      <c r="F35" s="278">
        <f>SUM(Q35:S35)/(1-'Common input data'!B$127)</f>
        <v>3.0974702367251066</v>
      </c>
      <c r="G35" s="85">
        <f>'Input data dairy products'!$D$8*G13*'Common input data'!D$38</f>
        <v>1.9927689953785401</v>
      </c>
      <c r="H35" s="85">
        <f>'Input data dairy products'!$D$8*H13*'Common input data'!D$38</f>
        <v>0</v>
      </c>
      <c r="I35" s="85">
        <f>'Input data dairy products'!$D$8*I13*'Common input data'!D$38</f>
        <v>0</v>
      </c>
      <c r="J35" s="85">
        <f>'Input data dairy products'!$D$8*J13*'Common input data'!D$38</f>
        <v>0</v>
      </c>
      <c r="K35" s="85">
        <f>'Input data dairy products'!$D$8*K13*'Common input data'!D$38</f>
        <v>0</v>
      </c>
      <c r="L35" s="85">
        <f>'Input data dairy products'!$D$8*L13*'Common input data'!D$38</f>
        <v>-0.43274116138350716</v>
      </c>
      <c r="M35" s="85">
        <f>'Input data dairy products'!$D$8*M13*'Common input data'!D$38</f>
        <v>0.18839484281628993</v>
      </c>
      <c r="N35" s="85">
        <f>'Input data dairy products'!$D$8*N13*'Common input data'!D$38</f>
        <v>0.77761862753710242</v>
      </c>
      <c r="O35" s="85">
        <f>'Input data dairy products'!$D$8*O13*'Common input data'!D$38</f>
        <v>0.10373279111198404</v>
      </c>
      <c r="P35" s="85">
        <f>'Input data dairy products'!C$30*'Common input data'!D$38</f>
        <v>0.12</v>
      </c>
      <c r="Q35" s="349">
        <f>IF(AND($E$2="No",$E$3="No"),SUM(G35:K35,N35:P35),IF(AND($E$2="Yes",$E$3="No"), SUM(G35:K35,N35:P35)+M35, IF(AND($E$2="No", $E$3="Yes"),SUM(G35:K35,N35:P35)+L35, SUM(G35:K35,N35:P35)+M35+L35)))</f>
        <v>2.7497740954604093</v>
      </c>
      <c r="R35" s="90">
        <f>'Common input data'!B$91</f>
        <v>0.05</v>
      </c>
      <c r="S35" s="90">
        <f>'Common input data'!B$102+'Common input data'!C$102</f>
        <v>0.23000000000000004</v>
      </c>
      <c r="T35" s="107"/>
    </row>
    <row r="36" spans="1:294" x14ac:dyDescent="0.3">
      <c r="A36" s="144"/>
      <c r="B36" s="85"/>
      <c r="C36" s="83" t="s">
        <v>165</v>
      </c>
      <c r="D36" s="270">
        <f>SUM(H36:K36)</f>
        <v>0.20653786074143382</v>
      </c>
      <c r="E36" s="90">
        <f>SUM(G36:K36,N36:O36)</f>
        <v>0.20869947063188746</v>
      </c>
      <c r="F36" s="278">
        <f>SUM(Q36:S36)/(1-'Common input data'!B$127)</f>
        <v>0.21336257368862441</v>
      </c>
      <c r="G36" s="85">
        <f>'Input data dairy products'!$D$8*G14*'Common input data'!D$38</f>
        <v>2.1334928766822926E-3</v>
      </c>
      <c r="H36" s="85">
        <f>'Input data dairy products'!$D$8*H14*'Common input data'!D$38</f>
        <v>0</v>
      </c>
      <c r="I36" s="85">
        <f>'Input data dairy products'!$D$8*I14*'Common input data'!D$38</f>
        <v>1.3495774560156094E-2</v>
      </c>
      <c r="J36" s="85">
        <f>'Input data dairy products'!$D$8*J14*'Common input data'!D$38</f>
        <v>0</v>
      </c>
      <c r="K36" s="85">
        <f>'Input data dairy products'!$D$8*K14*'Common input data'!D$38</f>
        <v>0.19304208618127772</v>
      </c>
      <c r="L36" s="85">
        <f>'Input data dairy products'!$D$8*L14*'Common input data'!D$38</f>
        <v>0</v>
      </c>
      <c r="M36" s="85">
        <f>'Input data dairy products'!$D$8*M14*'Common input data'!D$38</f>
        <v>0</v>
      </c>
      <c r="N36" s="85">
        <f>'Input data dairy products'!$D$8*N14*'Common input data'!D$38</f>
        <v>0</v>
      </c>
      <c r="O36" s="85">
        <f>'Input data dairy products'!$D$8*O14*'Common input data'!D$38</f>
        <v>2.8117013771347983E-5</v>
      </c>
      <c r="P36" s="85">
        <v>0</v>
      </c>
      <c r="Q36" s="85">
        <f>SUM(G36:P36)</f>
        <v>0.20869947063188746</v>
      </c>
      <c r="R36" s="90">
        <v>0</v>
      </c>
      <c r="S36" s="90">
        <v>0</v>
      </c>
      <c r="T36" s="107"/>
    </row>
    <row r="37" spans="1:294" x14ac:dyDescent="0.3">
      <c r="A37" s="144"/>
      <c r="B37" s="84"/>
      <c r="C37" s="84" t="s">
        <v>166</v>
      </c>
      <c r="D37" s="780">
        <f>SUM(H37:K37)</f>
        <v>7.930075577138998E-3</v>
      </c>
      <c r="E37" s="108">
        <f>SUM(G37:K37,N37:O37)</f>
        <v>9.9487301124855845E-3</v>
      </c>
      <c r="F37" s="521">
        <f>SUM(Q37:S37)/(1-'Common input data'!B$127)</f>
        <v>1.0171020823898123E-2</v>
      </c>
      <c r="G37" s="85">
        <f>'Input data dairy products'!$D$8*G15*'Common input data'!D$38</f>
        <v>2.0160334048405682E-3</v>
      </c>
      <c r="H37" s="85">
        <f>'Input data dairy products'!$D$8*H15*'Common input data'!D$38</f>
        <v>5.0957198551012401E-3</v>
      </c>
      <c r="I37" s="85">
        <f>'Input data dairy products'!$D$8*I15*'Common input data'!D$38</f>
        <v>2.6127949205333911E-3</v>
      </c>
      <c r="J37" s="85">
        <f>'Input data dairy products'!$D$8*J15*'Common input data'!D$38</f>
        <v>2.2156080150436701E-4</v>
      </c>
      <c r="K37" s="85">
        <f>'Input data dairy products'!$D$8*K15*'Common input data'!D$38</f>
        <v>0</v>
      </c>
      <c r="L37" s="85">
        <f>'Input data dairy products'!$D$8*L15*'Common input data'!D$38</f>
        <v>0</v>
      </c>
      <c r="M37" s="85">
        <f>'Input data dairy products'!$D$8*M15*'Common input data'!D$38</f>
        <v>0</v>
      </c>
      <c r="N37" s="85">
        <f>'Input data dairy products'!$D$8*N15*'Common input data'!D$38</f>
        <v>0</v>
      </c>
      <c r="O37" s="85">
        <f>'Input data dairy products'!$D$8*O15*'Common input data'!D$38</f>
        <v>2.6211305060178839E-6</v>
      </c>
      <c r="P37" s="85">
        <v>0</v>
      </c>
      <c r="Q37" s="85">
        <f>SUM(G37:P37)</f>
        <v>9.9487301124855845E-3</v>
      </c>
      <c r="R37" s="90">
        <v>0</v>
      </c>
      <c r="S37" s="90">
        <v>0</v>
      </c>
      <c r="T37" s="107"/>
    </row>
    <row r="38" spans="1:294" s="416" customFormat="1" x14ac:dyDescent="0.3">
      <c r="A38" s="426" t="s">
        <v>543</v>
      </c>
      <c r="B38" s="414"/>
      <c r="C38" s="414"/>
      <c r="D38" s="777" t="s">
        <v>794</v>
      </c>
      <c r="E38" s="778" t="s">
        <v>794</v>
      </c>
      <c r="F38" s="779" t="s">
        <v>794</v>
      </c>
      <c r="G38" s="413"/>
      <c r="P38" s="413"/>
      <c r="Q38" s="413"/>
      <c r="R38" s="415"/>
      <c r="S38" s="415"/>
      <c r="T38" s="107"/>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c r="II38" s="64"/>
      <c r="IJ38" s="64"/>
      <c r="IK38" s="64"/>
      <c r="IL38" s="64"/>
      <c r="IM38" s="64"/>
      <c r="IN38" s="64"/>
      <c r="IO38" s="64"/>
      <c r="IP38" s="64"/>
      <c r="IQ38" s="64"/>
      <c r="IR38" s="64"/>
      <c r="IS38" s="64"/>
      <c r="IT38" s="64"/>
      <c r="IU38" s="64"/>
      <c r="IV38" s="64"/>
      <c r="IW38" s="64"/>
      <c r="IX38" s="64"/>
      <c r="IY38" s="64"/>
      <c r="IZ38" s="64"/>
      <c r="JA38" s="64"/>
      <c r="JB38" s="64"/>
      <c r="JC38" s="64"/>
      <c r="JD38" s="64"/>
      <c r="JE38" s="64"/>
      <c r="JF38" s="64"/>
      <c r="JG38" s="64"/>
      <c r="JH38" s="64"/>
      <c r="JI38" s="64"/>
      <c r="JJ38" s="64"/>
      <c r="JK38" s="64"/>
      <c r="JL38" s="64"/>
      <c r="JM38" s="64"/>
      <c r="JN38" s="64"/>
      <c r="JO38" s="64"/>
      <c r="JP38" s="64"/>
      <c r="JQ38" s="64"/>
      <c r="JR38" s="64"/>
      <c r="JS38" s="64"/>
      <c r="JT38" s="64"/>
      <c r="JU38" s="64"/>
      <c r="JV38" s="64"/>
      <c r="JW38" s="64"/>
      <c r="JX38" s="64"/>
      <c r="JY38" s="64"/>
      <c r="JZ38" s="64"/>
      <c r="KA38" s="64"/>
      <c r="KB38" s="64"/>
      <c r="KC38" s="64"/>
      <c r="KD38" s="64"/>
      <c r="KE38" s="64"/>
      <c r="KF38" s="64"/>
      <c r="KG38" s="64"/>
      <c r="KH38" s="64"/>
    </row>
    <row r="39" spans="1:294" s="102" customFormat="1" x14ac:dyDescent="0.3">
      <c r="A39" s="143" t="s">
        <v>260</v>
      </c>
      <c r="B39" s="110">
        <f>SUM(B43:B47)</f>
        <v>1</v>
      </c>
      <c r="C39" s="269" t="s">
        <v>473</v>
      </c>
      <c r="D39" s="769">
        <f>IF($E$1="GWP100 without fb",D40+D41*'Common input data'!$C$5+D42*'Common input data'!$D$5,IF($E$1="GWP100 with fb",D40+D41*'Common input data'!$C$6+D42*'Common input data'!$D$6,IF($E$1="GTP100 without fb",D40+D41*'Common input data'!$C$7+D42*'Common input data'!$D$7,IF($E$1="GTP100 with fb",D40+D41*'Common input data'!$C$8+D42*'Common input data'!$D$8,D40+D41*'Common input data'!$C$9+D42*'Common input data'!$D$9))))</f>
        <v>0.92897392973871495</v>
      </c>
      <c r="E39" s="326">
        <f>IF($E$1="GWP100 without fb",E40+E41*'Common input data'!$C$5+E42*'Common input data'!$D$5,IF($E$1="GWP100 with fb",E40+E41*'Common input data'!$C$6+E42*'Common input data'!$D$6,IF($E$1="GTP100 without fb",E40+E41*'Common input data'!$C$7+E42*'Common input data'!$D$7,IF($E$1="GTP100 with fb",E40+E41*'Common input data'!$C$8+E42*'Common input data'!$D$8,E40+E41*'Common input data'!$C$9+E42*'Common input data'!$D$9))))</f>
        <v>1.2434015240576035</v>
      </c>
      <c r="F39" s="770">
        <f>IF($E$1="GWP100 without fb",F40+F41*'Common input data'!$C$5+F42*'Common input data'!$D$5,IF($E$1="GWP100 with fb",F40+F41*'Common input data'!$C$6+F42*'Common input data'!$D$6,IF($E$1="GTP100 without fb",F40+F41*'Common input data'!$C$7+F42*'Common input data'!$D$7,IF($E$1="GTP100 with fb",F40+F41*'Common input data'!$C$8+F42*'Common input data'!$D$8,F40+F41*'Common input data'!$C$9+F42*'Common input data'!$D$9))))</f>
        <v>1.5382197787889698</v>
      </c>
      <c r="G39" s="280"/>
      <c r="P39" s="280"/>
      <c r="Q39" s="280"/>
      <c r="R39" s="269"/>
      <c r="S39" s="269"/>
      <c r="T39" s="107"/>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c r="IJ39" s="64"/>
      <c r="IK39" s="64"/>
      <c r="IL39" s="64"/>
      <c r="IM39" s="64"/>
      <c r="IN39" s="64"/>
      <c r="IO39" s="64"/>
      <c r="IP39" s="64"/>
      <c r="IQ39" s="64"/>
      <c r="IR39" s="64"/>
      <c r="IS39" s="64"/>
      <c r="IT39" s="64"/>
      <c r="IU39" s="64"/>
      <c r="IV39" s="64"/>
      <c r="IW39" s="64"/>
      <c r="IX39" s="64"/>
      <c r="IY39" s="64"/>
      <c r="IZ39" s="64"/>
      <c r="JA39" s="64"/>
      <c r="JB39" s="64"/>
      <c r="JC39" s="64"/>
      <c r="JD39" s="64"/>
      <c r="JE39" s="64"/>
      <c r="JF39" s="64"/>
      <c r="JG39" s="64"/>
      <c r="JH39" s="64"/>
      <c r="JI39" s="64"/>
      <c r="JJ39" s="64"/>
      <c r="JK39" s="64"/>
      <c r="JL39" s="64"/>
      <c r="JM39" s="64"/>
      <c r="JN39" s="64"/>
      <c r="JO39" s="64"/>
      <c r="JP39" s="64"/>
      <c r="JQ39" s="64"/>
      <c r="JR39" s="64"/>
      <c r="JS39" s="64"/>
      <c r="JT39" s="64"/>
      <c r="JU39" s="64"/>
      <c r="JV39" s="64"/>
      <c r="JW39" s="64"/>
      <c r="JX39" s="64"/>
      <c r="JY39" s="64"/>
      <c r="JZ39" s="64"/>
      <c r="KA39" s="64"/>
      <c r="KB39" s="64"/>
      <c r="KC39" s="64"/>
      <c r="KD39" s="64"/>
      <c r="KE39" s="64"/>
      <c r="KF39" s="64"/>
      <c r="KG39" s="64"/>
      <c r="KH39" s="64"/>
    </row>
    <row r="40" spans="1:294" x14ac:dyDescent="0.3">
      <c r="A40" s="107"/>
      <c r="C40" s="83" t="s">
        <v>164</v>
      </c>
      <c r="D40" s="270">
        <f>$B$43*D44+$B$47*D48</f>
        <v>-2.4831942943822891E-2</v>
      </c>
      <c r="E40" s="90">
        <f t="shared" ref="E40:S42" si="3">$B$43*E44+$B$47*E48</f>
        <v>0.221083621343312</v>
      </c>
      <c r="F40" s="278">
        <f t="shared" si="3"/>
        <v>0.49305958652468485</v>
      </c>
      <c r="G40" s="90">
        <f>$B$43*G44+$B$47*G48</f>
        <v>0.20251717432708741</v>
      </c>
      <c r="H40" s="90">
        <f t="shared" si="3"/>
        <v>0</v>
      </c>
      <c r="I40" s="90">
        <f t="shared" si="3"/>
        <v>0</v>
      </c>
      <c r="J40" s="90">
        <f t="shared" si="3"/>
        <v>0</v>
      </c>
      <c r="K40" s="90">
        <f t="shared" si="3"/>
        <v>0</v>
      </c>
      <c r="L40" s="90">
        <f t="shared" si="3"/>
        <v>-4.3977760303201947E-2</v>
      </c>
      <c r="M40" s="90">
        <f t="shared" si="3"/>
        <v>1.9145817359379057E-2</v>
      </c>
      <c r="N40" s="90">
        <f t="shared" si="3"/>
        <v>3.8290511280709413E-2</v>
      </c>
      <c r="O40" s="90">
        <f t="shared" si="3"/>
        <v>5.1078786793380708E-3</v>
      </c>
      <c r="P40" s="90">
        <f t="shared" si="3"/>
        <v>0.1348</v>
      </c>
      <c r="Q40" s="90">
        <f t="shared" si="3"/>
        <v>0.35588362134331197</v>
      </c>
      <c r="R40" s="90">
        <f t="shared" si="3"/>
        <v>0.05</v>
      </c>
      <c r="S40" s="90">
        <f t="shared" si="3"/>
        <v>7.6399999999999996E-2</v>
      </c>
      <c r="T40" s="107"/>
    </row>
    <row r="41" spans="1:294" x14ac:dyDescent="0.3">
      <c r="A41" s="141"/>
      <c r="B41" s="142"/>
      <c r="C41" s="83" t="s">
        <v>165</v>
      </c>
      <c r="D41" s="270">
        <f>$B$43*D45+$B$47*D49</f>
        <v>2.0989619994048154E-2</v>
      </c>
      <c r="E41" s="90">
        <f t="shared" si="3"/>
        <v>2.1207822878195084E-2</v>
      </c>
      <c r="F41" s="278">
        <f t="shared" si="3"/>
        <v>2.1681682554938013E-2</v>
      </c>
      <c r="G41" s="90">
        <f t="shared" si="3"/>
        <v>2.1681838177665575E-4</v>
      </c>
      <c r="H41" s="90">
        <f t="shared" si="3"/>
        <v>0</v>
      </c>
      <c r="I41" s="90">
        <f t="shared" si="3"/>
        <v>1.371521804893912E-3</v>
      </c>
      <c r="J41" s="90">
        <f t="shared" si="3"/>
        <v>0</v>
      </c>
      <c r="K41" s="90">
        <f t="shared" si="3"/>
        <v>1.9618098189154241E-2</v>
      </c>
      <c r="L41" s="90">
        <f t="shared" si="3"/>
        <v>0</v>
      </c>
      <c r="M41" s="90">
        <f t="shared" si="3"/>
        <v>0</v>
      </c>
      <c r="N41" s="90">
        <f t="shared" si="3"/>
        <v>0</v>
      </c>
      <c r="O41" s="90">
        <f t="shared" si="3"/>
        <v>1.3845023702705647E-6</v>
      </c>
      <c r="P41" s="90">
        <f t="shared" si="3"/>
        <v>0</v>
      </c>
      <c r="Q41" s="90">
        <f t="shared" si="3"/>
        <v>2.1207822878195084E-2</v>
      </c>
      <c r="R41" s="90">
        <f t="shared" si="3"/>
        <v>0</v>
      </c>
      <c r="S41" s="90">
        <f t="shared" si="3"/>
        <v>0</v>
      </c>
      <c r="T41" s="107"/>
    </row>
    <row r="42" spans="1:294" x14ac:dyDescent="0.3">
      <c r="A42" s="141"/>
      <c r="B42" s="85"/>
      <c r="C42" s="84" t="s">
        <v>166</v>
      </c>
      <c r="D42" s="270">
        <f>$B$43*D46+$B$47*D50</f>
        <v>8.0590198954664616E-4</v>
      </c>
      <c r="E42" s="90">
        <f t="shared" si="3"/>
        <v>1.0109124995156334E-3</v>
      </c>
      <c r="F42" s="278">
        <f t="shared" si="3"/>
        <v>1.0334999509946056E-3</v>
      </c>
      <c r="G42" s="90">
        <f t="shared" si="3"/>
        <v>2.0488144358135854E-4</v>
      </c>
      <c r="H42" s="90">
        <f t="shared" si="3"/>
        <v>5.1785770885175208E-4</v>
      </c>
      <c r="I42" s="90">
        <f t="shared" si="3"/>
        <v>2.6552793907859667E-4</v>
      </c>
      <c r="J42" s="90">
        <f t="shared" si="3"/>
        <v>2.2516341616297461E-5</v>
      </c>
      <c r="K42" s="90">
        <f t="shared" si="3"/>
        <v>0</v>
      </c>
      <c r="L42" s="90">
        <f t="shared" si="3"/>
        <v>0</v>
      </c>
      <c r="M42" s="90">
        <f t="shared" si="3"/>
        <v>0</v>
      </c>
      <c r="N42" s="90">
        <f t="shared" si="3"/>
        <v>0</v>
      </c>
      <c r="O42" s="90">
        <f t="shared" si="3"/>
        <v>1.2906638762855597E-7</v>
      </c>
      <c r="P42" s="90">
        <f t="shared" si="3"/>
        <v>0</v>
      </c>
      <c r="Q42" s="90">
        <f t="shared" si="3"/>
        <v>1.0109124995156334E-3</v>
      </c>
      <c r="R42" s="90">
        <f t="shared" si="3"/>
        <v>0</v>
      </c>
      <c r="S42" s="90">
        <f t="shared" si="3"/>
        <v>0</v>
      </c>
      <c r="T42" s="107"/>
    </row>
    <row r="43" spans="1:294" s="102" customFormat="1" x14ac:dyDescent="0.3">
      <c r="A43" s="284" t="s">
        <v>1</v>
      </c>
      <c r="B43" s="104">
        <f>'Input data dairy products'!C9</f>
        <v>0.76800000000000002</v>
      </c>
      <c r="C43" s="269" t="s">
        <v>473</v>
      </c>
      <c r="D43" s="320">
        <f>IF($E$1="GWP100 without fb",D44+D45*'Common input data'!$C$5+D46*'Common input data'!$D$5,IF($E$1="GWP100 with fb",D44+D45*'Common input data'!$C$6+D46*'Common input data'!$D$6,IF($E$1="GTP100 without fb",D44+D45*'Common input data'!$C$7+D46*'Common input data'!$D$7,IF($E$1="GTP100 with fb",D44+D45*'Common input data'!$C$8+D46*'Common input data'!$D$8,D44+D45*'Common input data'!$C$9+D46*'Common input data'!$D$9))))</f>
        <v>0.92897392973871495</v>
      </c>
      <c r="E43" s="302">
        <f>IF($E$1="GWP100 without fb",E44+E45*'Common input data'!$C$5+E46*'Common input data'!$D$5,IF($E$1="GWP100 with fb",E44+E45*'Common input data'!$C$6+E46*'Common input data'!$D$6,IF($E$1="GTP100 without fb",E44+E45*'Common input data'!$C$7+E46*'Common input data'!$D$7,IF($E$1="GTP100 with fb",E44+E45*'Common input data'!$C$8+E46*'Common input data'!$D$8,E44+E45*'Common input data'!$C$9+E46*'Common input data'!$D$9))))</f>
        <v>1.2294268950577565</v>
      </c>
      <c r="F43" s="321">
        <f>IF($E$1="GWP100 without fb",F44+F45*'Common input data'!$C$5+F46*'Common input data'!$D$5,IF($E$1="GWP100 with fb",F44+F45*'Common input data'!$C$6+F46*'Common input data'!$D$6,IF($E$1="GTP100 without fb",F44+F45*'Common input data'!$C$7+F46*'Common input data'!$D$7,IF($E$1="GTP100 with fb",F44+F45*'Common input data'!$C$8+F46*'Common input data'!$D$8,F44+F45*'Common input data'!$C$9+F46*'Common input data'!$D$9))))</f>
        <v>1.4409186034108816</v>
      </c>
      <c r="G43" s="104"/>
      <c r="P43" s="104"/>
      <c r="Q43" s="104"/>
      <c r="R43" s="106"/>
      <c r="S43" s="106"/>
      <c r="T43" s="107"/>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c r="EO43" s="64"/>
      <c r="EP43" s="64"/>
      <c r="EQ43" s="64"/>
      <c r="ER43" s="64"/>
      <c r="ES43" s="64"/>
      <c r="ET43" s="64"/>
      <c r="EU43" s="64"/>
      <c r="EV43" s="64"/>
      <c r="EW43" s="64"/>
      <c r="EX43" s="64"/>
      <c r="EY43" s="64"/>
      <c r="EZ43" s="64"/>
      <c r="FA43" s="64"/>
      <c r="FB43" s="64"/>
      <c r="FC43" s="64"/>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c r="GV43" s="64"/>
      <c r="GW43" s="64"/>
      <c r="GX43" s="64"/>
      <c r="GY43" s="64"/>
      <c r="GZ43" s="64"/>
      <c r="HA43" s="64"/>
      <c r="HB43" s="64"/>
      <c r="HC43" s="64"/>
      <c r="HD43" s="64"/>
      <c r="HE43" s="64"/>
      <c r="HF43" s="64"/>
      <c r="HG43" s="64"/>
      <c r="HH43" s="64"/>
      <c r="HI43" s="64"/>
      <c r="HJ43" s="64"/>
      <c r="HK43" s="64"/>
      <c r="HL43" s="64"/>
      <c r="HM43" s="64"/>
      <c r="HN43" s="64"/>
      <c r="HO43" s="64"/>
      <c r="HP43" s="64"/>
      <c r="HQ43" s="64"/>
      <c r="HR43" s="64"/>
      <c r="HS43" s="64"/>
      <c r="HT43" s="64"/>
      <c r="HU43" s="64"/>
      <c r="HV43" s="64"/>
      <c r="HW43" s="64"/>
      <c r="HX43" s="64"/>
      <c r="HY43" s="64"/>
      <c r="HZ43" s="64"/>
      <c r="IA43" s="64"/>
      <c r="IB43" s="64"/>
      <c r="IC43" s="64"/>
      <c r="ID43" s="64"/>
      <c r="IE43" s="64"/>
      <c r="IF43" s="64"/>
      <c r="IG43" s="64"/>
      <c r="IH43" s="64"/>
      <c r="II43" s="64"/>
      <c r="IJ43" s="64"/>
      <c r="IK43" s="64"/>
      <c r="IL43" s="64"/>
      <c r="IM43" s="64"/>
      <c r="IN43" s="64"/>
      <c r="IO43" s="64"/>
      <c r="IP43" s="64"/>
      <c r="IQ43" s="64"/>
      <c r="IR43" s="64"/>
      <c r="IS43" s="64"/>
      <c r="IT43" s="64"/>
      <c r="IU43" s="64"/>
      <c r="IV43" s="64"/>
      <c r="IW43" s="64"/>
      <c r="IX43" s="64"/>
      <c r="IY43" s="64"/>
      <c r="IZ43" s="64"/>
      <c r="JA43" s="64"/>
      <c r="JB43" s="64"/>
      <c r="JC43" s="64"/>
      <c r="JD43" s="64"/>
      <c r="JE43" s="64"/>
      <c r="JF43" s="64"/>
      <c r="JG43" s="64"/>
      <c r="JH43" s="64"/>
      <c r="JI43" s="64"/>
      <c r="JJ43" s="64"/>
      <c r="JK43" s="64"/>
      <c r="JL43" s="64"/>
      <c r="JM43" s="64"/>
      <c r="JN43" s="64"/>
      <c r="JO43" s="64"/>
      <c r="JP43" s="64"/>
      <c r="JQ43" s="64"/>
      <c r="JR43" s="64"/>
      <c r="JS43" s="64"/>
      <c r="JT43" s="64"/>
      <c r="JU43" s="64"/>
      <c r="JV43" s="64"/>
      <c r="JW43" s="64"/>
      <c r="JX43" s="64"/>
      <c r="JY43" s="64"/>
      <c r="JZ43" s="64"/>
      <c r="KA43" s="64"/>
      <c r="KB43" s="64"/>
      <c r="KC43" s="64"/>
      <c r="KD43" s="64"/>
      <c r="KE43" s="64"/>
      <c r="KF43" s="64"/>
      <c r="KG43" s="64"/>
      <c r="KH43" s="64"/>
    </row>
    <row r="44" spans="1:294" x14ac:dyDescent="0.3">
      <c r="A44" s="107"/>
      <c r="B44" s="142"/>
      <c r="C44" s="83" t="s">
        <v>164</v>
      </c>
      <c r="D44" s="270">
        <f>IF(AND($E$2="No",$E$3="No"),SUM(H44:K44),IF(AND($E$2="Yes", $E$3="No"), SUM(H44:K44)+M44, IF(AND($E$2="No", $E$3="Yes"),SUM(H44:K44)+L44, SUM(H44:K44)+M44+L44)))</f>
        <v>-2.4831942943822891E-2</v>
      </c>
      <c r="E44" s="90">
        <f>IF(AND($E$2="No",$E$3="No"),SUM(G44:K44,N44:O44),IF(AND($E$2="Yes",$E$3="No"), SUM(G44:K44,N44:O44)+M44, IF(AND($E$2="No", $E$3="Yes"),SUM(G44:K44,N44:O44)+L44, SUM(G44:K44,N44:O44)+M44+L44)))</f>
        <v>0.20713648107630622</v>
      </c>
      <c r="F44" s="278">
        <f>SUM(Q44:S44)/(1-'Common input data'!B$127)</f>
        <v>0.39578651407742238</v>
      </c>
      <c r="G44" s="85">
        <f>'Input data dairy products'!$D$9*G9</f>
        <v>0.20251717432708741</v>
      </c>
      <c r="H44" s="85">
        <f>'Input data dairy products'!$D$9*H9</f>
        <v>0</v>
      </c>
      <c r="I44" s="85">
        <f>'Input data dairy products'!$D$9*I9</f>
        <v>0</v>
      </c>
      <c r="J44" s="85">
        <f>'Input data dairy products'!$D$9*J9</f>
        <v>0</v>
      </c>
      <c r="K44" s="85">
        <f>'Input data dairy products'!$D$9*K9</f>
        <v>0</v>
      </c>
      <c r="L44" s="85">
        <f>'Input data dairy products'!$D$9*L9</f>
        <v>-4.3977760303201947E-2</v>
      </c>
      <c r="M44" s="85">
        <f>'Input data dairy products'!$D$9*M9</f>
        <v>1.9145817359379057E-2</v>
      </c>
      <c r="N44" s="85">
        <f>'Input data dairy products'!$D$9*N9</f>
        <v>2.5984913487356671E-2</v>
      </c>
      <c r="O44" s="85">
        <f>'Input data dairy products'!$D$9*O9</f>
        <v>3.4663362056850124E-3</v>
      </c>
      <c r="P44" s="85">
        <f>'Input data dairy products'!D$29</f>
        <v>0.1</v>
      </c>
      <c r="Q44" s="349">
        <f>IF(AND($E$2="No",$E$3="No"),SUM(G44:K44,N44:P44),IF(AND($E$2="Yes",$E$3="No"), SUM(G44:K44,N44:P44)+M44, IF(AND($E$2="No", $E$3="Yes"),SUM(G44:K44,N44:P44)+L44, SUM(G44:K44,N44:P44)+M44+L44)))</f>
        <v>0.3071364810763062</v>
      </c>
      <c r="R44" s="90">
        <f>'Common input data'!B$91</f>
        <v>0.05</v>
      </c>
      <c r="S44" s="90">
        <f>'Common input data'!C$98</f>
        <v>0.03</v>
      </c>
      <c r="T44" s="107"/>
    </row>
    <row r="45" spans="1:294" x14ac:dyDescent="0.3">
      <c r="A45" s="144"/>
      <c r="B45" s="142"/>
      <c r="C45" s="83" t="s">
        <v>165</v>
      </c>
      <c r="D45" s="270">
        <f>SUM(H45:K45)</f>
        <v>2.0989619994048154E-2</v>
      </c>
      <c r="E45" s="90">
        <f>SUM(G45:K45,N45:O45)</f>
        <v>2.1207377934297948E-2</v>
      </c>
      <c r="F45" s="278">
        <f>SUM(Q45:S45)/(1-'Common input data'!B$127)</f>
        <v>2.1681227669380555E-2</v>
      </c>
      <c r="G45" s="85">
        <f>'Input data dairy products'!$D$9*G10</f>
        <v>2.1681838177665575E-4</v>
      </c>
      <c r="H45" s="85">
        <f>'Input data dairy products'!$D$9*H10</f>
        <v>0</v>
      </c>
      <c r="I45" s="85">
        <f>'Input data dairy products'!$D$9*I10</f>
        <v>1.371521804893912E-3</v>
      </c>
      <c r="J45" s="85">
        <f>'Input data dairy products'!$D$9*J10</f>
        <v>0</v>
      </c>
      <c r="K45" s="85">
        <f>'Input data dairy products'!$D$9*K10</f>
        <v>1.9618098189154241E-2</v>
      </c>
      <c r="L45" s="85">
        <f>'Input data dairy products'!$D$9*L10</f>
        <v>0</v>
      </c>
      <c r="M45" s="85">
        <f>'Input data dairy products'!$D$9*M10</f>
        <v>0</v>
      </c>
      <c r="N45" s="85">
        <f>'Input data dairy products'!$D$9*N10</f>
        <v>0</v>
      </c>
      <c r="O45" s="85">
        <f>'Input data dairy products'!$D$9*O10</f>
        <v>9.3955847313654224E-7</v>
      </c>
      <c r="P45" s="85">
        <v>0</v>
      </c>
      <c r="Q45" s="85">
        <f>SUM(G45:P45)</f>
        <v>2.1207377934297948E-2</v>
      </c>
      <c r="R45" s="90">
        <v>0</v>
      </c>
      <c r="S45" s="90">
        <v>0</v>
      </c>
      <c r="T45" s="107"/>
    </row>
    <row r="46" spans="1:294" x14ac:dyDescent="0.3">
      <c r="A46" s="174"/>
      <c r="B46" s="85"/>
      <c r="C46" s="84" t="s">
        <v>166</v>
      </c>
      <c r="D46" s="270">
        <f>SUM(H46:K46)</f>
        <v>8.0590198954664616E-4</v>
      </c>
      <c r="E46" s="90">
        <f>SUM(G46:K46,N46:O46)</f>
        <v>1.0108710208567783E-3</v>
      </c>
      <c r="F46" s="278">
        <f>SUM(Q46:S46)/(1-'Common input data'!B$127)</f>
        <v>1.0334575455520825E-3</v>
      </c>
      <c r="G46" s="85">
        <f>'Input data dairy products'!$D$9*G11</f>
        <v>2.0488144358135854E-4</v>
      </c>
      <c r="H46" s="85">
        <f>'Input data dairy products'!$D$9*H11</f>
        <v>5.1785770885175208E-4</v>
      </c>
      <c r="I46" s="85">
        <f>'Input data dairy products'!$D$9*I11</f>
        <v>2.6552793907859667E-4</v>
      </c>
      <c r="J46" s="85">
        <f>'Input data dairy products'!$D$9*J11</f>
        <v>2.2516341616297461E-5</v>
      </c>
      <c r="K46" s="85">
        <f>'Input data dairy products'!$D$9*K11</f>
        <v>0</v>
      </c>
      <c r="L46" s="85">
        <f>'Input data dairy products'!$D$9*L11</f>
        <v>0</v>
      </c>
      <c r="M46" s="85">
        <f>'Input data dairy products'!$D$9*M11</f>
        <v>0</v>
      </c>
      <c r="N46" s="85">
        <f>'Input data dairy products'!$D$9*N11</f>
        <v>0</v>
      </c>
      <c r="O46" s="85">
        <f>'Input data dairy products'!$D$9*O11</f>
        <v>8.7587728773506539E-8</v>
      </c>
      <c r="P46" s="85">
        <v>0</v>
      </c>
      <c r="Q46" s="85">
        <f>SUM(G46:P46)</f>
        <v>1.0108710208567783E-3</v>
      </c>
      <c r="R46" s="90">
        <v>0</v>
      </c>
      <c r="S46" s="90">
        <v>0</v>
      </c>
      <c r="T46" s="107"/>
    </row>
    <row r="47" spans="1:294" s="102" customFormat="1" x14ac:dyDescent="0.3">
      <c r="A47" s="284" t="s">
        <v>70</v>
      </c>
      <c r="B47" s="104">
        <f>'Input data dairy products'!C10</f>
        <v>0.23199999999999998</v>
      </c>
      <c r="C47" s="269" t="s">
        <v>473</v>
      </c>
      <c r="D47" s="320">
        <f>IF($E$1="GWP100 without fb",D48+D49*'Common input data'!$C$5+D50*'Common input data'!$D$5,IF($E$1="GWP100 with fb",D48+D49*'Common input data'!$C$6+D50*'Common input data'!$D$6,IF($E$1="GTP100 without fb",D48+D49*'Common input data'!$C$7+D50*'Common input data'!$D$7,IF($E$1="GTP100 with fb",D48+D49*'Common input data'!$C$8+D50*'Common input data'!$D$8,D48+D49*'Common input data'!$C$9+D50*'Common input data'!$D$9))))</f>
        <v>0.92897392973871495</v>
      </c>
      <c r="E47" s="302">
        <f>IF($E$1="GWP100 without fb",E48+E49*'Common input data'!$C$5+E50*'Common input data'!$D$5,IF($E$1="GWP100 with fb",E48+E49*'Common input data'!$C$6+E50*'Common input data'!$D$6,IF($E$1="GTP100 without fb",E48+E49*'Common input data'!$C$7+E50*'Common input data'!$D$7,IF($E$1="GTP100 with fb",E48+E49*'Common input data'!$C$8+E50*'Common input data'!$D$8,E48+E49*'Common input data'!$C$9+E50*'Common input data'!$D$9))))</f>
        <v>1.2896623648846837</v>
      </c>
      <c r="F47" s="321">
        <f>IF($E$1="GWP100 without fb",F48+F49*'Common input data'!$C$5+F50*'Common input data'!$D$5,IF($E$1="GWP100 with fb",F48+F49*'Common input data'!$C$6+F50*'Common input data'!$D$6,IF($E$1="GTP100 without fb",F48+F49*'Common input data'!$C$7+F50*'Common input data'!$D$7,IF($E$1="GTP100 with fb",F48+F49*'Common input data'!$C$8+F50*'Common input data'!$D$8,F48+F49*'Common input data'!$C$9+F50*'Common input data'!$D$9))))</f>
        <v>1.8603202214198813</v>
      </c>
      <c r="G47" s="104"/>
      <c r="P47" s="104"/>
      <c r="Q47" s="104"/>
      <c r="R47" s="106"/>
      <c r="S47" s="106"/>
      <c r="T47" s="107"/>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c r="ED47" s="64"/>
      <c r="EE47" s="64"/>
      <c r="EF47" s="64"/>
      <c r="EG47" s="64"/>
      <c r="EH47" s="64"/>
      <c r="EI47" s="64"/>
      <c r="EJ47" s="64"/>
      <c r="EK47" s="64"/>
      <c r="EL47" s="64"/>
      <c r="EM47" s="64"/>
      <c r="EN47" s="64"/>
      <c r="EO47" s="64"/>
      <c r="EP47" s="64"/>
      <c r="EQ47" s="64"/>
      <c r="ER47" s="64"/>
      <c r="ES47" s="64"/>
      <c r="ET47" s="64"/>
      <c r="EU47" s="64"/>
      <c r="EV47" s="64"/>
      <c r="EW47" s="64"/>
      <c r="EX47" s="64"/>
      <c r="EY47" s="64"/>
      <c r="EZ47" s="64"/>
      <c r="FA47" s="64"/>
      <c r="FB47" s="64"/>
      <c r="FC47" s="64"/>
      <c r="FD47" s="64"/>
      <c r="FE47" s="64"/>
      <c r="FF47" s="64"/>
      <c r="FG47" s="64"/>
      <c r="FH47" s="64"/>
      <c r="FI47" s="64"/>
      <c r="FJ47" s="64"/>
      <c r="FK47" s="64"/>
      <c r="FL47" s="64"/>
      <c r="FM47" s="64"/>
      <c r="FN47" s="64"/>
      <c r="FO47" s="64"/>
      <c r="FP47" s="64"/>
      <c r="FQ47" s="64"/>
      <c r="FR47" s="64"/>
      <c r="FS47" s="64"/>
      <c r="FT47" s="64"/>
      <c r="FU47" s="64"/>
      <c r="FV47" s="64"/>
      <c r="FW47" s="64"/>
      <c r="FX47" s="64"/>
      <c r="FY47" s="64"/>
      <c r="FZ47" s="64"/>
      <c r="GA47" s="64"/>
      <c r="GB47" s="64"/>
      <c r="GC47" s="64"/>
      <c r="GD47" s="64"/>
      <c r="GE47" s="64"/>
      <c r="GF47" s="64"/>
      <c r="GG47" s="64"/>
      <c r="GH47" s="64"/>
      <c r="GI47" s="64"/>
      <c r="GJ47" s="64"/>
      <c r="GK47" s="64"/>
      <c r="GL47" s="64"/>
      <c r="GM47" s="64"/>
      <c r="GN47" s="64"/>
      <c r="GO47" s="64"/>
      <c r="GP47" s="64"/>
      <c r="GQ47" s="64"/>
      <c r="GR47" s="64"/>
      <c r="GS47" s="64"/>
      <c r="GT47" s="64"/>
      <c r="GU47" s="64"/>
      <c r="GV47" s="64"/>
      <c r="GW47" s="64"/>
      <c r="GX47" s="64"/>
      <c r="GY47" s="64"/>
      <c r="GZ47" s="64"/>
      <c r="HA47" s="64"/>
      <c r="HB47" s="64"/>
      <c r="HC47" s="64"/>
      <c r="HD47" s="64"/>
      <c r="HE47" s="64"/>
      <c r="HF47" s="64"/>
      <c r="HG47" s="64"/>
      <c r="HH47" s="64"/>
      <c r="HI47" s="64"/>
      <c r="HJ47" s="64"/>
      <c r="HK47" s="64"/>
      <c r="HL47" s="64"/>
      <c r="HM47" s="64"/>
      <c r="HN47" s="64"/>
      <c r="HO47" s="64"/>
      <c r="HP47" s="64"/>
      <c r="HQ47" s="64"/>
      <c r="HR47" s="64"/>
      <c r="HS47" s="64"/>
      <c r="HT47" s="64"/>
      <c r="HU47" s="64"/>
      <c r="HV47" s="64"/>
      <c r="HW47" s="64"/>
      <c r="HX47" s="64"/>
      <c r="HY47" s="64"/>
      <c r="HZ47" s="64"/>
      <c r="IA47" s="64"/>
      <c r="IB47" s="64"/>
      <c r="IC47" s="64"/>
      <c r="ID47" s="64"/>
      <c r="IE47" s="64"/>
      <c r="IF47" s="64"/>
      <c r="IG47" s="64"/>
      <c r="IH47" s="64"/>
      <c r="II47" s="64"/>
      <c r="IJ47" s="64"/>
      <c r="IK47" s="64"/>
      <c r="IL47" s="64"/>
      <c r="IM47" s="64"/>
      <c r="IN47" s="64"/>
      <c r="IO47" s="64"/>
      <c r="IP47" s="64"/>
      <c r="IQ47" s="64"/>
      <c r="IR47" s="64"/>
      <c r="IS47" s="64"/>
      <c r="IT47" s="64"/>
      <c r="IU47" s="64"/>
      <c r="IV47" s="64"/>
      <c r="IW47" s="64"/>
      <c r="IX47" s="64"/>
      <c r="IY47" s="64"/>
      <c r="IZ47" s="64"/>
      <c r="JA47" s="64"/>
      <c r="JB47" s="64"/>
      <c r="JC47" s="64"/>
      <c r="JD47" s="64"/>
      <c r="JE47" s="64"/>
      <c r="JF47" s="64"/>
      <c r="JG47" s="64"/>
      <c r="JH47" s="64"/>
      <c r="JI47" s="64"/>
      <c r="JJ47" s="64"/>
      <c r="JK47" s="64"/>
      <c r="JL47" s="64"/>
      <c r="JM47" s="64"/>
      <c r="JN47" s="64"/>
      <c r="JO47" s="64"/>
      <c r="JP47" s="64"/>
      <c r="JQ47" s="64"/>
      <c r="JR47" s="64"/>
      <c r="JS47" s="64"/>
      <c r="JT47" s="64"/>
      <c r="JU47" s="64"/>
      <c r="JV47" s="64"/>
      <c r="JW47" s="64"/>
      <c r="JX47" s="64"/>
      <c r="JY47" s="64"/>
      <c r="JZ47" s="64"/>
      <c r="KA47" s="64"/>
      <c r="KB47" s="64"/>
      <c r="KC47" s="64"/>
      <c r="KD47" s="64"/>
      <c r="KE47" s="64"/>
      <c r="KF47" s="64"/>
      <c r="KG47" s="64"/>
      <c r="KH47" s="64"/>
    </row>
    <row r="48" spans="1:294" x14ac:dyDescent="0.3">
      <c r="A48" s="107"/>
      <c r="B48" s="142"/>
      <c r="C48" s="83" t="s">
        <v>164</v>
      </c>
      <c r="D48" s="270">
        <f>IF(AND($E$2="No",$E$3="No"),SUM(H48:K48),IF(AND($E$2="Yes", $E$3="No"), SUM(H48:K48)+M48, IF(AND($E$2="No", $E$3="Yes"),SUM(H48:K48)+L48, SUM(H48:K48)+M48+L48)))</f>
        <v>-2.4831942943822891E-2</v>
      </c>
      <c r="E48" s="90">
        <f>IF(AND($E$2="No",$E$3="No"),SUM(G48:K48,N48:O48),IF(AND($E$2="Yes",$E$3="No"), SUM(G48:K48,N48:O48)+M48, IF(AND($E$2="No", $E$3="Yes"),SUM(G48:K48,N48:O48)+L48, SUM(G48:K48,N48:O48)+M48+L48)))</f>
        <v>0.26725346498581393</v>
      </c>
      <c r="F48" s="278">
        <f>SUM(Q48:S48)/(1-'Common input data'!B$127)</f>
        <v>0.81506699876389854</v>
      </c>
      <c r="G48" s="85">
        <f>'Input data dairy products'!$D$10*G13</f>
        <v>0.20251717432708741</v>
      </c>
      <c r="H48" s="85">
        <f>'Input data dairy products'!$D$10*H13</f>
        <v>0</v>
      </c>
      <c r="I48" s="85">
        <f>'Input data dairy products'!$D$10*I13</f>
        <v>0</v>
      </c>
      <c r="J48" s="85">
        <f>'Input data dairy products'!$D$10*J13</f>
        <v>0</v>
      </c>
      <c r="K48" s="85">
        <f>'Input data dairy products'!$D$10*K13</f>
        <v>0</v>
      </c>
      <c r="L48" s="85">
        <f>'Input data dairy products'!$D$10*L13</f>
        <v>-4.3977760303201947E-2</v>
      </c>
      <c r="M48" s="85">
        <f>'Input data dairy products'!$D$10*M13</f>
        <v>1.9145817359379057E-2</v>
      </c>
      <c r="N48" s="85">
        <f>'Input data dairy products'!$D$10*N13</f>
        <v>7.9026283286290896E-2</v>
      </c>
      <c r="O48" s="85">
        <f>'Input data dairy products'!$D$10*O13</f>
        <v>1.0541950316258542E-2</v>
      </c>
      <c r="P48" s="85">
        <f>'Input data dairy products'!D$30</f>
        <v>0.25</v>
      </c>
      <c r="Q48" s="349">
        <f>IF(AND($E$2="No",$E$3="No"),SUM(G48:K48,N48:P48),IF(AND($E$2="Yes",$E$3="No"), SUM(G48:K48,N48:P48)+M48, IF(AND($E$2="No", $E$3="Yes"),SUM(G48:K48,N48:P48)+L48, SUM(G48:K48,N48:P48)+M48+L48)))</f>
        <v>0.51725346498581393</v>
      </c>
      <c r="R48" s="90">
        <f>'Common input data'!B$91</f>
        <v>0.05</v>
      </c>
      <c r="S48" s="90">
        <f>'Common input data'!B$102+'Common input data'!C$102</f>
        <v>0.23000000000000004</v>
      </c>
      <c r="T48" s="107"/>
    </row>
    <row r="49" spans="1:406" x14ac:dyDescent="0.3">
      <c r="A49" s="144"/>
      <c r="B49" s="84"/>
      <c r="C49" s="83" t="s">
        <v>165</v>
      </c>
      <c r="D49" s="270">
        <f>SUM(H49:K49)</f>
        <v>2.0989619994048154E-2</v>
      </c>
      <c r="E49" s="90">
        <f>SUM(G49:K49,N49:O49)</f>
        <v>2.1209295795923525E-2</v>
      </c>
      <c r="F49" s="278">
        <f>SUM(Q49:S49)/(1-'Common input data'!B$127)</f>
        <v>2.1683188382990288E-2</v>
      </c>
      <c r="G49" s="85">
        <f>'Input data dairy products'!$D$10*G14</f>
        <v>2.1681838177665575E-4</v>
      </c>
      <c r="H49" s="85">
        <f>'Input data dairy products'!$D$10*H14</f>
        <v>0</v>
      </c>
      <c r="I49" s="85">
        <f>'Input data dairy products'!$D$10*I14</f>
        <v>1.371521804893912E-3</v>
      </c>
      <c r="J49" s="85">
        <f>'Input data dairy products'!$D$10*J14</f>
        <v>0</v>
      </c>
      <c r="K49" s="85">
        <f>'Input data dairy products'!$D$10*K14</f>
        <v>1.9618098189154241E-2</v>
      </c>
      <c r="L49" s="85">
        <f>'Input data dairy products'!$D$10*L14</f>
        <v>0</v>
      </c>
      <c r="M49" s="85">
        <f>'Input data dairy products'!$D$10*M14</f>
        <v>0</v>
      </c>
      <c r="N49" s="85">
        <f>'Input data dairy products'!$D$10*N14</f>
        <v>0</v>
      </c>
      <c r="O49" s="85">
        <f>'Input data dairy products'!$D$10*O14</f>
        <v>2.857420098714226E-6</v>
      </c>
      <c r="P49" s="85">
        <v>0</v>
      </c>
      <c r="Q49" s="85">
        <f>SUM(G49:P49)</f>
        <v>2.1209295795923525E-2</v>
      </c>
      <c r="R49" s="90">
        <v>0</v>
      </c>
      <c r="S49" s="90">
        <v>0</v>
      </c>
      <c r="T49" s="107"/>
    </row>
    <row r="50" spans="1:406" x14ac:dyDescent="0.3">
      <c r="A50" s="144"/>
      <c r="B50" s="85"/>
      <c r="C50" s="84" t="s">
        <v>166</v>
      </c>
      <c r="D50" s="780">
        <f>SUM(H50:K50)</f>
        <v>8.0590198954664616E-4</v>
      </c>
      <c r="E50" s="108">
        <f>SUM(G50:K50,N50:O50)</f>
        <v>1.0110498081794294E-3</v>
      </c>
      <c r="F50" s="521">
        <f>SUM(Q50:S50)/(1-'Common input data'!B$127)</f>
        <v>1.0336403276319231E-3</v>
      </c>
      <c r="G50" s="85">
        <f>'Input data dairy products'!$D$10*G15</f>
        <v>2.0488144358135854E-4</v>
      </c>
      <c r="H50" s="85">
        <f>'Input data dairy products'!$D$10*H15</f>
        <v>5.1785770885175208E-4</v>
      </c>
      <c r="I50" s="85">
        <f>'Input data dairy products'!$D$10*I15</f>
        <v>2.6552793907859667E-4</v>
      </c>
      <c r="J50" s="85">
        <f>'Input data dairy products'!$D$10*J15</f>
        <v>2.2516341616297461E-5</v>
      </c>
      <c r="K50" s="85">
        <f>'Input data dairy products'!$D$10*K15</f>
        <v>0</v>
      </c>
      <c r="L50" s="85">
        <f>'Input data dairy products'!$D$10*L15</f>
        <v>0</v>
      </c>
      <c r="M50" s="85">
        <f>'Input data dairy products'!$D$10*M15</f>
        <v>0</v>
      </c>
      <c r="N50" s="85">
        <f>'Input data dairy products'!$D$10*N15</f>
        <v>0</v>
      </c>
      <c r="O50" s="85">
        <f>'Input data dairy products'!$D$10*O15</f>
        <v>2.663750514245817E-7</v>
      </c>
      <c r="P50" s="85">
        <v>0</v>
      </c>
      <c r="Q50" s="85">
        <f>SUM(G50:P50)</f>
        <v>1.0110498081794294E-3</v>
      </c>
      <c r="R50" s="94">
        <v>0</v>
      </c>
      <c r="S50" s="90">
        <v>0</v>
      </c>
      <c r="T50" s="107"/>
    </row>
    <row r="51" spans="1:406" s="416" customFormat="1" x14ac:dyDescent="0.3">
      <c r="A51" s="426" t="s">
        <v>544</v>
      </c>
      <c r="B51" s="413"/>
      <c r="C51" s="414"/>
      <c r="D51" s="777" t="s">
        <v>795</v>
      </c>
      <c r="E51" s="778" t="s">
        <v>795</v>
      </c>
      <c r="F51" s="779" t="s">
        <v>795</v>
      </c>
      <c r="G51" s="413"/>
      <c r="P51" s="413"/>
      <c r="Q51" s="413"/>
      <c r="R51" s="484"/>
      <c r="S51" s="415"/>
      <c r="T51" s="107"/>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c r="DU51" s="64"/>
      <c r="DV51" s="64"/>
      <c r="DW51" s="64"/>
      <c r="DX51" s="64"/>
      <c r="DY51" s="64"/>
      <c r="DZ51" s="64"/>
      <c r="EA51" s="64"/>
      <c r="EB51" s="64"/>
      <c r="EC51" s="64"/>
      <c r="ED51" s="64"/>
      <c r="EE51" s="64"/>
      <c r="EF51" s="64"/>
      <c r="EG51" s="64"/>
      <c r="EH51" s="64"/>
      <c r="EI51" s="64"/>
      <c r="EJ51" s="64"/>
      <c r="EK51" s="64"/>
      <c r="EL51" s="64"/>
      <c r="EM51" s="64"/>
      <c r="EN51" s="64"/>
      <c r="EO51" s="64"/>
      <c r="EP51" s="64"/>
      <c r="EQ51" s="64"/>
      <c r="ER51" s="64"/>
      <c r="ES51" s="64"/>
      <c r="ET51" s="64"/>
      <c r="EU51" s="64"/>
      <c r="EV51" s="64"/>
      <c r="EW51" s="64"/>
      <c r="EX51" s="64"/>
      <c r="EY51" s="64"/>
      <c r="EZ51" s="64"/>
      <c r="FA51" s="64"/>
      <c r="FB51" s="64"/>
      <c r="FC51" s="64"/>
      <c r="FD51" s="64"/>
      <c r="FE51" s="64"/>
      <c r="FF51" s="64"/>
      <c r="FG51" s="64"/>
      <c r="FH51" s="64"/>
      <c r="FI51" s="64"/>
      <c r="FJ51" s="64"/>
      <c r="FK51" s="64"/>
      <c r="FL51" s="64"/>
      <c r="FM51" s="64"/>
      <c r="FN51" s="64"/>
      <c r="FO51" s="64"/>
      <c r="FP51" s="64"/>
      <c r="FQ51" s="64"/>
      <c r="FR51" s="64"/>
      <c r="FS51" s="64"/>
      <c r="FT51" s="64"/>
      <c r="FU51" s="64"/>
      <c r="FV51" s="64"/>
      <c r="FW51" s="64"/>
      <c r="FX51" s="64"/>
      <c r="FY51" s="64"/>
      <c r="FZ51" s="64"/>
      <c r="GA51" s="64"/>
      <c r="GB51" s="64"/>
      <c r="GC51" s="64"/>
      <c r="GD51" s="64"/>
      <c r="GE51" s="64"/>
      <c r="GF51" s="64"/>
      <c r="GG51" s="64"/>
      <c r="GH51" s="64"/>
      <c r="GI51" s="64"/>
      <c r="GJ51" s="64"/>
      <c r="GK51" s="64"/>
      <c r="GL51" s="64"/>
      <c r="GM51" s="64"/>
      <c r="GN51" s="64"/>
      <c r="GO51" s="64"/>
      <c r="GP51" s="64"/>
      <c r="GQ51" s="64"/>
      <c r="GR51" s="64"/>
      <c r="GS51" s="64"/>
      <c r="GT51" s="64"/>
      <c r="GU51" s="64"/>
      <c r="GV51" s="64"/>
      <c r="GW51" s="64"/>
      <c r="GX51" s="64"/>
      <c r="GY51" s="64"/>
      <c r="GZ51" s="64"/>
      <c r="HA51" s="64"/>
      <c r="HB51" s="64"/>
      <c r="HC51" s="64"/>
      <c r="HD51" s="64"/>
      <c r="HE51" s="64"/>
      <c r="HF51" s="64"/>
      <c r="HG51" s="64"/>
      <c r="HH51" s="64"/>
      <c r="HI51" s="64"/>
      <c r="HJ51" s="64"/>
      <c r="HK51" s="64"/>
      <c r="HL51" s="64"/>
      <c r="HM51" s="64"/>
      <c r="HN51" s="64"/>
      <c r="HO51" s="64"/>
      <c r="HP51" s="64"/>
      <c r="HQ51" s="64"/>
      <c r="HR51" s="64"/>
      <c r="HS51" s="64"/>
      <c r="HT51" s="64"/>
      <c r="HU51" s="64"/>
      <c r="HV51" s="64"/>
      <c r="HW51" s="64"/>
      <c r="HX51" s="64"/>
      <c r="HY51" s="64"/>
      <c r="HZ51" s="64"/>
      <c r="IA51" s="64"/>
      <c r="IB51" s="64"/>
      <c r="IC51" s="64"/>
      <c r="ID51" s="64"/>
      <c r="IE51" s="64"/>
      <c r="IF51" s="64"/>
      <c r="IG51" s="64"/>
      <c r="IH51" s="64"/>
      <c r="II51" s="64"/>
      <c r="IJ51" s="64"/>
      <c r="IK51" s="64"/>
      <c r="IL51" s="64"/>
      <c r="IM51" s="64"/>
      <c r="IN51" s="64"/>
      <c r="IO51" s="64"/>
      <c r="IP51" s="64"/>
      <c r="IQ51" s="64"/>
      <c r="IR51" s="64"/>
      <c r="IS51" s="64"/>
      <c r="IT51" s="64"/>
      <c r="IU51" s="64"/>
      <c r="IV51" s="64"/>
      <c r="IW51" s="64"/>
      <c r="IX51" s="64"/>
      <c r="IY51" s="64"/>
      <c r="IZ51" s="64"/>
      <c r="JA51" s="64"/>
      <c r="JB51" s="64"/>
      <c r="JC51" s="64"/>
      <c r="JD51" s="64"/>
      <c r="JE51" s="64"/>
      <c r="JF51" s="64"/>
      <c r="JG51" s="64"/>
      <c r="JH51" s="64"/>
      <c r="JI51" s="64"/>
      <c r="JJ51" s="64"/>
      <c r="JK51" s="64"/>
      <c r="JL51" s="64"/>
      <c r="JM51" s="64"/>
      <c r="JN51" s="64"/>
      <c r="JO51" s="64"/>
      <c r="JP51" s="64"/>
      <c r="JQ51" s="64"/>
      <c r="JR51" s="64"/>
      <c r="JS51" s="64"/>
      <c r="JT51" s="64"/>
      <c r="JU51" s="64"/>
      <c r="JV51" s="64"/>
      <c r="JW51" s="64"/>
      <c r="JX51" s="64"/>
      <c r="JY51" s="64"/>
      <c r="JZ51" s="64"/>
      <c r="KA51" s="64"/>
      <c r="KB51" s="64"/>
      <c r="KC51" s="64"/>
      <c r="KD51" s="64"/>
      <c r="KE51" s="64"/>
      <c r="KF51" s="64"/>
      <c r="KG51" s="64"/>
      <c r="KH51" s="64"/>
    </row>
    <row r="52" spans="1:406" s="102" customFormat="1" x14ac:dyDescent="0.3">
      <c r="A52" s="143" t="s">
        <v>260</v>
      </c>
      <c r="B52" s="110">
        <f>SUM(B56:B60)</f>
        <v>1</v>
      </c>
      <c r="C52" s="269" t="s">
        <v>473</v>
      </c>
      <c r="D52" s="769">
        <f>IF($E$1="GWP100 without fb",D53+D54*'Common input data'!$C$5+D55*'Common input data'!$D$5,IF($E$1="GWP100 with fb",D53+D54*'Common input data'!$C$6+D55*'Common input data'!$D$6,IF($E$1="GTP100 without fb",D53+D54*'Common input data'!$C$7+D55*'Common input data'!$D$7,IF($E$1="GTP100 with fb",D53+D54*'Common input data'!$C$8+D55*'Common input data'!$D$8,D53+D54*'Common input data'!$C$9+D55*'Common input data'!$D$9))))</f>
        <v>4.6448696486935752</v>
      </c>
      <c r="E52" s="326">
        <f>IF($E$1="GWP100 without fb",E53+E54*'Common input data'!$C$5+E55*'Common input data'!$D$5,IF($E$1="GWP100 with fb",E53+E54*'Common input data'!$C$6+E55*'Common input data'!$D$6,IF($E$1="GTP100 without fb",E53+E54*'Common input data'!$C$7+E55*'Common input data'!$D$7,IF($E$1="GTP100 with fb",E53+E54*'Common input data'!$C$8+E55*'Common input data'!$D$8,E53+E54*'Common input data'!$C$9+E55*'Common input data'!$D$9))))</f>
        <v>6.200141688736478</v>
      </c>
      <c r="F52" s="770">
        <f>IF($E$1="GWP100 without fb",F53+F54*'Common input data'!$C$5+F55*'Common input data'!$D$5,IF($E$1="GWP100 with fb",F53+F54*'Common input data'!$C$6+F55*'Common input data'!$D$6,IF($E$1="GTP100 without fb",F53+F54*'Common input data'!$C$7+F55*'Common input data'!$D$7,IF($E$1="GTP100 with fb",F53+F54*'Common input data'!$C$8+F55*'Common input data'!$D$8,F53+F54*'Common input data'!$C$9+F55*'Common input data'!$D$9))))</f>
        <v>6.4693717491251306</v>
      </c>
      <c r="G52" s="280"/>
      <c r="P52" s="280"/>
      <c r="Q52" s="280"/>
      <c r="R52" s="269"/>
      <c r="S52" s="269"/>
      <c r="T52" s="107"/>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c r="EO52" s="64"/>
      <c r="EP52" s="64"/>
      <c r="EQ52" s="64"/>
      <c r="ER52" s="64"/>
      <c r="ES52" s="64"/>
      <c r="ET52" s="64"/>
      <c r="EU52" s="64"/>
      <c r="EV52" s="64"/>
      <c r="EW52" s="64"/>
      <c r="EX52" s="64"/>
      <c r="EY52" s="64"/>
      <c r="EZ52" s="64"/>
      <c r="FA52" s="64"/>
      <c r="FB52" s="64"/>
      <c r="FC52" s="64"/>
      <c r="FD52" s="64"/>
      <c r="FE52" s="64"/>
      <c r="FF52" s="64"/>
      <c r="FG52" s="64"/>
      <c r="FH52" s="64"/>
      <c r="FI52" s="64"/>
      <c r="FJ52" s="64"/>
      <c r="FK52" s="64"/>
      <c r="FL52" s="64"/>
      <c r="FM52" s="64"/>
      <c r="FN52" s="64"/>
      <c r="FO52" s="64"/>
      <c r="FP52" s="64"/>
      <c r="FQ52" s="64"/>
      <c r="FR52" s="64"/>
      <c r="FS52" s="64"/>
      <c r="FT52" s="64"/>
      <c r="FU52" s="64"/>
      <c r="FV52" s="64"/>
      <c r="FW52" s="64"/>
      <c r="FX52" s="64"/>
      <c r="FY52" s="64"/>
      <c r="FZ52" s="64"/>
      <c r="GA52" s="64"/>
      <c r="GB52" s="64"/>
      <c r="GC52" s="64"/>
      <c r="GD52" s="64"/>
      <c r="GE52" s="64"/>
      <c r="GF52" s="64"/>
      <c r="GG52" s="64"/>
      <c r="GH52" s="64"/>
      <c r="GI52" s="64"/>
      <c r="GJ52" s="64"/>
      <c r="GK52" s="64"/>
      <c r="GL52" s="64"/>
      <c r="GM52" s="64"/>
      <c r="GN52" s="64"/>
      <c r="GO52" s="64"/>
      <c r="GP52" s="64"/>
      <c r="GQ52" s="64"/>
      <c r="GR52" s="64"/>
      <c r="GS52" s="64"/>
      <c r="GT52" s="64"/>
      <c r="GU52" s="64"/>
      <c r="GV52" s="64"/>
      <c r="GW52" s="64"/>
      <c r="GX52" s="64"/>
      <c r="GY52" s="64"/>
      <c r="GZ52" s="64"/>
      <c r="HA52" s="64"/>
      <c r="HB52" s="64"/>
      <c r="HC52" s="64"/>
      <c r="HD52" s="64"/>
      <c r="HE52" s="64"/>
      <c r="HF52" s="64"/>
      <c r="HG52" s="64"/>
      <c r="HH52" s="64"/>
      <c r="HI52" s="64"/>
      <c r="HJ52" s="64"/>
      <c r="HK52" s="64"/>
      <c r="HL52" s="64"/>
      <c r="HM52" s="64"/>
      <c r="HN52" s="64"/>
      <c r="HO52" s="64"/>
      <c r="HP52" s="64"/>
      <c r="HQ52" s="64"/>
      <c r="HR52" s="64"/>
      <c r="HS52" s="64"/>
      <c r="HT52" s="64"/>
      <c r="HU52" s="64"/>
      <c r="HV52" s="64"/>
      <c r="HW52" s="64"/>
      <c r="HX52" s="64"/>
      <c r="HY52" s="64"/>
      <c r="HZ52" s="64"/>
      <c r="IA52" s="64"/>
      <c r="IB52" s="64"/>
      <c r="IC52" s="64"/>
      <c r="ID52" s="64"/>
      <c r="IE52" s="64"/>
      <c r="IF52" s="64"/>
      <c r="IG52" s="64"/>
      <c r="IH52" s="64"/>
      <c r="II52" s="64"/>
      <c r="IJ52" s="64"/>
      <c r="IK52" s="64"/>
      <c r="IL52" s="64"/>
      <c r="IM52" s="64"/>
      <c r="IN52" s="64"/>
      <c r="IO52" s="64"/>
      <c r="IP52" s="64"/>
      <c r="IQ52" s="64"/>
      <c r="IR52" s="64"/>
      <c r="IS52" s="64"/>
      <c r="IT52" s="64"/>
      <c r="IU52" s="64"/>
      <c r="IV52" s="64"/>
      <c r="IW52" s="64"/>
      <c r="IX52" s="64"/>
      <c r="IY52" s="64"/>
      <c r="IZ52" s="64"/>
      <c r="JA52" s="64"/>
      <c r="JB52" s="64"/>
      <c r="JC52" s="64"/>
      <c r="JD52" s="64"/>
      <c r="JE52" s="64"/>
      <c r="JF52" s="64"/>
      <c r="JG52" s="64"/>
      <c r="JH52" s="64"/>
      <c r="JI52" s="64"/>
      <c r="JJ52" s="64"/>
      <c r="JK52" s="64"/>
      <c r="JL52" s="64"/>
      <c r="JM52" s="64"/>
      <c r="JN52" s="64"/>
      <c r="JO52" s="64"/>
      <c r="JP52" s="64"/>
      <c r="JQ52" s="64"/>
      <c r="JR52" s="64"/>
      <c r="JS52" s="64"/>
      <c r="JT52" s="64"/>
      <c r="JU52" s="64"/>
      <c r="JV52" s="64"/>
      <c r="JW52" s="64"/>
      <c r="JX52" s="64"/>
      <c r="JY52" s="64"/>
      <c r="JZ52" s="64"/>
      <c r="KA52" s="64"/>
      <c r="KB52" s="64"/>
      <c r="KC52" s="64"/>
      <c r="KD52" s="64"/>
      <c r="KE52" s="64"/>
      <c r="KF52" s="64"/>
      <c r="KG52" s="64"/>
      <c r="KH52" s="64"/>
    </row>
    <row r="53" spans="1:406" s="102" customFormat="1" x14ac:dyDescent="0.3">
      <c r="A53" s="107"/>
      <c r="B53" s="64"/>
      <c r="C53" s="83" t="s">
        <v>164</v>
      </c>
      <c r="D53" s="270">
        <f>$B$56*D57+$B$60*D61</f>
        <v>-0.12415971471911444</v>
      </c>
      <c r="E53" s="90">
        <f t="shared" ref="E53:F55" si="4">$B$56*E57+$B$60*E61</f>
        <v>1.0885853512218977</v>
      </c>
      <c r="F53" s="278">
        <f t="shared" si="4"/>
        <v>1.2436047051340129</v>
      </c>
      <c r="G53" s="90">
        <f t="shared" ref="G53:S55" si="5">$B56*G57+$B$60*G61</f>
        <v>1.012585871635437</v>
      </c>
      <c r="H53" s="90">
        <f t="shared" si="5"/>
        <v>0</v>
      </c>
      <c r="I53" s="90">
        <f t="shared" si="5"/>
        <v>0</v>
      </c>
      <c r="J53" s="90">
        <f t="shared" si="5"/>
        <v>0</v>
      </c>
      <c r="K53" s="90">
        <f t="shared" si="5"/>
        <v>0</v>
      </c>
      <c r="L53" s="90">
        <f t="shared" si="5"/>
        <v>-0.21988880151600973</v>
      </c>
      <c r="M53" s="90">
        <f t="shared" si="5"/>
        <v>9.5729086796895291E-2</v>
      </c>
      <c r="N53" s="90">
        <f t="shared" si="5"/>
        <v>0.17660097285984544</v>
      </c>
      <c r="O53" s="90">
        <f t="shared" si="5"/>
        <v>2.3558221445729766E-2</v>
      </c>
      <c r="P53" s="90">
        <f t="shared" si="5"/>
        <v>1.2639999999999998E-2</v>
      </c>
      <c r="Q53" s="90">
        <f>$B$56*Q57+$B$60*Q61</f>
        <v>1.1012253512218977</v>
      </c>
      <c r="R53" s="90">
        <f t="shared" si="5"/>
        <v>0.05</v>
      </c>
      <c r="S53" s="90">
        <f t="shared" si="5"/>
        <v>6.5199999999999994E-2</v>
      </c>
      <c r="T53" s="107"/>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c r="EN53" s="64"/>
      <c r="EO53" s="64"/>
      <c r="EP53" s="64"/>
      <c r="EQ53" s="64"/>
      <c r="ER53" s="64"/>
      <c r="ES53" s="64"/>
      <c r="ET53" s="64"/>
      <c r="EU53" s="64"/>
      <c r="EV53" s="64"/>
      <c r="EW53" s="64"/>
      <c r="EX53" s="64"/>
      <c r="EY53" s="64"/>
      <c r="EZ53" s="64"/>
      <c r="FA53" s="64"/>
      <c r="FB53" s="64"/>
      <c r="FC53" s="64"/>
      <c r="FD53" s="64"/>
      <c r="FE53" s="64"/>
      <c r="FF53" s="64"/>
      <c r="FG53" s="64"/>
      <c r="FH53" s="64"/>
      <c r="FI53" s="64"/>
      <c r="FJ53" s="64"/>
      <c r="FK53" s="64"/>
      <c r="FL53" s="64"/>
      <c r="FM53" s="64"/>
      <c r="FN53" s="64"/>
      <c r="FO53" s="64"/>
      <c r="FP53" s="64"/>
      <c r="FQ53" s="64"/>
      <c r="FR53" s="64"/>
      <c r="FS53" s="64"/>
      <c r="FT53" s="64"/>
      <c r="FU53" s="64"/>
      <c r="FV53" s="64"/>
      <c r="FW53" s="64"/>
      <c r="FX53" s="64"/>
      <c r="FY53" s="64"/>
      <c r="FZ53" s="64"/>
      <c r="GA53" s="64"/>
      <c r="GB53" s="64"/>
      <c r="GC53" s="64"/>
      <c r="GD53" s="64"/>
      <c r="GE53" s="64"/>
      <c r="GF53" s="64"/>
      <c r="GG53" s="64"/>
      <c r="GH53" s="64"/>
      <c r="GI53" s="64"/>
      <c r="GJ53" s="64"/>
      <c r="GK53" s="64"/>
      <c r="GL53" s="64"/>
      <c r="GM53" s="64"/>
      <c r="GN53" s="64"/>
      <c r="GO53" s="64"/>
      <c r="GP53" s="64"/>
      <c r="GQ53" s="64"/>
      <c r="GR53" s="64"/>
      <c r="GS53" s="64"/>
      <c r="GT53" s="64"/>
      <c r="GU53" s="64"/>
      <c r="GV53" s="64"/>
      <c r="GW53" s="64"/>
      <c r="GX53" s="64"/>
      <c r="GY53" s="64"/>
      <c r="GZ53" s="64"/>
      <c r="HA53" s="64"/>
      <c r="HB53" s="64"/>
      <c r="HC53" s="64"/>
      <c r="HD53" s="64"/>
      <c r="HE53" s="64"/>
      <c r="HF53" s="64"/>
      <c r="HG53" s="64"/>
      <c r="HH53" s="64"/>
      <c r="HI53" s="64"/>
      <c r="HJ53" s="64"/>
      <c r="HK53" s="64"/>
      <c r="HL53" s="64"/>
      <c r="HM53" s="64"/>
      <c r="HN53" s="64"/>
      <c r="HO53" s="64"/>
      <c r="HP53" s="64"/>
      <c r="HQ53" s="64"/>
      <c r="HR53" s="64"/>
      <c r="HS53" s="64"/>
      <c r="HT53" s="64"/>
      <c r="HU53" s="64"/>
      <c r="HV53" s="64"/>
      <c r="HW53" s="64"/>
      <c r="HX53" s="64"/>
      <c r="HY53" s="64"/>
      <c r="HZ53" s="64"/>
      <c r="IA53" s="64"/>
      <c r="IB53" s="64"/>
      <c r="IC53" s="64"/>
      <c r="ID53" s="64"/>
      <c r="IE53" s="64"/>
      <c r="IF53" s="64"/>
      <c r="IG53" s="64"/>
      <c r="IH53" s="64"/>
      <c r="II53" s="64"/>
      <c r="IJ53" s="64"/>
      <c r="IK53" s="64"/>
      <c r="IL53" s="64"/>
      <c r="IM53" s="64"/>
      <c r="IN53" s="64"/>
      <c r="IO53" s="64"/>
      <c r="IP53" s="64"/>
      <c r="IQ53" s="64"/>
      <c r="IR53" s="64"/>
      <c r="IS53" s="64"/>
      <c r="IT53" s="64"/>
      <c r="IU53" s="64"/>
      <c r="IV53" s="64"/>
      <c r="IW53" s="64"/>
      <c r="IX53" s="64"/>
      <c r="IY53" s="64"/>
      <c r="IZ53" s="64"/>
      <c r="JA53" s="64"/>
      <c r="JB53" s="64"/>
      <c r="JC53" s="64"/>
      <c r="JD53" s="64"/>
      <c r="JE53" s="64"/>
      <c r="JF53" s="64"/>
      <c r="JG53" s="64"/>
      <c r="JH53" s="64"/>
      <c r="JI53" s="64"/>
      <c r="JJ53" s="64"/>
      <c r="JK53" s="64"/>
      <c r="JL53" s="64"/>
      <c r="JM53" s="64"/>
      <c r="JN53" s="64"/>
      <c r="JO53" s="64"/>
      <c r="JP53" s="64"/>
      <c r="JQ53" s="64"/>
      <c r="JR53" s="64"/>
      <c r="JS53" s="64"/>
      <c r="JT53" s="64"/>
      <c r="JU53" s="64"/>
      <c r="JV53" s="64"/>
      <c r="JW53" s="64"/>
      <c r="JX53" s="64"/>
      <c r="JY53" s="64"/>
      <c r="JZ53" s="64"/>
      <c r="KA53" s="64"/>
      <c r="KB53" s="64"/>
      <c r="KC53" s="64"/>
      <c r="KD53" s="64"/>
      <c r="KE53" s="64"/>
      <c r="KF53" s="64"/>
      <c r="KG53" s="64"/>
      <c r="KH53" s="64"/>
      <c r="KI53" s="64"/>
      <c r="KJ53" s="64"/>
      <c r="KK53" s="64"/>
      <c r="KL53" s="64"/>
      <c r="KM53" s="64"/>
      <c r="KN53" s="64"/>
      <c r="KO53" s="64"/>
      <c r="KP53" s="64"/>
      <c r="KQ53" s="64"/>
      <c r="KR53" s="64"/>
      <c r="KS53" s="64"/>
      <c r="KT53" s="64"/>
      <c r="KU53" s="64"/>
      <c r="KV53" s="64"/>
      <c r="KW53" s="64"/>
      <c r="KX53" s="64"/>
      <c r="KY53" s="64"/>
      <c r="KZ53" s="64"/>
      <c r="LA53" s="64"/>
      <c r="LB53" s="64"/>
      <c r="LC53" s="64"/>
      <c r="LD53" s="64"/>
      <c r="LE53" s="64"/>
      <c r="LF53" s="64"/>
      <c r="LG53" s="64"/>
      <c r="LH53" s="64"/>
      <c r="LI53" s="64"/>
      <c r="LJ53" s="64"/>
      <c r="LK53" s="64"/>
      <c r="LL53" s="64"/>
      <c r="LM53" s="64"/>
      <c r="LN53" s="64"/>
      <c r="LO53" s="64"/>
      <c r="LP53" s="64"/>
      <c r="LQ53" s="64"/>
      <c r="LR53" s="64"/>
      <c r="LS53" s="64"/>
      <c r="LT53" s="64"/>
      <c r="LU53" s="64"/>
      <c r="LV53" s="64"/>
      <c r="LW53" s="64"/>
      <c r="LX53" s="64"/>
      <c r="LY53" s="64"/>
      <c r="LZ53" s="64"/>
    </row>
    <row r="54" spans="1:406" x14ac:dyDescent="0.3">
      <c r="A54" s="141"/>
      <c r="B54" s="142"/>
      <c r="C54" s="83" t="s">
        <v>165</v>
      </c>
      <c r="D54" s="270">
        <f>$B$56*D58+$B$60*D62</f>
        <v>0.10494809997024078</v>
      </c>
      <c r="E54" s="90">
        <f t="shared" si="4"/>
        <v>0.10603857738972025</v>
      </c>
      <c r="F54" s="278">
        <f t="shared" si="4"/>
        <v>0.10840786377487935</v>
      </c>
      <c r="G54" s="90">
        <f t="shared" si="5"/>
        <v>1.9080017596345697E-4</v>
      </c>
      <c r="H54" s="90">
        <f t="shared" si="5"/>
        <v>0</v>
      </c>
      <c r="I54" s="90">
        <f t="shared" si="5"/>
        <v>1.2069391883066422E-3</v>
      </c>
      <c r="J54" s="90">
        <f t="shared" si="5"/>
        <v>0</v>
      </c>
      <c r="K54" s="90">
        <f t="shared" si="5"/>
        <v>1.7263926406455726E-2</v>
      </c>
      <c r="L54" s="90">
        <f t="shared" si="5"/>
        <v>0</v>
      </c>
      <c r="M54" s="90">
        <f t="shared" si="5"/>
        <v>0</v>
      </c>
      <c r="N54" s="90">
        <f t="shared" si="5"/>
        <v>0</v>
      </c>
      <c r="O54" s="90">
        <f t="shared" si="5"/>
        <v>2.5145296868685181E-6</v>
      </c>
      <c r="P54" s="90">
        <f t="shared" si="5"/>
        <v>0</v>
      </c>
      <c r="Q54" s="90">
        <f>$B$56*Q58+$B$60*Q62</f>
        <v>0.10603857738972025</v>
      </c>
      <c r="R54" s="90">
        <f t="shared" si="5"/>
        <v>0</v>
      </c>
      <c r="S54" s="90">
        <f t="shared" si="5"/>
        <v>0</v>
      </c>
      <c r="T54" s="107"/>
    </row>
    <row r="55" spans="1:406" x14ac:dyDescent="0.3">
      <c r="A55" s="141"/>
      <c r="B55" s="85"/>
      <c r="C55" s="84" t="s">
        <v>166</v>
      </c>
      <c r="D55" s="270">
        <f>$B$56*D59+$B$60*D63</f>
        <v>4.029509947733231E-3</v>
      </c>
      <c r="E55" s="90">
        <f t="shared" si="4"/>
        <v>5.0545124371278232E-3</v>
      </c>
      <c r="F55" s="278">
        <f t="shared" si="4"/>
        <v>5.1674485759906708E-3</v>
      </c>
      <c r="G55" s="90">
        <f t="shared" si="5"/>
        <v>1.8029567035159543E-4</v>
      </c>
      <c r="H55" s="90">
        <f t="shared" si="5"/>
        <v>4.5571478378954165E-4</v>
      </c>
      <c r="I55" s="90">
        <f t="shared" si="5"/>
        <v>2.33664586389165E-4</v>
      </c>
      <c r="J55" s="90">
        <f t="shared" si="5"/>
        <v>1.9814380622341761E-5</v>
      </c>
      <c r="K55" s="90">
        <f t="shared" si="5"/>
        <v>0</v>
      </c>
      <c r="L55" s="90">
        <f t="shared" si="5"/>
        <v>0</v>
      </c>
      <c r="M55" s="90">
        <f t="shared" si="5"/>
        <v>0</v>
      </c>
      <c r="N55" s="90">
        <f t="shared" si="5"/>
        <v>0</v>
      </c>
      <c r="O55" s="90">
        <f t="shared" si="5"/>
        <v>2.3441004525363181E-7</v>
      </c>
      <c r="P55" s="90">
        <f t="shared" si="5"/>
        <v>0</v>
      </c>
      <c r="Q55" s="90">
        <f>$B$56*Q59+$B$60*Q63</f>
        <v>5.0545124371278232E-3</v>
      </c>
      <c r="R55" s="90">
        <f t="shared" si="5"/>
        <v>0</v>
      </c>
      <c r="S55" s="90">
        <f t="shared" si="5"/>
        <v>0</v>
      </c>
      <c r="T55" s="107"/>
    </row>
    <row r="56" spans="1:406" s="102" customFormat="1" x14ac:dyDescent="0.3">
      <c r="A56" s="284" t="s">
        <v>1</v>
      </c>
      <c r="B56" s="110">
        <f>'Input data dairy products'!C11</f>
        <v>0.82400000000000007</v>
      </c>
      <c r="C56" s="269" t="s">
        <v>473</v>
      </c>
      <c r="D56" s="320">
        <f>IF($E$1="GWP100 without fb",D57+D58*'Common input data'!$C$5+D59*'Common input data'!$D$5,IF($E$1="GWP100 with fb",D57+D58*'Common input data'!$C$6+D59*'Common input data'!$D$6,IF($E$1="GTP100 without fb",D57+D58*'Common input data'!$C$7+D59*'Common input data'!$D$7,IF($E$1="GTP100 with fb",D57+D58*'Common input data'!$C$8+D59*'Common input data'!$D$8,D57+D58*'Common input data'!$C$9+D59*'Common input data'!$D$9))))</f>
        <v>4.6448696486935752</v>
      </c>
      <c r="E56" s="302">
        <f>IF($E$1="GWP100 without fb",E57+E58*'Common input data'!$C$5+E59*'Common input data'!$D$5,IF($E$1="GWP100 with fb",E57+E58*'Common input data'!$C$6+E59*'Common input data'!$D$6,IF($E$1="GTP100 without fb",E57+E58*'Common input data'!$C$7+E59*'Common input data'!$D$7,IF($E$1="GTP100 with fb",E57+E58*'Common input data'!$C$8+E59*'Common input data'!$D$8,E57+E58*'Common input data'!$C$9+E59*'Common input data'!$D$9))))</f>
        <v>6.147134475288782</v>
      </c>
      <c r="F56" s="321">
        <f>IF($E$1="GWP100 without fb",F57+F58*'Common input data'!$C$5+F59*'Common input data'!$D$5,IF($E$1="GWP100 with fb",F57+F58*'Common input data'!$C$6+F59*'Common input data'!$D$6,IF($E$1="GTP100 without fb",F57+F58*'Common input data'!$C$7+F59*'Common input data'!$D$7,IF($E$1="GTP100 with fb",F57+F58*'Common input data'!$C$8+F59*'Common input data'!$D$8,F57+F58*'Common input data'!$C$9+F59*'Common input data'!$D$9))))</f>
        <v>6.3764946794567106</v>
      </c>
      <c r="G56" s="104"/>
      <c r="P56" s="104"/>
      <c r="Q56" s="104"/>
      <c r="R56" s="106"/>
      <c r="S56" s="106"/>
      <c r="T56" s="107"/>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c r="GH56" s="64"/>
      <c r="GI56" s="64"/>
      <c r="GJ56" s="64"/>
      <c r="GK56" s="64"/>
      <c r="GL56" s="64"/>
      <c r="GM56" s="64"/>
      <c r="GN56" s="64"/>
      <c r="GO56" s="64"/>
      <c r="GP56" s="64"/>
      <c r="GQ56" s="64"/>
      <c r="GR56" s="64"/>
      <c r="GS56" s="64"/>
      <c r="GT56" s="64"/>
      <c r="GU56" s="64"/>
      <c r="GV56" s="64"/>
      <c r="GW56" s="64"/>
      <c r="GX56" s="64"/>
      <c r="GY56" s="64"/>
      <c r="GZ56" s="64"/>
      <c r="HA56" s="64"/>
      <c r="HB56" s="64"/>
      <c r="HC56" s="64"/>
      <c r="HD56" s="64"/>
      <c r="HE56" s="64"/>
      <c r="HF56" s="64"/>
      <c r="HG56" s="64"/>
      <c r="HH56" s="64"/>
      <c r="HI56" s="64"/>
      <c r="HJ56" s="64"/>
      <c r="HK56" s="64"/>
      <c r="HL56" s="64"/>
      <c r="HM56" s="64"/>
      <c r="HN56" s="64"/>
      <c r="HO56" s="64"/>
      <c r="HP56" s="64"/>
      <c r="HQ56" s="64"/>
      <c r="HR56" s="64"/>
      <c r="HS56" s="64"/>
      <c r="HT56" s="64"/>
      <c r="HU56" s="64"/>
      <c r="HV56" s="64"/>
      <c r="HW56" s="64"/>
      <c r="HX56" s="64"/>
      <c r="HY56" s="64"/>
      <c r="HZ56" s="64"/>
      <c r="IA56" s="64"/>
      <c r="IB56" s="64"/>
      <c r="IC56" s="64"/>
      <c r="ID56" s="64"/>
      <c r="IE56" s="64"/>
      <c r="IF56" s="64"/>
      <c r="IG56" s="64"/>
      <c r="IH56" s="64"/>
      <c r="II56" s="64"/>
      <c r="IJ56" s="64"/>
      <c r="IK56" s="64"/>
      <c r="IL56" s="64"/>
      <c r="IM56" s="64"/>
      <c r="IN56" s="64"/>
      <c r="IO56" s="64"/>
      <c r="IP56" s="64"/>
      <c r="IQ56" s="64"/>
      <c r="IR56" s="64"/>
      <c r="IS56" s="64"/>
      <c r="IT56" s="64"/>
      <c r="IU56" s="64"/>
      <c r="IV56" s="64"/>
      <c r="IW56" s="64"/>
      <c r="IX56" s="64"/>
      <c r="IY56" s="64"/>
      <c r="IZ56" s="64"/>
      <c r="JA56" s="64"/>
      <c r="JB56" s="64"/>
      <c r="JC56" s="64"/>
      <c r="JD56" s="64"/>
      <c r="JE56" s="64"/>
      <c r="JF56" s="64"/>
      <c r="JG56" s="64"/>
      <c r="JH56" s="64"/>
      <c r="JI56" s="64"/>
      <c r="JJ56" s="64"/>
      <c r="JK56" s="64"/>
      <c r="JL56" s="64"/>
      <c r="JM56" s="64"/>
      <c r="JN56" s="64"/>
      <c r="JO56" s="64"/>
      <c r="JP56" s="64"/>
      <c r="JQ56" s="64"/>
      <c r="JR56" s="64"/>
      <c r="JS56" s="64"/>
      <c r="JT56" s="64"/>
      <c r="JU56" s="64"/>
      <c r="JV56" s="64"/>
      <c r="JW56" s="64"/>
      <c r="JX56" s="64"/>
      <c r="JY56" s="64"/>
      <c r="JZ56" s="64"/>
      <c r="KA56" s="64"/>
      <c r="KB56" s="64"/>
      <c r="KC56" s="64"/>
      <c r="KD56" s="64"/>
      <c r="KE56" s="64"/>
      <c r="KF56" s="64"/>
      <c r="KG56" s="64"/>
      <c r="KH56" s="64"/>
    </row>
    <row r="57" spans="1:406" x14ac:dyDescent="0.3">
      <c r="A57" s="107"/>
      <c r="C57" s="83" t="s">
        <v>164</v>
      </c>
      <c r="D57" s="270">
        <f>IF(AND($E$2="No",$E$3="No"),SUM(H57:K57),IF(AND($E$2="Yes", $E$3="No"), SUM(H57:K57)+M57, IF(AND($E$2="No", $E$3="Yes"),SUM(H57:K57)+L57, SUM(H57:K57)+M57+L57)))</f>
        <v>-0.12415971471911444</v>
      </c>
      <c r="E57" s="90">
        <f>IF(AND($E$2="No",$E$3="No"),SUM(G57:K57,N57:O57),IF(AND($E$2="Yes",$E$3="No"), SUM(G57:K57,N57:O57)+M57, IF(AND($E$2="No", $E$3="Yes"),SUM(G57:K57,N57:O57)+L57, SUM(G57:K57,N57:O57)+M57+L57)))</f>
        <v>1.035682405381531</v>
      </c>
      <c r="F57" s="278">
        <f>SUM(Q57:S57)/(1-'Common input data'!B$127)</f>
        <v>1.150834232789413</v>
      </c>
      <c r="G57" s="85">
        <f>'Input data dairy products'!$D$11*G9*'Common input data'!D$39</f>
        <v>1.012585871635437</v>
      </c>
      <c r="H57" s="85">
        <f>'Input data dairy products'!$D$11*H9*'Common input data'!D$39</f>
        <v>0</v>
      </c>
      <c r="I57" s="85">
        <f>'Input data dairy products'!$D$11*I9*'Common input data'!D$39</f>
        <v>0</v>
      </c>
      <c r="J57" s="85">
        <f>'Input data dairy products'!$D$11*J9*'Common input data'!D$39</f>
        <v>0</v>
      </c>
      <c r="K57" s="85">
        <f>'Input data dairy products'!$D$11*K9*'Common input data'!D$39</f>
        <v>0</v>
      </c>
      <c r="L57" s="85">
        <f>'Input data dairy products'!$D$11*L9*'Common input data'!D$39</f>
        <v>-0.21988880151600973</v>
      </c>
      <c r="M57" s="85">
        <f>'Input data dairy products'!$D$11*M9*'Common input data'!D$39</f>
        <v>9.5729086796895291E-2</v>
      </c>
      <c r="N57" s="85">
        <f>'Input data dairy products'!$D$11*N9*'Common input data'!D$39</f>
        <v>0.12992456743678335</v>
      </c>
      <c r="O57" s="85">
        <f>'Input data dairy products'!$D$11*O9*'Common input data'!D$39</f>
        <v>1.7331681028425062E-2</v>
      </c>
      <c r="P57" s="85">
        <f>'Input data dairy products'!E$29*'Common input data'!D$39</f>
        <v>0.01</v>
      </c>
      <c r="Q57" s="349">
        <f>IF(AND($E$2="No",$E$3="No"),SUM(G57:K57,N57:P57),IF(AND($E$2="Yes",$E$3="No"), SUM(G57:K57,N57:P57)+M57, IF(AND($E$2="No", $E$3="Yes"),SUM(G57:K57,N57:P57)+L57, SUM(G57:K57,N57:P57)+M57+L57)))</f>
        <v>1.0456824053815308</v>
      </c>
      <c r="R57" s="90">
        <f>'Common input data'!B$91</f>
        <v>0.05</v>
      </c>
      <c r="S57" s="90">
        <f>'Common input data'!C$98</f>
        <v>0.03</v>
      </c>
      <c r="T57" s="107"/>
    </row>
    <row r="58" spans="1:406" x14ac:dyDescent="0.3">
      <c r="A58" s="144"/>
      <c r="B58" s="142"/>
      <c r="C58" s="83" t="s">
        <v>165</v>
      </c>
      <c r="D58" s="270">
        <f>SUM(H58:K58)</f>
        <v>0.10494809997024078</v>
      </c>
      <c r="E58" s="90">
        <f>SUM(G58:K58,N58:O58)</f>
        <v>0.10603688967148973</v>
      </c>
      <c r="F58" s="278">
        <f>SUM(Q58:S58)/(1-'Common input data'!B$127)</f>
        <v>0.10840613834690278</v>
      </c>
      <c r="G58" s="85">
        <f>'Input data dairy products'!$D$11*G10*'Common input data'!D$39</f>
        <v>1.0840919088832787E-3</v>
      </c>
      <c r="H58" s="85">
        <f>'Input data dairy products'!$D$11*H10*'Common input data'!D$39</f>
        <v>0</v>
      </c>
      <c r="I58" s="85">
        <f>'Input data dairy products'!$D$11*I10*'Common input data'!D$39</f>
        <v>6.8576090244695607E-3</v>
      </c>
      <c r="J58" s="85">
        <f>'Input data dairy products'!$D$11*J10*'Common input data'!D$39</f>
        <v>0</v>
      </c>
      <c r="K58" s="85">
        <f>'Input data dairy products'!$D$11*K10*'Common input data'!D$39</f>
        <v>9.8090490945771214E-2</v>
      </c>
      <c r="L58" s="85">
        <f>'Input data dairy products'!$D$11*L10*'Common input data'!D$39</f>
        <v>0</v>
      </c>
      <c r="M58" s="85">
        <f>'Input data dairy products'!$D$11*M10*'Common input data'!D$39</f>
        <v>0</v>
      </c>
      <c r="N58" s="85">
        <f>'Input data dairy products'!$D$11*N10*'Common input data'!D$39</f>
        <v>0</v>
      </c>
      <c r="O58" s="85">
        <f>'Input data dairy products'!$D$11*O10*'Common input data'!D$39</f>
        <v>4.6977923656827114E-6</v>
      </c>
      <c r="P58" s="85">
        <v>0</v>
      </c>
      <c r="Q58" s="85">
        <f>SUM(G58:P58)</f>
        <v>0.10603688967148973</v>
      </c>
      <c r="R58" s="90">
        <v>0</v>
      </c>
      <c r="S58" s="90">
        <v>0</v>
      </c>
      <c r="T58" s="107"/>
    </row>
    <row r="59" spans="1:406" x14ac:dyDescent="0.3">
      <c r="A59" s="174"/>
      <c r="B59" s="85"/>
      <c r="C59" s="84" t="s">
        <v>166</v>
      </c>
      <c r="D59" s="270">
        <f>SUM(H59:K59)</f>
        <v>4.029509947733231E-3</v>
      </c>
      <c r="E59" s="90">
        <f>SUM(G59:K59,N59:O59)</f>
        <v>5.0543551042838905E-3</v>
      </c>
      <c r="F59" s="278">
        <f>SUM(Q59:S59)/(1-'Common input data'!B$127)</f>
        <v>5.1672877277604114E-3</v>
      </c>
      <c r="G59" s="85">
        <f>'Input data dairy products'!$D$11*G11*'Common input data'!D$39</f>
        <v>1.0244072179067926E-3</v>
      </c>
      <c r="H59" s="85">
        <f>'Input data dairy products'!$D$11*H11*'Common input data'!D$39</f>
        <v>2.5892885442587604E-3</v>
      </c>
      <c r="I59" s="85">
        <f>'Input data dairy products'!$D$11*I11*'Common input data'!D$39</f>
        <v>1.3276396953929835E-3</v>
      </c>
      <c r="J59" s="85">
        <f>'Input data dairy products'!$D$11*J11*'Common input data'!D$39</f>
        <v>1.1258170808148731E-4</v>
      </c>
      <c r="K59" s="85">
        <f>'Input data dairy products'!$D$11*K11*'Common input data'!D$39</f>
        <v>0</v>
      </c>
      <c r="L59" s="85">
        <f>'Input data dairy products'!$D$11*L11*'Common input data'!D$39</f>
        <v>0</v>
      </c>
      <c r="M59" s="85">
        <f>'Input data dairy products'!$D$11*M11*'Common input data'!D$39</f>
        <v>0</v>
      </c>
      <c r="N59" s="85">
        <f>'Input data dairy products'!$D$11*N11*'Common input data'!D$39</f>
        <v>0</v>
      </c>
      <c r="O59" s="85">
        <f>'Input data dairy products'!$D$11*O11*'Common input data'!D$39</f>
        <v>4.379386438675327E-7</v>
      </c>
      <c r="P59" s="85">
        <v>0</v>
      </c>
      <c r="Q59" s="85">
        <f>SUM(G59:P59)</f>
        <v>5.0543551042838905E-3</v>
      </c>
      <c r="R59" s="90">
        <v>0</v>
      </c>
      <c r="S59" s="90">
        <v>0</v>
      </c>
      <c r="T59" s="107"/>
    </row>
    <row r="60" spans="1:406" s="102" customFormat="1" x14ac:dyDescent="0.3">
      <c r="A60" s="284" t="s">
        <v>70</v>
      </c>
      <c r="B60" s="110">
        <f>'Input data dairy products'!C12</f>
        <v>0.17599999999999993</v>
      </c>
      <c r="C60" s="269" t="s">
        <v>473</v>
      </c>
      <c r="D60" s="320">
        <f>IF($E$1="GWP100 without fb",D61+D62*'Common input data'!$C$5+D63*'Common input data'!$D$5,IF($E$1="GWP100 with fb",D61+D62*'Common input data'!$C$6+D63*'Common input data'!$D$6,IF($E$1="GTP100 without fb",D61+D62*'Common input data'!$C$7+D63*'Common input data'!$D$7,IF($E$1="GTP100 with fb",D61+D62*'Common input data'!$C$8+D63*'Common input data'!$D$8,D61+D62*'Common input data'!$C$9+D63*'Common input data'!$D$9))))</f>
        <v>4.6448696486935752</v>
      </c>
      <c r="E60" s="302">
        <f>IF($E$1="GWP100 without fb",E61+E62*'Common input data'!$C$5+E63*'Common input data'!$D$5,IF($E$1="GWP100 with fb",E61+E62*'Common input data'!$C$6+E63*'Common input data'!$D$6,IF($E$1="GTP100 without fb",E61+E62*'Common input data'!$C$7+E63*'Common input data'!$D$7,IF($E$1="GTP100 with fb",E61+E62*'Common input data'!$C$8+E63*'Common input data'!$D$8,E61+E62*'Common input data'!$C$9+E63*'Common input data'!$D$9))))</f>
        <v>6.4483118244234188</v>
      </c>
      <c r="F60" s="321">
        <f>IF($E$1="GWP100 without fb",F61+F62*'Common input data'!$C$5+F63*'Common input data'!$D$5,IF($E$1="GWP100 with fb",F61+F62*'Common input data'!$C$6+F63*'Common input data'!$D$6,IF($E$1="GTP100 without fb",F61+F62*'Common input data'!$C$7+F63*'Common input data'!$D$7,IF($E$1="GTP100 with fb",F61+F62*'Common input data'!$C$8+F63*'Common input data'!$D$8,F61+F62*'Common input data'!$C$9+F63*'Common input data'!$D$9))))</f>
        <v>6.904205302572735</v>
      </c>
      <c r="G60" s="104"/>
      <c r="P60" s="104"/>
      <c r="Q60" s="104"/>
      <c r="R60" s="106"/>
      <c r="S60" s="106"/>
      <c r="T60" s="107"/>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c r="GH60" s="64"/>
      <c r="GI60" s="64"/>
      <c r="GJ60" s="64"/>
      <c r="GK60" s="64"/>
      <c r="GL60" s="64"/>
      <c r="GM60" s="64"/>
      <c r="GN60" s="64"/>
      <c r="GO60" s="64"/>
      <c r="GP60" s="64"/>
      <c r="GQ60" s="64"/>
      <c r="GR60" s="64"/>
      <c r="GS60" s="64"/>
      <c r="GT60" s="64"/>
      <c r="GU60" s="64"/>
      <c r="GV60" s="64"/>
      <c r="GW60" s="64"/>
      <c r="GX60" s="64"/>
      <c r="GY60" s="64"/>
      <c r="GZ60" s="64"/>
      <c r="HA60" s="64"/>
      <c r="HB60" s="64"/>
      <c r="HC60" s="64"/>
      <c r="HD60" s="64"/>
      <c r="HE60" s="64"/>
      <c r="HF60" s="64"/>
      <c r="HG60" s="64"/>
      <c r="HH60" s="64"/>
      <c r="HI60" s="64"/>
      <c r="HJ60" s="64"/>
      <c r="HK60" s="64"/>
      <c r="HL60" s="64"/>
      <c r="HM60" s="64"/>
      <c r="HN60" s="64"/>
      <c r="HO60" s="64"/>
      <c r="HP60" s="64"/>
      <c r="HQ60" s="64"/>
      <c r="HR60" s="64"/>
      <c r="HS60" s="64"/>
      <c r="HT60" s="64"/>
      <c r="HU60" s="64"/>
      <c r="HV60" s="64"/>
      <c r="HW60" s="64"/>
      <c r="HX60" s="64"/>
      <c r="HY60" s="64"/>
      <c r="HZ60" s="64"/>
      <c r="IA60" s="64"/>
      <c r="IB60" s="64"/>
      <c r="IC60" s="64"/>
      <c r="ID60" s="64"/>
      <c r="IE60" s="64"/>
      <c r="IF60" s="64"/>
      <c r="IG60" s="64"/>
      <c r="IH60" s="64"/>
      <c r="II60" s="64"/>
      <c r="IJ60" s="64"/>
      <c r="IK60" s="64"/>
      <c r="IL60" s="64"/>
      <c r="IM60" s="64"/>
      <c r="IN60" s="64"/>
      <c r="IO60" s="64"/>
      <c r="IP60" s="64"/>
      <c r="IQ60" s="64"/>
      <c r="IR60" s="64"/>
      <c r="IS60" s="64"/>
      <c r="IT60" s="64"/>
      <c r="IU60" s="64"/>
      <c r="IV60" s="64"/>
      <c r="IW60" s="64"/>
      <c r="IX60" s="64"/>
      <c r="IY60" s="64"/>
      <c r="IZ60" s="64"/>
      <c r="JA60" s="64"/>
      <c r="JB60" s="64"/>
      <c r="JC60" s="64"/>
      <c r="JD60" s="64"/>
      <c r="JE60" s="64"/>
      <c r="JF60" s="64"/>
      <c r="JG60" s="64"/>
      <c r="JH60" s="64"/>
      <c r="JI60" s="64"/>
      <c r="JJ60" s="64"/>
      <c r="JK60" s="64"/>
      <c r="JL60" s="64"/>
      <c r="JM60" s="64"/>
      <c r="JN60" s="64"/>
      <c r="JO60" s="64"/>
      <c r="JP60" s="64"/>
      <c r="JQ60" s="64"/>
      <c r="JR60" s="64"/>
      <c r="JS60" s="64"/>
      <c r="JT60" s="64"/>
      <c r="JU60" s="64"/>
      <c r="JV60" s="64"/>
      <c r="JW60" s="64"/>
      <c r="JX60" s="64"/>
      <c r="JY60" s="64"/>
      <c r="JZ60" s="64"/>
      <c r="KA60" s="64"/>
      <c r="KB60" s="64"/>
      <c r="KC60" s="64"/>
      <c r="KD60" s="64"/>
      <c r="KE60" s="64"/>
      <c r="KF60" s="64"/>
      <c r="KG60" s="64"/>
      <c r="KH60" s="64"/>
    </row>
    <row r="61" spans="1:406" s="102" customFormat="1" x14ac:dyDescent="0.3">
      <c r="A61" s="107"/>
      <c r="B61" s="64"/>
      <c r="C61" s="83" t="s">
        <v>164</v>
      </c>
      <c r="D61" s="270">
        <f>IF(AND($E$2="No",$E$3="No"),SUM(H61:K61),IF(AND($E$2="Yes", $E$3="No"), SUM(H61:K61)+M61, IF(AND($E$2="No", $E$3="Yes"),SUM(H61:K61)+L61, SUM(H61:K61)+M61+L61)))</f>
        <v>-0.12415971471911444</v>
      </c>
      <c r="E61" s="90">
        <f>IF(AND($E$2="No",$E$3="No"),SUM(G61:K61,N61:O61),IF(AND($E$2="Yes",$E$3="No"), SUM(G61:K61,N61:O61)+M61, IF(AND($E$2="No", $E$3="Yes"),SUM(G61:K61,N61:O61)+L61, SUM(G61:K61,N61:O61)+M61+L61)))</f>
        <v>1.3362673249290697</v>
      </c>
      <c r="F61" s="278">
        <f>SUM(Q61:S61)/(1-'Common input data'!B$127)</f>
        <v>1.6779391892928208</v>
      </c>
      <c r="G61" s="85">
        <f>'Input data dairy products'!$D$12*G13*'Common input data'!D$39</f>
        <v>1.012585871635437</v>
      </c>
      <c r="H61" s="85">
        <f>'Input data dairy products'!$D$12*H13*'Common input data'!D$39</f>
        <v>0</v>
      </c>
      <c r="I61" s="85">
        <f>'Input data dairy products'!$D$12*I13*'Common input data'!D$39</f>
        <v>0</v>
      </c>
      <c r="J61" s="85">
        <f>'Input data dairy products'!$D$12*J13*'Common input data'!D$39</f>
        <v>0</v>
      </c>
      <c r="K61" s="85">
        <f>'Input data dairy products'!$D$12*K13*'Common input data'!D$39</f>
        <v>0</v>
      </c>
      <c r="L61" s="85">
        <f>'Input data dairy products'!$D$12*L13*'Common input data'!D$39</f>
        <v>-0.21988880151600973</v>
      </c>
      <c r="M61" s="85">
        <f>'Input data dairy products'!$D$12*M13*'Common input data'!D$39</f>
        <v>9.5729086796895291E-2</v>
      </c>
      <c r="N61" s="85">
        <f>'Input data dairy products'!$D$12*N13*'Common input data'!D$39</f>
        <v>0.3951314164314545</v>
      </c>
      <c r="O61" s="85">
        <f>'Input data dairy products'!$D$12*O13*'Common input data'!D$39</f>
        <v>5.2709751581292708E-2</v>
      </c>
      <c r="P61" s="85">
        <f>'Input data dairy products'!E$30*'Common input data'!D$39</f>
        <v>2.5000000000000001E-2</v>
      </c>
      <c r="Q61" s="349">
        <f>IF(AND($E$2="No",$E$3="No"),SUM(G61:K61,N61:P61),IF(AND($E$2="Yes",$E$3="No"), SUM(G61:K61,N61:P61)+M61, IF(AND($E$2="No", $E$3="Yes"),SUM(G61:K61,N61:P61)+L61, SUM(G61:K61,N61:P61)+M61+L61)))</f>
        <v>1.3612673249290697</v>
      </c>
      <c r="R61" s="90">
        <f>'Common input data'!B$91</f>
        <v>0.05</v>
      </c>
      <c r="S61" s="90">
        <f>'Common input data'!B$102+'Common input data'!C$102</f>
        <v>0.23000000000000004</v>
      </c>
      <c r="T61" s="107"/>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c r="EO61" s="64"/>
      <c r="EP61" s="64"/>
      <c r="EQ61" s="64"/>
      <c r="ER61" s="64"/>
      <c r="ES61" s="64"/>
      <c r="ET61" s="64"/>
      <c r="EU61" s="64"/>
      <c r="EV61" s="64"/>
      <c r="EW61" s="64"/>
      <c r="EX61" s="64"/>
      <c r="EY61" s="64"/>
      <c r="EZ61" s="64"/>
      <c r="FA61" s="64"/>
      <c r="FB61" s="64"/>
      <c r="FC61" s="64"/>
      <c r="FD61" s="64"/>
      <c r="FE61" s="64"/>
      <c r="FF61" s="64"/>
      <c r="FG61" s="64"/>
      <c r="FH61" s="64"/>
      <c r="FI61" s="64"/>
      <c r="FJ61" s="64"/>
      <c r="FK61" s="64"/>
      <c r="FL61" s="64"/>
      <c r="FM61" s="64"/>
      <c r="FN61" s="64"/>
      <c r="FO61" s="64"/>
      <c r="FP61" s="64"/>
      <c r="FQ61" s="64"/>
      <c r="FR61" s="64"/>
      <c r="FS61" s="64"/>
      <c r="FT61" s="64"/>
      <c r="FU61" s="64"/>
      <c r="FV61" s="64"/>
      <c r="FW61" s="64"/>
      <c r="FX61" s="64"/>
      <c r="FY61" s="64"/>
      <c r="FZ61" s="64"/>
      <c r="GA61" s="64"/>
      <c r="GB61" s="64"/>
      <c r="GC61" s="64"/>
      <c r="GD61" s="64"/>
      <c r="GE61" s="64"/>
      <c r="GF61" s="64"/>
      <c r="GG61" s="64"/>
      <c r="GH61" s="64"/>
      <c r="GI61" s="64"/>
      <c r="GJ61" s="64"/>
      <c r="GK61" s="64"/>
      <c r="GL61" s="64"/>
      <c r="GM61" s="64"/>
      <c r="GN61" s="64"/>
      <c r="GO61" s="64"/>
      <c r="GP61" s="64"/>
      <c r="GQ61" s="64"/>
      <c r="GR61" s="64"/>
      <c r="GS61" s="64"/>
      <c r="GT61" s="64"/>
      <c r="GU61" s="64"/>
      <c r="GV61" s="64"/>
      <c r="GW61" s="64"/>
      <c r="GX61" s="64"/>
      <c r="GY61" s="64"/>
      <c r="GZ61" s="64"/>
      <c r="HA61" s="64"/>
      <c r="HB61" s="64"/>
      <c r="HC61" s="64"/>
      <c r="HD61" s="64"/>
      <c r="HE61" s="64"/>
      <c r="HF61" s="64"/>
      <c r="HG61" s="64"/>
      <c r="HH61" s="64"/>
      <c r="HI61" s="64"/>
      <c r="HJ61" s="64"/>
      <c r="HK61" s="64"/>
      <c r="HL61" s="64"/>
      <c r="HM61" s="64"/>
      <c r="HN61" s="64"/>
      <c r="HO61" s="64"/>
      <c r="HP61" s="64"/>
      <c r="HQ61" s="64"/>
      <c r="HR61" s="64"/>
      <c r="HS61" s="64"/>
      <c r="HT61" s="64"/>
      <c r="HU61" s="64"/>
      <c r="HV61" s="64"/>
      <c r="HW61" s="64"/>
      <c r="HX61" s="64"/>
      <c r="HY61" s="64"/>
      <c r="HZ61" s="64"/>
      <c r="IA61" s="64"/>
      <c r="IB61" s="64"/>
      <c r="IC61" s="64"/>
      <c r="ID61" s="64"/>
      <c r="IE61" s="64"/>
      <c r="IF61" s="64"/>
      <c r="IG61" s="64"/>
      <c r="IH61" s="64"/>
      <c r="II61" s="64"/>
      <c r="IJ61" s="64"/>
      <c r="IK61" s="64"/>
      <c r="IL61" s="64"/>
      <c r="IM61" s="64"/>
      <c r="IN61" s="64"/>
      <c r="IO61" s="64"/>
      <c r="IP61" s="64"/>
      <c r="IQ61" s="64"/>
      <c r="IR61" s="64"/>
      <c r="IS61" s="64"/>
      <c r="IT61" s="64"/>
      <c r="IU61" s="64"/>
      <c r="IV61" s="64"/>
      <c r="IW61" s="64"/>
      <c r="IX61" s="64"/>
      <c r="IY61" s="64"/>
      <c r="IZ61" s="64"/>
      <c r="JA61" s="64"/>
      <c r="JB61" s="64"/>
      <c r="JC61" s="64"/>
      <c r="JD61" s="64"/>
      <c r="JE61" s="64"/>
      <c r="JF61" s="64"/>
      <c r="JG61" s="64"/>
      <c r="JH61" s="64"/>
      <c r="JI61" s="64"/>
      <c r="JJ61" s="64"/>
      <c r="JK61" s="64"/>
      <c r="JL61" s="64"/>
      <c r="JM61" s="64"/>
      <c r="JN61" s="64"/>
      <c r="JO61" s="64"/>
      <c r="JP61" s="64"/>
      <c r="JQ61" s="64"/>
      <c r="JR61" s="64"/>
      <c r="JS61" s="64"/>
      <c r="JT61" s="64"/>
      <c r="JU61" s="64"/>
      <c r="JV61" s="64"/>
      <c r="JW61" s="64"/>
      <c r="JX61" s="64"/>
      <c r="JY61" s="64"/>
      <c r="JZ61" s="64"/>
      <c r="KA61" s="64"/>
      <c r="KB61" s="64"/>
      <c r="KC61" s="64"/>
      <c r="KD61" s="64"/>
      <c r="KE61" s="64"/>
      <c r="KF61" s="64"/>
      <c r="KG61" s="64"/>
      <c r="KH61" s="64"/>
      <c r="KI61" s="64"/>
      <c r="KJ61" s="64"/>
      <c r="KK61" s="64"/>
      <c r="KL61" s="64"/>
      <c r="KM61" s="64"/>
      <c r="KN61" s="64"/>
      <c r="KO61" s="64"/>
      <c r="KP61" s="64"/>
      <c r="KQ61" s="64"/>
      <c r="KR61" s="64"/>
      <c r="KS61" s="64"/>
      <c r="KT61" s="64"/>
      <c r="KU61" s="64"/>
      <c r="KV61" s="64"/>
      <c r="KW61" s="64"/>
      <c r="KX61" s="64"/>
      <c r="KY61" s="64"/>
      <c r="KZ61" s="64"/>
      <c r="LA61" s="64"/>
      <c r="LB61" s="64"/>
      <c r="LC61" s="64"/>
      <c r="LD61" s="64"/>
      <c r="LE61" s="64"/>
      <c r="LF61" s="64"/>
      <c r="LG61" s="64"/>
      <c r="LH61" s="64"/>
      <c r="LI61" s="64"/>
      <c r="LJ61" s="64"/>
      <c r="LK61" s="64"/>
      <c r="LL61" s="64"/>
      <c r="LM61" s="64"/>
      <c r="LN61" s="64"/>
      <c r="LO61" s="64"/>
      <c r="LP61" s="64"/>
      <c r="LQ61" s="64"/>
      <c r="LR61" s="64"/>
      <c r="LS61" s="64"/>
      <c r="LT61" s="64"/>
      <c r="LU61" s="64"/>
      <c r="LV61" s="64"/>
      <c r="LW61" s="64"/>
      <c r="LX61" s="64"/>
      <c r="LY61" s="64"/>
      <c r="LZ61" s="64"/>
      <c r="MA61" s="64"/>
      <c r="MB61" s="64"/>
      <c r="MC61" s="64"/>
      <c r="MD61" s="64"/>
      <c r="ME61" s="64"/>
      <c r="MF61" s="64"/>
      <c r="MG61" s="64"/>
      <c r="MH61" s="64"/>
      <c r="MI61" s="64"/>
      <c r="MJ61" s="64"/>
      <c r="MK61" s="64"/>
      <c r="ML61" s="64"/>
      <c r="MM61" s="64"/>
      <c r="MN61" s="64"/>
      <c r="MO61" s="64"/>
      <c r="MP61" s="64"/>
      <c r="MQ61" s="64"/>
      <c r="MR61" s="64"/>
      <c r="MS61" s="64"/>
      <c r="MT61" s="64"/>
      <c r="MU61" s="64"/>
      <c r="MV61" s="64"/>
      <c r="MW61" s="64"/>
      <c r="MX61" s="64"/>
      <c r="MY61" s="64"/>
      <c r="MZ61" s="64"/>
      <c r="NA61" s="64"/>
      <c r="NB61" s="64"/>
      <c r="NC61" s="64"/>
      <c r="ND61" s="64"/>
      <c r="NE61" s="64"/>
      <c r="NF61" s="64"/>
      <c r="NG61" s="64"/>
      <c r="NH61" s="64"/>
      <c r="NI61" s="64"/>
      <c r="NJ61" s="64"/>
      <c r="NK61" s="64"/>
      <c r="NL61" s="64"/>
      <c r="NM61" s="64"/>
      <c r="NN61" s="64"/>
      <c r="NO61" s="64"/>
      <c r="NP61" s="64"/>
      <c r="NQ61" s="64"/>
      <c r="NR61" s="64"/>
      <c r="NS61" s="64"/>
      <c r="NT61" s="64"/>
      <c r="NU61" s="64"/>
      <c r="NV61" s="64"/>
      <c r="NW61" s="64"/>
      <c r="NX61" s="64"/>
      <c r="NY61" s="64"/>
      <c r="NZ61" s="64"/>
      <c r="OA61" s="64"/>
      <c r="OB61" s="64"/>
      <c r="OC61" s="64"/>
      <c r="OD61" s="64"/>
      <c r="OE61" s="64"/>
      <c r="OF61" s="64"/>
      <c r="OG61" s="64"/>
      <c r="OH61" s="64"/>
      <c r="OI61" s="64"/>
      <c r="OJ61" s="64"/>
      <c r="OK61" s="64"/>
      <c r="OL61" s="64"/>
      <c r="OM61" s="64"/>
      <c r="ON61" s="64"/>
      <c r="OO61" s="64"/>
      <c r="OP61" s="64"/>
    </row>
    <row r="62" spans="1:406" x14ac:dyDescent="0.3">
      <c r="A62" s="144"/>
      <c r="B62" s="84"/>
      <c r="C62" s="83" t="s">
        <v>165</v>
      </c>
      <c r="D62" s="270">
        <f>SUM(H62:K62)</f>
        <v>0.10494809997024078</v>
      </c>
      <c r="E62" s="90">
        <f>SUM(G62:K62,N62:O62)</f>
        <v>0.10604647897961762</v>
      </c>
      <c r="F62" s="278">
        <f>SUM(Q62:S62)/(1-'Common input data'!B$127)</f>
        <v>0.10841594191495144</v>
      </c>
      <c r="G62" s="85">
        <f>'Input data dairy products'!$D$12*G14*'Common input data'!D$39</f>
        <v>1.0840919088832787E-3</v>
      </c>
      <c r="H62" s="85">
        <f>'Input data dairy products'!$D$12*H14*'Common input data'!D$39</f>
        <v>0</v>
      </c>
      <c r="I62" s="85">
        <f>'Input data dairy products'!$D$12*I14*'Common input data'!D$39</f>
        <v>6.8576090244695607E-3</v>
      </c>
      <c r="J62" s="85">
        <f>'Input data dairy products'!$D$12*J14*'Common input data'!D$39</f>
        <v>0</v>
      </c>
      <c r="K62" s="85">
        <f>'Input data dairy products'!$D$12*K14*'Common input data'!D$39</f>
        <v>9.8090490945771214E-2</v>
      </c>
      <c r="L62" s="85">
        <f>'Input data dairy products'!$D$12*L14*'Common input data'!D$39</f>
        <v>0</v>
      </c>
      <c r="M62" s="85">
        <f>'Input data dairy products'!$D$12*M14*'Common input data'!D$39</f>
        <v>0</v>
      </c>
      <c r="N62" s="85">
        <f>'Input data dairy products'!$D$12*N14*'Common input data'!D$39</f>
        <v>0</v>
      </c>
      <c r="O62" s="85">
        <f>'Input data dairy products'!$D$12*O14*'Common input data'!D$39</f>
        <v>1.4287100493571131E-5</v>
      </c>
      <c r="P62" s="85">
        <v>0</v>
      </c>
      <c r="Q62" s="85">
        <f>SUM(G62:P62)</f>
        <v>0.10604647897961762</v>
      </c>
      <c r="R62" s="90">
        <v>0</v>
      </c>
      <c r="S62" s="90">
        <v>0</v>
      </c>
      <c r="T62" s="107"/>
    </row>
    <row r="63" spans="1:406" x14ac:dyDescent="0.3">
      <c r="A63" s="144"/>
      <c r="B63" s="85"/>
      <c r="C63" s="84" t="s">
        <v>166</v>
      </c>
      <c r="D63" s="780">
        <f>SUM(H63:K63)</f>
        <v>4.029509947733231E-3</v>
      </c>
      <c r="E63" s="108">
        <f>SUM(G63:K63,N63:O63)</f>
        <v>5.0552490408971463E-3</v>
      </c>
      <c r="F63" s="521">
        <f>SUM(Q63:S63)/(1-'Common input data'!B$127)</f>
        <v>5.1682016381596153E-3</v>
      </c>
      <c r="G63" s="85">
        <f>'Input data dairy products'!$D$12*G15*'Common input data'!D$39</f>
        <v>1.0244072179067926E-3</v>
      </c>
      <c r="H63" s="85">
        <f>'Input data dairy products'!$D$12*H15*'Common input data'!D$39</f>
        <v>2.5892885442587604E-3</v>
      </c>
      <c r="I63" s="85">
        <f>'Input data dairy products'!$D$12*I15*'Common input data'!D$39</f>
        <v>1.3276396953929835E-3</v>
      </c>
      <c r="J63" s="85">
        <f>'Input data dairy products'!$D$12*J15*'Common input data'!D$39</f>
        <v>1.1258170808148731E-4</v>
      </c>
      <c r="K63" s="85">
        <f>'Input data dairy products'!$D$12*K15*'Common input data'!D$39</f>
        <v>0</v>
      </c>
      <c r="L63" s="85">
        <f>'Input data dairy products'!$D$12*L15*'Common input data'!D$39</f>
        <v>0</v>
      </c>
      <c r="M63" s="85">
        <f>'Input data dairy products'!$D$12*M15*'Common input data'!D$39</f>
        <v>0</v>
      </c>
      <c r="N63" s="85">
        <f>'Input data dairy products'!$D$12*N15*'Common input data'!D$39</f>
        <v>0</v>
      </c>
      <c r="O63" s="85">
        <f>'Input data dairy products'!$D$12*O15*'Common input data'!D$39</f>
        <v>1.3318752571229085E-6</v>
      </c>
      <c r="P63" s="85">
        <v>0</v>
      </c>
      <c r="Q63" s="85">
        <f>SUM(G63:P63)</f>
        <v>5.0552490408971463E-3</v>
      </c>
      <c r="R63" s="94">
        <v>0</v>
      </c>
      <c r="S63" s="90">
        <v>0</v>
      </c>
      <c r="T63" s="107"/>
    </row>
    <row r="64" spans="1:406" s="416" customFormat="1" x14ac:dyDescent="0.3">
      <c r="A64" s="426" t="s">
        <v>545</v>
      </c>
      <c r="B64" s="413"/>
      <c r="C64" s="414"/>
      <c r="D64" s="777" t="s">
        <v>796</v>
      </c>
      <c r="E64" s="778" t="s">
        <v>796</v>
      </c>
      <c r="F64" s="779" t="s">
        <v>796</v>
      </c>
      <c r="G64" s="413"/>
      <c r="P64" s="413"/>
      <c r="Q64" s="413"/>
      <c r="R64" s="484"/>
      <c r="S64" s="415"/>
      <c r="T64" s="107"/>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c r="IW64" s="64"/>
      <c r="IX64" s="64"/>
      <c r="IY64" s="64"/>
      <c r="IZ64" s="64"/>
      <c r="JA64" s="64"/>
      <c r="JB64" s="64"/>
      <c r="JC64" s="64"/>
      <c r="JD64" s="64"/>
      <c r="JE64" s="64"/>
      <c r="JF64" s="64"/>
      <c r="JG64" s="64"/>
      <c r="JH64" s="64"/>
      <c r="JI64" s="64"/>
      <c r="JJ64" s="64"/>
      <c r="JK64" s="64"/>
      <c r="JL64" s="64"/>
      <c r="JM64" s="64"/>
      <c r="JN64" s="64"/>
      <c r="JO64" s="64"/>
      <c r="JP64" s="64"/>
      <c r="JQ64" s="64"/>
      <c r="JR64" s="64"/>
      <c r="JS64" s="64"/>
      <c r="JT64" s="64"/>
      <c r="JU64" s="64"/>
      <c r="JV64" s="64"/>
      <c r="JW64" s="64"/>
      <c r="JX64" s="64"/>
      <c r="JY64" s="64"/>
      <c r="JZ64" s="64"/>
      <c r="KA64" s="64"/>
      <c r="KB64" s="64"/>
      <c r="KC64" s="64"/>
      <c r="KD64" s="64"/>
      <c r="KE64" s="64"/>
      <c r="KF64" s="64"/>
      <c r="KG64" s="64"/>
      <c r="KH64" s="64"/>
    </row>
    <row r="65" spans="1:406" s="102" customFormat="1" x14ac:dyDescent="0.3">
      <c r="A65" s="143" t="s">
        <v>260</v>
      </c>
      <c r="B65" s="110">
        <f>SUM(B69:B81)</f>
        <v>1</v>
      </c>
      <c r="C65" s="269" t="s">
        <v>473</v>
      </c>
      <c r="D65" s="769">
        <f>IF($E$1="GWP100 without fb",D66+D67*'Common input data'!$C$5+D68*'Common input data'!$D$5,IF($E$1="GWP100 with fb",D66+D67*'Common input data'!$C$6+D68*'Common input data'!$D$6,IF($E$1="GTP100 without fb",D66+D67*'Common input data'!$C$7+D68*'Common input data'!$D$7,IF($E$1="GTP100 with fb",D66+D67*'Common input data'!$C$8+D68*'Common input data'!$D$8,D66+D67*'Common input data'!$C$9+D68*'Common input data'!$D$9))))</f>
        <v>8.7323549395439208</v>
      </c>
      <c r="E65" s="326">
        <f>IF($E$1="GWP100 without fb",E66+E67*'Common input data'!$C$5+E68*'Common input data'!$D$5,IF($E$1="GWP100 with fb",E66+E67*'Common input data'!$C$6+E68*'Common input data'!$D$6,IF($E$1="GTP100 without fb",E66+E67*'Common input data'!$C$7+E68*'Common input data'!$D$7,IF($E$1="GTP100 with fb",E66+E67*'Common input data'!$C$8+E68*'Common input data'!$D$8,E66+E67*'Common input data'!$C$9+E68*'Common input data'!$D$9))))</f>
        <v>11.742330814113291</v>
      </c>
      <c r="F65" s="770">
        <f>IF($E$1="GWP100 without fb",F66+F67*'Common input data'!$C$5+F68*'Common input data'!$D$5,IF($E$1="GWP100 with fb",F66+F67*'Common input data'!$C$6+F68*'Common input data'!$D$6,IF($E$1="GTP100 without fb",F66+F67*'Common input data'!$C$7+F68*'Common input data'!$D$7,IF($E$1="GTP100 with fb",F66+F67*'Common input data'!$C$8+F68*'Common input data'!$D$8,F66+F67*'Common input data'!$C$9+F68*'Common input data'!$D$9))))</f>
        <v>12.564867768657633</v>
      </c>
      <c r="G65" s="280"/>
      <c r="P65" s="280"/>
      <c r="Q65" s="280"/>
      <c r="R65" s="269"/>
      <c r="S65" s="269"/>
      <c r="T65" s="107"/>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c r="IW65" s="64"/>
      <c r="IX65" s="64"/>
      <c r="IY65" s="64"/>
      <c r="IZ65" s="64"/>
      <c r="JA65" s="64"/>
      <c r="JB65" s="64"/>
      <c r="JC65" s="64"/>
      <c r="JD65" s="64"/>
      <c r="JE65" s="64"/>
      <c r="JF65" s="64"/>
      <c r="JG65" s="64"/>
      <c r="JH65" s="64"/>
      <c r="JI65" s="64"/>
      <c r="JJ65" s="64"/>
      <c r="JK65" s="64"/>
      <c r="JL65" s="64"/>
      <c r="JM65" s="64"/>
      <c r="JN65" s="64"/>
      <c r="JO65" s="64"/>
      <c r="JP65" s="64"/>
      <c r="JQ65" s="64"/>
      <c r="JR65" s="64"/>
      <c r="JS65" s="64"/>
      <c r="JT65" s="64"/>
      <c r="JU65" s="64"/>
      <c r="JV65" s="64"/>
      <c r="JW65" s="64"/>
      <c r="JX65" s="64"/>
      <c r="JY65" s="64"/>
      <c r="JZ65" s="64"/>
      <c r="KA65" s="64"/>
      <c r="KB65" s="64"/>
      <c r="KC65" s="64"/>
      <c r="KD65" s="64"/>
      <c r="KE65" s="64"/>
      <c r="KF65" s="64"/>
      <c r="KG65" s="64"/>
      <c r="KH65" s="64"/>
    </row>
    <row r="66" spans="1:406" x14ac:dyDescent="0.3">
      <c r="A66" s="107"/>
      <c r="C66" s="83" t="s">
        <v>164</v>
      </c>
      <c r="D66" s="270">
        <f t="shared" ref="D66:S68" si="6">$B$69*D70+$B$73*D74+$B$77*D78+$B$81*D82</f>
        <v>-0.23342026367193511</v>
      </c>
      <c r="E66" s="90">
        <f t="shared" si="6"/>
        <v>2.1324356069070727</v>
      </c>
      <c r="F66" s="278">
        <f t="shared" si="6"/>
        <v>2.7402526506631091</v>
      </c>
      <c r="G66" s="90">
        <f t="shared" si="6"/>
        <v>1.9036614386746216</v>
      </c>
      <c r="H66" s="90">
        <f t="shared" si="6"/>
        <v>0</v>
      </c>
      <c r="I66" s="90">
        <f t="shared" si="6"/>
        <v>0</v>
      </c>
      <c r="J66" s="90">
        <f t="shared" si="6"/>
        <v>0</v>
      </c>
      <c r="K66" s="90">
        <f t="shared" si="6"/>
        <v>0</v>
      </c>
      <c r="L66" s="90">
        <f t="shared" si="6"/>
        <v>-0.41339094685009825</v>
      </c>
      <c r="M66" s="90">
        <f t="shared" si="6"/>
        <v>0.17997068317816312</v>
      </c>
      <c r="N66" s="90">
        <f t="shared" si="6"/>
        <v>0.40779533814522662</v>
      </c>
      <c r="O66" s="90">
        <f t="shared" si="6"/>
        <v>5.4399093759159405E-2</v>
      </c>
      <c r="P66" s="90">
        <f t="shared" si="6"/>
        <v>0.40532799999999991</v>
      </c>
      <c r="Q66" s="90">
        <f t="shared" si="6"/>
        <v>2.5377636069070726</v>
      </c>
      <c r="R66" s="90">
        <f t="shared" si="6"/>
        <v>4.9999999999999996E-2</v>
      </c>
      <c r="S66" s="90">
        <f t="shared" si="6"/>
        <v>9.2599999999999988E-2</v>
      </c>
      <c r="T66" s="107"/>
    </row>
    <row r="67" spans="1:406" x14ac:dyDescent="0.3">
      <c r="A67" s="141"/>
      <c r="B67" s="142"/>
      <c r="C67" s="83" t="s">
        <v>165</v>
      </c>
      <c r="D67" s="270">
        <f t="shared" si="6"/>
        <v>0.19730242794405264</v>
      </c>
      <c r="E67" s="90">
        <f t="shared" si="6"/>
        <v>0.19935526573336465</v>
      </c>
      <c r="F67" s="278">
        <f t="shared" si="6"/>
        <v>0.20380958536437874</v>
      </c>
      <c r="G67" s="90">
        <f t="shared" si="6"/>
        <v>2.0380927887005637E-3</v>
      </c>
      <c r="H67" s="90">
        <f t="shared" si="6"/>
        <v>0</v>
      </c>
      <c r="I67" s="90">
        <f t="shared" si="6"/>
        <v>1.2892304966002771E-2</v>
      </c>
      <c r="J67" s="90">
        <f t="shared" si="6"/>
        <v>0</v>
      </c>
      <c r="K67" s="90">
        <f t="shared" si="6"/>
        <v>0.1844101229780499</v>
      </c>
      <c r="L67" s="90">
        <f t="shared" si="6"/>
        <v>0</v>
      </c>
      <c r="M67" s="90">
        <f t="shared" si="6"/>
        <v>0</v>
      </c>
      <c r="N67" s="90">
        <f t="shared" si="6"/>
        <v>0</v>
      </c>
      <c r="O67" s="90">
        <f t="shared" si="6"/>
        <v>1.4745000611464609E-5</v>
      </c>
      <c r="P67" s="90">
        <f t="shared" si="6"/>
        <v>0</v>
      </c>
      <c r="Q67" s="90">
        <f t="shared" si="6"/>
        <v>0.19935526573336465</v>
      </c>
      <c r="R67" s="90">
        <f t="shared" si="6"/>
        <v>0</v>
      </c>
      <c r="S67" s="90">
        <f t="shared" si="6"/>
        <v>0</v>
      </c>
      <c r="T67" s="107"/>
    </row>
    <row r="68" spans="1:406" x14ac:dyDescent="0.3">
      <c r="A68" s="141"/>
      <c r="B68" s="85"/>
      <c r="C68" s="84" t="s">
        <v>166</v>
      </c>
      <c r="D68" s="270">
        <f t="shared" si="6"/>
        <v>7.5754787017384747E-3</v>
      </c>
      <c r="E68" s="90">
        <f t="shared" si="6"/>
        <v>9.5027388331269114E-3</v>
      </c>
      <c r="F68" s="278">
        <f t="shared" si="6"/>
        <v>9.7150644818981384E-3</v>
      </c>
      <c r="G68" s="90">
        <f t="shared" si="6"/>
        <v>1.92588556966477E-3</v>
      </c>
      <c r="H68" s="90">
        <f t="shared" si="6"/>
        <v>4.8678624632064694E-3</v>
      </c>
      <c r="I68" s="90">
        <f t="shared" si="6"/>
        <v>2.4959626273388089E-3</v>
      </c>
      <c r="J68" s="90">
        <f t="shared" si="6"/>
        <v>2.1165361119319614E-4</v>
      </c>
      <c r="K68" s="90">
        <f t="shared" si="6"/>
        <v>0</v>
      </c>
      <c r="L68" s="90">
        <f t="shared" si="6"/>
        <v>0</v>
      </c>
      <c r="M68" s="90">
        <f t="shared" si="6"/>
        <v>0</v>
      </c>
      <c r="N68" s="90">
        <f t="shared" si="6"/>
        <v>0</v>
      </c>
      <c r="O68" s="90">
        <f t="shared" si="6"/>
        <v>1.3745617236687561E-6</v>
      </c>
      <c r="P68" s="90">
        <f t="shared" si="6"/>
        <v>0</v>
      </c>
      <c r="Q68" s="90">
        <f t="shared" si="6"/>
        <v>9.5027388331269114E-3</v>
      </c>
      <c r="R68" s="90">
        <f t="shared" si="6"/>
        <v>0</v>
      </c>
      <c r="S68" s="90">
        <f t="shared" si="6"/>
        <v>0</v>
      </c>
      <c r="T68" s="107"/>
    </row>
    <row r="69" spans="1:406" s="102" customFormat="1" x14ac:dyDescent="0.3">
      <c r="A69" s="284" t="s">
        <v>1</v>
      </c>
      <c r="B69" s="110">
        <f>'Input data dairy products'!C13</f>
        <v>0.51200000000000012</v>
      </c>
      <c r="C69" s="269" t="s">
        <v>473</v>
      </c>
      <c r="D69" s="320">
        <f>IF($E$1="GWP100 without fb",D70+D71*'Common input data'!$C$5+D72*'Common input data'!$D$5,IF($E$1="GWP100 with fb",D70+D71*'Common input data'!$C$6+D72*'Common input data'!$D$6,IF($E$1="GTP100 without fb",D70+D71*'Common input data'!$C$7+D72*'Common input data'!$D$7,IF($E$1="GTP100 with fb",D70+D71*'Common input data'!$C$8+D72*'Common input data'!$D$8,D70+D71*'Common input data'!$C$9+D72*'Common input data'!$D$9))))</f>
        <v>8.7323549395439208</v>
      </c>
      <c r="E69" s="302">
        <f>IF($E$1="GWP100 without fb",E70+E71*'Common input data'!$C$5+E72*'Common input data'!$D$5,IF($E$1="GWP100 with fb",E70+E71*'Common input data'!$C$6+E72*'Common input data'!$D$6,IF($E$1="GTP100 without fb",E70+E71*'Common input data'!$C$7+E72*'Common input data'!$D$7,IF($E$1="GTP100 with fb",E70+E71*'Common input data'!$C$8+E72*'Common input data'!$D$8,E70+E71*'Common input data'!$C$9+E72*'Common input data'!$D$9))))</f>
        <v>11.556612813542909</v>
      </c>
      <c r="F69" s="321">
        <f>IF($E$1="GWP100 without fb",F70+F71*'Common input data'!$C$5+F72*'Common input data'!$D$5,IF($E$1="GWP100 with fb",F70+F71*'Common input data'!$C$6+F72*'Common input data'!$D$6,IF($E$1="GTP100 without fb",F70+F71*'Common input data'!$C$7+F72*'Common input data'!$D$7,IF($E$1="GTP100 with fb",F70+F71*'Common input data'!$C$8+F72*'Common input data'!$D$8,F70+F71*'Common input data'!$C$9+F72*'Common input data'!$D$9))))</f>
        <v>12.184917848599401</v>
      </c>
      <c r="G69" s="104"/>
      <c r="P69" s="104"/>
      <c r="Q69" s="104"/>
      <c r="R69" s="106"/>
      <c r="S69" s="106"/>
      <c r="T69" s="107"/>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c r="IW69" s="64"/>
      <c r="IX69" s="64"/>
      <c r="IY69" s="64"/>
      <c r="IZ69" s="64"/>
      <c r="JA69" s="64"/>
      <c r="JB69" s="64"/>
      <c r="JC69" s="64"/>
      <c r="JD69" s="64"/>
      <c r="JE69" s="64"/>
      <c r="JF69" s="64"/>
      <c r="JG69" s="64"/>
      <c r="JH69" s="64"/>
      <c r="JI69" s="64"/>
      <c r="JJ69" s="64"/>
      <c r="JK69" s="64"/>
      <c r="JL69" s="64"/>
      <c r="JM69" s="64"/>
      <c r="JN69" s="64"/>
      <c r="JO69" s="64"/>
      <c r="JP69" s="64"/>
      <c r="JQ69" s="64"/>
      <c r="JR69" s="64"/>
      <c r="JS69" s="64"/>
      <c r="JT69" s="64"/>
      <c r="JU69" s="64"/>
      <c r="JV69" s="64"/>
      <c r="JW69" s="64"/>
      <c r="JX69" s="64"/>
      <c r="JY69" s="64"/>
      <c r="JZ69" s="64"/>
      <c r="KA69" s="64"/>
      <c r="KB69" s="64"/>
      <c r="KC69" s="64"/>
      <c r="KD69" s="64"/>
      <c r="KE69" s="64"/>
      <c r="KF69" s="64"/>
      <c r="KG69" s="64"/>
      <c r="KH69" s="64"/>
    </row>
    <row r="70" spans="1:406" x14ac:dyDescent="0.3">
      <c r="A70" s="107"/>
      <c r="C70" s="83" t="s">
        <v>164</v>
      </c>
      <c r="D70" s="270">
        <f>IF(AND($E$2="No",$E$3="No"),SUM(H70:K70),IF(AND($E$2="Yes", $E$3="No"), SUM(H70:K70)+M70, IF(AND($E$2="No", $E$3="Yes"),SUM(H70:K70)+L70, SUM(H70:K70)+M70+L70)))</f>
        <v>-0.23342026367193511</v>
      </c>
      <c r="E70" s="90">
        <f>IF(AND($E$2="No",$E$3="No"),SUM(G70:K70,N70:O70),IF(AND($E$2="Yes",$E$3="No"), SUM(G70:K70,N70:O70)+M70, IF(AND($E$2="No", $E$3="Yes"),SUM(G70:K70,N70:O70)+L70, SUM(G70:K70,N70:O70)+M70+L70)))</f>
        <v>1.9470829221172783</v>
      </c>
      <c r="F70" s="278">
        <f>SUM(Q70:S70)/(1-'Common input data'!B$127)</f>
        <v>2.3606762088648825</v>
      </c>
      <c r="G70" s="85">
        <f>'Input data dairy products'!$D$13*G9*'Common input data'!D$40</f>
        <v>1.9036614386746216</v>
      </c>
      <c r="H70" s="85">
        <f>'Input data dairy products'!$D$13*H9*'Common input data'!D$40</f>
        <v>0</v>
      </c>
      <c r="I70" s="85">
        <f>'Input data dairy products'!$D$13*I9*'Common input data'!D$40</f>
        <v>0</v>
      </c>
      <c r="J70" s="85">
        <f>'Input data dairy products'!$D$13*J9*'Common input data'!D$40</f>
        <v>0</v>
      </c>
      <c r="K70" s="85">
        <f>'Input data dairy products'!$D$13*K9*'Common input data'!D$40</f>
        <v>0</v>
      </c>
      <c r="L70" s="85">
        <f>'Input data dairy products'!$D$13*L9*'Common input data'!D$40</f>
        <v>-0.41339094685009825</v>
      </c>
      <c r="M70" s="85">
        <f>'Input data dairy products'!$D$13*M9*'Common input data'!D$40</f>
        <v>0.17997068317816314</v>
      </c>
      <c r="N70" s="85">
        <f>'Input data dairy products'!$D$13*N9*'Common input data'!D$40</f>
        <v>0.24425818678115269</v>
      </c>
      <c r="O70" s="85">
        <f>'Input data dairy products'!$D$13*O9*'Common input data'!D$40</f>
        <v>3.2583560333439114E-2</v>
      </c>
      <c r="P70" s="85">
        <f>'Input data dairy products'!F$29*'Common input data'!D$40</f>
        <v>0.28199999999999997</v>
      </c>
      <c r="Q70" s="349">
        <f>IF(AND($E$2="No",$E$3="No"),SUM(G70:K70,N70:P70),IF(AND($E$2="Yes",$E$3="No"), SUM(G70:K70,N70:P70)+M70, IF(AND($E$2="No", $E$3="Yes"),SUM(G70:K70,N70:P70)+L70, SUM(G70:K70,N70:P70)+M70+L70)))</f>
        <v>2.2290829221172785</v>
      </c>
      <c r="R70" s="90">
        <f>'Common input data'!B$91</f>
        <v>0.05</v>
      </c>
      <c r="S70" s="90">
        <f>'Common input data'!C$98</f>
        <v>0.03</v>
      </c>
      <c r="T70" s="107"/>
    </row>
    <row r="71" spans="1:406" x14ac:dyDescent="0.3">
      <c r="A71" s="144"/>
      <c r="B71" s="142"/>
      <c r="C71" s="83" t="s">
        <v>165</v>
      </c>
      <c r="D71" s="270">
        <f>SUM(H71:K71)</f>
        <v>0.19730242794405264</v>
      </c>
      <c r="E71" s="90">
        <f>SUM(G71:K71,N71:O71)</f>
        <v>0.19934935258240069</v>
      </c>
      <c r="F71" s="278">
        <f>SUM(Q71:S71)/(1-'Common input data'!B$127)</f>
        <v>0.20380354009217722</v>
      </c>
      <c r="G71" s="85">
        <f>'Input data dairy products'!$D$13*G10*'Common input data'!D$40</f>
        <v>2.0380927887005637E-3</v>
      </c>
      <c r="H71" s="85">
        <f>'Input data dairy products'!$D$13*H10*'Common input data'!D$40</f>
        <v>0</v>
      </c>
      <c r="I71" s="85">
        <f>'Input data dairy products'!$D$13*I10*'Common input data'!D$40</f>
        <v>1.2892304966002773E-2</v>
      </c>
      <c r="J71" s="85">
        <f>'Input data dairy products'!$D$13*J10*'Common input data'!D$40</f>
        <v>0</v>
      </c>
      <c r="K71" s="85">
        <f>'Input data dairy products'!$D$13*K10*'Common input data'!D$40</f>
        <v>0.18441012297804987</v>
      </c>
      <c r="L71" s="85">
        <f>'Input data dairy products'!$D$13*L10*'Common input data'!D$40</f>
        <v>0</v>
      </c>
      <c r="M71" s="85">
        <f>'Input data dairy products'!$D$13*M10*'Common input data'!D$40</f>
        <v>0</v>
      </c>
      <c r="N71" s="85">
        <f>'Input data dairy products'!$D$13*N10*'Common input data'!D$40</f>
        <v>0</v>
      </c>
      <c r="O71" s="85">
        <f>'Input data dairy products'!$D$13*O10*'Common input data'!D$40</f>
        <v>8.8318496474834975E-6</v>
      </c>
      <c r="P71" s="85">
        <v>0</v>
      </c>
      <c r="Q71" s="85">
        <f>SUM(G71:P71)</f>
        <v>0.19934935258240069</v>
      </c>
      <c r="R71" s="90">
        <v>0</v>
      </c>
      <c r="S71" s="90">
        <v>0</v>
      </c>
      <c r="T71" s="107"/>
    </row>
    <row r="72" spans="1:406" x14ac:dyDescent="0.3">
      <c r="A72" s="174"/>
      <c r="B72" s="85"/>
      <c r="C72" s="84" t="s">
        <v>166</v>
      </c>
      <c r="D72" s="270">
        <f>SUM(H72:K72)</f>
        <v>7.5754787017384747E-3</v>
      </c>
      <c r="E72" s="90">
        <f>SUM(G72:K72,N72:O72)</f>
        <v>9.5021875960537138E-3</v>
      </c>
      <c r="F72" s="278">
        <f>SUM(Q72:S72)/(1-'Common input data'!B$127)</f>
        <v>9.714500928189573E-3</v>
      </c>
      <c r="G72" s="85">
        <f>'Input data dairy products'!$D$13*G11*'Common input data'!D$40</f>
        <v>1.92588556966477E-3</v>
      </c>
      <c r="H72" s="85">
        <f>'Input data dairy products'!$D$13*H11*'Common input data'!D$40</f>
        <v>4.8678624632064694E-3</v>
      </c>
      <c r="I72" s="85">
        <f>'Input data dairy products'!$D$13*I11*'Common input data'!D$40</f>
        <v>2.4959626273388089E-3</v>
      </c>
      <c r="J72" s="85">
        <f>'Input data dairy products'!$D$13*J11*'Common input data'!D$40</f>
        <v>2.1165361119319614E-4</v>
      </c>
      <c r="K72" s="85">
        <f>'Input data dairy products'!$D$13*K11*'Common input data'!D$40</f>
        <v>0</v>
      </c>
      <c r="L72" s="85">
        <f>'Input data dairy products'!$D$13*L11*'Common input data'!D$40</f>
        <v>0</v>
      </c>
      <c r="M72" s="85">
        <f>'Input data dairy products'!$D$13*M11*'Common input data'!D$40</f>
        <v>0</v>
      </c>
      <c r="N72" s="85">
        <f>'Input data dairy products'!$D$13*N11*'Common input data'!D$40</f>
        <v>0</v>
      </c>
      <c r="O72" s="85">
        <f>'Input data dairy products'!$D$13*O11*'Common input data'!D$40</f>
        <v>8.2332465047096141E-7</v>
      </c>
      <c r="P72" s="85">
        <v>0</v>
      </c>
      <c r="Q72" s="85">
        <f>SUM(G72:P72)</f>
        <v>9.5021875960537138E-3</v>
      </c>
      <c r="R72" s="90">
        <v>0</v>
      </c>
      <c r="S72" s="90">
        <v>0</v>
      </c>
      <c r="T72" s="107"/>
    </row>
    <row r="73" spans="1:406" s="102" customFormat="1" x14ac:dyDescent="0.3">
      <c r="A73" s="284" t="s">
        <v>69</v>
      </c>
      <c r="B73" s="110">
        <f>'Input data dairy products'!C14</f>
        <v>0.16</v>
      </c>
      <c r="C73" s="269" t="s">
        <v>473</v>
      </c>
      <c r="D73" s="320">
        <f>IF($E$1="GWP100 without fb",D74+D75*'Common input data'!$C$5+D76*'Common input data'!$D$5,IF($E$1="GWP100 with fb",D74+D75*'Common input data'!$C$6+D76*'Common input data'!$D$6,IF($E$1="GTP100 without fb",D74+D75*'Common input data'!$C$7+D76*'Common input data'!$D$7,IF($E$1="GTP100 with fb",D74+D75*'Common input data'!$C$8+D76*'Common input data'!$D$8,D74+D75*'Common input data'!$C$9+D76*'Common input data'!$D$9))))</f>
        <v>8.7323549395439208</v>
      </c>
      <c r="E73" s="302">
        <f>IF($E$1="GWP100 without fb",E74+E75*'Common input data'!$C$5+E76*'Common input data'!$D$5,IF($E$1="GWP100 with fb",E74+E75*'Common input data'!$C$6+E76*'Common input data'!$D$6,IF($E$1="GTP100 without fb",E74+E75*'Common input data'!$C$7+E76*'Common input data'!$D$7,IF($E$1="GTP100 with fb",E74+E75*'Common input data'!$C$8+E76*'Common input data'!$D$8,E74+E75*'Common input data'!$C$9+E76*'Common input data'!$D$9))))</f>
        <v>11.556612813542909</v>
      </c>
      <c r="F73" s="321">
        <f>IF($E$1="GWP100 without fb",F74+F75*'Common input data'!$C$5+F76*'Common input data'!$D$5,IF($E$1="GWP100 with fb",F74+F75*'Common input data'!$C$6+F76*'Common input data'!$D$6,IF($E$1="GTP100 without fb",F74+F75*'Common input data'!$C$7+F76*'Common input data'!$D$7,IF($E$1="GTP100 with fb",F74+F75*'Common input data'!$C$8+F76*'Common input data'!$D$8,F74+F75*'Common input data'!$C$9+F76*'Common input data'!$D$9))))</f>
        <v>12.236035029932591</v>
      </c>
      <c r="G73" s="104"/>
      <c r="P73" s="104"/>
      <c r="Q73" s="104"/>
      <c r="R73" s="106"/>
      <c r="S73" s="106"/>
      <c r="T73" s="107"/>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c r="IH73" s="64"/>
      <c r="II73" s="64"/>
      <c r="IJ73" s="64"/>
      <c r="IK73" s="64"/>
      <c r="IL73" s="64"/>
      <c r="IM73" s="64"/>
      <c r="IN73" s="64"/>
      <c r="IO73" s="64"/>
      <c r="IP73" s="64"/>
      <c r="IQ73" s="64"/>
      <c r="IR73" s="64"/>
      <c r="IS73" s="64"/>
      <c r="IT73" s="64"/>
      <c r="IU73" s="64"/>
      <c r="IV73" s="64"/>
      <c r="IW73" s="64"/>
      <c r="IX73" s="64"/>
      <c r="IY73" s="64"/>
      <c r="IZ73" s="64"/>
      <c r="JA73" s="64"/>
      <c r="JB73" s="64"/>
      <c r="JC73" s="64"/>
      <c r="JD73" s="64"/>
      <c r="JE73" s="64"/>
      <c r="JF73" s="64"/>
      <c r="JG73" s="64"/>
      <c r="JH73" s="64"/>
      <c r="JI73" s="64"/>
      <c r="JJ73" s="64"/>
      <c r="JK73" s="64"/>
      <c r="JL73" s="64"/>
      <c r="JM73" s="64"/>
      <c r="JN73" s="64"/>
      <c r="JO73" s="64"/>
      <c r="JP73" s="64"/>
      <c r="JQ73" s="64"/>
      <c r="JR73" s="64"/>
      <c r="JS73" s="64"/>
      <c r="JT73" s="64"/>
      <c r="JU73" s="64"/>
      <c r="JV73" s="64"/>
      <c r="JW73" s="64"/>
      <c r="JX73" s="64"/>
      <c r="JY73" s="64"/>
      <c r="JZ73" s="64"/>
      <c r="KA73" s="64"/>
      <c r="KB73" s="64"/>
      <c r="KC73" s="64"/>
      <c r="KD73" s="64"/>
      <c r="KE73" s="64"/>
      <c r="KF73" s="64"/>
      <c r="KG73" s="64"/>
      <c r="KH73" s="64"/>
    </row>
    <row r="74" spans="1:406" s="102" customFormat="1" x14ac:dyDescent="0.3">
      <c r="A74" s="107"/>
      <c r="B74" s="64"/>
      <c r="C74" s="83" t="s">
        <v>164</v>
      </c>
      <c r="D74" s="270">
        <f>IF(AND($E$2="No",$E$3="No"),SUM(H74:K74),IF(AND($E$2="Yes", $E$3="No"), SUM(H74:K74)+M74, IF(AND($E$2="No", $E$3="Yes"),SUM(H74:K74)+L74, SUM(H74:K74)+M74+L74)))</f>
        <v>-0.23342026367193511</v>
      </c>
      <c r="E74" s="90">
        <f>IF(AND($E$2="No",$E$3="No"),SUM(G74:K74,N74:O74),IF(AND($E$2="Yes",$E$3="No"), SUM(G74:K74,N74:O74)+M74, IF(AND($E$2="No", $E$3="Yes"),SUM(G74:K74,N74:O74)+L74, SUM(G74:K74,N74:O74)+M74+L74)))</f>
        <v>1.9470829221172783</v>
      </c>
      <c r="F74" s="278">
        <f>SUM(Q74:S74)/(1-'Common input data'!B$127)</f>
        <v>2.4117933901980737</v>
      </c>
      <c r="G74" s="85">
        <f>'Input data dairy products'!$D$14*G9*'Common input data'!D$40</f>
        <v>1.9036614386746216</v>
      </c>
      <c r="H74" s="85">
        <f>'Input data dairy products'!$D$14*H9*'Common input data'!D$40</f>
        <v>0</v>
      </c>
      <c r="I74" s="85">
        <f>'Input data dairy products'!$D$14*I9*'Common input data'!D$40</f>
        <v>0</v>
      </c>
      <c r="J74" s="85">
        <f>'Input data dairy products'!$D$14*J9*'Common input data'!D$40</f>
        <v>0</v>
      </c>
      <c r="K74" s="85">
        <f>'Input data dairy products'!$D$14*K9*'Common input data'!D$40</f>
        <v>0</v>
      </c>
      <c r="L74" s="85">
        <f>'Input data dairy products'!$D$14*L9*'Common input data'!D$40</f>
        <v>-0.41339094685009825</v>
      </c>
      <c r="M74" s="85">
        <f>'Input data dairy products'!$D$14*M9*'Common input data'!D$40</f>
        <v>0.17997068317816314</v>
      </c>
      <c r="N74" s="85">
        <f>'Input data dairy products'!$D$14*N9*'Common input data'!D$40</f>
        <v>0.24425818678115269</v>
      </c>
      <c r="O74" s="85">
        <f>'Input data dairy products'!$D$14*O9*'Common input data'!D$40</f>
        <v>3.2583560333439114E-2</v>
      </c>
      <c r="P74" s="85">
        <f>'Input data dairy products'!F$29*'Common input data'!D$40</f>
        <v>0.28199999999999997</v>
      </c>
      <c r="Q74" s="349">
        <f>IF(AND($E$2="No",$E$3="No"),SUM(G74:K74,N74:P74),IF(AND($E$2="Yes",$E$3="No"), SUM(G74:K74,N74:P74)+M74, IF(AND($E$2="No", $E$3="Yes"),SUM(G74:K74,N74:P74)+L74, SUM(G74:K74,N74:P74)+M74+L74)))</f>
        <v>2.2290829221172785</v>
      </c>
      <c r="R74" s="90">
        <f>'Common input data'!B$91</f>
        <v>0.05</v>
      </c>
      <c r="S74" s="90">
        <f>'Common input data'!B$98+'Common input data'!C$98</f>
        <v>0.08</v>
      </c>
      <c r="T74" s="107"/>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c r="IH74" s="64"/>
      <c r="II74" s="64"/>
      <c r="IJ74" s="64"/>
      <c r="IK74" s="64"/>
      <c r="IL74" s="64"/>
      <c r="IM74" s="64"/>
      <c r="IN74" s="64"/>
      <c r="IO74" s="64"/>
      <c r="IP74" s="64"/>
      <c r="IQ74" s="64"/>
      <c r="IR74" s="64"/>
      <c r="IS74" s="64"/>
      <c r="IT74" s="64"/>
      <c r="IU74" s="64"/>
      <c r="IV74" s="64"/>
      <c r="IW74" s="64"/>
      <c r="IX74" s="64"/>
      <c r="IY74" s="64"/>
      <c r="IZ74" s="64"/>
      <c r="JA74" s="64"/>
      <c r="JB74" s="64"/>
      <c r="JC74" s="64"/>
      <c r="JD74" s="64"/>
      <c r="JE74" s="64"/>
      <c r="JF74" s="64"/>
      <c r="JG74" s="64"/>
      <c r="JH74" s="64"/>
      <c r="JI74" s="64"/>
      <c r="JJ74" s="64"/>
      <c r="JK74" s="64"/>
      <c r="JL74" s="64"/>
      <c r="JM74" s="64"/>
      <c r="JN74" s="64"/>
      <c r="JO74" s="64"/>
      <c r="JP74" s="64"/>
      <c r="JQ74" s="64"/>
      <c r="JR74" s="64"/>
      <c r="JS74" s="64"/>
      <c r="JT74" s="64"/>
      <c r="JU74" s="64"/>
      <c r="JV74" s="64"/>
      <c r="JW74" s="64"/>
      <c r="JX74" s="64"/>
      <c r="JY74" s="64"/>
      <c r="JZ74" s="64"/>
      <c r="KA74" s="64"/>
      <c r="KB74" s="64"/>
      <c r="KC74" s="64"/>
      <c r="KD74" s="64"/>
      <c r="KE74" s="64"/>
      <c r="KF74" s="64"/>
      <c r="KG74" s="64"/>
      <c r="KH74" s="64"/>
      <c r="KI74" s="64"/>
      <c r="KJ74" s="64"/>
      <c r="KK74" s="64"/>
      <c r="KL74" s="64"/>
      <c r="KM74" s="64"/>
      <c r="KN74" s="64"/>
      <c r="KO74" s="64"/>
      <c r="KP74" s="64"/>
      <c r="KQ74" s="64"/>
      <c r="KR74" s="64"/>
      <c r="KS74" s="64"/>
      <c r="KT74" s="64"/>
      <c r="KU74" s="64"/>
      <c r="KV74" s="64"/>
      <c r="KW74" s="64"/>
      <c r="KX74" s="64"/>
      <c r="KY74" s="64"/>
      <c r="KZ74" s="64"/>
      <c r="LA74" s="64"/>
      <c r="LB74" s="64"/>
      <c r="LC74" s="64"/>
      <c r="LD74" s="64"/>
      <c r="LE74" s="64"/>
      <c r="LF74" s="64"/>
      <c r="LG74" s="64"/>
      <c r="LH74" s="64"/>
      <c r="LI74" s="64"/>
      <c r="LJ74" s="64"/>
      <c r="LK74" s="64"/>
      <c r="LL74" s="64"/>
      <c r="LM74" s="64"/>
      <c r="LN74" s="64"/>
      <c r="LO74" s="64"/>
      <c r="LP74" s="64"/>
      <c r="LQ74" s="64"/>
      <c r="LR74" s="64"/>
      <c r="LS74" s="64"/>
      <c r="LT74" s="64"/>
      <c r="LU74" s="64"/>
      <c r="LV74" s="64"/>
      <c r="LW74" s="64"/>
      <c r="LX74" s="64"/>
      <c r="LY74" s="64"/>
      <c r="LZ74" s="64"/>
      <c r="MA74" s="64"/>
      <c r="MB74" s="64"/>
      <c r="MC74" s="64"/>
      <c r="MD74" s="64"/>
      <c r="ME74" s="64"/>
      <c r="MF74" s="64"/>
      <c r="MG74" s="64"/>
      <c r="MH74" s="64"/>
      <c r="MI74" s="64"/>
      <c r="MJ74" s="64"/>
      <c r="MK74" s="64"/>
      <c r="ML74" s="64"/>
      <c r="MM74" s="64"/>
      <c r="MN74" s="64"/>
      <c r="MO74" s="64"/>
      <c r="MP74" s="64"/>
      <c r="MQ74" s="64"/>
      <c r="MR74" s="64"/>
      <c r="MS74" s="64"/>
      <c r="MT74" s="64"/>
      <c r="MU74" s="64"/>
      <c r="MV74" s="64"/>
      <c r="MW74" s="64"/>
      <c r="MX74" s="64"/>
      <c r="MY74" s="64"/>
      <c r="MZ74" s="64"/>
      <c r="NA74" s="64"/>
      <c r="NB74" s="64"/>
      <c r="NC74" s="64"/>
      <c r="ND74" s="64"/>
      <c r="NE74" s="64"/>
      <c r="NF74" s="64"/>
      <c r="NG74" s="64"/>
      <c r="NH74" s="64"/>
      <c r="NI74" s="64"/>
      <c r="NJ74" s="64"/>
      <c r="NK74" s="64"/>
      <c r="NL74" s="64"/>
      <c r="NM74" s="64"/>
      <c r="NN74" s="64"/>
      <c r="NO74" s="64"/>
      <c r="NP74" s="64"/>
      <c r="NQ74" s="64"/>
      <c r="NR74" s="64"/>
      <c r="NS74" s="64"/>
      <c r="NT74" s="64"/>
      <c r="NU74" s="64"/>
      <c r="NV74" s="64"/>
      <c r="NW74" s="64"/>
      <c r="NX74" s="64"/>
      <c r="NY74" s="64"/>
      <c r="NZ74" s="64"/>
      <c r="OA74" s="64"/>
      <c r="OB74" s="64"/>
      <c r="OC74" s="64"/>
      <c r="OD74" s="64"/>
      <c r="OE74" s="64"/>
      <c r="OF74" s="64"/>
      <c r="OG74" s="64"/>
      <c r="OH74" s="64"/>
      <c r="OI74" s="64"/>
      <c r="OJ74" s="64"/>
      <c r="OK74" s="64"/>
      <c r="OL74" s="64"/>
      <c r="OM74" s="64"/>
      <c r="ON74" s="64"/>
      <c r="OO74" s="64"/>
      <c r="OP74" s="64"/>
    </row>
    <row r="75" spans="1:406" x14ac:dyDescent="0.3">
      <c r="A75" s="144"/>
      <c r="B75" s="84"/>
      <c r="C75" s="83" t="s">
        <v>165</v>
      </c>
      <c r="D75" s="270">
        <f>SUM(H75:K75)</f>
        <v>0.19730242794405264</v>
      </c>
      <c r="E75" s="90">
        <f>SUM(G75:K75,N75:O75)</f>
        <v>0.19934935258240069</v>
      </c>
      <c r="F75" s="278">
        <f>SUM(Q75:S75)/(1-'Common input data'!B$127)</f>
        <v>0.20380354009217722</v>
      </c>
      <c r="G75" s="85">
        <f>'Input data dairy products'!$D$14*G10*'Common input data'!D$40</f>
        <v>2.0380927887005637E-3</v>
      </c>
      <c r="H75" s="85">
        <f>'Input data dairy products'!$D$14*H10*'Common input data'!D$40</f>
        <v>0</v>
      </c>
      <c r="I75" s="85">
        <f>'Input data dairy products'!$D$14*I10*'Common input data'!D$40</f>
        <v>1.2892304966002773E-2</v>
      </c>
      <c r="J75" s="85">
        <f>'Input data dairy products'!$D$14*J10*'Common input data'!D$40</f>
        <v>0</v>
      </c>
      <c r="K75" s="85">
        <f>'Input data dairy products'!$D$14*K10*'Common input data'!D$40</f>
        <v>0.18441012297804987</v>
      </c>
      <c r="L75" s="85">
        <f>'Input data dairy products'!$D$14*L10*'Common input data'!D$40</f>
        <v>0</v>
      </c>
      <c r="M75" s="85">
        <f>'Input data dairy products'!$D$14*M10*'Common input data'!D$40</f>
        <v>0</v>
      </c>
      <c r="N75" s="85">
        <f>'Input data dairy products'!$D$14*N10*'Common input data'!D$40</f>
        <v>0</v>
      </c>
      <c r="O75" s="85">
        <f>'Input data dairy products'!$D$14*O10*'Common input data'!D$40</f>
        <v>8.8318496474834975E-6</v>
      </c>
      <c r="P75" s="85">
        <v>0</v>
      </c>
      <c r="Q75" s="85">
        <f>SUM(G75:P75)</f>
        <v>0.19934935258240069</v>
      </c>
      <c r="R75" s="90">
        <v>0</v>
      </c>
      <c r="S75" s="90">
        <v>0</v>
      </c>
      <c r="T75" s="107"/>
    </row>
    <row r="76" spans="1:406" x14ac:dyDescent="0.3">
      <c r="A76" s="144"/>
      <c r="B76" s="85"/>
      <c r="C76" s="84" t="s">
        <v>166</v>
      </c>
      <c r="D76" s="270">
        <f>SUM(H76:K76)</f>
        <v>7.5754787017384747E-3</v>
      </c>
      <c r="E76" s="90">
        <f>SUM(G76:K76,N76:O76)</f>
        <v>9.5021875960537138E-3</v>
      </c>
      <c r="F76" s="278">
        <f>SUM(Q76:S76)/(1-'Common input data'!B$127)</f>
        <v>9.714500928189573E-3</v>
      </c>
      <c r="G76" s="85">
        <f>'Input data dairy products'!$D$14*G11*'Common input data'!D$40</f>
        <v>1.92588556966477E-3</v>
      </c>
      <c r="H76" s="85">
        <f>'Input data dairy products'!$D$14*H11*'Common input data'!D$40</f>
        <v>4.8678624632064694E-3</v>
      </c>
      <c r="I76" s="85">
        <f>'Input data dairy products'!$D$14*I11*'Common input data'!D$40</f>
        <v>2.4959626273388089E-3</v>
      </c>
      <c r="J76" s="85">
        <f>'Input data dairy products'!$D$14*J11*'Common input data'!D$40</f>
        <v>2.1165361119319614E-4</v>
      </c>
      <c r="K76" s="85">
        <f>'Input data dairy products'!$D$14*K11*'Common input data'!D$40</f>
        <v>0</v>
      </c>
      <c r="L76" s="85">
        <f>'Input data dairy products'!$D$14*L11*'Common input data'!D$40</f>
        <v>0</v>
      </c>
      <c r="M76" s="85">
        <f>'Input data dairy products'!$D$14*M11*'Common input data'!D$40</f>
        <v>0</v>
      </c>
      <c r="N76" s="85">
        <f>'Input data dairy products'!$D$14*N11*'Common input data'!D$40</f>
        <v>0</v>
      </c>
      <c r="O76" s="85">
        <f>'Input data dairy products'!$D$14*O11*'Common input data'!D$40</f>
        <v>8.2332465047096141E-7</v>
      </c>
      <c r="P76" s="85">
        <v>0</v>
      </c>
      <c r="Q76" s="85">
        <f>SUM(G76:P76)</f>
        <v>9.5021875960537138E-3</v>
      </c>
      <c r="R76" s="94">
        <v>0</v>
      </c>
      <c r="S76" s="90">
        <v>0</v>
      </c>
      <c r="T76" s="107"/>
    </row>
    <row r="77" spans="1:406" s="102" customFormat="1" x14ac:dyDescent="0.3">
      <c r="A77" s="284" t="s">
        <v>79</v>
      </c>
      <c r="B77" s="110">
        <f>'Input data dairy products'!C15</f>
        <v>0.11</v>
      </c>
      <c r="C77" s="269" t="s">
        <v>473</v>
      </c>
      <c r="D77" s="320">
        <f>IF($E$1="GWP100 without fb",D78+D79*'Common input data'!$C$5+D80*'Common input data'!$D$5,IF($E$1="GWP100 with fb",D78+D79*'Common input data'!$C$6+D80*'Common input data'!$D$6,IF($E$1="GTP100 without fb",D78+D79*'Common input data'!$C$7+D80*'Common input data'!$D$7,IF($E$1="GTP100 with fb",D78+D79*'Common input data'!$C$8+D80*'Common input data'!$D$8,D78+D79*'Common input data'!$C$9+D80*'Common input data'!$D$9))))</f>
        <v>8.7323549395439208</v>
      </c>
      <c r="E77" s="302">
        <f>IF($E$1="GWP100 without fb",E78+E79*'Common input data'!$C$5+E80*'Common input data'!$D$5,IF($E$1="GWP100 with fb",E78+E79*'Common input data'!$C$6+E80*'Common input data'!$D$6,IF($E$1="GTP100 without fb",E78+E79*'Common input data'!$C$7+E80*'Common input data'!$D$7,IF($E$1="GTP100 with fb",E78+E79*'Common input data'!$C$8+E80*'Common input data'!$D$8,E78+E79*'Common input data'!$C$9+E80*'Common input data'!$D$9))))</f>
        <v>12.122826229916026</v>
      </c>
      <c r="F77" s="321">
        <f>IF($E$1="GWP100 without fb",F78+F79*'Common input data'!$C$5+F80*'Common input data'!$D$5,IF($E$1="GWP100 with fb",F78+F79*'Common input data'!$C$6+F80*'Common input data'!$D$6,IF($E$1="GTP100 without fb",F78+F79*'Common input data'!$C$7+F80*'Common input data'!$D$7,IF($E$1="GTP100 with fb",F78+F79*'Common input data'!$C$8+F80*'Common input data'!$D$8,F78+F79*'Common input data'!$C$9+F80*'Common input data'!$D$9))))</f>
        <v>13.250418092451991</v>
      </c>
      <c r="G77" s="104"/>
      <c r="N77" s="486"/>
      <c r="O77" s="486"/>
      <c r="P77" s="104"/>
      <c r="Q77" s="104"/>
      <c r="R77" s="106"/>
      <c r="S77" s="106"/>
      <c r="T77" s="107"/>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c r="HI77" s="64"/>
      <c r="HJ77" s="64"/>
      <c r="HK77" s="64"/>
      <c r="HL77" s="64"/>
      <c r="HM77" s="64"/>
      <c r="HN77" s="64"/>
      <c r="HO77" s="64"/>
      <c r="HP77" s="64"/>
      <c r="HQ77" s="64"/>
      <c r="HR77" s="64"/>
      <c r="HS77" s="64"/>
      <c r="HT77" s="64"/>
      <c r="HU77" s="64"/>
      <c r="HV77" s="64"/>
      <c r="HW77" s="64"/>
      <c r="HX77" s="64"/>
      <c r="HY77" s="64"/>
      <c r="HZ77" s="64"/>
      <c r="IA77" s="64"/>
      <c r="IB77" s="64"/>
      <c r="IC77" s="64"/>
      <c r="ID77" s="64"/>
      <c r="IE77" s="64"/>
      <c r="IF77" s="64"/>
      <c r="IG77" s="64"/>
      <c r="IH77" s="64"/>
      <c r="II77" s="64"/>
      <c r="IJ77" s="64"/>
      <c r="IK77" s="64"/>
      <c r="IL77" s="64"/>
      <c r="IM77" s="64"/>
      <c r="IN77" s="64"/>
      <c r="IO77" s="64"/>
      <c r="IP77" s="64"/>
      <c r="IQ77" s="64"/>
      <c r="IR77" s="64"/>
      <c r="IS77" s="64"/>
      <c r="IT77" s="64"/>
      <c r="IU77" s="64"/>
      <c r="IV77" s="64"/>
      <c r="IW77" s="64"/>
      <c r="IX77" s="64"/>
      <c r="IY77" s="64"/>
      <c r="IZ77" s="64"/>
      <c r="JA77" s="64"/>
      <c r="JB77" s="64"/>
      <c r="JC77" s="64"/>
      <c r="JD77" s="64"/>
      <c r="JE77" s="64"/>
      <c r="JF77" s="64"/>
      <c r="JG77" s="64"/>
      <c r="JH77" s="64"/>
      <c r="JI77" s="64"/>
      <c r="JJ77" s="64"/>
      <c r="JK77" s="64"/>
      <c r="JL77" s="64"/>
      <c r="JM77" s="64"/>
      <c r="JN77" s="64"/>
      <c r="JO77" s="64"/>
      <c r="JP77" s="64"/>
      <c r="JQ77" s="64"/>
      <c r="JR77" s="64"/>
      <c r="JS77" s="64"/>
      <c r="JT77" s="64"/>
      <c r="JU77" s="64"/>
      <c r="JV77" s="64"/>
      <c r="JW77" s="64"/>
      <c r="JX77" s="64"/>
      <c r="JY77" s="64"/>
      <c r="JZ77" s="64"/>
      <c r="KA77" s="64"/>
      <c r="KB77" s="64"/>
      <c r="KC77" s="64"/>
      <c r="KD77" s="64"/>
      <c r="KE77" s="64"/>
      <c r="KF77" s="64"/>
      <c r="KG77" s="64"/>
      <c r="KH77" s="64"/>
    </row>
    <row r="78" spans="1:406" s="102" customFormat="1" x14ac:dyDescent="0.3">
      <c r="A78" s="107"/>
      <c r="B78" s="64"/>
      <c r="C78" s="83" t="s">
        <v>164</v>
      </c>
      <c r="D78" s="270">
        <f>IF(AND($E$2="No",$E$3="No"),SUM(H78:K78),IF(AND($E$2="Yes", $E$3="No"), SUM(H78:K78)+M78, IF(AND($E$2="No", $E$3="Yes"),SUM(H78:K78)+L78, SUM(H78:K78)+M78+L78)))</f>
        <v>-0.23342026367193511</v>
      </c>
      <c r="E78" s="90">
        <f>IF(AND($E$2="No",$E$3="No"),SUM(G78:K78,N78:O78),IF(AND($E$2="Yes",$E$3="No"), SUM(G78:K78,N78:O78)+M78, IF(AND($E$2="No", $E$3="Yes"),SUM(G78:K78,N78:O78)+L78, SUM(G78:K78,N78:O78)+M78+L78)))</f>
        <v>2.512182570866651</v>
      </c>
      <c r="F78" s="278">
        <f>SUM(Q78:S78)/(1-'Common input data'!B$127)</f>
        <v>3.4250377994857515</v>
      </c>
      <c r="G78" s="85">
        <f>'Input data dairy products'!$D$15*G13*'Common input data'!D$40</f>
        <v>1.9036614386746216</v>
      </c>
      <c r="H78" s="85">
        <f>'Input data dairy products'!$D$15*H13*'Common input data'!D$40</f>
        <v>0</v>
      </c>
      <c r="I78" s="85">
        <f>'Input data dairy products'!$D$15*I13*'Common input data'!D$40</f>
        <v>0</v>
      </c>
      <c r="J78" s="85">
        <f>'Input data dairy products'!$D$15*J13*'Common input data'!D$40</f>
        <v>0</v>
      </c>
      <c r="K78" s="85">
        <f>'Input data dairy products'!$D$15*K13*'Common input data'!D$40</f>
        <v>0</v>
      </c>
      <c r="L78" s="85">
        <f>'Input data dairy products'!$D$15*L13*'Common input data'!D$40</f>
        <v>-0.41339094685009825</v>
      </c>
      <c r="M78" s="85">
        <f>'Input data dairy products'!$D$15*M13*'Common input data'!D$40</f>
        <v>0.17997068317816314</v>
      </c>
      <c r="N78" s="85">
        <f>'Input data dairy products'!$D$15*N13*'Common input data'!D$40</f>
        <v>0.74284706289113445</v>
      </c>
      <c r="O78" s="85">
        <f>'Input data dairy products'!$D$15*O13*'Common input data'!D$40</f>
        <v>9.9094332972830282E-2</v>
      </c>
      <c r="P78" s="85">
        <f>'Input data dairy products'!F$30*'Common input data'!D$40</f>
        <v>0.65799999999999992</v>
      </c>
      <c r="Q78" s="349">
        <f>IF(AND($E$2="No",$E$3="No"),SUM(G78:K78,N78:P78),IF(AND($E$2="Yes",$E$3="No"), SUM(G78:K78,N78:P78)+M78, IF(AND($E$2="No", $E$3="Yes"),SUM(G78:K78,N78:P78)+L78, SUM(G78:K78,N78:P78)+M78+L78)))</f>
        <v>3.1701825708666513</v>
      </c>
      <c r="R78" s="90">
        <f>'Common input data'!B$91</f>
        <v>0.05</v>
      </c>
      <c r="S78" s="90">
        <f>'Common input data'!B$99+'Common input data'!C$99</f>
        <v>0.13</v>
      </c>
      <c r="T78" s="107"/>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c r="GV78" s="64"/>
      <c r="GW78" s="64"/>
      <c r="GX78" s="64"/>
      <c r="GY78" s="64"/>
      <c r="GZ78" s="64"/>
      <c r="HA78" s="64"/>
      <c r="HB78" s="64"/>
      <c r="HC78" s="64"/>
      <c r="HD78" s="64"/>
      <c r="HE78" s="64"/>
      <c r="HF78" s="64"/>
      <c r="HG78" s="64"/>
      <c r="HH78" s="64"/>
      <c r="HI78" s="64"/>
      <c r="HJ78" s="64"/>
      <c r="HK78" s="64"/>
      <c r="HL78" s="64"/>
      <c r="HM78" s="64"/>
      <c r="HN78" s="64"/>
      <c r="HO78" s="64"/>
      <c r="HP78" s="64"/>
      <c r="HQ78" s="64"/>
      <c r="HR78" s="64"/>
      <c r="HS78" s="64"/>
      <c r="HT78" s="64"/>
      <c r="HU78" s="64"/>
      <c r="HV78" s="64"/>
      <c r="HW78" s="64"/>
      <c r="HX78" s="64"/>
      <c r="HY78" s="64"/>
      <c r="HZ78" s="64"/>
      <c r="IA78" s="64"/>
      <c r="IB78" s="64"/>
      <c r="IC78" s="64"/>
      <c r="ID78" s="64"/>
      <c r="IE78" s="64"/>
      <c r="IF78" s="64"/>
      <c r="IG78" s="64"/>
      <c r="IH78" s="64"/>
      <c r="II78" s="64"/>
      <c r="IJ78" s="64"/>
      <c r="IK78" s="64"/>
      <c r="IL78" s="64"/>
      <c r="IM78" s="64"/>
      <c r="IN78" s="64"/>
      <c r="IO78" s="64"/>
      <c r="IP78" s="64"/>
      <c r="IQ78" s="64"/>
      <c r="IR78" s="64"/>
      <c r="IS78" s="64"/>
      <c r="IT78" s="64"/>
      <c r="IU78" s="64"/>
      <c r="IV78" s="64"/>
      <c r="IW78" s="64"/>
      <c r="IX78" s="64"/>
      <c r="IY78" s="64"/>
      <c r="IZ78" s="64"/>
      <c r="JA78" s="64"/>
      <c r="JB78" s="64"/>
      <c r="JC78" s="64"/>
      <c r="JD78" s="64"/>
      <c r="JE78" s="64"/>
      <c r="JF78" s="64"/>
      <c r="JG78" s="64"/>
      <c r="JH78" s="64"/>
      <c r="JI78" s="64"/>
      <c r="JJ78" s="64"/>
      <c r="JK78" s="64"/>
      <c r="JL78" s="64"/>
      <c r="JM78" s="64"/>
      <c r="JN78" s="64"/>
      <c r="JO78" s="64"/>
      <c r="JP78" s="64"/>
      <c r="JQ78" s="64"/>
      <c r="JR78" s="64"/>
      <c r="JS78" s="64"/>
      <c r="JT78" s="64"/>
      <c r="JU78" s="64"/>
      <c r="JV78" s="64"/>
      <c r="JW78" s="64"/>
      <c r="JX78" s="64"/>
      <c r="JY78" s="64"/>
      <c r="JZ78" s="64"/>
      <c r="KA78" s="64"/>
      <c r="KB78" s="64"/>
      <c r="KC78" s="64"/>
      <c r="KD78" s="64"/>
      <c r="KE78" s="64"/>
      <c r="KF78" s="64"/>
      <c r="KG78" s="64"/>
      <c r="KH78" s="64"/>
      <c r="KI78" s="64"/>
      <c r="KJ78" s="64"/>
      <c r="KK78" s="64"/>
      <c r="KL78" s="64"/>
      <c r="KM78" s="64"/>
      <c r="KN78" s="64"/>
      <c r="KO78" s="64"/>
      <c r="KP78" s="64"/>
      <c r="KQ78" s="64"/>
      <c r="KR78" s="64"/>
      <c r="KS78" s="64"/>
      <c r="KT78" s="64"/>
      <c r="KU78" s="64"/>
      <c r="KV78" s="64"/>
      <c r="KW78" s="64"/>
      <c r="KX78" s="64"/>
      <c r="KY78" s="64"/>
      <c r="KZ78" s="64"/>
      <c r="LA78" s="64"/>
      <c r="LB78" s="64"/>
      <c r="LC78" s="64"/>
      <c r="LD78" s="64"/>
      <c r="LE78" s="64"/>
      <c r="LF78" s="64"/>
      <c r="LG78" s="64"/>
      <c r="LH78" s="64"/>
      <c r="LI78" s="64"/>
      <c r="LJ78" s="64"/>
      <c r="LK78" s="64"/>
      <c r="LL78" s="64"/>
      <c r="LM78" s="64"/>
      <c r="LN78" s="64"/>
      <c r="LO78" s="64"/>
      <c r="LP78" s="64"/>
      <c r="LQ78" s="64"/>
      <c r="LR78" s="64"/>
      <c r="LS78" s="64"/>
      <c r="LT78" s="64"/>
      <c r="LU78" s="64"/>
      <c r="LV78" s="64"/>
      <c r="LW78" s="64"/>
      <c r="LX78" s="64"/>
      <c r="LY78" s="64"/>
      <c r="LZ78" s="64"/>
      <c r="MA78" s="64"/>
      <c r="MB78" s="64"/>
      <c r="MC78" s="64"/>
      <c r="MD78" s="64"/>
      <c r="ME78" s="64"/>
      <c r="MF78" s="64"/>
      <c r="MG78" s="64"/>
      <c r="MH78" s="64"/>
      <c r="MI78" s="64"/>
      <c r="MJ78" s="64"/>
      <c r="MK78" s="64"/>
      <c r="ML78" s="64"/>
      <c r="MM78" s="64"/>
      <c r="MN78" s="64"/>
      <c r="MO78" s="64"/>
      <c r="MP78" s="64"/>
      <c r="MQ78" s="64"/>
      <c r="MR78" s="64"/>
      <c r="MS78" s="64"/>
      <c r="MT78" s="64"/>
      <c r="MU78" s="64"/>
      <c r="MV78" s="64"/>
      <c r="MW78" s="64"/>
      <c r="MX78" s="64"/>
      <c r="MY78" s="64"/>
      <c r="MZ78" s="64"/>
      <c r="NA78" s="64"/>
      <c r="NB78" s="64"/>
      <c r="NC78" s="64"/>
      <c r="ND78" s="64"/>
      <c r="NE78" s="64"/>
      <c r="NF78" s="64"/>
      <c r="NG78" s="64"/>
      <c r="NH78" s="64"/>
      <c r="NI78" s="64"/>
      <c r="NJ78" s="64"/>
      <c r="NK78" s="64"/>
      <c r="NL78" s="64"/>
      <c r="NM78" s="64"/>
      <c r="NN78" s="64"/>
      <c r="NO78" s="64"/>
      <c r="NP78" s="64"/>
      <c r="NQ78" s="64"/>
      <c r="NR78" s="64"/>
      <c r="NS78" s="64"/>
      <c r="NT78" s="64"/>
      <c r="NU78" s="64"/>
      <c r="NV78" s="64"/>
      <c r="NW78" s="64"/>
      <c r="NX78" s="64"/>
      <c r="NY78" s="64"/>
      <c r="NZ78" s="64"/>
      <c r="OA78" s="64"/>
      <c r="OB78" s="64"/>
      <c r="OC78" s="64"/>
      <c r="OD78" s="64"/>
      <c r="OE78" s="64"/>
      <c r="OF78" s="64"/>
      <c r="OG78" s="64"/>
      <c r="OH78" s="64"/>
      <c r="OI78" s="64"/>
      <c r="OJ78" s="64"/>
      <c r="OK78" s="64"/>
      <c r="OL78" s="64"/>
      <c r="OM78" s="64"/>
      <c r="ON78" s="64"/>
      <c r="OO78" s="64"/>
      <c r="OP78" s="64"/>
    </row>
    <row r="79" spans="1:406" x14ac:dyDescent="0.3">
      <c r="A79" s="144"/>
      <c r="B79" s="142"/>
      <c r="C79" s="83" t="s">
        <v>165</v>
      </c>
      <c r="D79" s="270">
        <f>SUM(H79:K79)</f>
        <v>0.19730242794405264</v>
      </c>
      <c r="E79" s="90">
        <f>SUM(G79:K79,N79:O79)</f>
        <v>0.19936738048168112</v>
      </c>
      <c r="F79" s="278">
        <f>SUM(Q79:S79)/(1-'Common input data'!B$127)</f>
        <v>0.20382197080010869</v>
      </c>
      <c r="G79" s="85">
        <f>'Input data dairy products'!$D$15*G14*'Common input data'!D$40</f>
        <v>2.0380927887005637E-3</v>
      </c>
      <c r="H79" s="85">
        <f>'Input data dairy products'!$D$15*H14*'Common input data'!D$40</f>
        <v>0</v>
      </c>
      <c r="I79" s="85">
        <f>'Input data dairy products'!$D$15*I14*'Common input data'!D$40</f>
        <v>1.2892304966002773E-2</v>
      </c>
      <c r="J79" s="85">
        <f>'Input data dairy products'!$D$15*J14*'Common input data'!D$40</f>
        <v>0</v>
      </c>
      <c r="K79" s="85">
        <f>'Input data dairy products'!$D$15*K14*'Common input data'!D$40</f>
        <v>0.18441012297804987</v>
      </c>
      <c r="L79" s="85">
        <f>'Input data dairy products'!$D$15*L14*'Common input data'!D$40</f>
        <v>0</v>
      </c>
      <c r="M79" s="85">
        <f>'Input data dairy products'!$D$15*M14*'Common input data'!D$40</f>
        <v>0</v>
      </c>
      <c r="N79" s="85">
        <f>'Input data dairy products'!$D$15*N14*'Common input data'!D$40</f>
        <v>0</v>
      </c>
      <c r="O79" s="85">
        <f>'Input data dairy products'!$D$15*O14*'Common input data'!D$40</f>
        <v>2.6859748927913726E-5</v>
      </c>
      <c r="P79" s="85">
        <v>0</v>
      </c>
      <c r="Q79" s="85">
        <f>SUM(G79:P79)</f>
        <v>0.19936738048168112</v>
      </c>
      <c r="R79" s="90">
        <v>0</v>
      </c>
      <c r="S79" s="90">
        <v>0</v>
      </c>
      <c r="T79" s="107"/>
    </row>
    <row r="80" spans="1:406" x14ac:dyDescent="0.3">
      <c r="A80" s="174"/>
      <c r="B80" s="85"/>
      <c r="C80" s="84" t="s">
        <v>166</v>
      </c>
      <c r="D80" s="270">
        <f>SUM(H80:K80)</f>
        <v>7.5754787017384747E-3</v>
      </c>
      <c r="E80" s="90">
        <f>SUM(G80:K80,N80:O80)</f>
        <v>9.5038681968866341E-3</v>
      </c>
      <c r="F80" s="278">
        <f>SUM(Q80:S80)/(1-'Common input data'!B$127)</f>
        <v>9.7162190797400756E-3</v>
      </c>
      <c r="G80" s="85">
        <f>'Input data dairy products'!$D$15*G15*'Common input data'!D$40</f>
        <v>1.92588556966477E-3</v>
      </c>
      <c r="H80" s="85">
        <f>'Input data dairy products'!$D$15*H15*'Common input data'!D$40</f>
        <v>4.8678624632064694E-3</v>
      </c>
      <c r="I80" s="85">
        <f>'Input data dairy products'!$D$15*I15*'Common input data'!D$40</f>
        <v>2.4959626273388089E-3</v>
      </c>
      <c r="J80" s="85">
        <f>'Input data dairy products'!$D$15*J15*'Common input data'!D$40</f>
        <v>2.1165361119319614E-4</v>
      </c>
      <c r="K80" s="85">
        <f>'Input data dairy products'!$D$15*K15*'Common input data'!D$40</f>
        <v>0</v>
      </c>
      <c r="L80" s="85">
        <f>'Input data dairy products'!$D$15*L15*'Common input data'!D$40</f>
        <v>0</v>
      </c>
      <c r="M80" s="85">
        <f>'Input data dairy products'!$D$15*M15*'Common input data'!D$40</f>
        <v>0</v>
      </c>
      <c r="N80" s="85">
        <f>'Input data dairy products'!$D$15*N15*'Common input data'!D$40</f>
        <v>0</v>
      </c>
      <c r="O80" s="85">
        <f>'Input data dairy products'!$D$15*O15*'Common input data'!D$40</f>
        <v>2.503925483391068E-6</v>
      </c>
      <c r="P80" s="85">
        <v>0</v>
      </c>
      <c r="Q80" s="85">
        <f>SUM(G80:P80)</f>
        <v>9.5038681968866341E-3</v>
      </c>
      <c r="R80" s="90">
        <v>0</v>
      </c>
      <c r="S80" s="90">
        <v>0</v>
      </c>
      <c r="T80" s="107"/>
    </row>
    <row r="81" spans="1:406" s="102" customFormat="1" x14ac:dyDescent="0.3">
      <c r="A81" s="284" t="s">
        <v>70</v>
      </c>
      <c r="B81" s="110">
        <f>'Input data dairy products'!C16</f>
        <v>0.21799999999999986</v>
      </c>
      <c r="C81" s="269" t="s">
        <v>473</v>
      </c>
      <c r="D81" s="320">
        <f>IF($E$1="GWP100 without fb",D82+D83*'Common input data'!$C$5+D84*'Common input data'!$D$5,IF($E$1="GWP100 with fb",D82+D83*'Common input data'!$C$6+D84*'Common input data'!$D$6,IF($E$1="GTP100 without fb",D82+D83*'Common input data'!$C$7+D84*'Common input data'!$D$7,IF($E$1="GTP100 with fb",D82+D83*'Common input data'!$C$8+D84*'Common input data'!$D$8,D82+D83*'Common input data'!$C$9+D84*'Common input data'!$D$9))))</f>
        <v>8.7323549395439208</v>
      </c>
      <c r="E81" s="302">
        <f>IF($E$1="GWP100 without fb",E82+E83*'Common input data'!$C$5+E84*'Common input data'!$D$5,IF($E$1="GWP100 with fb",E82+E83*'Common input data'!$C$6+E84*'Common input data'!$D$6,IF($E$1="GTP100 without fb",E82+E83*'Common input data'!$C$7+E84*'Common input data'!$D$7,IF($E$1="GTP100 with fb",E82+E83*'Common input data'!$C$8+E84*'Common input data'!$D$8,E82+E83*'Common input data'!$C$9+E84*'Common input data'!$D$9))))</f>
        <v>12.122826229916026</v>
      </c>
      <c r="F81" s="321">
        <f>IF($E$1="GWP100 without fb",F82+F83*'Common input data'!$C$5+F84*'Common input data'!$D$5,IF($E$1="GWP100 with fb",F82+F83*'Common input data'!$C$6+F84*'Common input data'!$D$6,IF($E$1="GTP100 without fb",F82+F83*'Common input data'!$C$7+F84*'Common input data'!$D$7,IF($E$1="GTP100 with fb",F82+F83*'Common input data'!$C$8+F84*'Common input data'!$D$8,F82+F83*'Common input data'!$C$9+F84*'Common input data'!$D$9))))</f>
        <v>13.352652455118372</v>
      </c>
      <c r="G81" s="104"/>
      <c r="N81" s="486"/>
      <c r="O81" s="486"/>
      <c r="P81" s="104"/>
      <c r="Q81" s="104"/>
      <c r="R81" s="106"/>
      <c r="S81" s="106"/>
      <c r="T81" s="107"/>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c r="GV81" s="64"/>
      <c r="GW81" s="64"/>
      <c r="GX81" s="64"/>
      <c r="GY81" s="64"/>
      <c r="GZ81" s="64"/>
      <c r="HA81" s="64"/>
      <c r="HB81" s="64"/>
      <c r="HC81" s="64"/>
      <c r="HD81" s="64"/>
      <c r="HE81" s="64"/>
      <c r="HF81" s="64"/>
      <c r="HG81" s="64"/>
      <c r="HH81" s="64"/>
      <c r="HI81" s="64"/>
      <c r="HJ81" s="64"/>
      <c r="HK81" s="64"/>
      <c r="HL81" s="64"/>
      <c r="HM81" s="64"/>
      <c r="HN81" s="64"/>
      <c r="HO81" s="64"/>
      <c r="HP81" s="64"/>
      <c r="HQ81" s="64"/>
      <c r="HR81" s="64"/>
      <c r="HS81" s="64"/>
      <c r="HT81" s="64"/>
      <c r="HU81" s="64"/>
      <c r="HV81" s="64"/>
      <c r="HW81" s="64"/>
      <c r="HX81" s="64"/>
      <c r="HY81" s="64"/>
      <c r="HZ81" s="64"/>
      <c r="IA81" s="64"/>
      <c r="IB81" s="64"/>
      <c r="IC81" s="64"/>
      <c r="ID81" s="64"/>
      <c r="IE81" s="64"/>
      <c r="IF81" s="64"/>
      <c r="IG81" s="64"/>
      <c r="IH81" s="64"/>
      <c r="II81" s="64"/>
      <c r="IJ81" s="64"/>
      <c r="IK81" s="64"/>
      <c r="IL81" s="64"/>
      <c r="IM81" s="64"/>
      <c r="IN81" s="64"/>
      <c r="IO81" s="64"/>
      <c r="IP81" s="64"/>
      <c r="IQ81" s="64"/>
      <c r="IR81" s="64"/>
      <c r="IS81" s="64"/>
      <c r="IT81" s="64"/>
      <c r="IU81" s="64"/>
      <c r="IV81" s="64"/>
      <c r="IW81" s="64"/>
      <c r="IX81" s="64"/>
      <c r="IY81" s="64"/>
      <c r="IZ81" s="64"/>
      <c r="JA81" s="64"/>
      <c r="JB81" s="64"/>
      <c r="JC81" s="64"/>
      <c r="JD81" s="64"/>
      <c r="JE81" s="64"/>
      <c r="JF81" s="64"/>
      <c r="JG81" s="64"/>
      <c r="JH81" s="64"/>
      <c r="JI81" s="64"/>
      <c r="JJ81" s="64"/>
      <c r="JK81" s="64"/>
      <c r="JL81" s="64"/>
      <c r="JM81" s="64"/>
      <c r="JN81" s="64"/>
      <c r="JO81" s="64"/>
      <c r="JP81" s="64"/>
      <c r="JQ81" s="64"/>
      <c r="JR81" s="64"/>
      <c r="JS81" s="64"/>
      <c r="JT81" s="64"/>
      <c r="JU81" s="64"/>
      <c r="JV81" s="64"/>
      <c r="JW81" s="64"/>
      <c r="JX81" s="64"/>
      <c r="JY81" s="64"/>
      <c r="JZ81" s="64"/>
      <c r="KA81" s="64"/>
      <c r="KB81" s="64"/>
      <c r="KC81" s="64"/>
      <c r="KD81" s="64"/>
      <c r="KE81" s="64"/>
      <c r="KF81" s="64"/>
      <c r="KG81" s="64"/>
      <c r="KH81" s="64"/>
    </row>
    <row r="82" spans="1:406" s="102" customFormat="1" x14ac:dyDescent="0.3">
      <c r="A82" s="107"/>
      <c r="B82" s="64"/>
      <c r="C82" s="83" t="s">
        <v>164</v>
      </c>
      <c r="D82" s="270">
        <f>IF(AND($E$2="No",$E$3="No"),SUM(H82:K82),IF(AND($E$2="Yes", $E$3="No"), SUM(H82:K82)+M82, IF(AND($E$2="No", $E$3="Yes"),SUM(H82:K82)+L82, SUM(H82:K82)+M82+L82)))</f>
        <v>-0.23342026367193511</v>
      </c>
      <c r="E82" s="90">
        <f>IF(AND($E$2="No",$E$3="No"),SUM(G82:K82,N82:O82),IF(AND($E$2="Yes",$E$3="No"), SUM(G82:K82,N82:O82)+M82, IF(AND($E$2="No", $E$3="Yes"),SUM(G82:K82,N82:O82)+L82, SUM(G82:K82,N82:O82)+M82+L82)))</f>
        <v>2.512182570866651</v>
      </c>
      <c r="F82" s="278">
        <f>SUM(Q82:S82)/(1-'Common input data'!B$127)</f>
        <v>3.5272721621521339</v>
      </c>
      <c r="G82" s="85">
        <f>'Input data dairy products'!$D$16*G13*'Common input data'!D$40</f>
        <v>1.9036614386746216</v>
      </c>
      <c r="H82" s="85">
        <f>'Input data dairy products'!$D$16*H13*'Common input data'!D$40</f>
        <v>0</v>
      </c>
      <c r="I82" s="85">
        <f>'Input data dairy products'!$D$16*I13*'Common input data'!D$40</f>
        <v>0</v>
      </c>
      <c r="J82" s="85">
        <f>'Input data dairy products'!$D$16*J13*'Common input data'!D$40</f>
        <v>0</v>
      </c>
      <c r="K82" s="85">
        <f>'Input data dairy products'!$D$16*K13*'Common input data'!D$40</f>
        <v>0</v>
      </c>
      <c r="L82" s="85">
        <f>'Input data dairy products'!$D$16*L13*'Common input data'!D$40</f>
        <v>-0.41339094685009825</v>
      </c>
      <c r="M82" s="85">
        <f>'Input data dairy products'!$D$16*M13*'Common input data'!D$40</f>
        <v>0.17997068317816314</v>
      </c>
      <c r="N82" s="85">
        <f>'Input data dairy products'!$D$16*N13*'Common input data'!D$40</f>
        <v>0.74284706289113445</v>
      </c>
      <c r="O82" s="85">
        <f>'Input data dairy products'!$D$16*O13*'Common input data'!D$40</f>
        <v>9.9094332972830282E-2</v>
      </c>
      <c r="P82" s="85">
        <f>'Input data dairy products'!F$30*'Common input data'!D$40</f>
        <v>0.65799999999999992</v>
      </c>
      <c r="Q82" s="349">
        <f>IF(AND($E$2="No",$E$3="No"),SUM(G82:K82,N82:P82),IF(AND($E$2="Yes",$E$3="No"), SUM(G82:K82,N82:P82)+M82, IF(AND($E$2="No", $E$3="Yes"),SUM(G82:K82,N82:P82)+L82, SUM(G82:K82,N82:P82)+M82+L82)))</f>
        <v>3.1701825708666513</v>
      </c>
      <c r="R82" s="90">
        <f>'Common input data'!B$91</f>
        <v>0.05</v>
      </c>
      <c r="S82" s="90">
        <f>'Common input data'!B$102+'Common input data'!C$102</f>
        <v>0.23000000000000004</v>
      </c>
      <c r="T82" s="107"/>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c r="IW82" s="64"/>
      <c r="IX82" s="64"/>
      <c r="IY82" s="64"/>
      <c r="IZ82" s="64"/>
      <c r="JA82" s="64"/>
      <c r="JB82" s="64"/>
      <c r="JC82" s="64"/>
      <c r="JD82" s="64"/>
      <c r="JE82" s="64"/>
      <c r="JF82" s="64"/>
      <c r="JG82" s="64"/>
      <c r="JH82" s="64"/>
      <c r="JI82" s="64"/>
      <c r="JJ82" s="64"/>
      <c r="JK82" s="64"/>
      <c r="JL82" s="64"/>
      <c r="JM82" s="64"/>
      <c r="JN82" s="64"/>
      <c r="JO82" s="64"/>
      <c r="JP82" s="64"/>
      <c r="JQ82" s="64"/>
      <c r="JR82" s="64"/>
      <c r="JS82" s="64"/>
      <c r="JT82" s="64"/>
      <c r="JU82" s="64"/>
      <c r="JV82" s="64"/>
      <c r="JW82" s="64"/>
      <c r="JX82" s="64"/>
      <c r="JY82" s="64"/>
      <c r="JZ82" s="64"/>
      <c r="KA82" s="64"/>
      <c r="KB82" s="64"/>
      <c r="KC82" s="64"/>
      <c r="KD82" s="64"/>
      <c r="KE82" s="64"/>
      <c r="KF82" s="64"/>
      <c r="KG82" s="64"/>
      <c r="KH82" s="64"/>
      <c r="KI82" s="64"/>
      <c r="KJ82" s="64"/>
      <c r="KK82" s="64"/>
      <c r="KL82" s="64"/>
      <c r="KM82" s="64"/>
      <c r="KN82" s="64"/>
      <c r="KO82" s="64"/>
      <c r="KP82" s="64"/>
      <c r="KQ82" s="64"/>
      <c r="KR82" s="64"/>
      <c r="KS82" s="64"/>
      <c r="KT82" s="64"/>
      <c r="KU82" s="64"/>
      <c r="KV82" s="64"/>
      <c r="KW82" s="64"/>
      <c r="KX82" s="64"/>
      <c r="KY82" s="64"/>
      <c r="KZ82" s="64"/>
      <c r="LA82" s="64"/>
      <c r="LB82" s="64"/>
      <c r="LC82" s="64"/>
      <c r="LD82" s="64"/>
      <c r="LE82" s="64"/>
      <c r="LF82" s="64"/>
      <c r="LG82" s="64"/>
      <c r="LH82" s="64"/>
      <c r="LI82" s="64"/>
      <c r="LJ82" s="64"/>
      <c r="LK82" s="64"/>
      <c r="LL82" s="64"/>
      <c r="LM82" s="64"/>
      <c r="LN82" s="64"/>
      <c r="LO82" s="64"/>
      <c r="LP82" s="64"/>
      <c r="LQ82" s="64"/>
      <c r="LR82" s="64"/>
      <c r="LS82" s="64"/>
      <c r="LT82" s="64"/>
      <c r="LU82" s="64"/>
      <c r="LV82" s="64"/>
      <c r="LW82" s="64"/>
      <c r="LX82" s="64"/>
      <c r="LY82" s="64"/>
      <c r="LZ82" s="64"/>
      <c r="MA82" s="64"/>
      <c r="MB82" s="64"/>
      <c r="MC82" s="64"/>
      <c r="MD82" s="64"/>
      <c r="ME82" s="64"/>
      <c r="MF82" s="64"/>
      <c r="MG82" s="64"/>
      <c r="MH82" s="64"/>
      <c r="MI82" s="64"/>
      <c r="MJ82" s="64"/>
      <c r="MK82" s="64"/>
      <c r="ML82" s="64"/>
      <c r="MM82" s="64"/>
      <c r="MN82" s="64"/>
      <c r="MO82" s="64"/>
      <c r="MP82" s="64"/>
      <c r="MQ82" s="64"/>
      <c r="MR82" s="64"/>
      <c r="MS82" s="64"/>
      <c r="MT82" s="64"/>
      <c r="MU82" s="64"/>
      <c r="MV82" s="64"/>
      <c r="MW82" s="64"/>
      <c r="MX82" s="64"/>
      <c r="MY82" s="64"/>
      <c r="MZ82" s="64"/>
      <c r="NA82" s="64"/>
      <c r="NB82" s="64"/>
      <c r="NC82" s="64"/>
      <c r="ND82" s="64"/>
      <c r="NE82" s="64"/>
      <c r="NF82" s="64"/>
      <c r="NG82" s="64"/>
      <c r="NH82" s="64"/>
      <c r="NI82" s="64"/>
      <c r="NJ82" s="64"/>
      <c r="NK82" s="64"/>
      <c r="NL82" s="64"/>
      <c r="NM82" s="64"/>
      <c r="NN82" s="64"/>
      <c r="NO82" s="64"/>
      <c r="NP82" s="64"/>
      <c r="NQ82" s="64"/>
      <c r="NR82" s="64"/>
      <c r="NS82" s="64"/>
      <c r="NT82" s="64"/>
      <c r="NU82" s="64"/>
      <c r="NV82" s="64"/>
      <c r="NW82" s="64"/>
      <c r="NX82" s="64"/>
      <c r="NY82" s="64"/>
      <c r="NZ82" s="64"/>
      <c r="OA82" s="64"/>
      <c r="OB82" s="64"/>
      <c r="OC82" s="64"/>
      <c r="OD82" s="64"/>
      <c r="OE82" s="64"/>
      <c r="OF82" s="64"/>
      <c r="OG82" s="64"/>
      <c r="OH82" s="64"/>
      <c r="OI82" s="64"/>
      <c r="OJ82" s="64"/>
      <c r="OK82" s="64"/>
      <c r="OL82" s="64"/>
      <c r="OM82" s="64"/>
      <c r="ON82" s="64"/>
      <c r="OO82" s="64"/>
      <c r="OP82" s="64"/>
    </row>
    <row r="83" spans="1:406" x14ac:dyDescent="0.3">
      <c r="A83" s="144"/>
      <c r="B83" s="84"/>
      <c r="C83" s="83" t="s">
        <v>165</v>
      </c>
      <c r="D83" s="270">
        <f>SUM(H83:K83)</f>
        <v>0.19730242794405264</v>
      </c>
      <c r="E83" s="90">
        <f>SUM(G83:K83,N83:O83)</f>
        <v>0.19936738048168112</v>
      </c>
      <c r="F83" s="278">
        <f>SUM(Q83:S83)/(1-'Common input data'!B$127)</f>
        <v>0.20382197080010869</v>
      </c>
      <c r="G83" s="85">
        <f>'Input data dairy products'!$D$16*G14*'Common input data'!D$40</f>
        <v>2.0380927887005637E-3</v>
      </c>
      <c r="H83" s="85">
        <f>'Input data dairy products'!$D$16*H14*'Common input data'!D$40</f>
        <v>0</v>
      </c>
      <c r="I83" s="85">
        <f>'Input data dairy products'!$D$16*I14*'Common input data'!D$40</f>
        <v>1.2892304966002773E-2</v>
      </c>
      <c r="J83" s="85">
        <f>'Input data dairy products'!$D$16*J14*'Common input data'!D$40</f>
        <v>0</v>
      </c>
      <c r="K83" s="85">
        <f>'Input data dairy products'!$D$16*K14*'Common input data'!D$40</f>
        <v>0.18441012297804987</v>
      </c>
      <c r="L83" s="85">
        <f>'Input data dairy products'!$D$16*L14*'Common input data'!D$40</f>
        <v>0</v>
      </c>
      <c r="M83" s="85">
        <f>'Input data dairy products'!$D$16*M14*'Common input data'!D$40</f>
        <v>0</v>
      </c>
      <c r="N83" s="85">
        <f>'Input data dairy products'!$D$16*N14*'Common input data'!D$40</f>
        <v>0</v>
      </c>
      <c r="O83" s="85">
        <f>'Input data dairy products'!$D$16*O14*'Common input data'!D$40</f>
        <v>2.6859748927913726E-5</v>
      </c>
      <c r="P83" s="85">
        <v>0</v>
      </c>
      <c r="Q83" s="85">
        <f>SUM(G83:P83)</f>
        <v>0.19936738048168112</v>
      </c>
      <c r="R83" s="90">
        <v>0</v>
      </c>
      <c r="S83" s="90">
        <v>0</v>
      </c>
      <c r="T83" s="107"/>
    </row>
    <row r="84" spans="1:406" x14ac:dyDescent="0.3">
      <c r="A84" s="144"/>
      <c r="B84" s="85"/>
      <c r="C84" s="84" t="s">
        <v>166</v>
      </c>
      <c r="D84" s="780">
        <f>SUM(H84:K84)</f>
        <v>7.5754787017384747E-3</v>
      </c>
      <c r="E84" s="108">
        <f>SUM(G84:K84,N84:O84)</f>
        <v>9.5038681968866341E-3</v>
      </c>
      <c r="F84" s="521">
        <f>SUM(Q84:S84)/(1-'Common input data'!B$127)</f>
        <v>9.7162190797400756E-3</v>
      </c>
      <c r="G84" s="85">
        <f>'Input data dairy products'!$D$16*G15*'Common input data'!D$40</f>
        <v>1.92588556966477E-3</v>
      </c>
      <c r="H84" s="85">
        <f>'Input data dairy products'!$D$16*H15*'Common input data'!D$40</f>
        <v>4.8678624632064694E-3</v>
      </c>
      <c r="I84" s="85">
        <f>'Input data dairy products'!$D$16*I15*'Common input data'!D$40</f>
        <v>2.4959626273388089E-3</v>
      </c>
      <c r="J84" s="85">
        <f>'Input data dairy products'!$D$16*J15*'Common input data'!D$40</f>
        <v>2.1165361119319614E-4</v>
      </c>
      <c r="K84" s="85">
        <f>'Input data dairy products'!$D$16*K15*'Common input data'!D$40</f>
        <v>0</v>
      </c>
      <c r="L84" s="85">
        <f>'Input data dairy products'!$D$16*L15*'Common input data'!D$40</f>
        <v>0</v>
      </c>
      <c r="M84" s="85">
        <f>'Input data dairy products'!$D$16*M15*'Common input data'!D$40</f>
        <v>0</v>
      </c>
      <c r="N84" s="85">
        <f>'Input data dairy products'!$D$16*N15*'Common input data'!D$40</f>
        <v>0</v>
      </c>
      <c r="O84" s="85">
        <f>'Input data dairy products'!$D$16*O15*'Common input data'!D$40</f>
        <v>2.503925483391068E-6</v>
      </c>
      <c r="P84" s="85">
        <v>0</v>
      </c>
      <c r="Q84" s="85">
        <f>SUM(G84:P84)</f>
        <v>9.5038681968866341E-3</v>
      </c>
      <c r="R84" s="94">
        <v>0</v>
      </c>
      <c r="S84" s="90">
        <v>0</v>
      </c>
      <c r="T84" s="107"/>
    </row>
    <row r="85" spans="1:406" s="416" customFormat="1" x14ac:dyDescent="0.3">
      <c r="A85" s="426" t="s">
        <v>546</v>
      </c>
      <c r="B85" s="413"/>
      <c r="C85" s="414"/>
      <c r="D85" s="777" t="s">
        <v>797</v>
      </c>
      <c r="E85" s="778" t="s">
        <v>797</v>
      </c>
      <c r="F85" s="779" t="s">
        <v>797</v>
      </c>
      <c r="G85" s="413"/>
      <c r="N85" s="485"/>
      <c r="O85" s="485"/>
      <c r="P85" s="413"/>
      <c r="Q85" s="413"/>
      <c r="R85" s="484"/>
      <c r="S85" s="415"/>
      <c r="T85" s="107"/>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row>
    <row r="86" spans="1:406" s="102" customFormat="1" x14ac:dyDescent="0.3">
      <c r="A86" s="143" t="s">
        <v>260</v>
      </c>
      <c r="B86" s="110">
        <f>SUM(B90:B102)</f>
        <v>1</v>
      </c>
      <c r="C86" s="269" t="s">
        <v>473</v>
      </c>
      <c r="D86" s="769">
        <f>IF($E$1="GWP100 without fb",D87+D88*'Common input data'!$C$5+D89*'Common input data'!$D$5,IF($E$1="GWP100 with fb",D87+D88*'Common input data'!$C$6+D89*'Common input data'!$D$6,IF($E$1="GTP100 without fb",D87+D88*'Common input data'!$C$7+D89*'Common input data'!$D$7,IF($E$1="GTP100 with fb",D87+D88*'Common input data'!$C$8+D89*'Common input data'!$D$8,D87+D88*'Common input data'!$C$9+D89*'Common input data'!$D$9))))</f>
        <v>5.6760307107035484</v>
      </c>
      <c r="E86" s="326">
        <f>IF($E$1="GWP100 without fb",E87+E88*'Common input data'!$C$5+E89*'Common input data'!$D$5,IF($E$1="GWP100 with fb",E87+E88*'Common input data'!$C$6+E89*'Common input data'!$D$6,IF($E$1="GTP100 without fb",E87+E88*'Common input data'!$C$7+E89*'Common input data'!$D$7,IF($E$1="GTP100 with fb",E87+E88*'Common input data'!$C$8+E89*'Common input data'!$D$8,E87+E88*'Common input data'!$C$9+E89*'Common input data'!$D$9))))</f>
        <v>7.6325150291736392</v>
      </c>
      <c r="F86" s="770">
        <f>IF($E$1="GWP100 without fb",F87+F88*'Common input data'!$C$5+F89*'Common input data'!$D$5,IF($E$1="GWP100 with fb",F87+F88*'Common input data'!$C$6+F89*'Common input data'!$D$6,IF($E$1="GTP100 without fb",F87+F88*'Common input data'!$C$7+F89*'Common input data'!$D$7,IF($E$1="GTP100 with fb",F87+F88*'Common input data'!$C$8+F89*'Common input data'!$D$8,F87+F88*'Common input data'!$C$9+F89*'Common input data'!$D$9))))</f>
        <v>8.3632237941621899</v>
      </c>
      <c r="G86" s="280"/>
      <c r="N86" s="486"/>
      <c r="O86" s="486"/>
      <c r="P86" s="280"/>
      <c r="Q86" s="280"/>
      <c r="R86" s="269"/>
      <c r="S86" s="269"/>
      <c r="T86" s="107"/>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c r="IH86" s="64"/>
      <c r="II86" s="64"/>
      <c r="IJ86" s="64"/>
      <c r="IK86" s="64"/>
      <c r="IL86" s="64"/>
      <c r="IM86" s="64"/>
      <c r="IN86" s="64"/>
      <c r="IO86" s="64"/>
      <c r="IP86" s="64"/>
      <c r="IQ86" s="64"/>
      <c r="IR86" s="64"/>
      <c r="IS86" s="64"/>
      <c r="IT86" s="64"/>
      <c r="IU86" s="64"/>
      <c r="IV86" s="64"/>
      <c r="IW86" s="64"/>
      <c r="IX86" s="64"/>
      <c r="IY86" s="64"/>
      <c r="IZ86" s="64"/>
      <c r="JA86" s="64"/>
      <c r="JB86" s="64"/>
      <c r="JC86" s="64"/>
      <c r="JD86" s="64"/>
      <c r="JE86" s="64"/>
      <c r="JF86" s="64"/>
      <c r="JG86" s="64"/>
      <c r="JH86" s="64"/>
      <c r="JI86" s="64"/>
      <c r="JJ86" s="64"/>
      <c r="JK86" s="64"/>
      <c r="JL86" s="64"/>
      <c r="JM86" s="64"/>
      <c r="JN86" s="64"/>
      <c r="JO86" s="64"/>
      <c r="JP86" s="64"/>
      <c r="JQ86" s="64"/>
      <c r="JR86" s="64"/>
      <c r="JS86" s="64"/>
      <c r="JT86" s="64"/>
      <c r="JU86" s="64"/>
      <c r="JV86" s="64"/>
      <c r="JW86" s="64"/>
      <c r="JX86" s="64"/>
      <c r="JY86" s="64"/>
      <c r="JZ86" s="64"/>
      <c r="KA86" s="64"/>
      <c r="KB86" s="64"/>
      <c r="KC86" s="64"/>
      <c r="KD86" s="64"/>
      <c r="KE86" s="64"/>
      <c r="KF86" s="64"/>
      <c r="KG86" s="64"/>
      <c r="KH86" s="64"/>
    </row>
    <row r="87" spans="1:406" s="102" customFormat="1" x14ac:dyDescent="0.3">
      <c r="A87" s="107"/>
      <c r="B87" s="64"/>
      <c r="C87" s="83" t="s">
        <v>164</v>
      </c>
      <c r="D87" s="270">
        <f t="shared" ref="D87:S89" si="7">$B$90*D91+$B$94*D95+$B$98*D99+$B$102*D103</f>
        <v>-0.15172317138675781</v>
      </c>
      <c r="E87" s="90">
        <f t="shared" si="7"/>
        <v>1.3860831444895969</v>
      </c>
      <c r="F87" s="278">
        <f t="shared" si="7"/>
        <v>1.9772239674657506</v>
      </c>
      <c r="G87" s="90">
        <f>$B$90*G91+$B$94*G95+$B$98*G99+$B$102*G103</f>
        <v>1.237379935138504</v>
      </c>
      <c r="H87" s="90">
        <f t="shared" si="7"/>
        <v>0</v>
      </c>
      <c r="I87" s="90">
        <f t="shared" si="7"/>
        <v>0</v>
      </c>
      <c r="J87" s="90">
        <f t="shared" si="7"/>
        <v>0</v>
      </c>
      <c r="K87" s="90">
        <f t="shared" si="7"/>
        <v>0</v>
      </c>
      <c r="L87" s="90">
        <f t="shared" si="7"/>
        <v>-0.26870411545256384</v>
      </c>
      <c r="M87" s="90">
        <f t="shared" si="7"/>
        <v>0.11698094406580603</v>
      </c>
      <c r="N87" s="90">
        <f t="shared" si="7"/>
        <v>0.26506696979439726</v>
      </c>
      <c r="O87" s="90">
        <f t="shared" si="7"/>
        <v>3.5359410943453615E-2</v>
      </c>
      <c r="P87" s="90">
        <f t="shared" si="7"/>
        <v>0.40532799999999991</v>
      </c>
      <c r="Q87" s="90">
        <f t="shared" si="7"/>
        <v>1.7914111444895968</v>
      </c>
      <c r="R87" s="90">
        <f t="shared" si="7"/>
        <v>4.9999999999999996E-2</v>
      </c>
      <c r="S87" s="90">
        <f t="shared" si="7"/>
        <v>9.2599999999999988E-2</v>
      </c>
      <c r="T87" s="107"/>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c r="IO87" s="64"/>
      <c r="IP87" s="64"/>
      <c r="IQ87" s="64"/>
      <c r="IR87" s="64"/>
      <c r="IS87" s="64"/>
      <c r="IT87" s="64"/>
      <c r="IU87" s="64"/>
      <c r="IV87" s="64"/>
      <c r="IW87" s="64"/>
      <c r="IX87" s="64"/>
      <c r="IY87" s="64"/>
      <c r="IZ87" s="64"/>
      <c r="JA87" s="64"/>
      <c r="JB87" s="64"/>
      <c r="JC87" s="64"/>
      <c r="JD87" s="64"/>
      <c r="JE87" s="64"/>
      <c r="JF87" s="64"/>
      <c r="JG87" s="64"/>
      <c r="JH87" s="64"/>
      <c r="JI87" s="64"/>
      <c r="JJ87" s="64"/>
      <c r="JK87" s="64"/>
      <c r="JL87" s="64"/>
      <c r="JM87" s="64"/>
      <c r="JN87" s="64"/>
      <c r="JO87" s="64"/>
      <c r="JP87" s="64"/>
      <c r="JQ87" s="64"/>
      <c r="JR87" s="64"/>
      <c r="JS87" s="64"/>
      <c r="JT87" s="64"/>
      <c r="JU87" s="64"/>
      <c r="JV87" s="64"/>
      <c r="JW87" s="64"/>
      <c r="JX87" s="64"/>
      <c r="JY87" s="64"/>
      <c r="JZ87" s="64"/>
      <c r="KA87" s="64"/>
      <c r="KB87" s="64"/>
      <c r="KC87" s="64"/>
      <c r="KD87" s="64"/>
      <c r="KE87" s="64"/>
      <c r="KF87" s="64"/>
      <c r="KG87" s="64"/>
      <c r="KH87" s="64"/>
      <c r="KI87" s="64"/>
      <c r="KJ87" s="64"/>
      <c r="KK87" s="64"/>
      <c r="KL87" s="64"/>
      <c r="KM87" s="64"/>
      <c r="KN87" s="64"/>
      <c r="KO87" s="64"/>
      <c r="KP87" s="64"/>
      <c r="KQ87" s="64"/>
      <c r="KR87" s="64"/>
      <c r="KS87" s="64"/>
      <c r="KT87" s="64"/>
      <c r="KU87" s="64"/>
      <c r="KV87" s="64"/>
      <c r="KW87" s="64"/>
      <c r="KX87" s="64"/>
      <c r="KY87" s="64"/>
      <c r="KZ87" s="64"/>
      <c r="LA87" s="64"/>
      <c r="LB87" s="64"/>
      <c r="LC87" s="64"/>
      <c r="LD87" s="64"/>
      <c r="LE87" s="64"/>
      <c r="LF87" s="64"/>
      <c r="LG87" s="64"/>
      <c r="LH87" s="64"/>
      <c r="LI87" s="64"/>
      <c r="LJ87" s="64"/>
      <c r="LK87" s="64"/>
      <c r="LL87" s="64"/>
      <c r="LM87" s="64"/>
      <c r="LN87" s="64"/>
      <c r="LO87" s="64"/>
      <c r="LP87" s="64"/>
      <c r="LQ87" s="64"/>
      <c r="LR87" s="64"/>
      <c r="LS87" s="64"/>
      <c r="LT87" s="64"/>
      <c r="LU87" s="64"/>
      <c r="LV87" s="64"/>
      <c r="LW87" s="64"/>
      <c r="LX87" s="64"/>
      <c r="LY87" s="64"/>
      <c r="LZ87" s="64"/>
      <c r="MA87" s="64"/>
      <c r="MB87" s="64"/>
      <c r="MC87" s="64"/>
      <c r="MD87" s="64"/>
      <c r="ME87" s="64"/>
      <c r="MF87" s="64"/>
      <c r="MG87" s="64"/>
      <c r="MH87" s="64"/>
      <c r="MI87" s="64"/>
      <c r="MJ87" s="64"/>
      <c r="MK87" s="64"/>
      <c r="ML87" s="64"/>
      <c r="MM87" s="64"/>
      <c r="MN87" s="64"/>
      <c r="MO87" s="64"/>
      <c r="MP87" s="64"/>
      <c r="MQ87" s="64"/>
      <c r="MR87" s="64"/>
      <c r="MS87" s="64"/>
      <c r="MT87" s="64"/>
      <c r="MU87" s="64"/>
      <c r="MV87" s="64"/>
      <c r="MW87" s="64"/>
      <c r="MX87" s="64"/>
      <c r="MY87" s="64"/>
      <c r="MZ87" s="64"/>
      <c r="NA87" s="64"/>
      <c r="NB87" s="64"/>
      <c r="NC87" s="64"/>
      <c r="ND87" s="64"/>
      <c r="NE87" s="64"/>
      <c r="NF87" s="64"/>
      <c r="NG87" s="64"/>
      <c r="NH87" s="64"/>
      <c r="NI87" s="64"/>
      <c r="NJ87" s="64"/>
      <c r="NK87" s="64"/>
      <c r="NL87" s="64"/>
      <c r="NM87" s="64"/>
      <c r="NN87" s="64"/>
      <c r="NO87" s="64"/>
      <c r="NP87" s="64"/>
      <c r="NQ87" s="64"/>
      <c r="NR87" s="64"/>
      <c r="NS87" s="64"/>
      <c r="NT87" s="64"/>
      <c r="NU87" s="64"/>
      <c r="NV87" s="64"/>
      <c r="NW87" s="64"/>
      <c r="NX87" s="64"/>
      <c r="NY87" s="64"/>
      <c r="NZ87" s="64"/>
      <c r="OA87" s="64"/>
      <c r="OB87" s="64"/>
      <c r="OC87" s="64"/>
      <c r="OD87" s="64"/>
      <c r="OE87" s="64"/>
      <c r="OF87" s="64"/>
      <c r="OG87" s="64"/>
      <c r="OH87" s="64"/>
      <c r="OI87" s="64"/>
      <c r="OJ87" s="64"/>
      <c r="OK87" s="64"/>
      <c r="OL87" s="64"/>
      <c r="OM87" s="64"/>
      <c r="ON87" s="64"/>
      <c r="OO87" s="64"/>
      <c r="OP87" s="64"/>
    </row>
    <row r="88" spans="1:406" x14ac:dyDescent="0.3">
      <c r="A88" s="141"/>
      <c r="B88" s="142"/>
      <c r="C88" s="83" t="s">
        <v>165</v>
      </c>
      <c r="D88" s="270">
        <f t="shared" si="7"/>
        <v>0.12824657816363422</v>
      </c>
      <c r="E88" s="90">
        <f t="shared" si="7"/>
        <v>0.12958092272668703</v>
      </c>
      <c r="F88" s="278">
        <f t="shared" si="7"/>
        <v>0.13247623048684617</v>
      </c>
      <c r="G88" s="90">
        <f t="shared" si="7"/>
        <v>1.3247603126553664E-3</v>
      </c>
      <c r="H88" s="90">
        <f t="shared" si="7"/>
        <v>0</v>
      </c>
      <c r="I88" s="90">
        <f t="shared" si="7"/>
        <v>8.3799982279018012E-3</v>
      </c>
      <c r="J88" s="90">
        <f t="shared" si="7"/>
        <v>0</v>
      </c>
      <c r="K88" s="90">
        <f t="shared" si="7"/>
        <v>0.11986657993573241</v>
      </c>
      <c r="L88" s="90">
        <f t="shared" si="7"/>
        <v>0</v>
      </c>
      <c r="M88" s="90">
        <f t="shared" si="7"/>
        <v>0</v>
      </c>
      <c r="N88" s="90">
        <f t="shared" si="7"/>
        <v>0</v>
      </c>
      <c r="O88" s="90">
        <f t="shared" si="7"/>
        <v>9.5842503974519948E-6</v>
      </c>
      <c r="P88" s="90">
        <f t="shared" si="7"/>
        <v>0</v>
      </c>
      <c r="Q88" s="90">
        <f t="shared" si="7"/>
        <v>0.12958092272668703</v>
      </c>
      <c r="R88" s="90">
        <f t="shared" si="7"/>
        <v>0</v>
      </c>
      <c r="S88" s="90">
        <f t="shared" si="7"/>
        <v>0</v>
      </c>
      <c r="T88" s="107"/>
    </row>
    <row r="89" spans="1:406" x14ac:dyDescent="0.3">
      <c r="A89" s="141"/>
      <c r="B89" s="85"/>
      <c r="C89" s="84" t="s">
        <v>166</v>
      </c>
      <c r="D89" s="270">
        <f t="shared" si="7"/>
        <v>4.9240611561300078E-3</v>
      </c>
      <c r="E89" s="90">
        <f t="shared" si="7"/>
        <v>6.1767802415324952E-3</v>
      </c>
      <c r="F89" s="278">
        <f t="shared" si="7"/>
        <v>6.3147919132337917E-3</v>
      </c>
      <c r="G89" s="90">
        <f t="shared" si="7"/>
        <v>1.2518256202821007E-3</v>
      </c>
      <c r="H89" s="90">
        <f t="shared" si="7"/>
        <v>3.1641106010842053E-3</v>
      </c>
      <c r="I89" s="90">
        <f t="shared" si="7"/>
        <v>1.6223757077702256E-3</v>
      </c>
      <c r="J89" s="90">
        <f t="shared" si="7"/>
        <v>1.3757484727557748E-4</v>
      </c>
      <c r="K89" s="90">
        <f t="shared" si="7"/>
        <v>0</v>
      </c>
      <c r="L89" s="90">
        <f t="shared" si="7"/>
        <v>0</v>
      </c>
      <c r="M89" s="90">
        <f t="shared" si="7"/>
        <v>0</v>
      </c>
      <c r="N89" s="90">
        <f t="shared" si="7"/>
        <v>0</v>
      </c>
      <c r="O89" s="90">
        <f t="shared" si="7"/>
        <v>8.9346512038469145E-7</v>
      </c>
      <c r="P89" s="90">
        <f t="shared" si="7"/>
        <v>0</v>
      </c>
      <c r="Q89" s="90">
        <f t="shared" si="7"/>
        <v>6.1767802415324952E-3</v>
      </c>
      <c r="R89" s="90">
        <f t="shared" si="7"/>
        <v>0</v>
      </c>
      <c r="S89" s="90">
        <f t="shared" si="7"/>
        <v>0</v>
      </c>
      <c r="T89" s="107"/>
    </row>
    <row r="90" spans="1:406" s="102" customFormat="1" x14ac:dyDescent="0.3">
      <c r="A90" s="284" t="s">
        <v>1</v>
      </c>
      <c r="B90" s="110">
        <f>'Input data dairy products'!C17</f>
        <v>0.51200000000000012</v>
      </c>
      <c r="C90" s="269" t="s">
        <v>473</v>
      </c>
      <c r="D90" s="320">
        <f>IF($E$1="GWP100 without fb",D91+D92*'Common input data'!$C$5+D93*'Common input data'!$D$5,IF($E$1="GWP100 with fb",D91+D92*'Common input data'!$C$6+D93*'Common input data'!$D$6,IF($E$1="GTP100 without fb",D91+D92*'Common input data'!$C$7+D93*'Common input data'!$D$7,IF($E$1="GTP100 with fb",D91+D92*'Common input data'!$C$8+D93*'Common input data'!$D$8,D91+D92*'Common input data'!$C$9+D93*'Common input data'!$D$9))))</f>
        <v>5.6760307107035484</v>
      </c>
      <c r="E90" s="302">
        <f>IF($E$1="GWP100 without fb",E91+E92*'Common input data'!$C$5+E93*'Common input data'!$D$5,IF($E$1="GWP100 with fb",E91+E92*'Common input data'!$C$6+E93*'Common input data'!$D$6,IF($E$1="GTP100 without fb",E91+E92*'Common input data'!$C$7+E93*'Common input data'!$D$7,IF($E$1="GTP100 with fb",E91+E92*'Common input data'!$C$8+E93*'Common input data'!$D$8,E91+E92*'Common input data'!$C$9+E93*'Common input data'!$D$9))))</f>
        <v>7.5117983288028904</v>
      </c>
      <c r="F90" s="321">
        <f>IF($E$1="GWP100 without fb",F91+F92*'Common input data'!$C$5+F93*'Common input data'!$D$5,IF($E$1="GWP100 with fb",F91+F92*'Common input data'!$C$6+F93*'Common input data'!$D$6,IF($E$1="GTP100 without fb",F91+F92*'Common input data'!$C$7+F93*'Common input data'!$D$7,IF($E$1="GTP100 with fb",F91+F92*'Common input data'!$C$8+F93*'Common input data'!$D$8,F91+F92*'Common input data'!$C$9+F93*'Common input data'!$D$9))))</f>
        <v>8.0497275390879182</v>
      </c>
      <c r="G90" s="104"/>
      <c r="P90" s="104"/>
      <c r="Q90" s="104"/>
      <c r="R90" s="106"/>
      <c r="S90" s="106"/>
      <c r="T90" s="107"/>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c r="IH90" s="64"/>
      <c r="II90" s="64"/>
      <c r="IJ90" s="64"/>
      <c r="IK90" s="64"/>
      <c r="IL90" s="64"/>
      <c r="IM90" s="64"/>
      <c r="IN90" s="64"/>
      <c r="IO90" s="64"/>
      <c r="IP90" s="64"/>
      <c r="IQ90" s="64"/>
      <c r="IR90" s="64"/>
      <c r="IS90" s="64"/>
      <c r="IT90" s="64"/>
      <c r="IU90" s="64"/>
      <c r="IV90" s="64"/>
      <c r="IW90" s="64"/>
      <c r="IX90" s="64"/>
      <c r="IY90" s="64"/>
      <c r="IZ90" s="64"/>
      <c r="JA90" s="64"/>
      <c r="JB90" s="64"/>
      <c r="JC90" s="64"/>
      <c r="JD90" s="64"/>
      <c r="JE90" s="64"/>
      <c r="JF90" s="64"/>
      <c r="JG90" s="64"/>
      <c r="JH90" s="64"/>
      <c r="JI90" s="64"/>
      <c r="JJ90" s="64"/>
      <c r="JK90" s="64"/>
      <c r="JL90" s="64"/>
      <c r="JM90" s="64"/>
      <c r="JN90" s="64"/>
      <c r="JO90" s="64"/>
      <c r="JP90" s="64"/>
      <c r="JQ90" s="64"/>
      <c r="JR90" s="64"/>
      <c r="JS90" s="64"/>
      <c r="JT90" s="64"/>
      <c r="JU90" s="64"/>
      <c r="JV90" s="64"/>
      <c r="JW90" s="64"/>
      <c r="JX90" s="64"/>
      <c r="JY90" s="64"/>
      <c r="JZ90" s="64"/>
      <c r="KA90" s="64"/>
      <c r="KB90" s="64"/>
      <c r="KC90" s="64"/>
      <c r="KD90" s="64"/>
      <c r="KE90" s="64"/>
      <c r="KF90" s="64"/>
      <c r="KG90" s="64"/>
      <c r="KH90" s="64"/>
    </row>
    <row r="91" spans="1:406" s="102" customFormat="1" x14ac:dyDescent="0.3">
      <c r="A91" s="107"/>
      <c r="B91" s="64"/>
      <c r="C91" s="83" t="s">
        <v>164</v>
      </c>
      <c r="D91" s="270">
        <f>IF(AND($E$2="No",$E$3="No"),SUM(H91:K91),IF(AND($E$2="Yes", $E$3="No"), SUM(H91:K91)+M91, IF(AND($E$2="No", $E$3="Yes"),SUM(H91:K91)+L91, SUM(H91:K91)+M91+L91)))</f>
        <v>-0.15172317138675781</v>
      </c>
      <c r="E91" s="90">
        <f>IF(AND($E$2="No",$E$3="No"),SUM(G91:K91,N91:O91),IF(AND($E$2="Yes",$E$3="No"), SUM(G91:K91,N91:O91)+M91, IF(AND($E$2="No", $E$3="Yes"),SUM(G91:K91,N91:O91)+L91, SUM(G91:K91,N91:O91)+M91+L91)))</f>
        <v>1.2656038993762309</v>
      </c>
      <c r="F91" s="278">
        <f>SUM(Q91:S91)/(1-'Common input data'!B$127)</f>
        <v>1.6639704732604803</v>
      </c>
      <c r="G91" s="85">
        <f>'Input data dairy products'!$D$17*G9*'Common input data'!D$40</f>
        <v>1.237379935138504</v>
      </c>
      <c r="H91" s="85">
        <f>'Input data dairy products'!$D$17*H9*'Common input data'!D$40</f>
        <v>0</v>
      </c>
      <c r="I91" s="85">
        <f>'Input data dairy products'!$D$17*I9*'Common input data'!D$40</f>
        <v>0</v>
      </c>
      <c r="J91" s="85">
        <f>'Input data dairy products'!$D$17*J9*'Common input data'!D$40</f>
        <v>0</v>
      </c>
      <c r="K91" s="85">
        <f>'Input data dairy products'!$D$17*K9*'Common input data'!D$40</f>
        <v>0</v>
      </c>
      <c r="L91" s="85">
        <f>'Input data dairy products'!$D$17*L9*'Common input data'!D$40</f>
        <v>-0.26870411545256384</v>
      </c>
      <c r="M91" s="85">
        <f>'Input data dairy products'!$D$17*M9*'Common input data'!D$40</f>
        <v>0.11698094406580603</v>
      </c>
      <c r="N91" s="85">
        <f>'Input data dairy products'!$D$17*N9*'Common input data'!D$40</f>
        <v>0.15876782140774925</v>
      </c>
      <c r="O91" s="85">
        <f>'Input data dairy products'!$D$17*O9*'Common input data'!D$40</f>
        <v>2.1179314216735422E-2</v>
      </c>
      <c r="P91" s="85">
        <f>'Input data dairy products'!G$29*'Common input data'!D$40</f>
        <v>0.28199999999999997</v>
      </c>
      <c r="Q91" s="349">
        <f>IF(AND($E$2="No",$E$3="No"),SUM(G91:K91,N91:P91),IF(AND($E$2="Yes",$E$3="No"), SUM(G91:K91,N91:P91)+M91, IF(AND($E$2="No", $E$3="Yes"),SUM(G91:K91,N91:P91)+L91, SUM(G91:K91,N91:P91)+M91+L91)))</f>
        <v>1.5476038993762309</v>
      </c>
      <c r="R91" s="90">
        <f>'Common input data'!B$91</f>
        <v>0.05</v>
      </c>
      <c r="S91" s="90">
        <f>'Common input data'!C$98</f>
        <v>0.03</v>
      </c>
      <c r="T91" s="107"/>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c r="IH91" s="64"/>
      <c r="II91" s="64"/>
      <c r="IJ91" s="64"/>
      <c r="IK91" s="64"/>
      <c r="IL91" s="64"/>
      <c r="IM91" s="64"/>
      <c r="IN91" s="64"/>
      <c r="IO91" s="64"/>
      <c r="IP91" s="64"/>
      <c r="IQ91" s="64"/>
      <c r="IR91" s="64"/>
      <c r="IS91" s="64"/>
      <c r="IT91" s="64"/>
      <c r="IU91" s="64"/>
      <c r="IV91" s="64"/>
      <c r="IW91" s="64"/>
      <c r="IX91" s="64"/>
      <c r="IY91" s="64"/>
      <c r="IZ91" s="64"/>
      <c r="JA91" s="64"/>
      <c r="JB91" s="64"/>
      <c r="JC91" s="64"/>
      <c r="JD91" s="64"/>
      <c r="JE91" s="64"/>
      <c r="JF91" s="64"/>
      <c r="JG91" s="64"/>
      <c r="JH91" s="64"/>
      <c r="JI91" s="64"/>
      <c r="JJ91" s="64"/>
      <c r="JK91" s="64"/>
      <c r="JL91" s="64"/>
      <c r="JM91" s="64"/>
      <c r="JN91" s="64"/>
      <c r="JO91" s="64"/>
      <c r="JP91" s="64"/>
      <c r="JQ91" s="64"/>
      <c r="JR91" s="64"/>
      <c r="JS91" s="64"/>
      <c r="JT91" s="64"/>
      <c r="JU91" s="64"/>
      <c r="JV91" s="64"/>
      <c r="JW91" s="64"/>
      <c r="JX91" s="64"/>
      <c r="JY91" s="64"/>
      <c r="JZ91" s="64"/>
      <c r="KA91" s="64"/>
      <c r="KB91" s="64"/>
      <c r="KC91" s="64"/>
      <c r="KD91" s="64"/>
      <c r="KE91" s="64"/>
      <c r="KF91" s="64"/>
      <c r="KG91" s="64"/>
      <c r="KH91" s="64"/>
      <c r="KI91" s="64"/>
      <c r="KJ91" s="64"/>
      <c r="KK91" s="64"/>
      <c r="KL91" s="64"/>
      <c r="KM91" s="64"/>
      <c r="KN91" s="64"/>
      <c r="KO91" s="64"/>
      <c r="KP91" s="64"/>
      <c r="KQ91" s="64"/>
      <c r="KR91" s="64"/>
      <c r="KS91" s="64"/>
      <c r="KT91" s="64"/>
      <c r="KU91" s="64"/>
      <c r="KV91" s="64"/>
      <c r="KW91" s="64"/>
      <c r="KX91" s="64"/>
      <c r="KY91" s="64"/>
      <c r="KZ91" s="64"/>
      <c r="LA91" s="64"/>
      <c r="LB91" s="64"/>
      <c r="LC91" s="64"/>
      <c r="LD91" s="64"/>
      <c r="LE91" s="64"/>
      <c r="LF91" s="64"/>
      <c r="LG91" s="64"/>
      <c r="LH91" s="64"/>
      <c r="LI91" s="64"/>
      <c r="LJ91" s="64"/>
      <c r="LK91" s="64"/>
      <c r="LL91" s="64"/>
      <c r="LM91" s="64"/>
      <c r="LN91" s="64"/>
      <c r="LO91" s="64"/>
      <c r="LP91" s="64"/>
      <c r="LQ91" s="64"/>
      <c r="LR91" s="64"/>
      <c r="LS91" s="64"/>
      <c r="LT91" s="64"/>
      <c r="LU91" s="64"/>
      <c r="LV91" s="64"/>
      <c r="LW91" s="64"/>
      <c r="LX91" s="64"/>
      <c r="LY91" s="64"/>
      <c r="LZ91" s="64"/>
      <c r="MA91" s="64"/>
      <c r="MB91" s="64"/>
      <c r="MC91" s="64"/>
      <c r="MD91" s="64"/>
      <c r="ME91" s="64"/>
      <c r="MF91" s="64"/>
      <c r="MG91" s="64"/>
      <c r="MH91" s="64"/>
      <c r="MI91" s="64"/>
      <c r="MJ91" s="64"/>
      <c r="MK91" s="64"/>
      <c r="ML91" s="64"/>
      <c r="MM91" s="64"/>
      <c r="MN91" s="64"/>
      <c r="MO91" s="64"/>
      <c r="MP91" s="64"/>
      <c r="MQ91" s="64"/>
      <c r="MR91" s="64"/>
      <c r="MS91" s="64"/>
      <c r="MT91" s="64"/>
      <c r="MU91" s="64"/>
      <c r="MV91" s="64"/>
      <c r="MW91" s="64"/>
      <c r="MX91" s="64"/>
      <c r="MY91" s="64"/>
      <c r="MZ91" s="64"/>
      <c r="NA91" s="64"/>
      <c r="NB91" s="64"/>
      <c r="NC91" s="64"/>
      <c r="ND91" s="64"/>
      <c r="NE91" s="64"/>
      <c r="NF91" s="64"/>
      <c r="NG91" s="64"/>
      <c r="NH91" s="64"/>
      <c r="NI91" s="64"/>
      <c r="NJ91" s="64"/>
      <c r="NK91" s="64"/>
      <c r="NL91" s="64"/>
      <c r="NM91" s="64"/>
      <c r="NN91" s="64"/>
      <c r="NO91" s="64"/>
      <c r="NP91" s="64"/>
      <c r="NQ91" s="64"/>
      <c r="NR91" s="64"/>
      <c r="NS91" s="64"/>
      <c r="NT91" s="64"/>
      <c r="NU91" s="64"/>
      <c r="NV91" s="64"/>
      <c r="NW91" s="64"/>
      <c r="NX91" s="64"/>
      <c r="NY91" s="64"/>
      <c r="NZ91" s="64"/>
      <c r="OA91" s="64"/>
      <c r="OB91" s="64"/>
      <c r="OC91" s="64"/>
      <c r="OD91" s="64"/>
      <c r="OE91" s="64"/>
      <c r="OF91" s="64"/>
      <c r="OG91" s="64"/>
      <c r="OH91" s="64"/>
      <c r="OI91" s="64"/>
      <c r="OJ91" s="64"/>
      <c r="OK91" s="64"/>
      <c r="OL91" s="64"/>
      <c r="OM91" s="64"/>
      <c r="ON91" s="64"/>
      <c r="OO91" s="64"/>
      <c r="OP91" s="64"/>
    </row>
    <row r="92" spans="1:406" x14ac:dyDescent="0.3">
      <c r="A92" s="144"/>
      <c r="B92" s="142"/>
      <c r="C92" s="83" t="s">
        <v>165</v>
      </c>
      <c r="D92" s="270">
        <f>SUM(H92:K92)</f>
        <v>0.12824657816363422</v>
      </c>
      <c r="E92" s="90">
        <f>SUM(G92:K92,N92:O92)</f>
        <v>0.12957707917856043</v>
      </c>
      <c r="F92" s="278">
        <f>SUM(Q92:S92)/(1-'Common input data'!B$127)</f>
        <v>0.13247230105991517</v>
      </c>
      <c r="G92" s="85">
        <f>'Input data dairy products'!$D$17*G10*'Common input data'!D$40</f>
        <v>1.3247603126553666E-3</v>
      </c>
      <c r="H92" s="85">
        <f>'Input data dairy products'!$D$17*H10*'Common input data'!D$40</f>
        <v>0</v>
      </c>
      <c r="I92" s="85">
        <f>'Input data dairy products'!$D$17*I10*'Common input data'!D$40</f>
        <v>8.3799982279018012E-3</v>
      </c>
      <c r="J92" s="85">
        <f>'Input data dairy products'!$D$17*J10*'Common input data'!D$40</f>
        <v>0</v>
      </c>
      <c r="K92" s="85">
        <f>'Input data dairy products'!$D$17*K10*'Common input data'!D$40</f>
        <v>0.11986657993573241</v>
      </c>
      <c r="L92" s="85">
        <f>'Input data dairy products'!$D$17*L10*'Common input data'!D$40</f>
        <v>0</v>
      </c>
      <c r="M92" s="85">
        <f>'Input data dairy products'!$D$17*M10*'Common input data'!D$40</f>
        <v>0</v>
      </c>
      <c r="N92" s="85">
        <f>'Input data dairy products'!$D$17*N10*'Common input data'!D$40</f>
        <v>0</v>
      </c>
      <c r="O92" s="85">
        <f>'Input data dairy products'!$D$17*O10*'Common input data'!D$40</f>
        <v>5.7407022708642725E-6</v>
      </c>
      <c r="P92" s="85">
        <v>0</v>
      </c>
      <c r="Q92" s="85">
        <f>SUM(G92:P92)</f>
        <v>0.12957707917856043</v>
      </c>
      <c r="R92" s="90">
        <v>0</v>
      </c>
      <c r="S92" s="90">
        <v>0</v>
      </c>
      <c r="T92" s="107"/>
    </row>
    <row r="93" spans="1:406" x14ac:dyDescent="0.3">
      <c r="A93" s="174"/>
      <c r="B93" s="85"/>
      <c r="C93" s="84" t="s">
        <v>166</v>
      </c>
      <c r="D93" s="270">
        <f>SUM(H93:K93)</f>
        <v>4.9240611561300078E-3</v>
      </c>
      <c r="E93" s="90">
        <f>SUM(G93:K93,N93:O93)</f>
        <v>6.1764219374349158E-3</v>
      </c>
      <c r="F93" s="278">
        <f>SUM(Q93:S93)/(1-'Common input data'!B$127)</f>
        <v>6.314425603323225E-3</v>
      </c>
      <c r="G93" s="85">
        <f>'Input data dairy products'!$D$17*G11*'Common input data'!D$40</f>
        <v>1.2518256202821007E-3</v>
      </c>
      <c r="H93" s="85">
        <f>'Input data dairy products'!$D$17*H11*'Common input data'!D$40</f>
        <v>3.1641106010842049E-3</v>
      </c>
      <c r="I93" s="85">
        <f>'Input data dairy products'!$D$17*I11*'Common input data'!D$40</f>
        <v>1.6223757077702256E-3</v>
      </c>
      <c r="J93" s="85">
        <f>'Input data dairy products'!$D$17*J11*'Common input data'!D$40</f>
        <v>1.3757484727557748E-4</v>
      </c>
      <c r="K93" s="85">
        <f>'Input data dairy products'!$D$17*K11*'Common input data'!D$40</f>
        <v>0</v>
      </c>
      <c r="L93" s="85">
        <f>'Input data dairy products'!$D$17*L11*'Common input data'!D$40</f>
        <v>0</v>
      </c>
      <c r="M93" s="85">
        <f>'Input data dairy products'!$D$17*M11*'Common input data'!D$40</f>
        <v>0</v>
      </c>
      <c r="N93" s="85">
        <f>'Input data dairy products'!$D$17*N11*'Common input data'!D$40</f>
        <v>0</v>
      </c>
      <c r="O93" s="85">
        <f>'Input data dairy products'!$D$17*O11*'Common input data'!D$40</f>
        <v>5.3516102280612489E-7</v>
      </c>
      <c r="P93" s="85">
        <v>0</v>
      </c>
      <c r="Q93" s="85">
        <f>SUM(G93:P93)</f>
        <v>6.1764219374349158E-3</v>
      </c>
      <c r="R93" s="90">
        <v>0</v>
      </c>
      <c r="S93" s="90">
        <v>0</v>
      </c>
      <c r="T93" s="107"/>
    </row>
    <row r="94" spans="1:406" s="102" customFormat="1" x14ac:dyDescent="0.3">
      <c r="A94" s="284" t="s">
        <v>69</v>
      </c>
      <c r="B94" s="110">
        <f>'Input data dairy products'!C18</f>
        <v>0.16</v>
      </c>
      <c r="C94" s="269" t="s">
        <v>473</v>
      </c>
      <c r="D94" s="320">
        <f>IF($E$1="GWP100 without fb",D95+D96*'Common input data'!$C$5+D97*'Common input data'!$D$5,IF($E$1="GWP100 with fb",D95+D96*'Common input data'!$C$6+D97*'Common input data'!$D$6,IF($E$1="GTP100 without fb",D95+D96*'Common input data'!$C$7+D97*'Common input data'!$D$7,IF($E$1="GTP100 with fb",D95+D96*'Common input data'!$C$8+D97*'Common input data'!$D$8,D95+D96*'Common input data'!$C$9+D97*'Common input data'!$D$9))))</f>
        <v>5.6760307107035484</v>
      </c>
      <c r="E94" s="302">
        <f>IF($E$1="GWP100 without fb",E95+E96*'Common input data'!$C$5+E97*'Common input data'!$D$5,IF($E$1="GWP100 with fb",E95+E96*'Common input data'!$C$6+E97*'Common input data'!$D$6,IF($E$1="GTP100 without fb",E95+E96*'Common input data'!$C$7+E97*'Common input data'!$D$7,IF($E$1="GTP100 with fb",E95+E96*'Common input data'!$C$8+E97*'Common input data'!$D$8,E95+E96*'Common input data'!$C$9+E97*'Common input data'!$D$9))))</f>
        <v>7.5117983288028904</v>
      </c>
      <c r="F94" s="321">
        <f>IF($E$1="GWP100 without fb",F95+F96*'Common input data'!$C$5+F97*'Common input data'!$D$5,IF($E$1="GWP100 with fb",F95+F96*'Common input data'!$C$6+F97*'Common input data'!$D$6,IF($E$1="GTP100 without fb",F95+F96*'Common input data'!$C$7+F97*'Common input data'!$D$7,IF($E$1="GTP100 with fb",F95+F96*'Common input data'!$C$8+F97*'Common input data'!$D$8,F95+F96*'Common input data'!$C$9+F97*'Common input data'!$D$9))))</f>
        <v>8.100844720421108</v>
      </c>
      <c r="G94" s="104"/>
      <c r="P94" s="104"/>
      <c r="Q94" s="104"/>
      <c r="R94" s="106"/>
      <c r="S94" s="106"/>
      <c r="T94" s="107"/>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c r="IH94" s="64"/>
      <c r="II94" s="64"/>
      <c r="IJ94" s="64"/>
      <c r="IK94" s="64"/>
      <c r="IL94" s="64"/>
      <c r="IM94" s="64"/>
      <c r="IN94" s="64"/>
      <c r="IO94" s="64"/>
      <c r="IP94" s="64"/>
      <c r="IQ94" s="64"/>
      <c r="IR94" s="64"/>
      <c r="IS94" s="64"/>
      <c r="IT94" s="64"/>
      <c r="IU94" s="64"/>
      <c r="IV94" s="64"/>
      <c r="IW94" s="64"/>
      <c r="IX94" s="64"/>
      <c r="IY94" s="64"/>
      <c r="IZ94" s="64"/>
      <c r="JA94" s="64"/>
      <c r="JB94" s="64"/>
      <c r="JC94" s="64"/>
      <c r="JD94" s="64"/>
      <c r="JE94" s="64"/>
      <c r="JF94" s="64"/>
      <c r="JG94" s="64"/>
      <c r="JH94" s="64"/>
      <c r="JI94" s="64"/>
      <c r="JJ94" s="64"/>
      <c r="JK94" s="64"/>
      <c r="JL94" s="64"/>
      <c r="JM94" s="64"/>
      <c r="JN94" s="64"/>
      <c r="JO94" s="64"/>
      <c r="JP94" s="64"/>
      <c r="JQ94" s="64"/>
      <c r="JR94" s="64"/>
      <c r="JS94" s="64"/>
      <c r="JT94" s="64"/>
      <c r="JU94" s="64"/>
      <c r="JV94" s="64"/>
      <c r="JW94" s="64"/>
      <c r="JX94" s="64"/>
      <c r="JY94" s="64"/>
      <c r="JZ94" s="64"/>
      <c r="KA94" s="64"/>
      <c r="KB94" s="64"/>
      <c r="KC94" s="64"/>
      <c r="KD94" s="64"/>
      <c r="KE94" s="64"/>
      <c r="KF94" s="64"/>
      <c r="KG94" s="64"/>
      <c r="KH94" s="64"/>
    </row>
    <row r="95" spans="1:406" s="102" customFormat="1" x14ac:dyDescent="0.3">
      <c r="A95" s="107"/>
      <c r="B95" s="64"/>
      <c r="C95" s="83" t="s">
        <v>164</v>
      </c>
      <c r="D95" s="270">
        <f>IF(AND($E$2="No",$E$3="No"),SUM(H95:K95),IF(AND($E$2="Yes", $E$3="No"), SUM(H95:K95)+M95, IF(AND($E$2="No", $E$3="Yes"),SUM(H95:K95)+L95, SUM(H95:K95)+M95+L95)))</f>
        <v>-0.15172317138675781</v>
      </c>
      <c r="E95" s="90">
        <f>IF(AND($E$2="No",$E$3="No"),SUM(G95:K95,N95:O95),IF(AND($E$2="Yes",$E$3="No"), SUM(G95:K95,N95:O95)+M95, IF(AND($E$2="No", $E$3="Yes"),SUM(G95:K95,N95:O95)+L95, SUM(G95:K95,N95:O95)+M95+L95)))</f>
        <v>1.2656038993762309</v>
      </c>
      <c r="F95" s="278">
        <f>SUM(Q95:S95)/(1-'Common input data'!B$127)</f>
        <v>1.7150876545936717</v>
      </c>
      <c r="G95" s="85">
        <f>'Input data dairy products'!$D$18*G9*'Common input data'!D$40</f>
        <v>1.237379935138504</v>
      </c>
      <c r="H95" s="85">
        <f>'Input data dairy products'!$D$18*H9*'Common input data'!D$40</f>
        <v>0</v>
      </c>
      <c r="I95" s="85">
        <f>'Input data dairy products'!$D$18*I9*'Common input data'!D$40</f>
        <v>0</v>
      </c>
      <c r="J95" s="85">
        <f>'Input data dairy products'!$D$18*J9*'Common input data'!D$40</f>
        <v>0</v>
      </c>
      <c r="K95" s="85">
        <f>'Input data dairy products'!$D$18*K9*'Common input data'!D$40</f>
        <v>0</v>
      </c>
      <c r="L95" s="85">
        <f>'Input data dairy products'!$D$18*L9*'Common input data'!D$40</f>
        <v>-0.26870411545256384</v>
      </c>
      <c r="M95" s="85">
        <f>'Input data dairy products'!$D$18*M9*'Common input data'!D$40</f>
        <v>0.11698094406580603</v>
      </c>
      <c r="N95" s="85">
        <f>'Input data dairy products'!$D$18*N9*'Common input data'!D$40</f>
        <v>0.15876782140774925</v>
      </c>
      <c r="O95" s="85">
        <f>'Input data dairy products'!$D$18*O9*'Common input data'!D$40</f>
        <v>2.1179314216735422E-2</v>
      </c>
      <c r="P95" s="85">
        <f>'Input data dairy products'!G$29*'Common input data'!D$40</f>
        <v>0.28199999999999997</v>
      </c>
      <c r="Q95" s="349">
        <f>IF(AND($E$2="No",$E$3="No"),SUM(G95:K95,N95:P95),IF(AND($E$2="Yes",$E$3="No"), SUM(G95:K95,N95:P95)+M95, IF(AND($E$2="No", $E$3="Yes"),SUM(G95:K95,N95:P95)+L95, SUM(G95:K95,N95:P95)+M95+L95)))</f>
        <v>1.5476038993762309</v>
      </c>
      <c r="R95" s="90">
        <f>'Common input data'!B$91</f>
        <v>0.05</v>
      </c>
      <c r="S95" s="90">
        <f>'Common input data'!B$98+'Common input data'!C$98</f>
        <v>0.08</v>
      </c>
      <c r="T95" s="107"/>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c r="IW95" s="64"/>
      <c r="IX95" s="64"/>
      <c r="IY95" s="64"/>
      <c r="IZ95" s="64"/>
      <c r="JA95" s="64"/>
      <c r="JB95" s="64"/>
      <c r="JC95" s="64"/>
      <c r="JD95" s="64"/>
      <c r="JE95" s="64"/>
      <c r="JF95" s="64"/>
      <c r="JG95" s="64"/>
      <c r="JH95" s="64"/>
      <c r="JI95" s="64"/>
      <c r="JJ95" s="64"/>
      <c r="JK95" s="64"/>
      <c r="JL95" s="64"/>
      <c r="JM95" s="64"/>
      <c r="JN95" s="64"/>
      <c r="JO95" s="64"/>
      <c r="JP95" s="64"/>
      <c r="JQ95" s="64"/>
      <c r="JR95" s="64"/>
      <c r="JS95" s="64"/>
      <c r="JT95" s="64"/>
      <c r="JU95" s="64"/>
      <c r="JV95" s="64"/>
      <c r="JW95" s="64"/>
      <c r="JX95" s="64"/>
      <c r="JY95" s="64"/>
      <c r="JZ95" s="64"/>
      <c r="KA95" s="64"/>
      <c r="KB95" s="64"/>
      <c r="KC95" s="64"/>
      <c r="KD95" s="64"/>
      <c r="KE95" s="64"/>
      <c r="KF95" s="64"/>
      <c r="KG95" s="64"/>
      <c r="KH95" s="64"/>
      <c r="KI95" s="64"/>
      <c r="KJ95" s="64"/>
      <c r="KK95" s="64"/>
      <c r="KL95" s="64"/>
      <c r="KM95" s="64"/>
      <c r="KN95" s="64"/>
      <c r="KO95" s="64"/>
      <c r="KP95" s="64"/>
      <c r="KQ95" s="64"/>
      <c r="KR95" s="64"/>
      <c r="KS95" s="64"/>
      <c r="KT95" s="64"/>
      <c r="KU95" s="64"/>
      <c r="KV95" s="64"/>
      <c r="KW95" s="64"/>
      <c r="KX95" s="64"/>
      <c r="KY95" s="64"/>
      <c r="KZ95" s="64"/>
      <c r="LA95" s="64"/>
      <c r="LB95" s="64"/>
      <c r="LC95" s="64"/>
      <c r="LD95" s="64"/>
      <c r="LE95" s="64"/>
      <c r="LF95" s="64"/>
      <c r="LG95" s="64"/>
      <c r="LH95" s="64"/>
      <c r="LI95" s="64"/>
      <c r="LJ95" s="64"/>
      <c r="LK95" s="64"/>
      <c r="LL95" s="64"/>
      <c r="LM95" s="64"/>
      <c r="LN95" s="64"/>
      <c r="LO95" s="64"/>
      <c r="LP95" s="64"/>
      <c r="LQ95" s="64"/>
      <c r="LR95" s="64"/>
      <c r="LS95" s="64"/>
      <c r="LT95" s="64"/>
      <c r="LU95" s="64"/>
      <c r="LV95" s="64"/>
      <c r="LW95" s="64"/>
      <c r="LX95" s="64"/>
      <c r="LY95" s="64"/>
      <c r="LZ95" s="64"/>
      <c r="MA95" s="64"/>
      <c r="MB95" s="64"/>
      <c r="MC95" s="64"/>
      <c r="MD95" s="64"/>
      <c r="ME95" s="64"/>
      <c r="MF95" s="64"/>
      <c r="MG95" s="64"/>
      <c r="MH95" s="64"/>
      <c r="MI95" s="64"/>
      <c r="MJ95" s="64"/>
      <c r="MK95" s="64"/>
      <c r="ML95" s="64"/>
      <c r="MM95" s="64"/>
      <c r="MN95" s="64"/>
      <c r="MO95" s="64"/>
      <c r="MP95" s="64"/>
      <c r="MQ95" s="64"/>
      <c r="MR95" s="64"/>
      <c r="MS95" s="64"/>
      <c r="MT95" s="64"/>
      <c r="MU95" s="64"/>
      <c r="MV95" s="64"/>
      <c r="MW95" s="64"/>
      <c r="MX95" s="64"/>
      <c r="MY95" s="64"/>
      <c r="MZ95" s="64"/>
      <c r="NA95" s="64"/>
      <c r="NB95" s="64"/>
      <c r="NC95" s="64"/>
      <c r="ND95" s="64"/>
      <c r="NE95" s="64"/>
      <c r="NF95" s="64"/>
      <c r="NG95" s="64"/>
      <c r="NH95" s="64"/>
      <c r="NI95" s="64"/>
      <c r="NJ95" s="64"/>
      <c r="NK95" s="64"/>
      <c r="NL95" s="64"/>
      <c r="NM95" s="64"/>
      <c r="NN95" s="64"/>
      <c r="NO95" s="64"/>
      <c r="NP95" s="64"/>
      <c r="NQ95" s="64"/>
      <c r="NR95" s="64"/>
      <c r="NS95" s="64"/>
      <c r="NT95" s="64"/>
      <c r="NU95" s="64"/>
      <c r="NV95" s="64"/>
      <c r="NW95" s="64"/>
      <c r="NX95" s="64"/>
      <c r="NY95" s="64"/>
      <c r="NZ95" s="64"/>
      <c r="OA95" s="64"/>
      <c r="OB95" s="64"/>
      <c r="OC95" s="64"/>
      <c r="OD95" s="64"/>
      <c r="OE95" s="64"/>
      <c r="OF95" s="64"/>
      <c r="OG95" s="64"/>
      <c r="OH95" s="64"/>
      <c r="OI95" s="64"/>
      <c r="OJ95" s="64"/>
      <c r="OK95" s="64"/>
      <c r="OL95" s="64"/>
      <c r="OM95" s="64"/>
      <c r="ON95" s="64"/>
      <c r="OO95" s="64"/>
      <c r="OP95" s="64"/>
    </row>
    <row r="96" spans="1:406" x14ac:dyDescent="0.3">
      <c r="A96" s="144"/>
      <c r="B96" s="84"/>
      <c r="C96" s="83" t="s">
        <v>165</v>
      </c>
      <c r="D96" s="270">
        <f>SUM(H96:K96)</f>
        <v>0.12824657816363422</v>
      </c>
      <c r="E96" s="90">
        <f>SUM(G96:K96,N96:O96)</f>
        <v>0.12957707917856043</v>
      </c>
      <c r="F96" s="278">
        <f>SUM(Q96:S96)/(1-'Common input data'!B$127)</f>
        <v>0.13247230105991517</v>
      </c>
      <c r="G96" s="85">
        <f>'Input data dairy products'!$D$18*G10*'Common input data'!D$40</f>
        <v>1.3247603126553666E-3</v>
      </c>
      <c r="H96" s="85">
        <f>'Input data dairy products'!$D$18*H10*'Common input data'!D$40</f>
        <v>0</v>
      </c>
      <c r="I96" s="85">
        <f>'Input data dairy products'!$D$18*I10*'Common input data'!D$40</f>
        <v>8.3799982279018012E-3</v>
      </c>
      <c r="J96" s="85">
        <f>'Input data dairy products'!$D$18*J10*'Common input data'!D$40</f>
        <v>0</v>
      </c>
      <c r="K96" s="85">
        <f>'Input data dairy products'!$D$18*K10*'Common input data'!D$40</f>
        <v>0.11986657993573241</v>
      </c>
      <c r="L96" s="85">
        <f>'Input data dairy products'!$D$18*L10*'Common input data'!D$40</f>
        <v>0</v>
      </c>
      <c r="M96" s="85">
        <f>'Input data dairy products'!$D$18*M10*'Common input data'!D$40</f>
        <v>0</v>
      </c>
      <c r="N96" s="85">
        <f>'Input data dairy products'!$D$18*N10*'Common input data'!D$40</f>
        <v>0</v>
      </c>
      <c r="O96" s="85">
        <f>'Input data dairy products'!$D$18*O10*'Common input data'!D$40</f>
        <v>5.7407022708642725E-6</v>
      </c>
      <c r="P96" s="85">
        <v>0</v>
      </c>
      <c r="Q96" s="85">
        <f>SUM(G96:P96)</f>
        <v>0.12957707917856043</v>
      </c>
      <c r="R96" s="90">
        <v>0</v>
      </c>
      <c r="S96" s="90">
        <v>0</v>
      </c>
      <c r="T96" s="107"/>
    </row>
    <row r="97" spans="1:406" x14ac:dyDescent="0.3">
      <c r="A97" s="144"/>
      <c r="B97" s="85"/>
      <c r="C97" s="84" t="s">
        <v>166</v>
      </c>
      <c r="D97" s="270">
        <f>SUM(H97:K97)</f>
        <v>4.9240611561300078E-3</v>
      </c>
      <c r="E97" s="90">
        <f>SUM(G97:K97,N97:O97)</f>
        <v>6.1764219374349158E-3</v>
      </c>
      <c r="F97" s="278">
        <f>SUM(Q97:S97)/(1-'Common input data'!B$127)</f>
        <v>6.314425603323225E-3</v>
      </c>
      <c r="G97" s="85">
        <f>'Input data dairy products'!$D$18*G11*'Common input data'!D$40</f>
        <v>1.2518256202821007E-3</v>
      </c>
      <c r="H97" s="85">
        <f>'Input data dairy products'!$D$18*H11*'Common input data'!D$40</f>
        <v>3.1641106010842049E-3</v>
      </c>
      <c r="I97" s="85">
        <f>'Input data dairy products'!$D$18*I11*'Common input data'!D$40</f>
        <v>1.6223757077702256E-3</v>
      </c>
      <c r="J97" s="85">
        <f>'Input data dairy products'!$D$18*J11*'Common input data'!D$40</f>
        <v>1.3757484727557748E-4</v>
      </c>
      <c r="K97" s="85">
        <f>'Input data dairy products'!$D$18*K11*'Common input data'!D$40</f>
        <v>0</v>
      </c>
      <c r="L97" s="85">
        <f>'Input data dairy products'!$D$18*L11*'Common input data'!D$40</f>
        <v>0</v>
      </c>
      <c r="M97" s="85">
        <f>'Input data dairy products'!$D$18*M11*'Common input data'!D$40</f>
        <v>0</v>
      </c>
      <c r="N97" s="85">
        <f>'Input data dairy products'!$D$18*N11*'Common input data'!D$40</f>
        <v>0</v>
      </c>
      <c r="O97" s="85">
        <f>'Input data dairy products'!$D$18*O11*'Common input data'!D$40</f>
        <v>5.3516102280612489E-7</v>
      </c>
      <c r="P97" s="85">
        <v>0</v>
      </c>
      <c r="Q97" s="85">
        <f>SUM(G97:P97)</f>
        <v>6.1764219374349158E-3</v>
      </c>
      <c r="R97" s="94">
        <v>0</v>
      </c>
      <c r="S97" s="90">
        <v>0</v>
      </c>
      <c r="T97" s="107"/>
    </row>
    <row r="98" spans="1:406" s="102" customFormat="1" x14ac:dyDescent="0.3">
      <c r="A98" s="284" t="s">
        <v>79</v>
      </c>
      <c r="B98" s="110">
        <f>'Input data dairy products'!C19</f>
        <v>0.11</v>
      </c>
      <c r="C98" s="269" t="s">
        <v>473</v>
      </c>
      <c r="D98" s="320">
        <f>IF($E$1="GWP100 without fb",D99+D100*'Common input data'!$C$5+D101*'Common input data'!$D$5,IF($E$1="GWP100 with fb",D99+D100*'Common input data'!$C$6+D101*'Common input data'!$D$6,IF($E$1="GTP100 without fb",D99+D100*'Common input data'!$C$7+D101*'Common input data'!$D$7,IF($E$1="GTP100 with fb",D99+D100*'Common input data'!$C$8+D101*'Common input data'!$D$8,D99+D100*'Common input data'!$C$9+D101*'Common input data'!$D$9))))</f>
        <v>5.6760307107035484</v>
      </c>
      <c r="E98" s="302">
        <f>IF($E$1="GWP100 without fb",E99+E100*'Common input data'!$C$5+E101*'Common input data'!$D$5,IF($E$1="GWP100 with fb",E99+E100*'Common input data'!$C$6+E101*'Common input data'!$D$6,IF($E$1="GTP100 without fb",E99+E100*'Common input data'!$C$7+E101*'Common input data'!$D$7,IF($E$1="GTP100 with fb",E99+E100*'Common input data'!$C$8+E101*'Common input data'!$D$8,E99+E100*'Common input data'!$C$9+E101*'Common input data'!$D$9))))</f>
        <v>7.8798370494454177</v>
      </c>
      <c r="F98" s="321">
        <f>IF($E$1="GWP100 without fb",F99+F100*'Common input data'!$C$5+F101*'Common input data'!$D$5,IF($E$1="GWP100 with fb",F99+F100*'Common input data'!$C$6+F101*'Common input data'!$D$6,IF($E$1="GTP100 without fb",F99+F100*'Common input data'!$C$7+F101*'Common input data'!$D$7,IF($E$1="GTP100 with fb",F99+F100*'Common input data'!$C$8+F101*'Common input data'!$D$8,F99+F100*'Common input data'!$C$9+F101*'Common input data'!$D$9))))</f>
        <v>8.9126251457942924</v>
      </c>
      <c r="G98" s="104"/>
      <c r="P98" s="104"/>
      <c r="Q98" s="104"/>
      <c r="R98" s="106"/>
      <c r="S98" s="106"/>
      <c r="T98" s="107"/>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c r="HZ98" s="64"/>
      <c r="IA98" s="64"/>
      <c r="IB98" s="64"/>
      <c r="IC98" s="64"/>
      <c r="ID98" s="64"/>
      <c r="IE98" s="64"/>
      <c r="IF98" s="64"/>
      <c r="IG98" s="64"/>
      <c r="IH98" s="64"/>
      <c r="II98" s="64"/>
      <c r="IJ98" s="64"/>
      <c r="IK98" s="64"/>
      <c r="IL98" s="64"/>
      <c r="IM98" s="64"/>
      <c r="IN98" s="64"/>
      <c r="IO98" s="64"/>
      <c r="IP98" s="64"/>
      <c r="IQ98" s="64"/>
      <c r="IR98" s="64"/>
      <c r="IS98" s="64"/>
      <c r="IT98" s="64"/>
      <c r="IU98" s="64"/>
      <c r="IV98" s="64"/>
      <c r="IW98" s="64"/>
      <c r="IX98" s="64"/>
      <c r="IY98" s="64"/>
      <c r="IZ98" s="64"/>
      <c r="JA98" s="64"/>
      <c r="JB98" s="64"/>
      <c r="JC98" s="64"/>
      <c r="JD98" s="64"/>
      <c r="JE98" s="64"/>
      <c r="JF98" s="64"/>
      <c r="JG98" s="64"/>
      <c r="JH98" s="64"/>
      <c r="JI98" s="64"/>
      <c r="JJ98" s="64"/>
      <c r="JK98" s="64"/>
      <c r="JL98" s="64"/>
      <c r="JM98" s="64"/>
      <c r="JN98" s="64"/>
      <c r="JO98" s="64"/>
      <c r="JP98" s="64"/>
      <c r="JQ98" s="64"/>
      <c r="JR98" s="64"/>
      <c r="JS98" s="64"/>
      <c r="JT98" s="64"/>
      <c r="JU98" s="64"/>
      <c r="JV98" s="64"/>
      <c r="JW98" s="64"/>
      <c r="JX98" s="64"/>
      <c r="JY98" s="64"/>
      <c r="JZ98" s="64"/>
      <c r="KA98" s="64"/>
      <c r="KB98" s="64"/>
      <c r="KC98" s="64"/>
      <c r="KD98" s="64"/>
      <c r="KE98" s="64"/>
      <c r="KF98" s="64"/>
      <c r="KG98" s="64"/>
      <c r="KH98" s="64"/>
    </row>
    <row r="99" spans="1:406" s="102" customFormat="1" x14ac:dyDescent="0.3">
      <c r="A99" s="107"/>
      <c r="B99" s="64"/>
      <c r="C99" s="83" t="s">
        <v>164</v>
      </c>
      <c r="D99" s="270">
        <f>IF(AND($E$2="No",$E$3="No"),SUM(H99:K99),IF(AND($E$2="Yes", $E$3="No"), SUM(H99:K99)+M99, IF(AND($E$2="No", $E$3="Yes"),SUM(H99:K99)+L99, SUM(H99:K99)+M99+L99)))</f>
        <v>-0.15172317138675781</v>
      </c>
      <c r="E99" s="90">
        <f>IF(AND($E$2="No",$E$3="No"),SUM(G99:K99,N99:O99),IF(AND($E$2="Yes",$E$3="No"), SUM(G99:K99,N99:O99)+M99, IF(AND($E$2="No", $E$3="Yes"),SUM(G99:K99,N99:O99)+L99, SUM(G99:K99,N99:O99)+M99+L99)))</f>
        <v>1.6329186710633232</v>
      </c>
      <c r="F99" s="278">
        <f>SUM(Q99:S99)/(1-'Common input data'!B$127)</f>
        <v>2.5261279553662375</v>
      </c>
      <c r="G99" s="85">
        <f>'Input data dairy products'!$D$19*G13*'Common input data'!D$40</f>
        <v>1.237379935138504</v>
      </c>
      <c r="H99" s="85">
        <f>'Input data dairy products'!$D$19*H13*'Common input data'!D$40</f>
        <v>0</v>
      </c>
      <c r="I99" s="85">
        <f>'Input data dairy products'!$D$19*I13*'Common input data'!D$40</f>
        <v>0</v>
      </c>
      <c r="J99" s="85">
        <f>'Input data dairy products'!$D$19*J13*'Common input data'!D$40</f>
        <v>0</v>
      </c>
      <c r="K99" s="85">
        <f>'Input data dairy products'!$D$19*K13*'Common input data'!D$40</f>
        <v>0</v>
      </c>
      <c r="L99" s="85">
        <f>'Input data dairy products'!$D$19*L13*'Common input data'!D$40</f>
        <v>-0.26870411545256384</v>
      </c>
      <c r="M99" s="85">
        <f>'Input data dairy products'!$D$19*M13*'Common input data'!D$40</f>
        <v>0.11698094406580603</v>
      </c>
      <c r="N99" s="85">
        <f>'Input data dairy products'!$D$19*N13*'Common input data'!D$40</f>
        <v>0.48285059087923732</v>
      </c>
      <c r="O99" s="85">
        <f>'Input data dairy products'!$D$19*O13*'Common input data'!D$40</f>
        <v>6.4411316432339688E-2</v>
      </c>
      <c r="P99" s="85">
        <f>'Input data dairy products'!G$30*'Common input data'!D$40</f>
        <v>0.65799999999999992</v>
      </c>
      <c r="Q99" s="349">
        <f>IF(AND($E$2="No",$E$3="No"),SUM(G99:K99,N99:P99),IF(AND($E$2="Yes",$E$3="No"), SUM(G99:K99,N99:P99)+M99, IF(AND($E$2="No", $E$3="Yes"),SUM(G99:K99,N99:P99)+L99, SUM(G99:K99,N99:P99)+M99+L99)))</f>
        <v>2.2909186710633227</v>
      </c>
      <c r="R99" s="90">
        <f>'Common input data'!B$91</f>
        <v>0.05</v>
      </c>
      <c r="S99" s="90">
        <f>'Common input data'!B$99+'Common input data'!C$99</f>
        <v>0.13</v>
      </c>
      <c r="T99" s="107"/>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c r="GV99" s="64"/>
      <c r="GW99" s="64"/>
      <c r="GX99" s="64"/>
      <c r="GY99" s="64"/>
      <c r="GZ99" s="64"/>
      <c r="HA99" s="64"/>
      <c r="HB99" s="64"/>
      <c r="HC99" s="64"/>
      <c r="HD99" s="64"/>
      <c r="HE99" s="64"/>
      <c r="HF99" s="64"/>
      <c r="HG99" s="64"/>
      <c r="HH99" s="64"/>
      <c r="HI99" s="64"/>
      <c r="HJ99" s="64"/>
      <c r="HK99" s="64"/>
      <c r="HL99" s="64"/>
      <c r="HM99" s="64"/>
      <c r="HN99" s="64"/>
      <c r="HO99" s="64"/>
      <c r="HP99" s="64"/>
      <c r="HQ99" s="64"/>
      <c r="HR99" s="64"/>
      <c r="HS99" s="64"/>
      <c r="HT99" s="64"/>
      <c r="HU99" s="64"/>
      <c r="HV99" s="64"/>
      <c r="HW99" s="64"/>
      <c r="HX99" s="64"/>
      <c r="HY99" s="64"/>
      <c r="HZ99" s="64"/>
      <c r="IA99" s="64"/>
      <c r="IB99" s="64"/>
      <c r="IC99" s="64"/>
      <c r="ID99" s="64"/>
      <c r="IE99" s="64"/>
      <c r="IF99" s="64"/>
      <c r="IG99" s="64"/>
      <c r="IH99" s="64"/>
      <c r="II99" s="64"/>
      <c r="IJ99" s="64"/>
      <c r="IK99" s="64"/>
      <c r="IL99" s="64"/>
      <c r="IM99" s="64"/>
      <c r="IN99" s="64"/>
      <c r="IO99" s="64"/>
      <c r="IP99" s="64"/>
      <c r="IQ99" s="64"/>
      <c r="IR99" s="64"/>
      <c r="IS99" s="64"/>
      <c r="IT99" s="64"/>
      <c r="IU99" s="64"/>
      <c r="IV99" s="64"/>
      <c r="IW99" s="64"/>
      <c r="IX99" s="64"/>
      <c r="IY99" s="64"/>
      <c r="IZ99" s="64"/>
      <c r="JA99" s="64"/>
      <c r="JB99" s="64"/>
      <c r="JC99" s="64"/>
      <c r="JD99" s="64"/>
      <c r="JE99" s="64"/>
      <c r="JF99" s="64"/>
      <c r="JG99" s="64"/>
      <c r="JH99" s="64"/>
      <c r="JI99" s="64"/>
      <c r="JJ99" s="64"/>
      <c r="JK99" s="64"/>
      <c r="JL99" s="64"/>
      <c r="JM99" s="64"/>
      <c r="JN99" s="64"/>
      <c r="JO99" s="64"/>
      <c r="JP99" s="64"/>
      <c r="JQ99" s="64"/>
      <c r="JR99" s="64"/>
      <c r="JS99" s="64"/>
      <c r="JT99" s="64"/>
      <c r="JU99" s="64"/>
      <c r="JV99" s="64"/>
      <c r="JW99" s="64"/>
      <c r="JX99" s="64"/>
      <c r="JY99" s="64"/>
      <c r="JZ99" s="64"/>
      <c r="KA99" s="64"/>
      <c r="KB99" s="64"/>
      <c r="KC99" s="64"/>
      <c r="KD99" s="64"/>
      <c r="KE99" s="64"/>
      <c r="KF99" s="64"/>
      <c r="KG99" s="64"/>
      <c r="KH99" s="64"/>
      <c r="KI99" s="64"/>
      <c r="KJ99" s="64"/>
      <c r="KK99" s="64"/>
      <c r="KL99" s="64"/>
      <c r="KM99" s="64"/>
      <c r="KN99" s="64"/>
      <c r="KO99" s="64"/>
      <c r="KP99" s="64"/>
      <c r="KQ99" s="64"/>
      <c r="KR99" s="64"/>
      <c r="KS99" s="64"/>
      <c r="KT99" s="64"/>
      <c r="KU99" s="64"/>
      <c r="KV99" s="64"/>
      <c r="KW99" s="64"/>
      <c r="KX99" s="64"/>
      <c r="KY99" s="64"/>
      <c r="KZ99" s="64"/>
      <c r="LA99" s="64"/>
      <c r="LB99" s="64"/>
      <c r="LC99" s="64"/>
      <c r="LD99" s="64"/>
      <c r="LE99" s="64"/>
      <c r="LF99" s="64"/>
      <c r="LG99" s="64"/>
      <c r="LH99" s="64"/>
      <c r="LI99" s="64"/>
      <c r="LJ99" s="64"/>
      <c r="LK99" s="64"/>
      <c r="LL99" s="64"/>
      <c r="LM99" s="64"/>
      <c r="LN99" s="64"/>
      <c r="LO99" s="64"/>
      <c r="LP99" s="64"/>
      <c r="LQ99" s="64"/>
      <c r="LR99" s="64"/>
      <c r="LS99" s="64"/>
      <c r="LT99" s="64"/>
      <c r="LU99" s="64"/>
      <c r="LV99" s="64"/>
      <c r="LW99" s="64"/>
      <c r="LX99" s="64"/>
      <c r="LY99" s="64"/>
      <c r="LZ99" s="64"/>
      <c r="MA99" s="64"/>
      <c r="MB99" s="64"/>
      <c r="MC99" s="64"/>
      <c r="MD99" s="64"/>
      <c r="ME99" s="64"/>
      <c r="MF99" s="64"/>
      <c r="MG99" s="64"/>
      <c r="MH99" s="64"/>
      <c r="MI99" s="64"/>
      <c r="MJ99" s="64"/>
      <c r="MK99" s="64"/>
      <c r="ML99" s="64"/>
      <c r="MM99" s="64"/>
      <c r="MN99" s="64"/>
      <c r="MO99" s="64"/>
      <c r="MP99" s="64"/>
      <c r="MQ99" s="64"/>
      <c r="MR99" s="64"/>
      <c r="MS99" s="64"/>
      <c r="MT99" s="64"/>
      <c r="MU99" s="64"/>
      <c r="MV99" s="64"/>
      <c r="MW99" s="64"/>
      <c r="MX99" s="64"/>
      <c r="MY99" s="64"/>
      <c r="MZ99" s="64"/>
      <c r="NA99" s="64"/>
      <c r="NB99" s="64"/>
      <c r="NC99" s="64"/>
      <c r="ND99" s="64"/>
      <c r="NE99" s="64"/>
      <c r="NF99" s="64"/>
      <c r="NG99" s="64"/>
      <c r="NH99" s="64"/>
      <c r="NI99" s="64"/>
      <c r="NJ99" s="64"/>
      <c r="NK99" s="64"/>
      <c r="NL99" s="64"/>
      <c r="NM99" s="64"/>
      <c r="NN99" s="64"/>
      <c r="NO99" s="64"/>
      <c r="NP99" s="64"/>
      <c r="NQ99" s="64"/>
      <c r="NR99" s="64"/>
      <c r="NS99" s="64"/>
      <c r="NT99" s="64"/>
      <c r="NU99" s="64"/>
      <c r="NV99" s="64"/>
      <c r="NW99" s="64"/>
      <c r="NX99" s="64"/>
      <c r="NY99" s="64"/>
      <c r="NZ99" s="64"/>
      <c r="OA99" s="64"/>
      <c r="OB99" s="64"/>
      <c r="OC99" s="64"/>
      <c r="OD99" s="64"/>
      <c r="OE99" s="64"/>
      <c r="OF99" s="64"/>
      <c r="OG99" s="64"/>
      <c r="OH99" s="64"/>
      <c r="OI99" s="64"/>
      <c r="OJ99" s="64"/>
      <c r="OK99" s="64"/>
      <c r="OL99" s="64"/>
      <c r="OM99" s="64"/>
      <c r="ON99" s="64"/>
      <c r="OO99" s="64"/>
      <c r="OP99" s="64"/>
    </row>
    <row r="100" spans="1:406" x14ac:dyDescent="0.3">
      <c r="A100" s="144"/>
      <c r="B100" s="142"/>
      <c r="C100" s="83" t="s">
        <v>165</v>
      </c>
      <c r="D100" s="270">
        <f>SUM(H100:K100)</f>
        <v>0.12824657816363422</v>
      </c>
      <c r="E100" s="90">
        <f>SUM(G100:K100,N100:O100)</f>
        <v>0.12958879731309272</v>
      </c>
      <c r="F100" s="278">
        <f>SUM(Q100:S100)/(1-'Common input data'!B$127)</f>
        <v>0.13248428102007065</v>
      </c>
      <c r="G100" s="85">
        <f>'Input data dairy products'!$D$19*G14*'Common input data'!D$40</f>
        <v>1.3247603126553666E-3</v>
      </c>
      <c r="H100" s="85">
        <f>'Input data dairy products'!$D$19*H14*'Common input data'!D$40</f>
        <v>0</v>
      </c>
      <c r="I100" s="85">
        <f>'Input data dairy products'!$D$19*I14*'Common input data'!D$40</f>
        <v>8.3799982279018012E-3</v>
      </c>
      <c r="J100" s="85">
        <f>'Input data dairy products'!$D$19*J14*'Common input data'!D$40</f>
        <v>0</v>
      </c>
      <c r="K100" s="85">
        <f>'Input data dairy products'!$D$19*K14*'Common input data'!D$40</f>
        <v>0.11986657993573241</v>
      </c>
      <c r="L100" s="85">
        <f>'Input data dairy products'!$D$19*L14*'Common input data'!D$40</f>
        <v>0</v>
      </c>
      <c r="M100" s="85">
        <f>'Input data dairy products'!$D$19*M14*'Common input data'!D$40</f>
        <v>0</v>
      </c>
      <c r="N100" s="85">
        <f>'Input data dairy products'!$D$19*N14*'Common input data'!D$40</f>
        <v>0</v>
      </c>
      <c r="O100" s="85">
        <f>'Input data dairy products'!$D$19*O14*'Common input data'!D$40</f>
        <v>1.745883680314392E-5</v>
      </c>
      <c r="P100" s="85">
        <v>0</v>
      </c>
      <c r="Q100" s="85">
        <f>SUM(G100:P100)</f>
        <v>0.12958879731309272</v>
      </c>
      <c r="R100" s="90">
        <v>0</v>
      </c>
      <c r="S100" s="90">
        <v>0</v>
      </c>
      <c r="T100" s="107"/>
    </row>
    <row r="101" spans="1:406" x14ac:dyDescent="0.3">
      <c r="A101" s="174"/>
      <c r="B101" s="85"/>
      <c r="C101" s="84" t="s">
        <v>166</v>
      </c>
      <c r="D101" s="270">
        <f>SUM(H101:K101)</f>
        <v>4.9240611561300078E-3</v>
      </c>
      <c r="E101" s="90">
        <f>SUM(G101:K101,N101:O101)</f>
        <v>6.1775143279763139E-3</v>
      </c>
      <c r="F101" s="278">
        <f>SUM(Q101:S101)/(1-'Common input data'!B$127)</f>
        <v>6.3155424018310506E-3</v>
      </c>
      <c r="G101" s="85">
        <f>'Input data dairy products'!$D$19*G15*'Common input data'!D$40</f>
        <v>1.2518256202821007E-3</v>
      </c>
      <c r="H101" s="85">
        <f>'Input data dairy products'!$D$19*H15*'Common input data'!D$40</f>
        <v>3.1641106010842049E-3</v>
      </c>
      <c r="I101" s="85">
        <f>'Input data dairy products'!$D$19*I15*'Common input data'!D$40</f>
        <v>1.6223757077702256E-3</v>
      </c>
      <c r="J101" s="85">
        <f>'Input data dairy products'!$D$19*J15*'Common input data'!D$40</f>
        <v>1.3757484727557748E-4</v>
      </c>
      <c r="K101" s="85">
        <f>'Input data dairy products'!$D$19*K15*'Common input data'!D$40</f>
        <v>0</v>
      </c>
      <c r="L101" s="85">
        <f>'Input data dairy products'!$D$19*L15*'Common input data'!D$40</f>
        <v>0</v>
      </c>
      <c r="M101" s="85">
        <f>'Input data dairy products'!$D$19*M15*'Common input data'!D$40</f>
        <v>0</v>
      </c>
      <c r="N101" s="85">
        <f>'Input data dairy products'!$D$19*N15*'Common input data'!D$40</f>
        <v>0</v>
      </c>
      <c r="O101" s="85">
        <f>'Input data dairy products'!$D$19*O15*'Common input data'!D$40</f>
        <v>1.6275515642041942E-6</v>
      </c>
      <c r="P101" s="85">
        <v>0</v>
      </c>
      <c r="Q101" s="85">
        <f>SUM(G101:P101)</f>
        <v>6.1775143279763139E-3</v>
      </c>
      <c r="R101" s="90">
        <v>0</v>
      </c>
      <c r="S101" s="90">
        <v>0</v>
      </c>
      <c r="T101" s="107"/>
    </row>
    <row r="102" spans="1:406" s="102" customFormat="1" x14ac:dyDescent="0.3">
      <c r="A102" s="284" t="s">
        <v>70</v>
      </c>
      <c r="B102" s="110">
        <f>'Input data dairy products'!C20</f>
        <v>0.21799999999999986</v>
      </c>
      <c r="C102" s="269" t="s">
        <v>473</v>
      </c>
      <c r="D102" s="320">
        <f>IF($E$1="GWP100 without fb",D103+D104*'Common input data'!$C$5+D105*'Common input data'!$D$5,IF($E$1="GWP100 with fb",D103+D104*'Common input data'!$C$6+D105*'Common input data'!$D$6,IF($E$1="GTP100 without fb",D103+D104*'Common input data'!$C$7+D105*'Common input data'!$D$7,IF($E$1="GTP100 with fb",D103+D104*'Common input data'!$C$8+D105*'Common input data'!$D$8,D103+D104*'Common input data'!$C$9+D105*'Common input data'!$D$9))))</f>
        <v>5.6760307107035484</v>
      </c>
      <c r="E102" s="302">
        <f>IF($E$1="GWP100 without fb",E103+E104*'Common input data'!$C$5+E105*'Common input data'!$D$5,IF($E$1="GWP100 with fb",E103+E104*'Common input data'!$C$6+E105*'Common input data'!$D$6,IF($E$1="GTP100 without fb",E103+E104*'Common input data'!$C$7+E105*'Common input data'!$D$7,IF($E$1="GTP100 with fb",E103+E104*'Common input data'!$C$8+E105*'Common input data'!$D$8,E103+E104*'Common input data'!$C$9+E105*'Common input data'!$D$9))))</f>
        <v>7.8798370494454177</v>
      </c>
      <c r="F102" s="321">
        <f>IF($E$1="GWP100 without fb",F103+F104*'Common input data'!$C$5+F105*'Common input data'!$D$5,IF($E$1="GWP100 with fb",F103+F104*'Common input data'!$C$6+F105*'Common input data'!$D$6,IF($E$1="GTP100 without fb",F103+F104*'Common input data'!$C$7+F105*'Common input data'!$D$7,IF($E$1="GTP100 with fb",F103+F104*'Common input data'!$C$8+F105*'Common input data'!$D$8,F103+F104*'Common input data'!$C$9+F105*'Common input data'!$D$9))))</f>
        <v>9.0148595084606757</v>
      </c>
      <c r="G102" s="104"/>
      <c r="P102" s="104"/>
      <c r="Q102" s="104"/>
      <c r="R102" s="106"/>
      <c r="S102" s="106"/>
      <c r="T102" s="107"/>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c r="BV102" s="64"/>
      <c r="BW102" s="64"/>
      <c r="BX102" s="64"/>
      <c r="BY102" s="64"/>
      <c r="BZ102" s="64"/>
      <c r="CA102" s="64"/>
      <c r="CB102" s="64"/>
      <c r="CC102" s="64"/>
      <c r="CD102" s="64"/>
      <c r="CE102" s="64"/>
      <c r="CF102" s="64"/>
      <c r="CG102" s="64"/>
      <c r="CH102" s="64"/>
      <c r="CI102" s="64"/>
      <c r="CJ102" s="64"/>
      <c r="CK102" s="64"/>
      <c r="CL102" s="64"/>
      <c r="CM102" s="64"/>
      <c r="CN102" s="64"/>
      <c r="CO102" s="64"/>
      <c r="CP102" s="64"/>
      <c r="CQ102" s="64"/>
      <c r="CR102" s="64"/>
      <c r="CS102" s="64"/>
      <c r="CT102" s="64"/>
      <c r="CU102" s="64"/>
      <c r="CV102" s="64"/>
      <c r="CW102" s="64"/>
      <c r="CX102" s="64"/>
      <c r="CY102" s="64"/>
      <c r="CZ102" s="64"/>
      <c r="DA102" s="64"/>
      <c r="DB102" s="64"/>
      <c r="DC102" s="64"/>
      <c r="DD102" s="64"/>
      <c r="DE102" s="64"/>
      <c r="DF102" s="64"/>
      <c r="DG102" s="64"/>
      <c r="DH102" s="64"/>
      <c r="DI102" s="64"/>
      <c r="DJ102" s="64"/>
      <c r="DK102" s="64"/>
      <c r="DL102" s="64"/>
      <c r="DM102" s="64"/>
      <c r="DN102" s="64"/>
      <c r="DO102" s="64"/>
      <c r="DP102" s="64"/>
      <c r="DQ102" s="64"/>
      <c r="DR102" s="64"/>
      <c r="DS102" s="64"/>
      <c r="DT102" s="64"/>
      <c r="DU102" s="64"/>
      <c r="DV102" s="64"/>
      <c r="DW102" s="64"/>
      <c r="DX102" s="64"/>
      <c r="DY102" s="64"/>
      <c r="DZ102" s="64"/>
      <c r="EA102" s="64"/>
      <c r="EB102" s="64"/>
      <c r="EC102" s="64"/>
      <c r="ED102" s="64"/>
      <c r="EE102" s="64"/>
      <c r="EF102" s="64"/>
      <c r="EG102" s="64"/>
      <c r="EH102" s="64"/>
      <c r="EI102" s="64"/>
      <c r="EJ102" s="64"/>
      <c r="EK102" s="64"/>
      <c r="EL102" s="64"/>
      <c r="EM102" s="64"/>
      <c r="EN102" s="64"/>
      <c r="EO102" s="64"/>
      <c r="EP102" s="64"/>
      <c r="EQ102" s="64"/>
      <c r="ER102" s="64"/>
      <c r="ES102" s="64"/>
      <c r="ET102" s="64"/>
      <c r="EU102" s="64"/>
      <c r="EV102" s="64"/>
      <c r="EW102" s="64"/>
      <c r="EX102" s="64"/>
      <c r="EY102" s="64"/>
      <c r="EZ102" s="64"/>
      <c r="FA102" s="64"/>
      <c r="FB102" s="64"/>
      <c r="FC102" s="64"/>
      <c r="FD102" s="64"/>
      <c r="FE102" s="64"/>
      <c r="FF102" s="64"/>
      <c r="FG102" s="64"/>
      <c r="FH102" s="64"/>
      <c r="FI102" s="64"/>
      <c r="FJ102" s="64"/>
      <c r="FK102" s="64"/>
      <c r="FL102" s="64"/>
      <c r="FM102" s="64"/>
      <c r="FN102" s="64"/>
      <c r="FO102" s="64"/>
      <c r="FP102" s="64"/>
      <c r="FQ102" s="64"/>
      <c r="FR102" s="64"/>
      <c r="FS102" s="64"/>
      <c r="FT102" s="64"/>
      <c r="FU102" s="64"/>
      <c r="FV102" s="64"/>
      <c r="FW102" s="64"/>
      <c r="FX102" s="64"/>
      <c r="FY102" s="64"/>
      <c r="FZ102" s="64"/>
      <c r="GA102" s="64"/>
      <c r="GB102" s="64"/>
      <c r="GC102" s="64"/>
      <c r="GD102" s="64"/>
      <c r="GE102" s="64"/>
      <c r="GF102" s="64"/>
      <c r="GG102" s="64"/>
      <c r="GH102" s="64"/>
      <c r="GI102" s="64"/>
      <c r="GJ102" s="64"/>
      <c r="GK102" s="64"/>
      <c r="GL102" s="64"/>
      <c r="GM102" s="64"/>
      <c r="GN102" s="64"/>
      <c r="GO102" s="64"/>
      <c r="GP102" s="64"/>
      <c r="GQ102" s="64"/>
      <c r="GR102" s="64"/>
      <c r="GS102" s="64"/>
      <c r="GT102" s="64"/>
      <c r="GU102" s="64"/>
      <c r="GV102" s="64"/>
      <c r="GW102" s="64"/>
      <c r="GX102" s="64"/>
      <c r="GY102" s="64"/>
      <c r="GZ102" s="64"/>
      <c r="HA102" s="64"/>
      <c r="HB102" s="64"/>
      <c r="HC102" s="64"/>
      <c r="HD102" s="64"/>
      <c r="HE102" s="64"/>
      <c r="HF102" s="64"/>
      <c r="HG102" s="64"/>
      <c r="HH102" s="64"/>
      <c r="HI102" s="64"/>
      <c r="HJ102" s="64"/>
      <c r="HK102" s="64"/>
      <c r="HL102" s="64"/>
      <c r="HM102" s="64"/>
      <c r="HN102" s="64"/>
      <c r="HO102" s="64"/>
      <c r="HP102" s="64"/>
      <c r="HQ102" s="64"/>
      <c r="HR102" s="64"/>
      <c r="HS102" s="64"/>
      <c r="HT102" s="64"/>
      <c r="HU102" s="64"/>
      <c r="HV102" s="64"/>
      <c r="HW102" s="64"/>
      <c r="HX102" s="64"/>
      <c r="HY102" s="64"/>
      <c r="HZ102" s="64"/>
      <c r="IA102" s="64"/>
      <c r="IB102" s="64"/>
      <c r="IC102" s="64"/>
      <c r="ID102" s="64"/>
      <c r="IE102" s="64"/>
      <c r="IF102" s="64"/>
      <c r="IG102" s="64"/>
      <c r="IH102" s="64"/>
      <c r="II102" s="64"/>
      <c r="IJ102" s="64"/>
      <c r="IK102" s="64"/>
      <c r="IL102" s="64"/>
      <c r="IM102" s="64"/>
      <c r="IN102" s="64"/>
      <c r="IO102" s="64"/>
      <c r="IP102" s="64"/>
      <c r="IQ102" s="64"/>
      <c r="IR102" s="64"/>
      <c r="IS102" s="64"/>
      <c r="IT102" s="64"/>
      <c r="IU102" s="64"/>
      <c r="IV102" s="64"/>
      <c r="IW102" s="64"/>
      <c r="IX102" s="64"/>
      <c r="IY102" s="64"/>
      <c r="IZ102" s="64"/>
      <c r="JA102" s="64"/>
      <c r="JB102" s="64"/>
      <c r="JC102" s="64"/>
      <c r="JD102" s="64"/>
      <c r="JE102" s="64"/>
      <c r="JF102" s="64"/>
      <c r="JG102" s="64"/>
      <c r="JH102" s="64"/>
      <c r="JI102" s="64"/>
      <c r="JJ102" s="64"/>
      <c r="JK102" s="64"/>
      <c r="JL102" s="64"/>
      <c r="JM102" s="64"/>
      <c r="JN102" s="64"/>
      <c r="JO102" s="64"/>
      <c r="JP102" s="64"/>
      <c r="JQ102" s="64"/>
      <c r="JR102" s="64"/>
      <c r="JS102" s="64"/>
      <c r="JT102" s="64"/>
      <c r="JU102" s="64"/>
      <c r="JV102" s="64"/>
      <c r="JW102" s="64"/>
      <c r="JX102" s="64"/>
      <c r="JY102" s="64"/>
      <c r="JZ102" s="64"/>
      <c r="KA102" s="64"/>
      <c r="KB102" s="64"/>
      <c r="KC102" s="64"/>
      <c r="KD102" s="64"/>
      <c r="KE102" s="64"/>
      <c r="KF102" s="64"/>
      <c r="KG102" s="64"/>
      <c r="KH102" s="64"/>
    </row>
    <row r="103" spans="1:406" s="102" customFormat="1" x14ac:dyDescent="0.3">
      <c r="A103" s="107"/>
      <c r="B103" s="64"/>
      <c r="C103" s="83" t="s">
        <v>164</v>
      </c>
      <c r="D103" s="270">
        <f>IF(AND($E$2="No",$E$3="No"),SUM(H103:K103),IF(AND($E$2="Yes", $E$3="No"), SUM(H103:K103)+M103, IF(AND($E$2="No", $E$3="Yes"),SUM(H103:K103)+L103, SUM(H103:K103)+M103+L103)))</f>
        <v>-0.15172317138675781</v>
      </c>
      <c r="E103" s="90">
        <f>IF(AND($E$2="No",$E$3="No"),SUM(G103:K103,N103:O103),IF(AND($E$2="Yes",$E$3="No"), SUM(G103:K103,N103:O103)+M103, IF(AND($E$2="No", $E$3="Yes"),SUM(G103:K103,N103:O103)+L103, SUM(G103:K103,N103:O103)+M103+L103)))</f>
        <v>1.6329186710633232</v>
      </c>
      <c r="F103" s="278">
        <f>SUM(Q103:S103)/(1-'Common input data'!B$127)</f>
        <v>2.6283623180326203</v>
      </c>
      <c r="G103" s="85">
        <f>'Input data dairy products'!$D$20*G13*'Common input data'!D$40</f>
        <v>1.237379935138504</v>
      </c>
      <c r="H103" s="85">
        <f>'Input data dairy products'!$D$20*H13*'Common input data'!D$40</f>
        <v>0</v>
      </c>
      <c r="I103" s="85">
        <f>'Input data dairy products'!$D$20*I13*'Common input data'!D$40</f>
        <v>0</v>
      </c>
      <c r="J103" s="85">
        <f>'Input data dairy products'!$D$20*J13*'Common input data'!D$40</f>
        <v>0</v>
      </c>
      <c r="K103" s="85">
        <f>'Input data dairy products'!$D$20*K13*'Common input data'!D$40</f>
        <v>0</v>
      </c>
      <c r="L103" s="85">
        <f>'Input data dairy products'!$D$20*L13*'Common input data'!D$40</f>
        <v>-0.26870411545256384</v>
      </c>
      <c r="M103" s="85">
        <f>'Input data dairy products'!$D$20*M13*'Common input data'!D$40</f>
        <v>0.11698094406580603</v>
      </c>
      <c r="N103" s="85">
        <f>'Input data dairy products'!$D$20*N13*'Common input data'!D$40</f>
        <v>0.48285059087923732</v>
      </c>
      <c r="O103" s="85">
        <f>'Input data dairy products'!$D$20*O13*'Common input data'!D$40</f>
        <v>6.4411316432339688E-2</v>
      </c>
      <c r="P103" s="85">
        <f>'Input data dairy products'!G$30*'Common input data'!D$40</f>
        <v>0.65799999999999992</v>
      </c>
      <c r="Q103" s="349">
        <f>IF(AND($E$2="No",$E$3="No"),SUM(G103:K103,N103:P103),IF(AND($E$2="Yes",$E$3="No"), SUM(G103:K103,N103:P103)+M103, IF(AND($E$2="No", $E$3="Yes"),SUM(G103:K103,N103:P103)+L103, SUM(G103:K103,N103:P103)+M103+L103)))</f>
        <v>2.2909186710633227</v>
      </c>
      <c r="R103" s="90">
        <f>'Common input data'!B$91</f>
        <v>0.05</v>
      </c>
      <c r="S103" s="90">
        <f>'Common input data'!B$102+'Common input data'!C$102</f>
        <v>0.23000000000000004</v>
      </c>
      <c r="T103" s="107"/>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c r="BV103" s="64"/>
      <c r="BW103" s="64"/>
      <c r="BX103" s="64"/>
      <c r="BY103" s="64"/>
      <c r="BZ103" s="64"/>
      <c r="CA103" s="64"/>
      <c r="CB103" s="64"/>
      <c r="CC103" s="64"/>
      <c r="CD103" s="64"/>
      <c r="CE103" s="64"/>
      <c r="CF103" s="64"/>
      <c r="CG103" s="64"/>
      <c r="CH103" s="64"/>
      <c r="CI103" s="64"/>
      <c r="CJ103" s="64"/>
      <c r="CK103" s="64"/>
      <c r="CL103" s="64"/>
      <c r="CM103" s="64"/>
      <c r="CN103" s="64"/>
      <c r="CO103" s="64"/>
      <c r="CP103" s="64"/>
      <c r="CQ103" s="64"/>
      <c r="CR103" s="64"/>
      <c r="CS103" s="64"/>
      <c r="CT103" s="64"/>
      <c r="CU103" s="64"/>
      <c r="CV103" s="64"/>
      <c r="CW103" s="64"/>
      <c r="CX103" s="64"/>
      <c r="CY103" s="64"/>
      <c r="CZ103" s="64"/>
      <c r="DA103" s="64"/>
      <c r="DB103" s="64"/>
      <c r="DC103" s="64"/>
      <c r="DD103" s="64"/>
      <c r="DE103" s="64"/>
      <c r="DF103" s="64"/>
      <c r="DG103" s="64"/>
      <c r="DH103" s="64"/>
      <c r="DI103" s="64"/>
      <c r="DJ103" s="64"/>
      <c r="DK103" s="64"/>
      <c r="DL103" s="64"/>
      <c r="DM103" s="64"/>
      <c r="DN103" s="64"/>
      <c r="DO103" s="64"/>
      <c r="DP103" s="64"/>
      <c r="DQ103" s="64"/>
      <c r="DR103" s="64"/>
      <c r="DS103" s="64"/>
      <c r="DT103" s="64"/>
      <c r="DU103" s="64"/>
      <c r="DV103" s="64"/>
      <c r="DW103" s="64"/>
      <c r="DX103" s="64"/>
      <c r="DY103" s="64"/>
      <c r="DZ103" s="64"/>
      <c r="EA103" s="64"/>
      <c r="EB103" s="64"/>
      <c r="EC103" s="64"/>
      <c r="ED103" s="64"/>
      <c r="EE103" s="64"/>
      <c r="EF103" s="64"/>
      <c r="EG103" s="64"/>
      <c r="EH103" s="64"/>
      <c r="EI103" s="64"/>
      <c r="EJ103" s="64"/>
      <c r="EK103" s="64"/>
      <c r="EL103" s="64"/>
      <c r="EM103" s="64"/>
      <c r="EN103" s="64"/>
      <c r="EO103" s="64"/>
      <c r="EP103" s="64"/>
      <c r="EQ103" s="64"/>
      <c r="ER103" s="64"/>
      <c r="ES103" s="64"/>
      <c r="ET103" s="64"/>
      <c r="EU103" s="64"/>
      <c r="EV103" s="64"/>
      <c r="EW103" s="64"/>
      <c r="EX103" s="64"/>
      <c r="EY103" s="64"/>
      <c r="EZ103" s="64"/>
      <c r="FA103" s="64"/>
      <c r="FB103" s="64"/>
      <c r="FC103" s="64"/>
      <c r="FD103" s="64"/>
      <c r="FE103" s="64"/>
      <c r="FF103" s="64"/>
      <c r="FG103" s="64"/>
      <c r="FH103" s="64"/>
      <c r="FI103" s="64"/>
      <c r="FJ103" s="64"/>
      <c r="FK103" s="64"/>
      <c r="FL103" s="64"/>
      <c r="FM103" s="64"/>
      <c r="FN103" s="64"/>
      <c r="FO103" s="64"/>
      <c r="FP103" s="64"/>
      <c r="FQ103" s="64"/>
      <c r="FR103" s="64"/>
      <c r="FS103" s="64"/>
      <c r="FT103" s="64"/>
      <c r="FU103" s="64"/>
      <c r="FV103" s="64"/>
      <c r="FW103" s="64"/>
      <c r="FX103" s="64"/>
      <c r="FY103" s="64"/>
      <c r="FZ103" s="64"/>
      <c r="GA103" s="64"/>
      <c r="GB103" s="64"/>
      <c r="GC103" s="64"/>
      <c r="GD103" s="64"/>
      <c r="GE103" s="64"/>
      <c r="GF103" s="64"/>
      <c r="GG103" s="64"/>
      <c r="GH103" s="64"/>
      <c r="GI103" s="64"/>
      <c r="GJ103" s="64"/>
      <c r="GK103" s="64"/>
      <c r="GL103" s="64"/>
      <c r="GM103" s="64"/>
      <c r="GN103" s="64"/>
      <c r="GO103" s="64"/>
      <c r="GP103" s="64"/>
      <c r="GQ103" s="64"/>
      <c r="GR103" s="64"/>
      <c r="GS103" s="64"/>
      <c r="GT103" s="64"/>
      <c r="GU103" s="64"/>
      <c r="GV103" s="64"/>
      <c r="GW103" s="64"/>
      <c r="GX103" s="64"/>
      <c r="GY103" s="64"/>
      <c r="GZ103" s="64"/>
      <c r="HA103" s="64"/>
      <c r="HB103" s="64"/>
      <c r="HC103" s="64"/>
      <c r="HD103" s="64"/>
      <c r="HE103" s="64"/>
      <c r="HF103" s="64"/>
      <c r="HG103" s="64"/>
      <c r="HH103" s="64"/>
      <c r="HI103" s="64"/>
      <c r="HJ103" s="64"/>
      <c r="HK103" s="64"/>
      <c r="HL103" s="64"/>
      <c r="HM103" s="64"/>
      <c r="HN103" s="64"/>
      <c r="HO103" s="64"/>
      <c r="HP103" s="64"/>
      <c r="HQ103" s="64"/>
      <c r="HR103" s="64"/>
      <c r="HS103" s="64"/>
      <c r="HT103" s="64"/>
      <c r="HU103" s="64"/>
      <c r="HV103" s="64"/>
      <c r="HW103" s="64"/>
      <c r="HX103" s="64"/>
      <c r="HY103" s="64"/>
      <c r="HZ103" s="64"/>
      <c r="IA103" s="64"/>
      <c r="IB103" s="64"/>
      <c r="IC103" s="64"/>
      <c r="ID103" s="64"/>
      <c r="IE103" s="64"/>
      <c r="IF103" s="64"/>
      <c r="IG103" s="64"/>
      <c r="IH103" s="64"/>
      <c r="II103" s="64"/>
      <c r="IJ103" s="64"/>
      <c r="IK103" s="64"/>
      <c r="IL103" s="64"/>
      <c r="IM103" s="64"/>
      <c r="IN103" s="64"/>
      <c r="IO103" s="64"/>
      <c r="IP103" s="64"/>
      <c r="IQ103" s="64"/>
      <c r="IR103" s="64"/>
      <c r="IS103" s="64"/>
      <c r="IT103" s="64"/>
      <c r="IU103" s="64"/>
      <c r="IV103" s="64"/>
      <c r="IW103" s="64"/>
      <c r="IX103" s="64"/>
      <c r="IY103" s="64"/>
      <c r="IZ103" s="64"/>
      <c r="JA103" s="64"/>
      <c r="JB103" s="64"/>
      <c r="JC103" s="64"/>
      <c r="JD103" s="64"/>
      <c r="JE103" s="64"/>
      <c r="JF103" s="64"/>
      <c r="JG103" s="64"/>
      <c r="JH103" s="64"/>
      <c r="JI103" s="64"/>
      <c r="JJ103" s="64"/>
      <c r="JK103" s="64"/>
      <c r="JL103" s="64"/>
      <c r="JM103" s="64"/>
      <c r="JN103" s="64"/>
      <c r="JO103" s="64"/>
      <c r="JP103" s="64"/>
      <c r="JQ103" s="64"/>
      <c r="JR103" s="64"/>
      <c r="JS103" s="64"/>
      <c r="JT103" s="64"/>
      <c r="JU103" s="64"/>
      <c r="JV103" s="64"/>
      <c r="JW103" s="64"/>
      <c r="JX103" s="64"/>
      <c r="JY103" s="64"/>
      <c r="JZ103" s="64"/>
      <c r="KA103" s="64"/>
      <c r="KB103" s="64"/>
      <c r="KC103" s="64"/>
      <c r="KD103" s="64"/>
      <c r="KE103" s="64"/>
      <c r="KF103" s="64"/>
      <c r="KG103" s="64"/>
      <c r="KH103" s="64"/>
      <c r="KI103" s="64"/>
      <c r="KJ103" s="64"/>
      <c r="KK103" s="64"/>
      <c r="KL103" s="64"/>
      <c r="KM103" s="64"/>
      <c r="KN103" s="64"/>
      <c r="KO103" s="64"/>
      <c r="KP103" s="64"/>
      <c r="KQ103" s="64"/>
      <c r="KR103" s="64"/>
      <c r="KS103" s="64"/>
      <c r="KT103" s="64"/>
      <c r="KU103" s="64"/>
      <c r="KV103" s="64"/>
      <c r="KW103" s="64"/>
      <c r="KX103" s="64"/>
      <c r="KY103" s="64"/>
      <c r="KZ103" s="64"/>
      <c r="LA103" s="64"/>
      <c r="LB103" s="64"/>
      <c r="LC103" s="64"/>
      <c r="LD103" s="64"/>
      <c r="LE103" s="64"/>
      <c r="LF103" s="64"/>
      <c r="LG103" s="64"/>
      <c r="LH103" s="64"/>
      <c r="LI103" s="64"/>
      <c r="LJ103" s="64"/>
      <c r="LK103" s="64"/>
      <c r="LL103" s="64"/>
      <c r="LM103" s="64"/>
      <c r="LN103" s="64"/>
      <c r="LO103" s="64"/>
      <c r="LP103" s="64"/>
      <c r="LQ103" s="64"/>
      <c r="LR103" s="64"/>
      <c r="LS103" s="64"/>
      <c r="LT103" s="64"/>
      <c r="LU103" s="64"/>
      <c r="LV103" s="64"/>
      <c r="LW103" s="64"/>
      <c r="LX103" s="64"/>
      <c r="LY103" s="64"/>
      <c r="LZ103" s="64"/>
      <c r="MA103" s="64"/>
      <c r="MB103" s="64"/>
      <c r="MC103" s="64"/>
      <c r="MD103" s="64"/>
      <c r="ME103" s="64"/>
      <c r="MF103" s="64"/>
      <c r="MG103" s="64"/>
      <c r="MH103" s="64"/>
      <c r="MI103" s="64"/>
      <c r="MJ103" s="64"/>
      <c r="MK103" s="64"/>
      <c r="ML103" s="64"/>
      <c r="MM103" s="64"/>
      <c r="MN103" s="64"/>
      <c r="MO103" s="64"/>
      <c r="MP103" s="64"/>
      <c r="MQ103" s="64"/>
      <c r="MR103" s="64"/>
      <c r="MS103" s="64"/>
      <c r="MT103" s="64"/>
      <c r="MU103" s="64"/>
      <c r="MV103" s="64"/>
      <c r="MW103" s="64"/>
      <c r="MX103" s="64"/>
      <c r="MY103" s="64"/>
      <c r="MZ103" s="64"/>
      <c r="NA103" s="64"/>
      <c r="NB103" s="64"/>
      <c r="NC103" s="64"/>
      <c r="ND103" s="64"/>
      <c r="NE103" s="64"/>
      <c r="NF103" s="64"/>
      <c r="NG103" s="64"/>
      <c r="NH103" s="64"/>
      <c r="NI103" s="64"/>
      <c r="NJ103" s="64"/>
      <c r="NK103" s="64"/>
      <c r="NL103" s="64"/>
      <c r="NM103" s="64"/>
      <c r="NN103" s="64"/>
      <c r="NO103" s="64"/>
      <c r="NP103" s="64"/>
      <c r="NQ103" s="64"/>
      <c r="NR103" s="64"/>
      <c r="NS103" s="64"/>
      <c r="NT103" s="64"/>
      <c r="NU103" s="64"/>
      <c r="NV103" s="64"/>
      <c r="NW103" s="64"/>
      <c r="NX103" s="64"/>
      <c r="NY103" s="64"/>
      <c r="NZ103" s="64"/>
      <c r="OA103" s="64"/>
      <c r="OB103" s="64"/>
      <c r="OC103" s="64"/>
      <c r="OD103" s="64"/>
      <c r="OE103" s="64"/>
      <c r="OF103" s="64"/>
      <c r="OG103" s="64"/>
      <c r="OH103" s="64"/>
      <c r="OI103" s="64"/>
      <c r="OJ103" s="64"/>
      <c r="OK103" s="64"/>
      <c r="OL103" s="64"/>
      <c r="OM103" s="64"/>
      <c r="ON103" s="64"/>
      <c r="OO103" s="64"/>
      <c r="OP103" s="64"/>
    </row>
    <row r="104" spans="1:406" x14ac:dyDescent="0.3">
      <c r="A104" s="144"/>
      <c r="B104" s="84"/>
      <c r="C104" s="83" t="s">
        <v>165</v>
      </c>
      <c r="D104" s="270">
        <f>SUM(H104:K104)</f>
        <v>0.12824657816363422</v>
      </c>
      <c r="E104" s="90">
        <f>SUM(G104:K104,N104:O104)</f>
        <v>0.12958879731309272</v>
      </c>
      <c r="F104" s="278">
        <f>SUM(Q104:S104)/(1-'Common input data'!B$127)</f>
        <v>0.13248428102007065</v>
      </c>
      <c r="G104" s="85">
        <f>'Input data dairy products'!$D$20*G14*'Common input data'!D$40</f>
        <v>1.3247603126553666E-3</v>
      </c>
      <c r="H104" s="85">
        <f>'Input data dairy products'!$D$20*H14*'Common input data'!D$40</f>
        <v>0</v>
      </c>
      <c r="I104" s="85">
        <f>'Input data dairy products'!$D$20*I14*'Common input data'!D$40</f>
        <v>8.3799982279018012E-3</v>
      </c>
      <c r="J104" s="85">
        <f>'Input data dairy products'!$D$20*J14*'Common input data'!D$40</f>
        <v>0</v>
      </c>
      <c r="K104" s="85">
        <f>'Input data dairy products'!$D$20*K14*'Common input data'!D$40</f>
        <v>0.11986657993573241</v>
      </c>
      <c r="L104" s="85">
        <f>'Input data dairy products'!$D$20*L14*'Common input data'!D$40</f>
        <v>0</v>
      </c>
      <c r="M104" s="85">
        <f>'Input data dairy products'!$D$20*M14*'Common input data'!D$40</f>
        <v>0</v>
      </c>
      <c r="N104" s="85">
        <f>'Input data dairy products'!$D$20*N14*'Common input data'!D$40</f>
        <v>0</v>
      </c>
      <c r="O104" s="85">
        <f>'Input data dairy products'!$D$20*O14*'Common input data'!D$40</f>
        <v>1.745883680314392E-5</v>
      </c>
      <c r="P104" s="85">
        <v>0</v>
      </c>
      <c r="Q104" s="85">
        <f>SUM(G104:P104)</f>
        <v>0.12958879731309272</v>
      </c>
      <c r="R104" s="90">
        <v>0</v>
      </c>
      <c r="S104" s="90">
        <v>0</v>
      </c>
      <c r="T104" s="107"/>
    </row>
    <row r="105" spans="1:406" x14ac:dyDescent="0.3">
      <c r="A105" s="144"/>
      <c r="B105" s="85"/>
      <c r="C105" s="84" t="s">
        <v>166</v>
      </c>
      <c r="D105" s="780">
        <f>SUM(H105:K105)</f>
        <v>4.9240611561300078E-3</v>
      </c>
      <c r="E105" s="108">
        <f>SUM(G105:K105,N105:O105)</f>
        <v>6.1775143279763139E-3</v>
      </c>
      <c r="F105" s="521">
        <f>SUM(Q105:S105)/(1-'Common input data'!B$127)</f>
        <v>6.3155424018310506E-3</v>
      </c>
      <c r="G105" s="85">
        <f>'Input data dairy products'!$D$20*G15*'Common input data'!D$40</f>
        <v>1.2518256202821007E-3</v>
      </c>
      <c r="H105" s="85">
        <f>'Input data dairy products'!$D$20*H15*'Common input data'!D$40</f>
        <v>3.1641106010842049E-3</v>
      </c>
      <c r="I105" s="85">
        <f>'Input data dairy products'!$D$20*I15*'Common input data'!D$40</f>
        <v>1.6223757077702256E-3</v>
      </c>
      <c r="J105" s="85">
        <f>'Input data dairy products'!$D$20*J15*'Common input data'!D$40</f>
        <v>1.3757484727557748E-4</v>
      </c>
      <c r="K105" s="85">
        <f>'Input data dairy products'!$D$20*K15*'Common input data'!D$40</f>
        <v>0</v>
      </c>
      <c r="L105" s="85">
        <f>'Input data dairy products'!$D$20*L15*'Common input data'!D$40</f>
        <v>0</v>
      </c>
      <c r="M105" s="85">
        <f>'Input data dairy products'!$D$20*M15*'Common input data'!D$40</f>
        <v>0</v>
      </c>
      <c r="N105" s="85">
        <f>'Input data dairy products'!$D$20*N15*'Common input data'!D$40</f>
        <v>0</v>
      </c>
      <c r="O105" s="85">
        <f>'Input data dairy products'!$D$20*O15*'Common input data'!D$40</f>
        <v>1.6275515642041942E-6</v>
      </c>
      <c r="P105" s="85">
        <v>0</v>
      </c>
      <c r="Q105" s="85">
        <f>SUM(G105:P105)</f>
        <v>6.1775143279763139E-3</v>
      </c>
      <c r="R105" s="94">
        <v>0</v>
      </c>
      <c r="S105" s="90">
        <v>0</v>
      </c>
      <c r="T105" s="107"/>
    </row>
    <row r="106" spans="1:406" s="416" customFormat="1" x14ac:dyDescent="0.3">
      <c r="A106" s="426" t="s">
        <v>547</v>
      </c>
      <c r="B106" s="413"/>
      <c r="C106" s="414"/>
      <c r="D106" s="777" t="s">
        <v>798</v>
      </c>
      <c r="E106" s="778" t="s">
        <v>798</v>
      </c>
      <c r="F106" s="779" t="s">
        <v>798</v>
      </c>
      <c r="G106" s="413"/>
      <c r="P106" s="413"/>
      <c r="Q106" s="413"/>
      <c r="R106" s="484"/>
      <c r="S106" s="415"/>
      <c r="T106" s="107"/>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4"/>
      <c r="CR106" s="64"/>
      <c r="CS106" s="64"/>
      <c r="CT106" s="64"/>
      <c r="CU106" s="64"/>
      <c r="CV106" s="64"/>
      <c r="CW106" s="64"/>
      <c r="CX106" s="64"/>
      <c r="CY106" s="64"/>
      <c r="CZ106" s="64"/>
      <c r="DA106" s="64"/>
      <c r="DB106" s="64"/>
      <c r="DC106" s="64"/>
      <c r="DD106" s="64"/>
      <c r="DE106" s="64"/>
      <c r="DF106" s="64"/>
      <c r="DG106" s="64"/>
      <c r="DH106" s="64"/>
      <c r="DI106" s="64"/>
      <c r="DJ106" s="64"/>
      <c r="DK106" s="64"/>
      <c r="DL106" s="64"/>
      <c r="DM106" s="64"/>
      <c r="DN106" s="64"/>
      <c r="DO106" s="64"/>
      <c r="DP106" s="64"/>
      <c r="DQ106" s="64"/>
      <c r="DR106" s="64"/>
      <c r="DS106" s="64"/>
      <c r="DT106" s="64"/>
      <c r="DU106" s="64"/>
      <c r="DV106" s="64"/>
      <c r="DW106" s="64"/>
      <c r="DX106" s="64"/>
      <c r="DY106" s="64"/>
      <c r="DZ106" s="64"/>
      <c r="EA106" s="64"/>
      <c r="EB106" s="64"/>
      <c r="EC106" s="64"/>
      <c r="ED106" s="64"/>
      <c r="EE106" s="64"/>
      <c r="EF106" s="64"/>
      <c r="EG106" s="64"/>
      <c r="EH106" s="64"/>
      <c r="EI106" s="64"/>
      <c r="EJ106" s="64"/>
      <c r="EK106" s="64"/>
      <c r="EL106" s="64"/>
      <c r="EM106" s="64"/>
      <c r="EN106" s="64"/>
      <c r="EO106" s="64"/>
      <c r="EP106" s="64"/>
      <c r="EQ106" s="64"/>
      <c r="ER106" s="64"/>
      <c r="ES106" s="64"/>
      <c r="ET106" s="64"/>
      <c r="EU106" s="64"/>
      <c r="EV106" s="64"/>
      <c r="EW106" s="64"/>
      <c r="EX106" s="64"/>
      <c r="EY106" s="64"/>
      <c r="EZ106" s="64"/>
      <c r="FA106" s="64"/>
      <c r="FB106" s="64"/>
      <c r="FC106" s="64"/>
      <c r="FD106" s="64"/>
      <c r="FE106" s="64"/>
      <c r="FF106" s="64"/>
      <c r="FG106" s="64"/>
      <c r="FH106" s="64"/>
      <c r="FI106" s="64"/>
      <c r="FJ106" s="64"/>
      <c r="FK106" s="64"/>
      <c r="FL106" s="64"/>
      <c r="FM106" s="64"/>
      <c r="FN106" s="64"/>
      <c r="FO106" s="64"/>
      <c r="FP106" s="64"/>
      <c r="FQ106" s="64"/>
      <c r="FR106" s="64"/>
      <c r="FS106" s="64"/>
      <c r="FT106" s="64"/>
      <c r="FU106" s="64"/>
      <c r="FV106" s="64"/>
      <c r="FW106" s="64"/>
      <c r="FX106" s="64"/>
      <c r="FY106" s="64"/>
      <c r="FZ106" s="64"/>
      <c r="GA106" s="64"/>
      <c r="GB106" s="64"/>
      <c r="GC106" s="64"/>
      <c r="GD106" s="64"/>
      <c r="GE106" s="64"/>
      <c r="GF106" s="64"/>
      <c r="GG106" s="64"/>
      <c r="GH106" s="64"/>
      <c r="GI106" s="64"/>
      <c r="GJ106" s="64"/>
      <c r="GK106" s="64"/>
      <c r="GL106" s="64"/>
      <c r="GM106" s="64"/>
      <c r="GN106" s="64"/>
      <c r="GO106" s="64"/>
      <c r="GP106" s="64"/>
      <c r="GQ106" s="64"/>
      <c r="GR106" s="64"/>
      <c r="GS106" s="64"/>
      <c r="GT106" s="64"/>
      <c r="GU106" s="64"/>
      <c r="GV106" s="64"/>
      <c r="GW106" s="64"/>
      <c r="GX106" s="64"/>
      <c r="GY106" s="64"/>
      <c r="GZ106" s="64"/>
      <c r="HA106" s="64"/>
      <c r="HB106" s="64"/>
      <c r="HC106" s="64"/>
      <c r="HD106" s="64"/>
      <c r="HE106" s="64"/>
      <c r="HF106" s="64"/>
      <c r="HG106" s="64"/>
      <c r="HH106" s="64"/>
      <c r="HI106" s="64"/>
      <c r="HJ106" s="64"/>
      <c r="HK106" s="64"/>
      <c r="HL106" s="64"/>
      <c r="HM106" s="64"/>
      <c r="HN106" s="64"/>
      <c r="HO106" s="64"/>
      <c r="HP106" s="64"/>
      <c r="HQ106" s="64"/>
      <c r="HR106" s="64"/>
      <c r="HS106" s="64"/>
      <c r="HT106" s="64"/>
      <c r="HU106" s="64"/>
      <c r="HV106" s="64"/>
      <c r="HW106" s="64"/>
      <c r="HX106" s="64"/>
      <c r="HY106" s="64"/>
      <c r="HZ106" s="64"/>
      <c r="IA106" s="64"/>
      <c r="IB106" s="64"/>
      <c r="IC106" s="64"/>
      <c r="ID106" s="64"/>
      <c r="IE106" s="64"/>
      <c r="IF106" s="64"/>
      <c r="IG106" s="64"/>
      <c r="IH106" s="64"/>
      <c r="II106" s="64"/>
      <c r="IJ106" s="64"/>
      <c r="IK106" s="64"/>
      <c r="IL106" s="64"/>
      <c r="IM106" s="64"/>
      <c r="IN106" s="64"/>
      <c r="IO106" s="64"/>
      <c r="IP106" s="64"/>
      <c r="IQ106" s="64"/>
      <c r="IR106" s="64"/>
      <c r="IS106" s="64"/>
      <c r="IT106" s="64"/>
      <c r="IU106" s="64"/>
      <c r="IV106" s="64"/>
      <c r="IW106" s="64"/>
      <c r="IX106" s="64"/>
      <c r="IY106" s="64"/>
      <c r="IZ106" s="64"/>
      <c r="JA106" s="64"/>
      <c r="JB106" s="64"/>
      <c r="JC106" s="64"/>
      <c r="JD106" s="64"/>
      <c r="JE106" s="64"/>
      <c r="JF106" s="64"/>
      <c r="JG106" s="64"/>
      <c r="JH106" s="64"/>
      <c r="JI106" s="64"/>
      <c r="JJ106" s="64"/>
      <c r="JK106" s="64"/>
      <c r="JL106" s="64"/>
      <c r="JM106" s="64"/>
      <c r="JN106" s="64"/>
      <c r="JO106" s="64"/>
      <c r="JP106" s="64"/>
      <c r="JQ106" s="64"/>
      <c r="JR106" s="64"/>
      <c r="JS106" s="64"/>
      <c r="JT106" s="64"/>
      <c r="JU106" s="64"/>
      <c r="JV106" s="64"/>
      <c r="JW106" s="64"/>
      <c r="JX106" s="64"/>
      <c r="JY106" s="64"/>
      <c r="JZ106" s="64"/>
      <c r="KA106" s="64"/>
      <c r="KB106" s="64"/>
      <c r="KC106" s="64"/>
      <c r="KD106" s="64"/>
      <c r="KE106" s="64"/>
      <c r="KF106" s="64"/>
      <c r="KG106" s="64"/>
      <c r="KH106" s="64"/>
    </row>
    <row r="107" spans="1:406" s="102" customFormat="1" x14ac:dyDescent="0.3">
      <c r="A107" s="143" t="s">
        <v>260</v>
      </c>
      <c r="B107" s="110">
        <f>SUM(B111:B115)</f>
        <v>1</v>
      </c>
      <c r="C107" s="269" t="s">
        <v>473</v>
      </c>
      <c r="D107" s="769">
        <f>IF($E$1="GWP100 without fb",D108+D109*'Common input data'!$C$5+D110*'Common input data'!$D$5,IF($E$1="GWP100 with fb",D108+D109*'Common input data'!$C$6+D110*'Common input data'!$D$6,IF($E$1="GTP100 without fb",D108+D109*'Common input data'!$C$7+D110*'Common input data'!$D$7,IF($E$1="GTP100 with fb",D108+D109*'Common input data'!$C$8+D110*'Common input data'!$D$8,D108+D109*'Common input data'!$C$9+D110*'Common input data'!$D$9))))</f>
        <v>4.0271019854173291</v>
      </c>
      <c r="E107" s="326">
        <f>IF($E$1="GWP100 without fb",E108+E109*'Common input data'!$C$5+E110*'Common input data'!$D$5,IF($E$1="GWP100 with fb",E108+E109*'Common input data'!$C$6+E110*'Common input data'!$D$6,IF($E$1="GTP100 without fb",E108+E109*'Common input data'!$C$7+E110*'Common input data'!$D$7,IF($E$1="GTP100 with fb",E108+E109*'Common input data'!$C$8+E110*'Common input data'!$D$8,E108+E109*'Common input data'!$C$9+E110*'Common input data'!$D$9))))</f>
        <v>5.3901456067897104</v>
      </c>
      <c r="F107" s="770">
        <f>IF($E$1="GWP100 without fb",F108+F109*'Common input data'!$C$5+F110*'Common input data'!$D$5,IF($E$1="GWP100 with fb",F108+F109*'Common input data'!$C$6+F110*'Common input data'!$D$6,IF($E$1="GTP100 without fb",F108+F109*'Common input data'!$C$7+F110*'Common input data'!$D$7,IF($E$1="GTP100 with fb",F108+F109*'Common input data'!$C$8+F110*'Common input data'!$D$8,F108+F109*'Common input data'!$C$9+F110*'Common input data'!$D$9))))</f>
        <v>5.710089321947672</v>
      </c>
      <c r="G107" s="280"/>
      <c r="P107" s="280"/>
      <c r="Q107" s="280"/>
      <c r="R107" s="269"/>
      <c r="S107" s="269"/>
      <c r="T107" s="107"/>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4"/>
      <c r="CA107" s="64"/>
      <c r="CB107" s="64"/>
      <c r="CC107" s="64"/>
      <c r="CD107" s="64"/>
      <c r="CE107" s="64"/>
      <c r="CF107" s="64"/>
      <c r="CG107" s="64"/>
      <c r="CH107" s="64"/>
      <c r="CI107" s="64"/>
      <c r="CJ107" s="64"/>
      <c r="CK107" s="64"/>
      <c r="CL107" s="64"/>
      <c r="CM107" s="64"/>
      <c r="CN107" s="64"/>
      <c r="CO107" s="64"/>
      <c r="CP107" s="64"/>
      <c r="CQ107" s="64"/>
      <c r="CR107" s="64"/>
      <c r="CS107" s="64"/>
      <c r="CT107" s="64"/>
      <c r="CU107" s="64"/>
      <c r="CV107" s="64"/>
      <c r="CW107" s="64"/>
      <c r="CX107" s="64"/>
      <c r="CY107" s="64"/>
      <c r="CZ107" s="64"/>
      <c r="DA107" s="64"/>
      <c r="DB107" s="64"/>
      <c r="DC107" s="64"/>
      <c r="DD107" s="64"/>
      <c r="DE107" s="64"/>
      <c r="DF107" s="64"/>
      <c r="DG107" s="64"/>
      <c r="DH107" s="64"/>
      <c r="DI107" s="64"/>
      <c r="DJ107" s="64"/>
      <c r="DK107" s="64"/>
      <c r="DL107" s="64"/>
      <c r="DM107" s="64"/>
      <c r="DN107" s="64"/>
      <c r="DO107" s="64"/>
      <c r="DP107" s="64"/>
      <c r="DQ107" s="64"/>
      <c r="DR107" s="64"/>
      <c r="DS107" s="64"/>
      <c r="DT107" s="64"/>
      <c r="DU107" s="64"/>
      <c r="DV107" s="64"/>
      <c r="DW107" s="64"/>
      <c r="DX107" s="64"/>
      <c r="DY107" s="64"/>
      <c r="DZ107" s="64"/>
      <c r="EA107" s="64"/>
      <c r="EB107" s="64"/>
      <c r="EC107" s="64"/>
      <c r="ED107" s="64"/>
      <c r="EE107" s="64"/>
      <c r="EF107" s="64"/>
      <c r="EG107" s="64"/>
      <c r="EH107" s="64"/>
      <c r="EI107" s="64"/>
      <c r="EJ107" s="64"/>
      <c r="EK107" s="64"/>
      <c r="EL107" s="64"/>
      <c r="EM107" s="64"/>
      <c r="EN107" s="64"/>
      <c r="EO107" s="64"/>
      <c r="EP107" s="64"/>
      <c r="EQ107" s="64"/>
      <c r="ER107" s="64"/>
      <c r="ES107" s="64"/>
      <c r="ET107" s="64"/>
      <c r="EU107" s="64"/>
      <c r="EV107" s="64"/>
      <c r="EW107" s="64"/>
      <c r="EX107" s="64"/>
      <c r="EY107" s="64"/>
      <c r="EZ107" s="64"/>
      <c r="FA107" s="64"/>
      <c r="FB107" s="64"/>
      <c r="FC107" s="64"/>
      <c r="FD107" s="64"/>
      <c r="FE107" s="64"/>
      <c r="FF107" s="64"/>
      <c r="FG107" s="64"/>
      <c r="FH107" s="64"/>
      <c r="FI107" s="64"/>
      <c r="FJ107" s="64"/>
      <c r="FK107" s="64"/>
      <c r="FL107" s="64"/>
      <c r="FM107" s="64"/>
      <c r="FN107" s="64"/>
      <c r="FO107" s="64"/>
      <c r="FP107" s="64"/>
      <c r="FQ107" s="64"/>
      <c r="FR107" s="64"/>
      <c r="FS107" s="64"/>
      <c r="FT107" s="64"/>
      <c r="FU107" s="64"/>
      <c r="FV107" s="64"/>
      <c r="FW107" s="64"/>
      <c r="FX107" s="64"/>
      <c r="FY107" s="64"/>
      <c r="FZ107" s="64"/>
      <c r="GA107" s="64"/>
      <c r="GB107" s="64"/>
      <c r="GC107" s="64"/>
      <c r="GD107" s="64"/>
      <c r="GE107" s="64"/>
      <c r="GF107" s="64"/>
      <c r="GG107" s="64"/>
      <c r="GH107" s="64"/>
      <c r="GI107" s="64"/>
      <c r="GJ107" s="64"/>
      <c r="GK107" s="64"/>
      <c r="GL107" s="64"/>
      <c r="GM107" s="64"/>
      <c r="GN107" s="64"/>
      <c r="GO107" s="64"/>
      <c r="GP107" s="64"/>
      <c r="GQ107" s="64"/>
      <c r="GR107" s="64"/>
      <c r="GS107" s="64"/>
      <c r="GT107" s="64"/>
      <c r="GU107" s="64"/>
      <c r="GV107" s="64"/>
      <c r="GW107" s="64"/>
      <c r="GX107" s="64"/>
      <c r="GY107" s="64"/>
      <c r="GZ107" s="64"/>
      <c r="HA107" s="64"/>
      <c r="HB107" s="64"/>
      <c r="HC107" s="64"/>
      <c r="HD107" s="64"/>
      <c r="HE107" s="64"/>
      <c r="HF107" s="64"/>
      <c r="HG107" s="64"/>
      <c r="HH107" s="64"/>
      <c r="HI107" s="64"/>
      <c r="HJ107" s="64"/>
      <c r="HK107" s="64"/>
      <c r="HL107" s="64"/>
      <c r="HM107" s="64"/>
      <c r="HN107" s="64"/>
      <c r="HO107" s="64"/>
      <c r="HP107" s="64"/>
      <c r="HQ107" s="64"/>
      <c r="HR107" s="64"/>
      <c r="HS107" s="64"/>
      <c r="HT107" s="64"/>
      <c r="HU107" s="64"/>
      <c r="HV107" s="64"/>
      <c r="HW107" s="64"/>
      <c r="HX107" s="64"/>
      <c r="HY107" s="64"/>
      <c r="HZ107" s="64"/>
      <c r="IA107" s="64"/>
      <c r="IB107" s="64"/>
      <c r="IC107" s="64"/>
      <c r="ID107" s="64"/>
      <c r="IE107" s="64"/>
      <c r="IF107" s="64"/>
      <c r="IG107" s="64"/>
      <c r="IH107" s="64"/>
      <c r="II107" s="64"/>
      <c r="IJ107" s="64"/>
      <c r="IK107" s="64"/>
      <c r="IL107" s="64"/>
      <c r="IM107" s="64"/>
      <c r="IN107" s="64"/>
      <c r="IO107" s="64"/>
      <c r="IP107" s="64"/>
      <c r="IQ107" s="64"/>
      <c r="IR107" s="64"/>
      <c r="IS107" s="64"/>
      <c r="IT107" s="64"/>
      <c r="IU107" s="64"/>
      <c r="IV107" s="64"/>
      <c r="IW107" s="64"/>
      <c r="IX107" s="64"/>
      <c r="IY107" s="64"/>
      <c r="IZ107" s="64"/>
      <c r="JA107" s="64"/>
      <c r="JB107" s="64"/>
      <c r="JC107" s="64"/>
      <c r="JD107" s="64"/>
      <c r="JE107" s="64"/>
      <c r="JF107" s="64"/>
      <c r="JG107" s="64"/>
      <c r="JH107" s="64"/>
      <c r="JI107" s="64"/>
      <c r="JJ107" s="64"/>
      <c r="JK107" s="64"/>
      <c r="JL107" s="64"/>
      <c r="JM107" s="64"/>
      <c r="JN107" s="64"/>
      <c r="JO107" s="64"/>
      <c r="JP107" s="64"/>
      <c r="JQ107" s="64"/>
      <c r="JR107" s="64"/>
      <c r="JS107" s="64"/>
      <c r="JT107" s="64"/>
      <c r="JU107" s="64"/>
      <c r="JV107" s="64"/>
      <c r="JW107" s="64"/>
      <c r="JX107" s="64"/>
      <c r="JY107" s="64"/>
      <c r="JZ107" s="64"/>
      <c r="KA107" s="64"/>
      <c r="KB107" s="64"/>
      <c r="KC107" s="64"/>
      <c r="KD107" s="64"/>
      <c r="KE107" s="64"/>
      <c r="KF107" s="64"/>
      <c r="KG107" s="64"/>
      <c r="KH107" s="64"/>
    </row>
    <row r="108" spans="1:406" s="102" customFormat="1" x14ac:dyDescent="0.3">
      <c r="A108" s="107"/>
      <c r="B108" s="64"/>
      <c r="C108" s="83" t="s">
        <v>164</v>
      </c>
      <c r="D108" s="270">
        <f t="shared" ref="D108:S110" si="8">$B$111*D112+$B$115*D116</f>
        <v>-0.10764647266147226</v>
      </c>
      <c r="E108" s="90">
        <f t="shared" si="8"/>
        <v>0.95839749852325751</v>
      </c>
      <c r="F108" s="278">
        <f t="shared" si="8"/>
        <v>1.179319888481998</v>
      </c>
      <c r="G108" s="90">
        <f t="shared" si="8"/>
        <v>0.87791195070792405</v>
      </c>
      <c r="H108" s="90">
        <f t="shared" si="8"/>
        <v>0</v>
      </c>
      <c r="I108" s="90">
        <f t="shared" si="8"/>
        <v>0</v>
      </c>
      <c r="J108" s="90">
        <f t="shared" si="8"/>
        <v>0</v>
      </c>
      <c r="K108" s="90">
        <f t="shared" si="8"/>
        <v>0</v>
      </c>
      <c r="L108" s="90">
        <f t="shared" si="8"/>
        <v>-0.19064359091438046</v>
      </c>
      <c r="M108" s="90">
        <f t="shared" si="8"/>
        <v>8.2997118252908203E-2</v>
      </c>
      <c r="N108" s="90">
        <f t="shared" si="8"/>
        <v>0.16598936640187528</v>
      </c>
      <c r="O108" s="90">
        <f t="shared" si="8"/>
        <v>2.2142654074930539E-2</v>
      </c>
      <c r="P108" s="90">
        <f t="shared" si="8"/>
        <v>6.8748000000000004E-2</v>
      </c>
      <c r="Q108" s="90">
        <f t="shared" si="8"/>
        <v>1.0271454985232573</v>
      </c>
      <c r="R108" s="90">
        <f t="shared" si="8"/>
        <v>0.05</v>
      </c>
      <c r="S108" s="90">
        <f t="shared" si="8"/>
        <v>7.6399999999999996E-2</v>
      </c>
      <c r="T108" s="107"/>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c r="BV108" s="64"/>
      <c r="BW108" s="64"/>
      <c r="BX108" s="64"/>
      <c r="BY108" s="64"/>
      <c r="BZ108" s="64"/>
      <c r="CA108" s="64"/>
      <c r="CB108" s="64"/>
      <c r="CC108" s="64"/>
      <c r="CD108" s="64"/>
      <c r="CE108" s="64"/>
      <c r="CF108" s="64"/>
      <c r="CG108" s="64"/>
      <c r="CH108" s="64"/>
      <c r="CI108" s="64"/>
      <c r="CJ108" s="64"/>
      <c r="CK108" s="64"/>
      <c r="CL108" s="64"/>
      <c r="CM108" s="64"/>
      <c r="CN108" s="64"/>
      <c r="CO108" s="64"/>
      <c r="CP108" s="64"/>
      <c r="CQ108" s="64"/>
      <c r="CR108" s="64"/>
      <c r="CS108" s="64"/>
      <c r="CT108" s="64"/>
      <c r="CU108" s="64"/>
      <c r="CV108" s="64"/>
      <c r="CW108" s="64"/>
      <c r="CX108" s="64"/>
      <c r="CY108" s="64"/>
      <c r="CZ108" s="64"/>
      <c r="DA108" s="64"/>
      <c r="DB108" s="64"/>
      <c r="DC108" s="64"/>
      <c r="DD108" s="64"/>
      <c r="DE108" s="64"/>
      <c r="DF108" s="64"/>
      <c r="DG108" s="64"/>
      <c r="DH108" s="64"/>
      <c r="DI108" s="64"/>
      <c r="DJ108" s="64"/>
      <c r="DK108" s="64"/>
      <c r="DL108" s="64"/>
      <c r="DM108" s="64"/>
      <c r="DN108" s="64"/>
      <c r="DO108" s="64"/>
      <c r="DP108" s="64"/>
      <c r="DQ108" s="64"/>
      <c r="DR108" s="64"/>
      <c r="DS108" s="64"/>
      <c r="DT108" s="64"/>
      <c r="DU108" s="64"/>
      <c r="DV108" s="64"/>
      <c r="DW108" s="64"/>
      <c r="DX108" s="64"/>
      <c r="DY108" s="64"/>
      <c r="DZ108" s="64"/>
      <c r="EA108" s="64"/>
      <c r="EB108" s="64"/>
      <c r="EC108" s="64"/>
      <c r="ED108" s="64"/>
      <c r="EE108" s="64"/>
      <c r="EF108" s="64"/>
      <c r="EG108" s="64"/>
      <c r="EH108" s="64"/>
      <c r="EI108" s="64"/>
      <c r="EJ108" s="64"/>
      <c r="EK108" s="64"/>
      <c r="EL108" s="64"/>
      <c r="EM108" s="64"/>
      <c r="EN108" s="64"/>
      <c r="EO108" s="64"/>
      <c r="EP108" s="64"/>
      <c r="EQ108" s="64"/>
      <c r="ER108" s="64"/>
      <c r="ES108" s="64"/>
      <c r="ET108" s="64"/>
      <c r="EU108" s="64"/>
      <c r="EV108" s="64"/>
      <c r="EW108" s="64"/>
      <c r="EX108" s="64"/>
      <c r="EY108" s="64"/>
      <c r="EZ108" s="64"/>
      <c r="FA108" s="64"/>
      <c r="FB108" s="64"/>
      <c r="FC108" s="64"/>
      <c r="FD108" s="64"/>
      <c r="FE108" s="64"/>
      <c r="FF108" s="64"/>
      <c r="FG108" s="64"/>
      <c r="FH108" s="64"/>
      <c r="FI108" s="64"/>
      <c r="FJ108" s="64"/>
      <c r="FK108" s="64"/>
      <c r="FL108" s="64"/>
      <c r="FM108" s="64"/>
      <c r="FN108" s="64"/>
      <c r="FO108" s="64"/>
      <c r="FP108" s="64"/>
      <c r="FQ108" s="64"/>
      <c r="FR108" s="64"/>
      <c r="FS108" s="64"/>
      <c r="FT108" s="64"/>
      <c r="FU108" s="64"/>
      <c r="FV108" s="64"/>
      <c r="FW108" s="64"/>
      <c r="FX108" s="64"/>
      <c r="FY108" s="64"/>
      <c r="FZ108" s="64"/>
      <c r="GA108" s="64"/>
      <c r="GB108" s="64"/>
      <c r="GC108" s="64"/>
      <c r="GD108" s="64"/>
      <c r="GE108" s="64"/>
      <c r="GF108" s="64"/>
      <c r="GG108" s="64"/>
      <c r="GH108" s="64"/>
      <c r="GI108" s="64"/>
      <c r="GJ108" s="64"/>
      <c r="GK108" s="64"/>
      <c r="GL108" s="64"/>
      <c r="GM108" s="64"/>
      <c r="GN108" s="64"/>
      <c r="GO108" s="64"/>
      <c r="GP108" s="64"/>
      <c r="GQ108" s="64"/>
      <c r="GR108" s="64"/>
      <c r="GS108" s="64"/>
      <c r="GT108" s="64"/>
      <c r="GU108" s="64"/>
      <c r="GV108" s="64"/>
      <c r="GW108" s="64"/>
      <c r="GX108" s="64"/>
      <c r="GY108" s="64"/>
      <c r="GZ108" s="64"/>
      <c r="HA108" s="64"/>
      <c r="HB108" s="64"/>
      <c r="HC108" s="64"/>
      <c r="HD108" s="64"/>
      <c r="HE108" s="64"/>
      <c r="HF108" s="64"/>
      <c r="HG108" s="64"/>
      <c r="HH108" s="64"/>
      <c r="HI108" s="64"/>
      <c r="HJ108" s="64"/>
      <c r="HK108" s="64"/>
      <c r="HL108" s="64"/>
      <c r="HM108" s="64"/>
      <c r="HN108" s="64"/>
      <c r="HO108" s="64"/>
      <c r="HP108" s="64"/>
      <c r="HQ108" s="64"/>
      <c r="HR108" s="64"/>
      <c r="HS108" s="64"/>
      <c r="HT108" s="64"/>
      <c r="HU108" s="64"/>
      <c r="HV108" s="64"/>
      <c r="HW108" s="64"/>
      <c r="HX108" s="64"/>
      <c r="HY108" s="64"/>
      <c r="HZ108" s="64"/>
      <c r="IA108" s="64"/>
      <c r="IB108" s="64"/>
      <c r="IC108" s="64"/>
      <c r="ID108" s="64"/>
      <c r="IE108" s="64"/>
      <c r="IF108" s="64"/>
      <c r="IG108" s="64"/>
      <c r="IH108" s="64"/>
      <c r="II108" s="64"/>
      <c r="IJ108" s="64"/>
      <c r="IK108" s="64"/>
      <c r="IL108" s="64"/>
      <c r="IM108" s="64"/>
      <c r="IN108" s="64"/>
      <c r="IO108" s="64"/>
      <c r="IP108" s="64"/>
      <c r="IQ108" s="64"/>
      <c r="IR108" s="64"/>
      <c r="IS108" s="64"/>
      <c r="IT108" s="64"/>
      <c r="IU108" s="64"/>
      <c r="IV108" s="64"/>
      <c r="IW108" s="64"/>
      <c r="IX108" s="64"/>
      <c r="IY108" s="64"/>
      <c r="IZ108" s="64"/>
      <c r="JA108" s="64"/>
      <c r="JB108" s="64"/>
      <c r="JC108" s="64"/>
      <c r="JD108" s="64"/>
      <c r="JE108" s="64"/>
      <c r="JF108" s="64"/>
      <c r="JG108" s="64"/>
      <c r="JH108" s="64"/>
      <c r="JI108" s="64"/>
      <c r="JJ108" s="64"/>
      <c r="JK108" s="64"/>
      <c r="JL108" s="64"/>
      <c r="JM108" s="64"/>
      <c r="JN108" s="64"/>
      <c r="JO108" s="64"/>
      <c r="JP108" s="64"/>
      <c r="JQ108" s="64"/>
      <c r="JR108" s="64"/>
      <c r="JS108" s="64"/>
      <c r="JT108" s="64"/>
      <c r="JU108" s="64"/>
      <c r="JV108" s="64"/>
      <c r="JW108" s="64"/>
      <c r="JX108" s="64"/>
      <c r="JY108" s="64"/>
      <c r="JZ108" s="64"/>
      <c r="KA108" s="64"/>
      <c r="KB108" s="64"/>
      <c r="KC108" s="64"/>
      <c r="KD108" s="64"/>
      <c r="KE108" s="64"/>
      <c r="KF108" s="64"/>
      <c r="KG108" s="64"/>
      <c r="KH108" s="64"/>
      <c r="KI108" s="64"/>
      <c r="KJ108" s="64"/>
      <c r="KK108" s="64"/>
      <c r="KL108" s="64"/>
      <c r="KM108" s="64"/>
      <c r="KN108" s="64"/>
      <c r="KO108" s="64"/>
      <c r="KP108" s="64"/>
      <c r="KQ108" s="64"/>
      <c r="KR108" s="64"/>
      <c r="KS108" s="64"/>
      <c r="KT108" s="64"/>
      <c r="KU108" s="64"/>
      <c r="KV108" s="64"/>
      <c r="KW108" s="64"/>
      <c r="KX108" s="64"/>
      <c r="KY108" s="64"/>
      <c r="KZ108" s="64"/>
      <c r="LA108" s="64"/>
      <c r="LB108" s="64"/>
      <c r="LC108" s="64"/>
      <c r="LD108" s="64"/>
      <c r="LE108" s="64"/>
      <c r="LF108" s="64"/>
      <c r="LG108" s="64"/>
      <c r="LH108" s="64"/>
      <c r="LI108" s="64"/>
      <c r="LJ108" s="64"/>
      <c r="LK108" s="64"/>
      <c r="LL108" s="64"/>
      <c r="LM108" s="64"/>
      <c r="LN108" s="64"/>
      <c r="LO108" s="64"/>
      <c r="LP108" s="64"/>
      <c r="LQ108" s="64"/>
      <c r="LR108" s="64"/>
      <c r="LS108" s="64"/>
      <c r="LT108" s="64"/>
      <c r="LU108" s="64"/>
      <c r="LV108" s="64"/>
      <c r="LW108" s="64"/>
      <c r="LX108" s="64"/>
      <c r="LY108" s="64"/>
      <c r="LZ108" s="64"/>
      <c r="MA108" s="64"/>
      <c r="MB108" s="64"/>
      <c r="MC108" s="64"/>
      <c r="MD108" s="64"/>
      <c r="ME108" s="64"/>
      <c r="MF108" s="64"/>
      <c r="MG108" s="64"/>
      <c r="MH108" s="64"/>
      <c r="MI108" s="64"/>
      <c r="MJ108" s="64"/>
      <c r="MK108" s="64"/>
      <c r="ML108" s="64"/>
      <c r="MM108" s="64"/>
      <c r="MN108" s="64"/>
      <c r="MO108" s="64"/>
      <c r="MP108" s="64"/>
      <c r="MQ108" s="64"/>
      <c r="MR108" s="64"/>
      <c r="MS108" s="64"/>
      <c r="MT108" s="64"/>
      <c r="MU108" s="64"/>
      <c r="MV108" s="64"/>
      <c r="MW108" s="64"/>
      <c r="MX108" s="64"/>
      <c r="MY108" s="64"/>
      <c r="MZ108" s="64"/>
      <c r="NA108" s="64"/>
      <c r="NB108" s="64"/>
      <c r="NC108" s="64"/>
      <c r="ND108" s="64"/>
      <c r="NE108" s="64"/>
      <c r="NF108" s="64"/>
      <c r="NG108" s="64"/>
      <c r="NH108" s="64"/>
      <c r="NI108" s="64"/>
      <c r="NJ108" s="64"/>
      <c r="NK108" s="64"/>
      <c r="NL108" s="64"/>
      <c r="NM108" s="64"/>
      <c r="NN108" s="64"/>
      <c r="NO108" s="64"/>
      <c r="NP108" s="64"/>
      <c r="NQ108" s="64"/>
      <c r="NR108" s="64"/>
      <c r="NS108" s="64"/>
      <c r="NT108" s="64"/>
      <c r="NU108" s="64"/>
      <c r="NV108" s="64"/>
      <c r="NW108" s="64"/>
      <c r="NX108" s="64"/>
      <c r="NY108" s="64"/>
      <c r="NZ108" s="64"/>
      <c r="OA108" s="64"/>
      <c r="OB108" s="64"/>
      <c r="OC108" s="64"/>
      <c r="OD108" s="64"/>
      <c r="OE108" s="64"/>
      <c r="OF108" s="64"/>
      <c r="OG108" s="64"/>
      <c r="OH108" s="64"/>
      <c r="OI108" s="64"/>
      <c r="OJ108" s="64"/>
      <c r="OK108" s="64"/>
      <c r="OL108" s="64"/>
      <c r="OM108" s="64"/>
      <c r="ON108" s="64"/>
      <c r="OO108" s="64"/>
      <c r="OP108" s="64"/>
    </row>
    <row r="109" spans="1:406" x14ac:dyDescent="0.3">
      <c r="A109" s="141"/>
      <c r="B109" s="142"/>
      <c r="C109" s="83" t="s">
        <v>165</v>
      </c>
      <c r="D109" s="270">
        <f t="shared" si="8"/>
        <v>9.0990002674198739E-2</v>
      </c>
      <c r="E109" s="90">
        <f t="shared" si="8"/>
        <v>9.1935912176975665E-2</v>
      </c>
      <c r="F109" s="278">
        <f t="shared" si="8"/>
        <v>9.3990093875656266E-2</v>
      </c>
      <c r="G109" s="90">
        <f t="shared" si="8"/>
        <v>9.3990768500180248E-4</v>
      </c>
      <c r="H109" s="90">
        <f t="shared" si="8"/>
        <v>0</v>
      </c>
      <c r="I109" s="90">
        <f t="shared" si="8"/>
        <v>5.9455470242151089E-3</v>
      </c>
      <c r="J109" s="90">
        <f t="shared" si="8"/>
        <v>0</v>
      </c>
      <c r="K109" s="90">
        <f t="shared" si="8"/>
        <v>8.5044455649983627E-2</v>
      </c>
      <c r="L109" s="90">
        <f t="shared" si="8"/>
        <v>0</v>
      </c>
      <c r="M109" s="90">
        <f t="shared" si="8"/>
        <v>0</v>
      </c>
      <c r="N109" s="90">
        <f t="shared" si="8"/>
        <v>0</v>
      </c>
      <c r="O109" s="90">
        <f t="shared" si="8"/>
        <v>6.001817775122899E-6</v>
      </c>
      <c r="P109" s="90">
        <f t="shared" si="8"/>
        <v>0</v>
      </c>
      <c r="Q109" s="90">
        <f t="shared" si="8"/>
        <v>9.1935912176975665E-2</v>
      </c>
      <c r="R109" s="90">
        <f t="shared" si="8"/>
        <v>0</v>
      </c>
      <c r="S109" s="90">
        <f t="shared" si="8"/>
        <v>0</v>
      </c>
      <c r="T109" s="107"/>
    </row>
    <row r="110" spans="1:406" x14ac:dyDescent="0.3">
      <c r="A110" s="141"/>
      <c r="B110" s="85"/>
      <c r="C110" s="84" t="s">
        <v>166</v>
      </c>
      <c r="D110" s="270">
        <f t="shared" si="8"/>
        <v>3.4935851246847113E-3</v>
      </c>
      <c r="E110" s="90">
        <f t="shared" si="8"/>
        <v>4.3823056854002699E-3</v>
      </c>
      <c r="F110" s="278">
        <f t="shared" si="8"/>
        <v>4.4802222875616141E-3</v>
      </c>
      <c r="G110" s="90">
        <f t="shared" si="8"/>
        <v>8.8816105792518922E-4</v>
      </c>
      <c r="H110" s="90">
        <f t="shared" si="8"/>
        <v>2.2449131678723452E-3</v>
      </c>
      <c r="I110" s="90">
        <f t="shared" si="8"/>
        <v>1.1510636159057165E-3</v>
      </c>
      <c r="J110" s="90">
        <f t="shared" si="8"/>
        <v>9.7608340906649499E-5</v>
      </c>
      <c r="K110" s="90">
        <f t="shared" si="8"/>
        <v>0</v>
      </c>
      <c r="L110" s="90">
        <f t="shared" si="8"/>
        <v>0</v>
      </c>
      <c r="M110" s="90">
        <f t="shared" si="8"/>
        <v>0</v>
      </c>
      <c r="N110" s="90">
        <f t="shared" si="8"/>
        <v>0</v>
      </c>
      <c r="O110" s="90">
        <f t="shared" si="8"/>
        <v>5.5950279036979019E-7</v>
      </c>
      <c r="P110" s="90">
        <f t="shared" si="8"/>
        <v>0</v>
      </c>
      <c r="Q110" s="90">
        <f t="shared" si="8"/>
        <v>4.3823056854002699E-3</v>
      </c>
      <c r="R110" s="90">
        <f t="shared" si="8"/>
        <v>0</v>
      </c>
      <c r="S110" s="90">
        <f t="shared" si="8"/>
        <v>0</v>
      </c>
      <c r="T110" s="107"/>
    </row>
    <row r="111" spans="1:406" s="102" customFormat="1" x14ac:dyDescent="0.3">
      <c r="A111" s="284" t="s">
        <v>1</v>
      </c>
      <c r="B111" s="110">
        <f>'Input data dairy products'!C21</f>
        <v>0.76800000000000002</v>
      </c>
      <c r="C111" s="269" t="s">
        <v>473</v>
      </c>
      <c r="D111" s="320">
        <f>IF($E$1="GWP100 without fb",D112+D113*'Common input data'!$C$5+D114*'Common input data'!$D$5,IF($E$1="GWP100 with fb",D112+D113*'Common input data'!$C$6+D114*'Common input data'!$D$6,IF($E$1="GTP100 without fb",D112+D113*'Common input data'!$C$7+D114*'Common input data'!$D$7,IF($E$1="GTP100 with fb",D112+D113*'Common input data'!$C$8+D114*'Common input data'!$D$8,D112+D113*'Common input data'!$C$9+D114*'Common input data'!$D$9))))</f>
        <v>4.0271019854173291</v>
      </c>
      <c r="E111" s="302">
        <f>IF($E$1="GWP100 without fb",E112+E113*'Common input data'!$C$5+E114*'Common input data'!$D$5,IF($E$1="GWP100 with fb",E112+E113*'Common input data'!$C$6+E114*'Common input data'!$D$6,IF($E$1="GTP100 without fb",E112+E113*'Common input data'!$C$7+E114*'Common input data'!$D$7,IF($E$1="GTP100 with fb",E112+E113*'Common input data'!$C$8+E114*'Common input data'!$D$8,E112+E113*'Common input data'!$C$9+E114*'Common input data'!$D$9))))</f>
        <v>5.3295655900753722</v>
      </c>
      <c r="F111" s="321">
        <f>IF($E$1="GWP100 without fb",F112+F113*'Common input data'!$C$5+F114*'Common input data'!$D$5,IF($E$1="GWP100 with fb",F112+F113*'Common input data'!$C$6+F114*'Common input data'!$D$6,IF($E$1="GTP100 without fb",F112+F113*'Common input data'!$C$7+F114*'Common input data'!$D$7,IF($E$1="GTP100 with fb",F112+F113*'Common input data'!$C$8+F114*'Common input data'!$D$8,F112+F113*'Common input data'!$C$9+F114*'Common input data'!$D$9))))</f>
        <v>5.5825744289933503</v>
      </c>
      <c r="G111" s="104"/>
      <c r="P111" s="104"/>
      <c r="Q111" s="104"/>
      <c r="R111" s="106"/>
      <c r="S111" s="106"/>
      <c r="T111" s="107"/>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4"/>
      <c r="CA111" s="64"/>
      <c r="CB111" s="64"/>
      <c r="CC111" s="64"/>
      <c r="CD111" s="64"/>
      <c r="CE111" s="64"/>
      <c r="CF111" s="64"/>
      <c r="CG111" s="64"/>
      <c r="CH111" s="64"/>
      <c r="CI111" s="64"/>
      <c r="CJ111" s="64"/>
      <c r="CK111" s="64"/>
      <c r="CL111" s="64"/>
      <c r="CM111" s="64"/>
      <c r="CN111" s="64"/>
      <c r="CO111" s="64"/>
      <c r="CP111" s="64"/>
      <c r="CQ111" s="64"/>
      <c r="CR111" s="64"/>
      <c r="CS111" s="64"/>
      <c r="CT111" s="64"/>
      <c r="CU111" s="64"/>
      <c r="CV111" s="64"/>
      <c r="CW111" s="64"/>
      <c r="CX111" s="64"/>
      <c r="CY111" s="64"/>
      <c r="CZ111" s="64"/>
      <c r="DA111" s="64"/>
      <c r="DB111" s="64"/>
      <c r="DC111" s="64"/>
      <c r="DD111" s="64"/>
      <c r="DE111" s="64"/>
      <c r="DF111" s="64"/>
      <c r="DG111" s="64"/>
      <c r="DH111" s="64"/>
      <c r="DI111" s="64"/>
      <c r="DJ111" s="64"/>
      <c r="DK111" s="64"/>
      <c r="DL111" s="64"/>
      <c r="DM111" s="64"/>
      <c r="DN111" s="64"/>
      <c r="DO111" s="64"/>
      <c r="DP111" s="64"/>
      <c r="DQ111" s="64"/>
      <c r="DR111" s="64"/>
      <c r="DS111" s="64"/>
      <c r="DT111" s="64"/>
      <c r="DU111" s="64"/>
      <c r="DV111" s="64"/>
      <c r="DW111" s="64"/>
      <c r="DX111" s="64"/>
      <c r="DY111" s="64"/>
      <c r="DZ111" s="64"/>
      <c r="EA111" s="64"/>
      <c r="EB111" s="64"/>
      <c r="EC111" s="64"/>
      <c r="ED111" s="64"/>
      <c r="EE111" s="64"/>
      <c r="EF111" s="64"/>
      <c r="EG111" s="64"/>
      <c r="EH111" s="64"/>
      <c r="EI111" s="64"/>
      <c r="EJ111" s="64"/>
      <c r="EK111" s="64"/>
      <c r="EL111" s="64"/>
      <c r="EM111" s="64"/>
      <c r="EN111" s="64"/>
      <c r="EO111" s="64"/>
      <c r="EP111" s="64"/>
      <c r="EQ111" s="64"/>
      <c r="ER111" s="64"/>
      <c r="ES111" s="64"/>
      <c r="ET111" s="64"/>
      <c r="EU111" s="64"/>
      <c r="EV111" s="64"/>
      <c r="EW111" s="64"/>
      <c r="EX111" s="64"/>
      <c r="EY111" s="64"/>
      <c r="EZ111" s="64"/>
      <c r="FA111" s="64"/>
      <c r="FB111" s="64"/>
      <c r="FC111" s="64"/>
      <c r="FD111" s="64"/>
      <c r="FE111" s="64"/>
      <c r="FF111" s="64"/>
      <c r="FG111" s="64"/>
      <c r="FH111" s="64"/>
      <c r="FI111" s="64"/>
      <c r="FJ111" s="64"/>
      <c r="FK111" s="64"/>
      <c r="FL111" s="64"/>
      <c r="FM111" s="64"/>
      <c r="FN111" s="64"/>
      <c r="FO111" s="64"/>
      <c r="FP111" s="64"/>
      <c r="FQ111" s="64"/>
      <c r="FR111" s="64"/>
      <c r="FS111" s="64"/>
      <c r="FT111" s="64"/>
      <c r="FU111" s="64"/>
      <c r="FV111" s="64"/>
      <c r="FW111" s="64"/>
      <c r="FX111" s="64"/>
      <c r="FY111" s="64"/>
      <c r="FZ111" s="64"/>
      <c r="GA111" s="64"/>
      <c r="GB111" s="64"/>
      <c r="GC111" s="64"/>
      <c r="GD111" s="64"/>
      <c r="GE111" s="64"/>
      <c r="GF111" s="64"/>
      <c r="GG111" s="64"/>
      <c r="GH111" s="64"/>
      <c r="GI111" s="64"/>
      <c r="GJ111" s="64"/>
      <c r="GK111" s="64"/>
      <c r="GL111" s="64"/>
      <c r="GM111" s="64"/>
      <c r="GN111" s="64"/>
      <c r="GO111" s="64"/>
      <c r="GP111" s="64"/>
      <c r="GQ111" s="64"/>
      <c r="GR111" s="64"/>
      <c r="GS111" s="64"/>
      <c r="GT111" s="64"/>
      <c r="GU111" s="64"/>
      <c r="GV111" s="64"/>
      <c r="GW111" s="64"/>
      <c r="GX111" s="64"/>
      <c r="GY111" s="64"/>
      <c r="GZ111" s="64"/>
      <c r="HA111" s="64"/>
      <c r="HB111" s="64"/>
      <c r="HC111" s="64"/>
      <c r="HD111" s="64"/>
      <c r="HE111" s="64"/>
      <c r="HF111" s="64"/>
      <c r="HG111" s="64"/>
      <c r="HH111" s="64"/>
      <c r="HI111" s="64"/>
      <c r="HJ111" s="64"/>
      <c r="HK111" s="64"/>
      <c r="HL111" s="64"/>
      <c r="HM111" s="64"/>
      <c r="HN111" s="64"/>
      <c r="HO111" s="64"/>
      <c r="HP111" s="64"/>
      <c r="HQ111" s="64"/>
      <c r="HR111" s="64"/>
      <c r="HS111" s="64"/>
      <c r="HT111" s="64"/>
      <c r="HU111" s="64"/>
      <c r="HV111" s="64"/>
      <c r="HW111" s="64"/>
      <c r="HX111" s="64"/>
      <c r="HY111" s="64"/>
      <c r="HZ111" s="64"/>
      <c r="IA111" s="64"/>
      <c r="IB111" s="64"/>
      <c r="IC111" s="64"/>
      <c r="ID111" s="64"/>
      <c r="IE111" s="64"/>
      <c r="IF111" s="64"/>
      <c r="IG111" s="64"/>
      <c r="IH111" s="64"/>
      <c r="II111" s="64"/>
      <c r="IJ111" s="64"/>
      <c r="IK111" s="64"/>
      <c r="IL111" s="64"/>
      <c r="IM111" s="64"/>
      <c r="IN111" s="64"/>
      <c r="IO111" s="64"/>
      <c r="IP111" s="64"/>
      <c r="IQ111" s="64"/>
      <c r="IR111" s="64"/>
      <c r="IS111" s="64"/>
      <c r="IT111" s="64"/>
      <c r="IU111" s="64"/>
      <c r="IV111" s="64"/>
      <c r="IW111" s="64"/>
      <c r="IX111" s="64"/>
      <c r="IY111" s="64"/>
      <c r="IZ111" s="64"/>
      <c r="JA111" s="64"/>
      <c r="JB111" s="64"/>
      <c r="JC111" s="64"/>
      <c r="JD111" s="64"/>
      <c r="JE111" s="64"/>
      <c r="JF111" s="64"/>
      <c r="JG111" s="64"/>
      <c r="JH111" s="64"/>
      <c r="JI111" s="64"/>
      <c r="JJ111" s="64"/>
      <c r="JK111" s="64"/>
      <c r="JL111" s="64"/>
      <c r="JM111" s="64"/>
      <c r="JN111" s="64"/>
      <c r="JO111" s="64"/>
      <c r="JP111" s="64"/>
      <c r="JQ111" s="64"/>
      <c r="JR111" s="64"/>
      <c r="JS111" s="64"/>
      <c r="JT111" s="64"/>
      <c r="JU111" s="64"/>
      <c r="JV111" s="64"/>
      <c r="JW111" s="64"/>
      <c r="JX111" s="64"/>
      <c r="JY111" s="64"/>
      <c r="JZ111" s="64"/>
      <c r="KA111" s="64"/>
      <c r="KB111" s="64"/>
      <c r="KC111" s="64"/>
      <c r="KD111" s="64"/>
      <c r="KE111" s="64"/>
      <c r="KF111" s="64"/>
      <c r="KG111" s="64"/>
      <c r="KH111" s="64"/>
    </row>
    <row r="112" spans="1:406" s="102" customFormat="1" x14ac:dyDescent="0.3">
      <c r="A112" s="107"/>
      <c r="B112" s="64"/>
      <c r="C112" s="83" t="s">
        <v>164</v>
      </c>
      <c r="D112" s="270">
        <f>IF(AND($E$2="No",$E$3="No"),SUM(H112:K112),IF(AND($E$2="Yes", $E$3="No"), SUM(H112:K112)+M112, IF(AND($E$2="No", $E$3="Yes"),SUM(H112:K112)+L112, SUM(H112:K112)+M112+L112)))</f>
        <v>-0.10764647266147226</v>
      </c>
      <c r="E112" s="90">
        <f>IF(AND($E$2="No",$E$3="No"),SUM(G112:K112,N112:O112),IF(AND($E$2="Yes",$E$3="No"), SUM(G112:K112,N112:O112)+M112, IF(AND($E$2="No", $E$3="Yes"),SUM(G112:K112,N112:O112)+L112, SUM(G112:K112,N112:O112)+M112+L112)))</f>
        <v>0.89793664546578733</v>
      </c>
      <c r="F112" s="278">
        <f>SUM(Q112:S112)/(1-'Common input data'!B$127)</f>
        <v>1.0519268217328042</v>
      </c>
      <c r="G112" s="85">
        <f>'Input data dairy products'!$D$21*G9*'Common input data'!D$41</f>
        <v>0.87791195070792394</v>
      </c>
      <c r="H112" s="85">
        <f>'Input data dairy products'!$D$21*H9*'Common input data'!D$41</f>
        <v>0</v>
      </c>
      <c r="I112" s="85">
        <f>'Input data dairy products'!$D$21*I9*'Common input data'!D$41</f>
        <v>0</v>
      </c>
      <c r="J112" s="85">
        <f>'Input data dairy products'!$D$21*J9*'Common input data'!D$41</f>
        <v>0</v>
      </c>
      <c r="K112" s="85">
        <f>'Input data dairy products'!$D$21*K9*'Common input data'!D$41</f>
        <v>0</v>
      </c>
      <c r="L112" s="85">
        <f>'Input data dairy products'!$D$21*L9*'Common input data'!D$41</f>
        <v>-0.19064359091438046</v>
      </c>
      <c r="M112" s="85">
        <f>'Input data dairy products'!$D$21*M9*'Common input data'!D$41</f>
        <v>8.2997118252908203E-2</v>
      </c>
      <c r="N112" s="85">
        <f>'Input data dairy products'!$D$21*N9*'Common input data'!D$41</f>
        <v>0.11264459996769116</v>
      </c>
      <c r="O112" s="85">
        <f>'Input data dairy products'!$D$21*O9*'Common input data'!D$41</f>
        <v>1.5026567451644528E-2</v>
      </c>
      <c r="P112" s="85">
        <f>'Input data dairy products'!H$29*'Common input data'!D$41</f>
        <v>5.1000000000000004E-2</v>
      </c>
      <c r="Q112" s="349">
        <f>IF(AND($E$2="No",$E$3="No"),SUM(G112:K112,N112:P112),IF(AND($E$2="Yes",$E$3="No"), SUM(G112:K112,N112:P112)+M112, IF(AND($E$2="No", $E$3="Yes"),SUM(G112:K112,N112:P112)+L112, SUM(G112:K112,N112:P112)+M112+L112)))</f>
        <v>0.94893664546578727</v>
      </c>
      <c r="R112" s="90">
        <f>'Common input data'!B$91</f>
        <v>0.05</v>
      </c>
      <c r="S112" s="90">
        <f>'Common input data'!C$98</f>
        <v>0.03</v>
      </c>
      <c r="T112" s="107"/>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64"/>
      <c r="AR112" s="64"/>
      <c r="AS112" s="64"/>
      <c r="AT112" s="64"/>
      <c r="AU112" s="64"/>
      <c r="AV112" s="64"/>
      <c r="AW112" s="64"/>
      <c r="AX112" s="64"/>
      <c r="AY112" s="64"/>
      <c r="AZ112" s="64"/>
      <c r="BA112" s="64"/>
      <c r="BB112" s="64"/>
      <c r="BC112" s="64"/>
      <c r="BD112" s="64"/>
      <c r="BE112" s="64"/>
      <c r="BF112" s="64"/>
      <c r="BG112" s="64"/>
      <c r="BH112" s="64"/>
      <c r="BI112" s="64"/>
      <c r="BJ112" s="64"/>
      <c r="BK112" s="64"/>
      <c r="BL112" s="64"/>
      <c r="BM112" s="64"/>
      <c r="BN112" s="64"/>
      <c r="BO112" s="64"/>
      <c r="BP112" s="64"/>
      <c r="BQ112" s="64"/>
      <c r="BR112" s="64"/>
      <c r="BS112" s="64"/>
      <c r="BT112" s="64"/>
      <c r="BU112" s="64"/>
      <c r="BV112" s="64"/>
      <c r="BW112" s="64"/>
      <c r="BX112" s="64"/>
      <c r="BY112" s="64"/>
      <c r="BZ112" s="64"/>
      <c r="CA112" s="64"/>
      <c r="CB112" s="64"/>
      <c r="CC112" s="64"/>
      <c r="CD112" s="64"/>
      <c r="CE112" s="64"/>
      <c r="CF112" s="64"/>
      <c r="CG112" s="64"/>
      <c r="CH112" s="64"/>
      <c r="CI112" s="64"/>
      <c r="CJ112" s="64"/>
      <c r="CK112" s="64"/>
      <c r="CL112" s="64"/>
      <c r="CM112" s="64"/>
      <c r="CN112" s="64"/>
      <c r="CO112" s="64"/>
      <c r="CP112" s="64"/>
      <c r="CQ112" s="64"/>
      <c r="CR112" s="64"/>
      <c r="CS112" s="64"/>
      <c r="CT112" s="64"/>
      <c r="CU112" s="64"/>
      <c r="CV112" s="64"/>
      <c r="CW112" s="64"/>
      <c r="CX112" s="64"/>
      <c r="CY112" s="64"/>
      <c r="CZ112" s="64"/>
      <c r="DA112" s="64"/>
      <c r="DB112" s="64"/>
      <c r="DC112" s="64"/>
      <c r="DD112" s="64"/>
      <c r="DE112" s="64"/>
      <c r="DF112" s="64"/>
      <c r="DG112" s="64"/>
      <c r="DH112" s="64"/>
      <c r="DI112" s="64"/>
      <c r="DJ112" s="64"/>
      <c r="DK112" s="64"/>
      <c r="DL112" s="64"/>
      <c r="DM112" s="64"/>
      <c r="DN112" s="64"/>
      <c r="DO112" s="64"/>
      <c r="DP112" s="64"/>
      <c r="DQ112" s="64"/>
      <c r="DR112" s="64"/>
      <c r="DS112" s="64"/>
      <c r="DT112" s="64"/>
      <c r="DU112" s="64"/>
      <c r="DV112" s="64"/>
      <c r="DW112" s="64"/>
      <c r="DX112" s="64"/>
      <c r="DY112" s="64"/>
      <c r="DZ112" s="64"/>
      <c r="EA112" s="64"/>
      <c r="EB112" s="64"/>
      <c r="EC112" s="64"/>
      <c r="ED112" s="64"/>
      <c r="EE112" s="64"/>
      <c r="EF112" s="64"/>
      <c r="EG112" s="64"/>
      <c r="EH112" s="64"/>
      <c r="EI112" s="64"/>
      <c r="EJ112" s="64"/>
      <c r="EK112" s="64"/>
      <c r="EL112" s="64"/>
      <c r="EM112" s="64"/>
      <c r="EN112" s="64"/>
      <c r="EO112" s="64"/>
      <c r="EP112" s="64"/>
      <c r="EQ112" s="64"/>
      <c r="ER112" s="64"/>
      <c r="ES112" s="64"/>
      <c r="ET112" s="64"/>
      <c r="EU112" s="64"/>
      <c r="EV112" s="64"/>
      <c r="EW112" s="64"/>
      <c r="EX112" s="64"/>
      <c r="EY112" s="64"/>
      <c r="EZ112" s="64"/>
      <c r="FA112" s="64"/>
      <c r="FB112" s="64"/>
      <c r="FC112" s="64"/>
      <c r="FD112" s="64"/>
      <c r="FE112" s="64"/>
      <c r="FF112" s="64"/>
      <c r="FG112" s="64"/>
      <c r="FH112" s="64"/>
      <c r="FI112" s="64"/>
      <c r="FJ112" s="64"/>
      <c r="FK112" s="64"/>
      <c r="FL112" s="64"/>
      <c r="FM112" s="64"/>
      <c r="FN112" s="64"/>
      <c r="FO112" s="64"/>
      <c r="FP112" s="64"/>
      <c r="FQ112" s="64"/>
      <c r="FR112" s="64"/>
      <c r="FS112" s="64"/>
      <c r="FT112" s="64"/>
      <c r="FU112" s="64"/>
      <c r="FV112" s="64"/>
      <c r="FW112" s="64"/>
      <c r="FX112" s="64"/>
      <c r="FY112" s="64"/>
      <c r="FZ112" s="64"/>
      <c r="GA112" s="64"/>
      <c r="GB112" s="64"/>
      <c r="GC112" s="64"/>
      <c r="GD112" s="64"/>
      <c r="GE112" s="64"/>
      <c r="GF112" s="64"/>
      <c r="GG112" s="64"/>
      <c r="GH112" s="64"/>
      <c r="GI112" s="64"/>
      <c r="GJ112" s="64"/>
      <c r="GK112" s="64"/>
      <c r="GL112" s="64"/>
      <c r="GM112" s="64"/>
      <c r="GN112" s="64"/>
      <c r="GO112" s="64"/>
      <c r="GP112" s="64"/>
      <c r="GQ112" s="64"/>
      <c r="GR112" s="64"/>
      <c r="GS112" s="64"/>
      <c r="GT112" s="64"/>
      <c r="GU112" s="64"/>
      <c r="GV112" s="64"/>
      <c r="GW112" s="64"/>
      <c r="GX112" s="64"/>
      <c r="GY112" s="64"/>
      <c r="GZ112" s="64"/>
      <c r="HA112" s="64"/>
      <c r="HB112" s="64"/>
      <c r="HC112" s="64"/>
      <c r="HD112" s="64"/>
      <c r="HE112" s="64"/>
      <c r="HF112" s="64"/>
      <c r="HG112" s="64"/>
      <c r="HH112" s="64"/>
      <c r="HI112" s="64"/>
      <c r="HJ112" s="64"/>
      <c r="HK112" s="64"/>
      <c r="HL112" s="64"/>
      <c r="HM112" s="64"/>
      <c r="HN112" s="64"/>
      <c r="HO112" s="64"/>
      <c r="HP112" s="64"/>
      <c r="HQ112" s="64"/>
      <c r="HR112" s="64"/>
      <c r="HS112" s="64"/>
      <c r="HT112" s="64"/>
      <c r="HU112" s="64"/>
      <c r="HV112" s="64"/>
      <c r="HW112" s="64"/>
      <c r="HX112" s="64"/>
      <c r="HY112" s="64"/>
      <c r="HZ112" s="64"/>
      <c r="IA112" s="64"/>
      <c r="IB112" s="64"/>
      <c r="IC112" s="64"/>
      <c r="ID112" s="64"/>
      <c r="IE112" s="64"/>
      <c r="IF112" s="64"/>
      <c r="IG112" s="64"/>
      <c r="IH112" s="64"/>
      <c r="II112" s="64"/>
      <c r="IJ112" s="64"/>
      <c r="IK112" s="64"/>
      <c r="IL112" s="64"/>
      <c r="IM112" s="64"/>
      <c r="IN112" s="64"/>
      <c r="IO112" s="64"/>
      <c r="IP112" s="64"/>
      <c r="IQ112" s="64"/>
      <c r="IR112" s="64"/>
      <c r="IS112" s="64"/>
      <c r="IT112" s="64"/>
      <c r="IU112" s="64"/>
      <c r="IV112" s="64"/>
      <c r="IW112" s="64"/>
      <c r="IX112" s="64"/>
      <c r="IY112" s="64"/>
      <c r="IZ112" s="64"/>
      <c r="JA112" s="64"/>
      <c r="JB112" s="64"/>
      <c r="JC112" s="64"/>
      <c r="JD112" s="64"/>
      <c r="JE112" s="64"/>
      <c r="JF112" s="64"/>
      <c r="JG112" s="64"/>
      <c r="JH112" s="64"/>
      <c r="JI112" s="64"/>
      <c r="JJ112" s="64"/>
      <c r="JK112" s="64"/>
      <c r="JL112" s="64"/>
      <c r="JM112" s="64"/>
      <c r="JN112" s="64"/>
      <c r="JO112" s="64"/>
      <c r="JP112" s="64"/>
      <c r="JQ112" s="64"/>
      <c r="JR112" s="64"/>
      <c r="JS112" s="64"/>
      <c r="JT112" s="64"/>
      <c r="JU112" s="64"/>
      <c r="JV112" s="64"/>
      <c r="JW112" s="64"/>
      <c r="JX112" s="64"/>
      <c r="JY112" s="64"/>
      <c r="JZ112" s="64"/>
      <c r="KA112" s="64"/>
      <c r="KB112" s="64"/>
      <c r="KC112" s="64"/>
      <c r="KD112" s="64"/>
      <c r="KE112" s="64"/>
      <c r="KF112" s="64"/>
      <c r="KG112" s="64"/>
      <c r="KH112" s="64"/>
      <c r="KI112" s="64"/>
      <c r="KJ112" s="64"/>
      <c r="KK112" s="64"/>
      <c r="KL112" s="64"/>
      <c r="KM112" s="64"/>
      <c r="KN112" s="64"/>
      <c r="KO112" s="64"/>
      <c r="KP112" s="64"/>
      <c r="KQ112" s="64"/>
      <c r="KR112" s="64"/>
      <c r="KS112" s="64"/>
      <c r="KT112" s="64"/>
      <c r="KU112" s="64"/>
      <c r="KV112" s="64"/>
      <c r="KW112" s="64"/>
      <c r="KX112" s="64"/>
      <c r="KY112" s="64"/>
      <c r="KZ112" s="64"/>
      <c r="LA112" s="64"/>
      <c r="LB112" s="64"/>
      <c r="LC112" s="64"/>
      <c r="LD112" s="64"/>
      <c r="LE112" s="64"/>
      <c r="LF112" s="64"/>
      <c r="LG112" s="64"/>
      <c r="LH112" s="64"/>
      <c r="LI112" s="64"/>
      <c r="LJ112" s="64"/>
      <c r="LK112" s="64"/>
      <c r="LL112" s="64"/>
      <c r="LM112" s="64"/>
      <c r="LN112" s="64"/>
      <c r="LO112" s="64"/>
      <c r="LP112" s="64"/>
      <c r="LQ112" s="64"/>
      <c r="LR112" s="64"/>
      <c r="LS112" s="64"/>
      <c r="LT112" s="64"/>
      <c r="LU112" s="64"/>
      <c r="LV112" s="64"/>
      <c r="LW112" s="64"/>
      <c r="LX112" s="64"/>
      <c r="LY112" s="64"/>
      <c r="LZ112" s="64"/>
      <c r="MA112" s="64"/>
      <c r="MB112" s="64"/>
      <c r="MC112" s="64"/>
      <c r="MD112" s="64"/>
      <c r="ME112" s="64"/>
      <c r="MF112" s="64"/>
      <c r="MG112" s="64"/>
      <c r="MH112" s="64"/>
      <c r="MI112" s="64"/>
      <c r="MJ112" s="64"/>
      <c r="MK112" s="64"/>
      <c r="ML112" s="64"/>
      <c r="MM112" s="64"/>
      <c r="MN112" s="64"/>
      <c r="MO112" s="64"/>
      <c r="MP112" s="64"/>
      <c r="MQ112" s="64"/>
      <c r="MR112" s="64"/>
      <c r="MS112" s="64"/>
      <c r="MT112" s="64"/>
      <c r="MU112" s="64"/>
      <c r="MV112" s="64"/>
      <c r="MW112" s="64"/>
      <c r="MX112" s="64"/>
      <c r="MY112" s="64"/>
      <c r="MZ112" s="64"/>
      <c r="NA112" s="64"/>
      <c r="NB112" s="64"/>
      <c r="NC112" s="64"/>
      <c r="ND112" s="64"/>
      <c r="NE112" s="64"/>
      <c r="NF112" s="64"/>
      <c r="NG112" s="64"/>
      <c r="NH112" s="64"/>
      <c r="NI112" s="64"/>
      <c r="NJ112" s="64"/>
      <c r="NK112" s="64"/>
      <c r="NL112" s="64"/>
      <c r="NM112" s="64"/>
      <c r="NN112" s="64"/>
      <c r="NO112" s="64"/>
      <c r="NP112" s="64"/>
      <c r="NQ112" s="64"/>
      <c r="NR112" s="64"/>
      <c r="NS112" s="64"/>
      <c r="NT112" s="64"/>
      <c r="NU112" s="64"/>
      <c r="NV112" s="64"/>
      <c r="NW112" s="64"/>
      <c r="NX112" s="64"/>
      <c r="NY112" s="64"/>
      <c r="NZ112" s="64"/>
      <c r="OA112" s="64"/>
      <c r="OB112" s="64"/>
      <c r="OC112" s="64"/>
      <c r="OD112" s="64"/>
      <c r="OE112" s="64"/>
      <c r="OF112" s="64"/>
      <c r="OG112" s="64"/>
      <c r="OH112" s="64"/>
      <c r="OI112" s="64"/>
      <c r="OJ112" s="64"/>
      <c r="OK112" s="64"/>
      <c r="OL112" s="64"/>
      <c r="OM112" s="64"/>
      <c r="ON112" s="64"/>
      <c r="OO112" s="64"/>
      <c r="OP112" s="64"/>
    </row>
    <row r="113" spans="1:406" x14ac:dyDescent="0.3">
      <c r="A113" s="144"/>
      <c r="B113" s="142"/>
      <c r="C113" s="83" t="s">
        <v>165</v>
      </c>
      <c r="D113" s="270">
        <f>SUM(H113:K113)</f>
        <v>9.0990002674198739E-2</v>
      </c>
      <c r="E113" s="90">
        <f>SUM(G113:K113,N113:O113)</f>
        <v>9.1933983345181575E-2</v>
      </c>
      <c r="F113" s="278">
        <f>SUM(Q113:S113)/(1-'Common input data'!B$127)</f>
        <v>9.3988121946764688E-2</v>
      </c>
      <c r="G113" s="85">
        <f>'Input data dairy products'!$D$21*G10*'Common input data'!D$41</f>
        <v>9.3990768500180259E-4</v>
      </c>
      <c r="H113" s="85">
        <f>'Input data dairy products'!$D$21*H10*'Common input data'!D$41</f>
        <v>0</v>
      </c>
      <c r="I113" s="85">
        <f>'Input data dairy products'!$D$21*I10*'Common input data'!D$41</f>
        <v>5.9455470242151089E-3</v>
      </c>
      <c r="J113" s="85">
        <f>'Input data dairy products'!$D$21*J10*'Common input data'!D$41</f>
        <v>0</v>
      </c>
      <c r="K113" s="85">
        <f>'Input data dairy products'!$D$21*K10*'Common input data'!D$41</f>
        <v>8.5044455649983627E-2</v>
      </c>
      <c r="L113" s="85">
        <f>'Input data dairy products'!$D$21*L10*'Common input data'!D$41</f>
        <v>0</v>
      </c>
      <c r="M113" s="85">
        <f>'Input data dairy products'!$D$21*M10*'Common input data'!D$41</f>
        <v>0</v>
      </c>
      <c r="N113" s="85">
        <f>'Input data dairy products'!$D$21*N10*'Common input data'!D$41</f>
        <v>0</v>
      </c>
      <c r="O113" s="85">
        <f>'Input data dairy products'!$D$21*O10*'Common input data'!D$41</f>
        <v>4.0729859810469109E-6</v>
      </c>
      <c r="P113" s="85">
        <v>0</v>
      </c>
      <c r="Q113" s="85">
        <f>SUM(G113:P113)</f>
        <v>9.1933983345181575E-2</v>
      </c>
      <c r="R113" s="90">
        <v>0</v>
      </c>
      <c r="S113" s="90">
        <v>0</v>
      </c>
      <c r="T113" s="107"/>
    </row>
    <row r="114" spans="1:406" x14ac:dyDescent="0.3">
      <c r="A114" s="174"/>
      <c r="B114" s="85"/>
      <c r="C114" s="84" t="s">
        <v>166</v>
      </c>
      <c r="D114" s="270">
        <f>SUM(H114:K114)</f>
        <v>3.4935851246847113E-3</v>
      </c>
      <c r="E114" s="90">
        <f>SUM(G114:K114,N114:O114)</f>
        <v>4.3821258754141333E-3</v>
      </c>
      <c r="F114" s="278">
        <f>SUM(Q114:S114)/(1-'Common input data'!B$127)</f>
        <v>4.4800384599682774E-3</v>
      </c>
      <c r="G114" s="85">
        <f>'Input data dairy products'!$D$21*G11*'Common input data'!D$41</f>
        <v>8.8816105792518922E-4</v>
      </c>
      <c r="H114" s="85">
        <f>'Input data dairy products'!$D$21*H11*'Common input data'!D$41</f>
        <v>2.2449131678723452E-3</v>
      </c>
      <c r="I114" s="85">
        <f>'Input data dairy products'!$D$21*I11*'Common input data'!D$41</f>
        <v>1.1510636159057165E-3</v>
      </c>
      <c r="J114" s="85">
        <f>'Input data dairy products'!$D$21*J11*'Common input data'!D$41</f>
        <v>9.7608340906649499E-5</v>
      </c>
      <c r="K114" s="85">
        <f>'Input data dairy products'!$D$21*K11*'Common input data'!D$41</f>
        <v>0</v>
      </c>
      <c r="L114" s="85">
        <f>'Input data dairy products'!$D$21*L11*'Common input data'!D$41</f>
        <v>0</v>
      </c>
      <c r="M114" s="85">
        <f>'Input data dairy products'!$D$21*M11*'Common input data'!D$41</f>
        <v>0</v>
      </c>
      <c r="N114" s="85">
        <f>'Input data dairy products'!$D$21*N11*'Common input data'!D$41</f>
        <v>0</v>
      </c>
      <c r="O114" s="85">
        <f>'Input data dairy products'!$D$21*O11*'Common input data'!D$41</f>
        <v>3.7969280423315084E-7</v>
      </c>
      <c r="P114" s="85">
        <v>0</v>
      </c>
      <c r="Q114" s="85">
        <f>SUM(G114:P114)</f>
        <v>4.3821258754141333E-3</v>
      </c>
      <c r="R114" s="90">
        <v>0</v>
      </c>
      <c r="S114" s="90">
        <v>0</v>
      </c>
      <c r="T114" s="107"/>
    </row>
    <row r="115" spans="1:406" s="102" customFormat="1" x14ac:dyDescent="0.3">
      <c r="A115" s="284" t="s">
        <v>70</v>
      </c>
      <c r="B115" s="110">
        <f>'Input data dairy products'!C22</f>
        <v>0.23199999999999998</v>
      </c>
      <c r="C115" s="269" t="s">
        <v>473</v>
      </c>
      <c r="D115" s="320">
        <f>IF($E$1="GWP100 without fb",D116+D117*'Common input data'!$C$5+D118*'Common input data'!$D$5,IF($E$1="GWP100 with fb",D116+D117*'Common input data'!$C$6+D118*'Common input data'!$D$6,IF($E$1="GTP100 without fb",D116+D117*'Common input data'!$C$7+D118*'Common input data'!$D$7,IF($E$1="GTP100 with fb",D116+D117*'Common input data'!$C$8+D118*'Common input data'!$D$8,D116+D117*'Common input data'!$C$9+D118*'Common input data'!$D$9))))</f>
        <v>4.0271019854173291</v>
      </c>
      <c r="E115" s="302">
        <f>IF($E$1="GWP100 without fb",E116+E117*'Common input data'!$C$5+E118*'Common input data'!$D$5,IF($E$1="GWP100 with fb",E116+E117*'Common input data'!$C$6+E118*'Common input data'!$D$6,IF($E$1="GTP100 without fb",E116+E117*'Common input data'!$C$7+E118*'Common input data'!$D$7,IF($E$1="GTP100 with fb",E116+E117*'Common input data'!$C$8+E118*'Common input data'!$D$8,E116+E117*'Common input data'!$C$9+E118*'Common input data'!$D$9))))</f>
        <v>5.5906863517751031</v>
      </c>
      <c r="F115" s="321">
        <f>IF($E$1="GWP100 without fb",F116+F117*'Common input data'!$C$5+F118*'Common input data'!$D$5,IF($E$1="GWP100 with fb",F116+F117*'Common input data'!$C$6+F118*'Common input data'!$D$6,IF($E$1="GTP100 without fb",F116+F117*'Common input data'!$C$7+F118*'Common input data'!$D$7,IF($E$1="GTP100 with fb",F116+F117*'Common input data'!$C$8+F118*'Common input data'!$D$8,F116+F117*'Common input data'!$C$9+F118*'Common input data'!$D$9))))</f>
        <v>6.1322075882792202</v>
      </c>
      <c r="G115" s="104"/>
      <c r="P115" s="104"/>
      <c r="Q115" s="104"/>
      <c r="R115" s="106"/>
      <c r="S115" s="106"/>
      <c r="T115" s="107"/>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c r="AV115" s="64"/>
      <c r="AW115" s="64"/>
      <c r="AX115" s="64"/>
      <c r="AY115" s="64"/>
      <c r="AZ115" s="64"/>
      <c r="BA115" s="64"/>
      <c r="BB115" s="64"/>
      <c r="BC115" s="64"/>
      <c r="BD115" s="64"/>
      <c r="BE115" s="64"/>
      <c r="BF115" s="64"/>
      <c r="BG115" s="64"/>
      <c r="BH115" s="64"/>
      <c r="BI115" s="64"/>
      <c r="BJ115" s="64"/>
      <c r="BK115" s="64"/>
      <c r="BL115" s="64"/>
      <c r="BM115" s="64"/>
      <c r="BN115" s="64"/>
      <c r="BO115" s="64"/>
      <c r="BP115" s="64"/>
      <c r="BQ115" s="64"/>
      <c r="BR115" s="64"/>
      <c r="BS115" s="64"/>
      <c r="BT115" s="64"/>
      <c r="BU115" s="64"/>
      <c r="BV115" s="64"/>
      <c r="BW115" s="64"/>
      <c r="BX115" s="64"/>
      <c r="BY115" s="64"/>
      <c r="BZ115" s="64"/>
      <c r="CA115" s="64"/>
      <c r="CB115" s="64"/>
      <c r="CC115" s="64"/>
      <c r="CD115" s="64"/>
      <c r="CE115" s="64"/>
      <c r="CF115" s="64"/>
      <c r="CG115" s="64"/>
      <c r="CH115" s="64"/>
      <c r="CI115" s="64"/>
      <c r="CJ115" s="64"/>
      <c r="CK115" s="64"/>
      <c r="CL115" s="64"/>
      <c r="CM115" s="64"/>
      <c r="CN115" s="64"/>
      <c r="CO115" s="64"/>
      <c r="CP115" s="64"/>
      <c r="CQ115" s="64"/>
      <c r="CR115" s="64"/>
      <c r="CS115" s="64"/>
      <c r="CT115" s="64"/>
      <c r="CU115" s="64"/>
      <c r="CV115" s="64"/>
      <c r="CW115" s="64"/>
      <c r="CX115" s="64"/>
      <c r="CY115" s="64"/>
      <c r="CZ115" s="64"/>
      <c r="DA115" s="64"/>
      <c r="DB115" s="64"/>
      <c r="DC115" s="64"/>
      <c r="DD115" s="64"/>
      <c r="DE115" s="64"/>
      <c r="DF115" s="64"/>
      <c r="DG115" s="64"/>
      <c r="DH115" s="64"/>
      <c r="DI115" s="64"/>
      <c r="DJ115" s="64"/>
      <c r="DK115" s="64"/>
      <c r="DL115" s="64"/>
      <c r="DM115" s="64"/>
      <c r="DN115" s="64"/>
      <c r="DO115" s="64"/>
      <c r="DP115" s="64"/>
      <c r="DQ115" s="64"/>
      <c r="DR115" s="64"/>
      <c r="DS115" s="64"/>
      <c r="DT115" s="64"/>
      <c r="DU115" s="64"/>
      <c r="DV115" s="64"/>
      <c r="DW115" s="64"/>
      <c r="DX115" s="64"/>
      <c r="DY115" s="64"/>
      <c r="DZ115" s="64"/>
      <c r="EA115" s="64"/>
      <c r="EB115" s="64"/>
      <c r="EC115" s="64"/>
      <c r="ED115" s="64"/>
      <c r="EE115" s="64"/>
      <c r="EF115" s="64"/>
      <c r="EG115" s="64"/>
      <c r="EH115" s="64"/>
      <c r="EI115" s="64"/>
      <c r="EJ115" s="64"/>
      <c r="EK115" s="64"/>
      <c r="EL115" s="64"/>
      <c r="EM115" s="64"/>
      <c r="EN115" s="64"/>
      <c r="EO115" s="64"/>
      <c r="EP115" s="64"/>
      <c r="EQ115" s="64"/>
      <c r="ER115" s="64"/>
      <c r="ES115" s="64"/>
      <c r="ET115" s="64"/>
      <c r="EU115" s="64"/>
      <c r="EV115" s="64"/>
      <c r="EW115" s="64"/>
      <c r="EX115" s="64"/>
      <c r="EY115" s="64"/>
      <c r="EZ115" s="64"/>
      <c r="FA115" s="64"/>
      <c r="FB115" s="64"/>
      <c r="FC115" s="64"/>
      <c r="FD115" s="64"/>
      <c r="FE115" s="64"/>
      <c r="FF115" s="64"/>
      <c r="FG115" s="64"/>
      <c r="FH115" s="64"/>
      <c r="FI115" s="64"/>
      <c r="FJ115" s="64"/>
      <c r="FK115" s="64"/>
      <c r="FL115" s="64"/>
      <c r="FM115" s="64"/>
      <c r="FN115" s="64"/>
      <c r="FO115" s="64"/>
      <c r="FP115" s="64"/>
      <c r="FQ115" s="64"/>
      <c r="FR115" s="64"/>
      <c r="FS115" s="64"/>
      <c r="FT115" s="64"/>
      <c r="FU115" s="64"/>
      <c r="FV115" s="64"/>
      <c r="FW115" s="64"/>
      <c r="FX115" s="64"/>
      <c r="FY115" s="64"/>
      <c r="FZ115" s="64"/>
      <c r="GA115" s="64"/>
      <c r="GB115" s="64"/>
      <c r="GC115" s="64"/>
      <c r="GD115" s="64"/>
      <c r="GE115" s="64"/>
      <c r="GF115" s="64"/>
      <c r="GG115" s="64"/>
      <c r="GH115" s="64"/>
      <c r="GI115" s="64"/>
      <c r="GJ115" s="64"/>
      <c r="GK115" s="64"/>
      <c r="GL115" s="64"/>
      <c r="GM115" s="64"/>
      <c r="GN115" s="64"/>
      <c r="GO115" s="64"/>
      <c r="GP115" s="64"/>
      <c r="GQ115" s="64"/>
      <c r="GR115" s="64"/>
      <c r="GS115" s="64"/>
      <c r="GT115" s="64"/>
      <c r="GU115" s="64"/>
      <c r="GV115" s="64"/>
      <c r="GW115" s="64"/>
      <c r="GX115" s="64"/>
      <c r="GY115" s="64"/>
      <c r="GZ115" s="64"/>
      <c r="HA115" s="64"/>
      <c r="HB115" s="64"/>
      <c r="HC115" s="64"/>
      <c r="HD115" s="64"/>
      <c r="HE115" s="64"/>
      <c r="HF115" s="64"/>
      <c r="HG115" s="64"/>
      <c r="HH115" s="64"/>
      <c r="HI115" s="64"/>
      <c r="HJ115" s="64"/>
      <c r="HK115" s="64"/>
      <c r="HL115" s="64"/>
      <c r="HM115" s="64"/>
      <c r="HN115" s="64"/>
      <c r="HO115" s="64"/>
      <c r="HP115" s="64"/>
      <c r="HQ115" s="64"/>
      <c r="HR115" s="64"/>
      <c r="HS115" s="64"/>
      <c r="HT115" s="64"/>
      <c r="HU115" s="64"/>
      <c r="HV115" s="64"/>
      <c r="HW115" s="64"/>
      <c r="HX115" s="64"/>
      <c r="HY115" s="64"/>
      <c r="HZ115" s="64"/>
      <c r="IA115" s="64"/>
      <c r="IB115" s="64"/>
      <c r="IC115" s="64"/>
      <c r="ID115" s="64"/>
      <c r="IE115" s="64"/>
      <c r="IF115" s="64"/>
      <c r="IG115" s="64"/>
      <c r="IH115" s="64"/>
      <c r="II115" s="64"/>
      <c r="IJ115" s="64"/>
      <c r="IK115" s="64"/>
      <c r="IL115" s="64"/>
      <c r="IM115" s="64"/>
      <c r="IN115" s="64"/>
      <c r="IO115" s="64"/>
      <c r="IP115" s="64"/>
      <c r="IQ115" s="64"/>
      <c r="IR115" s="64"/>
      <c r="IS115" s="64"/>
      <c r="IT115" s="64"/>
      <c r="IU115" s="64"/>
      <c r="IV115" s="64"/>
      <c r="IW115" s="64"/>
      <c r="IX115" s="64"/>
      <c r="IY115" s="64"/>
      <c r="IZ115" s="64"/>
      <c r="JA115" s="64"/>
      <c r="JB115" s="64"/>
      <c r="JC115" s="64"/>
      <c r="JD115" s="64"/>
      <c r="JE115" s="64"/>
      <c r="JF115" s="64"/>
      <c r="JG115" s="64"/>
      <c r="JH115" s="64"/>
      <c r="JI115" s="64"/>
      <c r="JJ115" s="64"/>
      <c r="JK115" s="64"/>
      <c r="JL115" s="64"/>
      <c r="JM115" s="64"/>
      <c r="JN115" s="64"/>
      <c r="JO115" s="64"/>
      <c r="JP115" s="64"/>
      <c r="JQ115" s="64"/>
      <c r="JR115" s="64"/>
      <c r="JS115" s="64"/>
      <c r="JT115" s="64"/>
      <c r="JU115" s="64"/>
      <c r="JV115" s="64"/>
      <c r="JW115" s="64"/>
      <c r="JX115" s="64"/>
      <c r="JY115" s="64"/>
      <c r="JZ115" s="64"/>
      <c r="KA115" s="64"/>
      <c r="KB115" s="64"/>
      <c r="KC115" s="64"/>
      <c r="KD115" s="64"/>
      <c r="KE115" s="64"/>
      <c r="KF115" s="64"/>
      <c r="KG115" s="64"/>
      <c r="KH115" s="64"/>
    </row>
    <row r="116" spans="1:406" s="102" customFormat="1" x14ac:dyDescent="0.3">
      <c r="A116" s="107"/>
      <c r="B116" s="64"/>
      <c r="C116" s="83" t="s">
        <v>164</v>
      </c>
      <c r="D116" s="270">
        <f>IF(AND($E$2="No",$E$3="No"),SUM(H116:K116),IF(AND($E$2="Yes", $E$3="No"), SUM(H116:K116)+M116, IF(AND($E$2="No", $E$3="Yes"),SUM(H116:K116)+L116, SUM(H116:K116)+M116+L116)))</f>
        <v>-0.10764647266147226</v>
      </c>
      <c r="E116" s="90">
        <f>IF(AND($E$2="No",$E$3="No"),SUM(G116:K116,N116:O116),IF(AND($E$2="Yes",$E$3="No"), SUM(G116:K116,N116:O116)+M116, IF(AND($E$2="No", $E$3="Yes"),SUM(G116:K116,N116:O116)+L116, SUM(G116:K116,N116:O116)+M116+L116)))</f>
        <v>1.1585437707135033</v>
      </c>
      <c r="F116" s="278">
        <f>SUM(Q116:S116)/(1-'Common input data'!B$127)</f>
        <v>1.6010348680655357</v>
      </c>
      <c r="G116" s="85">
        <f>'Input data dairy products'!$D$22*G13*'Common input data'!D$41</f>
        <v>0.87791195070792394</v>
      </c>
      <c r="H116" s="85">
        <f>'Input data dairy products'!$D$22*H13*'Common input data'!D$41</f>
        <v>0</v>
      </c>
      <c r="I116" s="85">
        <f>'Input data dairy products'!$D$22*I13*'Common input data'!D$41</f>
        <v>0</v>
      </c>
      <c r="J116" s="85">
        <f>'Input data dairy products'!$D$22*J13*'Common input data'!D$41</f>
        <v>0</v>
      </c>
      <c r="K116" s="85">
        <f>'Input data dairy products'!$D$22*K13*'Common input data'!D$41</f>
        <v>0</v>
      </c>
      <c r="L116" s="85">
        <f>'Input data dairy products'!$D$22*L13*'Common input data'!D$41</f>
        <v>-0.19064359091438046</v>
      </c>
      <c r="M116" s="85">
        <f>'Input data dairy products'!$D$22*M13*'Common input data'!D$41</f>
        <v>8.2997118252908203E-2</v>
      </c>
      <c r="N116" s="85">
        <f>'Input data dairy products'!$D$22*N13*'Common input data'!D$41</f>
        <v>0.34257893804607104</v>
      </c>
      <c r="O116" s="85">
        <f>'Input data dairy products'!$D$22*O13*'Common input data'!D$41</f>
        <v>4.5699354620980778E-2</v>
      </c>
      <c r="P116" s="85">
        <f>'Input data dairy products'!H$30*'Common input data'!D$41</f>
        <v>0.1275</v>
      </c>
      <c r="Q116" s="349">
        <f>IF(AND($E$2="No",$E$3="No"),SUM(G116:K116,N116:P116),IF(AND($E$2="Yes",$E$3="No"), SUM(G116:K116,N116:P116)+M116, IF(AND($E$2="No", $E$3="Yes"),SUM(G116:K116,N116:P116)+L116, SUM(G116:K116,N116:P116)+M116+L116)))</f>
        <v>1.2860437707135033</v>
      </c>
      <c r="R116" s="90">
        <f>'Common input data'!B$91</f>
        <v>0.05</v>
      </c>
      <c r="S116" s="90">
        <f>'Common input data'!B$102+'Common input data'!C$102</f>
        <v>0.23000000000000004</v>
      </c>
      <c r="T116" s="107"/>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4"/>
      <c r="CA116" s="64"/>
      <c r="CB116" s="64"/>
      <c r="CC116" s="64"/>
      <c r="CD116" s="64"/>
      <c r="CE116" s="64"/>
      <c r="CF116" s="64"/>
      <c r="CG116" s="64"/>
      <c r="CH116" s="64"/>
      <c r="CI116" s="64"/>
      <c r="CJ116" s="64"/>
      <c r="CK116" s="64"/>
      <c r="CL116" s="64"/>
      <c r="CM116" s="64"/>
      <c r="CN116" s="64"/>
      <c r="CO116" s="64"/>
      <c r="CP116" s="64"/>
      <c r="CQ116" s="64"/>
      <c r="CR116" s="64"/>
      <c r="CS116" s="64"/>
      <c r="CT116" s="64"/>
      <c r="CU116" s="64"/>
      <c r="CV116" s="64"/>
      <c r="CW116" s="64"/>
      <c r="CX116" s="64"/>
      <c r="CY116" s="64"/>
      <c r="CZ116" s="64"/>
      <c r="DA116" s="64"/>
      <c r="DB116" s="64"/>
      <c r="DC116" s="64"/>
      <c r="DD116" s="64"/>
      <c r="DE116" s="64"/>
      <c r="DF116" s="64"/>
      <c r="DG116" s="64"/>
      <c r="DH116" s="64"/>
      <c r="DI116" s="64"/>
      <c r="DJ116" s="64"/>
      <c r="DK116" s="64"/>
      <c r="DL116" s="64"/>
      <c r="DM116" s="64"/>
      <c r="DN116" s="64"/>
      <c r="DO116" s="64"/>
      <c r="DP116" s="64"/>
      <c r="DQ116" s="64"/>
      <c r="DR116" s="64"/>
      <c r="DS116" s="64"/>
      <c r="DT116" s="64"/>
      <c r="DU116" s="64"/>
      <c r="DV116" s="64"/>
      <c r="DW116" s="64"/>
      <c r="DX116" s="64"/>
      <c r="DY116" s="64"/>
      <c r="DZ116" s="64"/>
      <c r="EA116" s="64"/>
      <c r="EB116" s="64"/>
      <c r="EC116" s="64"/>
      <c r="ED116" s="64"/>
      <c r="EE116" s="64"/>
      <c r="EF116" s="64"/>
      <c r="EG116" s="64"/>
      <c r="EH116" s="64"/>
      <c r="EI116" s="64"/>
      <c r="EJ116" s="64"/>
      <c r="EK116" s="64"/>
      <c r="EL116" s="64"/>
      <c r="EM116" s="64"/>
      <c r="EN116" s="64"/>
      <c r="EO116" s="64"/>
      <c r="EP116" s="64"/>
      <c r="EQ116" s="64"/>
      <c r="ER116" s="64"/>
      <c r="ES116" s="64"/>
      <c r="ET116" s="64"/>
      <c r="EU116" s="64"/>
      <c r="EV116" s="64"/>
      <c r="EW116" s="64"/>
      <c r="EX116" s="64"/>
      <c r="EY116" s="64"/>
      <c r="EZ116" s="64"/>
      <c r="FA116" s="64"/>
      <c r="FB116" s="64"/>
      <c r="FC116" s="64"/>
      <c r="FD116" s="64"/>
      <c r="FE116" s="64"/>
      <c r="FF116" s="64"/>
      <c r="FG116" s="64"/>
      <c r="FH116" s="64"/>
      <c r="FI116" s="64"/>
      <c r="FJ116" s="64"/>
      <c r="FK116" s="64"/>
      <c r="FL116" s="64"/>
      <c r="FM116" s="64"/>
      <c r="FN116" s="64"/>
      <c r="FO116" s="64"/>
      <c r="FP116" s="64"/>
      <c r="FQ116" s="64"/>
      <c r="FR116" s="64"/>
      <c r="FS116" s="64"/>
      <c r="FT116" s="64"/>
      <c r="FU116" s="64"/>
      <c r="FV116" s="64"/>
      <c r="FW116" s="64"/>
      <c r="FX116" s="64"/>
      <c r="FY116" s="64"/>
      <c r="FZ116" s="64"/>
      <c r="GA116" s="64"/>
      <c r="GB116" s="64"/>
      <c r="GC116" s="64"/>
      <c r="GD116" s="64"/>
      <c r="GE116" s="64"/>
      <c r="GF116" s="64"/>
      <c r="GG116" s="64"/>
      <c r="GH116" s="64"/>
      <c r="GI116" s="64"/>
      <c r="GJ116" s="64"/>
      <c r="GK116" s="64"/>
      <c r="GL116" s="64"/>
      <c r="GM116" s="64"/>
      <c r="GN116" s="64"/>
      <c r="GO116" s="64"/>
      <c r="GP116" s="64"/>
      <c r="GQ116" s="64"/>
      <c r="GR116" s="64"/>
      <c r="GS116" s="64"/>
      <c r="GT116" s="64"/>
      <c r="GU116" s="64"/>
      <c r="GV116" s="64"/>
      <c r="GW116" s="64"/>
      <c r="GX116" s="64"/>
      <c r="GY116" s="64"/>
      <c r="GZ116" s="64"/>
      <c r="HA116" s="64"/>
      <c r="HB116" s="64"/>
      <c r="HC116" s="64"/>
      <c r="HD116" s="64"/>
      <c r="HE116" s="64"/>
      <c r="HF116" s="64"/>
      <c r="HG116" s="64"/>
      <c r="HH116" s="64"/>
      <c r="HI116" s="64"/>
      <c r="HJ116" s="64"/>
      <c r="HK116" s="64"/>
      <c r="HL116" s="64"/>
      <c r="HM116" s="64"/>
      <c r="HN116" s="64"/>
      <c r="HO116" s="64"/>
      <c r="HP116" s="64"/>
      <c r="HQ116" s="64"/>
      <c r="HR116" s="64"/>
      <c r="HS116" s="64"/>
      <c r="HT116" s="64"/>
      <c r="HU116" s="64"/>
      <c r="HV116" s="64"/>
      <c r="HW116" s="64"/>
      <c r="HX116" s="64"/>
      <c r="HY116" s="64"/>
      <c r="HZ116" s="64"/>
      <c r="IA116" s="64"/>
      <c r="IB116" s="64"/>
      <c r="IC116" s="64"/>
      <c r="ID116" s="64"/>
      <c r="IE116" s="64"/>
      <c r="IF116" s="64"/>
      <c r="IG116" s="64"/>
      <c r="IH116" s="64"/>
      <c r="II116" s="64"/>
      <c r="IJ116" s="64"/>
      <c r="IK116" s="64"/>
      <c r="IL116" s="64"/>
      <c r="IM116" s="64"/>
      <c r="IN116" s="64"/>
      <c r="IO116" s="64"/>
      <c r="IP116" s="64"/>
      <c r="IQ116" s="64"/>
      <c r="IR116" s="64"/>
      <c r="IS116" s="64"/>
      <c r="IT116" s="64"/>
      <c r="IU116" s="64"/>
      <c r="IV116" s="64"/>
      <c r="IW116" s="64"/>
      <c r="IX116" s="64"/>
      <c r="IY116" s="64"/>
      <c r="IZ116" s="64"/>
      <c r="JA116" s="64"/>
      <c r="JB116" s="64"/>
      <c r="JC116" s="64"/>
      <c r="JD116" s="64"/>
      <c r="JE116" s="64"/>
      <c r="JF116" s="64"/>
      <c r="JG116" s="64"/>
      <c r="JH116" s="64"/>
      <c r="JI116" s="64"/>
      <c r="JJ116" s="64"/>
      <c r="JK116" s="64"/>
      <c r="JL116" s="64"/>
      <c r="JM116" s="64"/>
      <c r="JN116" s="64"/>
      <c r="JO116" s="64"/>
      <c r="JP116" s="64"/>
      <c r="JQ116" s="64"/>
      <c r="JR116" s="64"/>
      <c r="JS116" s="64"/>
      <c r="JT116" s="64"/>
      <c r="JU116" s="64"/>
      <c r="JV116" s="64"/>
      <c r="JW116" s="64"/>
      <c r="JX116" s="64"/>
      <c r="JY116" s="64"/>
      <c r="JZ116" s="64"/>
      <c r="KA116" s="64"/>
      <c r="KB116" s="64"/>
      <c r="KC116" s="64"/>
      <c r="KD116" s="64"/>
      <c r="KE116" s="64"/>
      <c r="KF116" s="64"/>
      <c r="KG116" s="64"/>
      <c r="KH116" s="64"/>
      <c r="KI116" s="64"/>
      <c r="KJ116" s="64"/>
      <c r="KK116" s="64"/>
      <c r="KL116" s="64"/>
      <c r="KM116" s="64"/>
      <c r="KN116" s="64"/>
      <c r="KO116" s="64"/>
      <c r="KP116" s="64"/>
      <c r="KQ116" s="64"/>
      <c r="KR116" s="64"/>
      <c r="KS116" s="64"/>
      <c r="KT116" s="64"/>
      <c r="KU116" s="64"/>
      <c r="KV116" s="64"/>
      <c r="KW116" s="64"/>
      <c r="KX116" s="64"/>
      <c r="KY116" s="64"/>
      <c r="KZ116" s="64"/>
      <c r="LA116" s="64"/>
      <c r="LB116" s="64"/>
      <c r="LC116" s="64"/>
      <c r="LD116" s="64"/>
      <c r="LE116" s="64"/>
      <c r="LF116" s="64"/>
      <c r="LG116" s="64"/>
      <c r="LH116" s="64"/>
      <c r="LI116" s="64"/>
      <c r="LJ116" s="64"/>
      <c r="LK116" s="64"/>
      <c r="LL116" s="64"/>
      <c r="LM116" s="64"/>
      <c r="LN116" s="64"/>
      <c r="LO116" s="64"/>
      <c r="LP116" s="64"/>
      <c r="LQ116" s="64"/>
      <c r="LR116" s="64"/>
      <c r="LS116" s="64"/>
      <c r="LT116" s="64"/>
      <c r="LU116" s="64"/>
      <c r="LV116" s="64"/>
      <c r="LW116" s="64"/>
      <c r="LX116" s="64"/>
      <c r="LY116" s="64"/>
      <c r="LZ116" s="64"/>
      <c r="MA116" s="64"/>
      <c r="MB116" s="64"/>
      <c r="MC116" s="64"/>
      <c r="MD116" s="64"/>
      <c r="ME116" s="64"/>
      <c r="MF116" s="64"/>
      <c r="MG116" s="64"/>
      <c r="MH116" s="64"/>
      <c r="MI116" s="64"/>
      <c r="MJ116" s="64"/>
      <c r="MK116" s="64"/>
      <c r="ML116" s="64"/>
      <c r="MM116" s="64"/>
      <c r="MN116" s="64"/>
      <c r="MO116" s="64"/>
      <c r="MP116" s="64"/>
      <c r="MQ116" s="64"/>
      <c r="MR116" s="64"/>
      <c r="MS116" s="64"/>
      <c r="MT116" s="64"/>
      <c r="MU116" s="64"/>
      <c r="MV116" s="64"/>
      <c r="MW116" s="64"/>
      <c r="MX116" s="64"/>
      <c r="MY116" s="64"/>
      <c r="MZ116" s="64"/>
      <c r="NA116" s="64"/>
      <c r="NB116" s="64"/>
      <c r="NC116" s="64"/>
      <c r="ND116" s="64"/>
      <c r="NE116" s="64"/>
      <c r="NF116" s="64"/>
      <c r="NG116" s="64"/>
      <c r="NH116" s="64"/>
      <c r="NI116" s="64"/>
      <c r="NJ116" s="64"/>
      <c r="NK116" s="64"/>
      <c r="NL116" s="64"/>
      <c r="NM116" s="64"/>
      <c r="NN116" s="64"/>
      <c r="NO116" s="64"/>
      <c r="NP116" s="64"/>
      <c r="NQ116" s="64"/>
      <c r="NR116" s="64"/>
      <c r="NS116" s="64"/>
      <c r="NT116" s="64"/>
      <c r="NU116" s="64"/>
      <c r="NV116" s="64"/>
      <c r="NW116" s="64"/>
      <c r="NX116" s="64"/>
      <c r="NY116" s="64"/>
      <c r="NZ116" s="64"/>
      <c r="OA116" s="64"/>
      <c r="OB116" s="64"/>
      <c r="OC116" s="64"/>
      <c r="OD116" s="64"/>
      <c r="OE116" s="64"/>
      <c r="OF116" s="64"/>
      <c r="OG116" s="64"/>
      <c r="OH116" s="64"/>
      <c r="OI116" s="64"/>
      <c r="OJ116" s="64"/>
      <c r="OK116" s="64"/>
      <c r="OL116" s="64"/>
      <c r="OM116" s="64"/>
      <c r="ON116" s="64"/>
      <c r="OO116" s="64"/>
      <c r="OP116" s="64"/>
    </row>
    <row r="117" spans="1:406" x14ac:dyDescent="0.3">
      <c r="A117" s="144"/>
      <c r="B117" s="84"/>
      <c r="C117" s="83" t="s">
        <v>165</v>
      </c>
      <c r="D117" s="270">
        <f>SUM(H117:K117)</f>
        <v>9.0990002674198739E-2</v>
      </c>
      <c r="E117" s="90">
        <f>SUM(G117:K117,N117:O117)</f>
        <v>9.1942297275328461E-2</v>
      </c>
      <c r="F117" s="278">
        <f>SUM(Q117:S117)/(1-'Common input data'!B$127)</f>
        <v>9.3996621640262873E-2</v>
      </c>
      <c r="G117" s="85">
        <f>'Input data dairy products'!$D$22*G14*'Common input data'!D$41</f>
        <v>9.3990768500180259E-4</v>
      </c>
      <c r="H117" s="85">
        <f>'Input data dairy products'!$D$22*H14*'Common input data'!D$41</f>
        <v>0</v>
      </c>
      <c r="I117" s="85">
        <f>'Input data dairy products'!$D$22*I14*'Common input data'!D$41</f>
        <v>5.9455470242151089E-3</v>
      </c>
      <c r="J117" s="85">
        <f>'Input data dairy products'!$D$22*J14*'Common input data'!D$41</f>
        <v>0</v>
      </c>
      <c r="K117" s="85">
        <f>'Input data dairy products'!$D$22*K14*'Common input data'!D$41</f>
        <v>8.5044455649983627E-2</v>
      </c>
      <c r="L117" s="85">
        <f>'Input data dairy products'!$D$22*L14*'Common input data'!D$41</f>
        <v>0</v>
      </c>
      <c r="M117" s="85">
        <f>'Input data dairy products'!$D$22*M14*'Common input data'!D$41</f>
        <v>0</v>
      </c>
      <c r="N117" s="85">
        <f>'Input data dairy products'!$D$22*N14*'Common input data'!D$41</f>
        <v>0</v>
      </c>
      <c r="O117" s="85">
        <f>'Input data dairy products'!$D$22*O14*'Common input data'!D$41</f>
        <v>1.238691612792617E-5</v>
      </c>
      <c r="P117" s="85">
        <v>0</v>
      </c>
      <c r="Q117" s="85">
        <f>SUM(G117:P117)</f>
        <v>9.1942297275328461E-2</v>
      </c>
      <c r="R117" s="90">
        <v>0</v>
      </c>
      <c r="S117" s="90">
        <v>0</v>
      </c>
      <c r="T117" s="107"/>
    </row>
    <row r="118" spans="1:406" x14ac:dyDescent="0.3">
      <c r="A118" s="144"/>
      <c r="B118" s="85"/>
      <c r="C118" s="84" t="s">
        <v>166</v>
      </c>
      <c r="D118" s="780">
        <f>SUM(H118:K118)</f>
        <v>3.4935851246847113E-3</v>
      </c>
      <c r="E118" s="108">
        <f>SUM(G118:K118,N118:O118)</f>
        <v>4.3829009184578258E-3</v>
      </c>
      <c r="F118" s="521">
        <f>SUM(Q118:S118)/(1-'Common input data'!B$127)</f>
        <v>4.4808308202843863E-3</v>
      </c>
      <c r="G118" s="85">
        <f>'Input data dairy products'!$D$22*G15*'Common input data'!D$41</f>
        <v>8.8816105792518922E-4</v>
      </c>
      <c r="H118" s="85">
        <f>'Input data dairy products'!$D$22*H15*'Common input data'!D$41</f>
        <v>2.2449131678723452E-3</v>
      </c>
      <c r="I118" s="85">
        <f>'Input data dairy products'!$D$22*I15*'Common input data'!D$41</f>
        <v>1.1510636159057165E-3</v>
      </c>
      <c r="J118" s="85">
        <f>'Input data dairy products'!$D$22*J15*'Common input data'!D$41</f>
        <v>9.7608340906649499E-5</v>
      </c>
      <c r="K118" s="85">
        <f>'Input data dairy products'!$D$22*K15*'Common input data'!D$41</f>
        <v>0</v>
      </c>
      <c r="L118" s="85">
        <f>'Input data dairy products'!$D$22*L15*'Common input data'!D$41</f>
        <v>0</v>
      </c>
      <c r="M118" s="85">
        <f>'Input data dairy products'!$D$22*M15*'Common input data'!D$41</f>
        <v>0</v>
      </c>
      <c r="N118" s="85">
        <f>'Input data dairy products'!$D$22*N15*'Common input data'!D$41</f>
        <v>0</v>
      </c>
      <c r="O118" s="85">
        <f>'Input data dairy products'!$D$22*O15*'Common input data'!D$41</f>
        <v>1.1547358479255618E-6</v>
      </c>
      <c r="P118" s="85">
        <v>0</v>
      </c>
      <c r="Q118" s="85">
        <f>SUM(G118:P118)</f>
        <v>4.3829009184578258E-3</v>
      </c>
      <c r="R118" s="94">
        <v>0</v>
      </c>
      <c r="S118" s="90">
        <v>0</v>
      </c>
      <c r="T118" s="107"/>
    </row>
    <row r="119" spans="1:406" s="416" customFormat="1" x14ac:dyDescent="0.3">
      <c r="A119" s="426" t="s">
        <v>548</v>
      </c>
      <c r="B119" s="413"/>
      <c r="C119" s="414"/>
      <c r="D119" s="777" t="s">
        <v>799</v>
      </c>
      <c r="E119" s="778" t="s">
        <v>799</v>
      </c>
      <c r="F119" s="779" t="s">
        <v>799</v>
      </c>
      <c r="G119" s="413"/>
      <c r="P119" s="413"/>
      <c r="Q119" s="413"/>
      <c r="R119" s="484"/>
      <c r="S119" s="415"/>
      <c r="T119" s="107"/>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4"/>
      <c r="CG119" s="64"/>
      <c r="CH119" s="64"/>
      <c r="CI119" s="64"/>
      <c r="CJ119" s="64"/>
      <c r="CK119" s="64"/>
      <c r="CL119" s="64"/>
      <c r="CM119" s="64"/>
      <c r="CN119" s="64"/>
      <c r="CO119" s="64"/>
      <c r="CP119" s="64"/>
      <c r="CQ119" s="64"/>
      <c r="CR119" s="64"/>
      <c r="CS119" s="64"/>
      <c r="CT119" s="64"/>
      <c r="CU119" s="64"/>
      <c r="CV119" s="64"/>
      <c r="CW119" s="64"/>
      <c r="CX119" s="64"/>
      <c r="CY119" s="64"/>
      <c r="CZ119" s="64"/>
      <c r="DA119" s="64"/>
      <c r="DB119" s="64"/>
      <c r="DC119" s="64"/>
      <c r="DD119" s="64"/>
      <c r="DE119" s="64"/>
      <c r="DF119" s="64"/>
      <c r="DG119" s="64"/>
      <c r="DH119" s="64"/>
      <c r="DI119" s="64"/>
      <c r="DJ119" s="64"/>
      <c r="DK119" s="64"/>
      <c r="DL119" s="64"/>
      <c r="DM119" s="64"/>
      <c r="DN119" s="64"/>
      <c r="DO119" s="64"/>
      <c r="DP119" s="64"/>
      <c r="DQ119" s="64"/>
      <c r="DR119" s="64"/>
      <c r="DS119" s="64"/>
      <c r="DT119" s="64"/>
      <c r="DU119" s="64"/>
      <c r="DV119" s="64"/>
      <c r="DW119" s="64"/>
      <c r="DX119" s="64"/>
      <c r="DY119" s="64"/>
      <c r="DZ119" s="64"/>
      <c r="EA119" s="64"/>
      <c r="EB119" s="64"/>
      <c r="EC119" s="64"/>
      <c r="ED119" s="64"/>
      <c r="EE119" s="64"/>
      <c r="EF119" s="64"/>
      <c r="EG119" s="64"/>
      <c r="EH119" s="64"/>
      <c r="EI119" s="64"/>
      <c r="EJ119" s="64"/>
      <c r="EK119" s="64"/>
      <c r="EL119" s="64"/>
      <c r="EM119" s="64"/>
      <c r="EN119" s="64"/>
      <c r="EO119" s="64"/>
      <c r="EP119" s="64"/>
      <c r="EQ119" s="64"/>
      <c r="ER119" s="64"/>
      <c r="ES119" s="64"/>
      <c r="ET119" s="64"/>
      <c r="EU119" s="64"/>
      <c r="EV119" s="64"/>
      <c r="EW119" s="64"/>
      <c r="EX119" s="64"/>
      <c r="EY119" s="64"/>
      <c r="EZ119" s="64"/>
      <c r="FA119" s="64"/>
      <c r="FB119" s="64"/>
      <c r="FC119" s="64"/>
      <c r="FD119" s="64"/>
      <c r="FE119" s="64"/>
      <c r="FF119" s="64"/>
      <c r="FG119" s="64"/>
      <c r="FH119" s="64"/>
      <c r="FI119" s="64"/>
      <c r="FJ119" s="64"/>
      <c r="FK119" s="64"/>
      <c r="FL119" s="64"/>
      <c r="FM119" s="64"/>
      <c r="FN119" s="64"/>
      <c r="FO119" s="64"/>
      <c r="FP119" s="64"/>
      <c r="FQ119" s="64"/>
      <c r="FR119" s="64"/>
      <c r="FS119" s="64"/>
      <c r="FT119" s="64"/>
      <c r="FU119" s="64"/>
      <c r="FV119" s="64"/>
      <c r="FW119" s="64"/>
      <c r="FX119" s="64"/>
      <c r="FY119" s="64"/>
      <c r="FZ119" s="64"/>
      <c r="GA119" s="64"/>
      <c r="GB119" s="64"/>
      <c r="GC119" s="64"/>
      <c r="GD119" s="64"/>
      <c r="GE119" s="64"/>
      <c r="GF119" s="64"/>
      <c r="GG119" s="64"/>
      <c r="GH119" s="64"/>
      <c r="GI119" s="64"/>
      <c r="GJ119" s="64"/>
      <c r="GK119" s="64"/>
      <c r="GL119" s="64"/>
      <c r="GM119" s="64"/>
      <c r="GN119" s="64"/>
      <c r="GO119" s="64"/>
      <c r="GP119" s="64"/>
      <c r="GQ119" s="64"/>
      <c r="GR119" s="64"/>
      <c r="GS119" s="64"/>
      <c r="GT119" s="64"/>
      <c r="GU119" s="64"/>
      <c r="GV119" s="64"/>
      <c r="GW119" s="64"/>
      <c r="GX119" s="64"/>
      <c r="GY119" s="64"/>
      <c r="GZ119" s="64"/>
      <c r="HA119" s="64"/>
      <c r="HB119" s="64"/>
      <c r="HC119" s="64"/>
      <c r="HD119" s="64"/>
      <c r="HE119" s="64"/>
      <c r="HF119" s="64"/>
      <c r="HG119" s="64"/>
      <c r="HH119" s="64"/>
      <c r="HI119" s="64"/>
      <c r="HJ119" s="64"/>
      <c r="HK119" s="64"/>
      <c r="HL119" s="64"/>
      <c r="HM119" s="64"/>
      <c r="HN119" s="64"/>
      <c r="HO119" s="64"/>
      <c r="HP119" s="64"/>
      <c r="HQ119" s="64"/>
      <c r="HR119" s="64"/>
      <c r="HS119" s="64"/>
      <c r="HT119" s="64"/>
      <c r="HU119" s="64"/>
      <c r="HV119" s="64"/>
      <c r="HW119" s="64"/>
      <c r="HX119" s="64"/>
      <c r="HY119" s="64"/>
      <c r="HZ119" s="64"/>
      <c r="IA119" s="64"/>
      <c r="IB119" s="64"/>
      <c r="IC119" s="64"/>
      <c r="ID119" s="64"/>
      <c r="IE119" s="64"/>
      <c r="IF119" s="64"/>
      <c r="IG119" s="64"/>
      <c r="IH119" s="64"/>
      <c r="II119" s="64"/>
      <c r="IJ119" s="64"/>
      <c r="IK119" s="64"/>
      <c r="IL119" s="64"/>
      <c r="IM119" s="64"/>
      <c r="IN119" s="64"/>
      <c r="IO119" s="64"/>
      <c r="IP119" s="64"/>
      <c r="IQ119" s="64"/>
      <c r="IR119" s="64"/>
      <c r="IS119" s="64"/>
      <c r="IT119" s="64"/>
      <c r="IU119" s="64"/>
      <c r="IV119" s="64"/>
      <c r="IW119" s="64"/>
      <c r="IX119" s="64"/>
      <c r="IY119" s="64"/>
      <c r="IZ119" s="64"/>
      <c r="JA119" s="64"/>
      <c r="JB119" s="64"/>
      <c r="JC119" s="64"/>
      <c r="JD119" s="64"/>
      <c r="JE119" s="64"/>
      <c r="JF119" s="64"/>
      <c r="JG119" s="64"/>
      <c r="JH119" s="64"/>
      <c r="JI119" s="64"/>
      <c r="JJ119" s="64"/>
      <c r="JK119" s="64"/>
      <c r="JL119" s="64"/>
      <c r="JM119" s="64"/>
      <c r="JN119" s="64"/>
      <c r="JO119" s="64"/>
      <c r="JP119" s="64"/>
      <c r="JQ119" s="64"/>
      <c r="JR119" s="64"/>
      <c r="JS119" s="64"/>
      <c r="JT119" s="64"/>
      <c r="JU119" s="64"/>
      <c r="JV119" s="64"/>
      <c r="JW119" s="64"/>
      <c r="JX119" s="64"/>
      <c r="JY119" s="64"/>
      <c r="JZ119" s="64"/>
      <c r="KA119" s="64"/>
      <c r="KB119" s="64"/>
      <c r="KC119" s="64"/>
      <c r="KD119" s="64"/>
      <c r="KE119" s="64"/>
      <c r="KF119" s="64"/>
      <c r="KG119" s="64"/>
      <c r="KH119" s="64"/>
    </row>
    <row r="120" spans="1:406" s="102" customFormat="1" x14ac:dyDescent="0.3">
      <c r="A120" s="143" t="s">
        <v>260</v>
      </c>
      <c r="B120" s="110">
        <f>SUM(B124:B128)</f>
        <v>1</v>
      </c>
      <c r="C120" s="269" t="s">
        <v>473</v>
      </c>
      <c r="D120" s="769">
        <f>IF($E$1="GWP100 without fb",D121+D122*'Common input data'!$C$5+D123*'Common input data'!$D$5,IF($E$1="GWP100 with fb",D121+D122*'Common input data'!$C$6+D123*'Common input data'!$D$6,IF($E$1="GTP100 without fb",D121+D122*'Common input data'!$C$7+D123*'Common input data'!$D$7,IF($E$1="GTP100 with fb",D121+D122*'Common input data'!$C$8+D123*'Common input data'!$D$8,D121+D122*'Common input data'!$C$9+D123*'Common input data'!$D$9))))</f>
        <v>8.3607653676484333</v>
      </c>
      <c r="E120" s="326">
        <f>IF($E$1="GWP100 without fb",E121+E122*'Common input data'!$C$5+E123*'Common input data'!$D$5,IF($E$1="GWP100 with fb",E121+E122*'Common input data'!$C$6+E123*'Common input data'!$D$6,IF($E$1="GTP100 without fb",E121+E122*'Common input data'!$C$7+E123*'Common input data'!$D$7,IF($E$1="GTP100 with fb",E121+E122*'Common input data'!$C$8+E123*'Common input data'!$D$8,E121+E122*'Common input data'!$C$9+E123*'Common input data'!$D$9))))</f>
        <v>11.151581132070582</v>
      </c>
      <c r="F120" s="770">
        <f>IF($E$1="GWP100 without fb",F121+F122*'Common input data'!$C$5+F123*'Common input data'!$D$5,IF($E$1="GWP100 with fb",F121+F122*'Common input data'!$C$6+F123*'Common input data'!$D$6,IF($E$1="GTP100 without fb",F121+F122*'Common input data'!$C$7+F123*'Common input data'!$D$7,IF($E$1="GTP100 with fb",F121+F122*'Common input data'!$C$8+F123*'Common input data'!$D$8,F121+F122*'Common input data'!$C$9+F123*'Common input data'!$D$9))))</f>
        <v>11.785149101222526</v>
      </c>
      <c r="G120" s="280"/>
      <c r="P120" s="280"/>
      <c r="Q120" s="280"/>
      <c r="R120" s="269"/>
      <c r="S120" s="269"/>
      <c r="T120" s="107"/>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c r="BB120" s="64"/>
      <c r="BC120" s="64"/>
      <c r="BD120" s="64"/>
      <c r="BE120" s="64"/>
      <c r="BF120" s="64"/>
      <c r="BG120" s="64"/>
      <c r="BH120" s="64"/>
      <c r="BI120" s="64"/>
      <c r="BJ120" s="64"/>
      <c r="BK120" s="64"/>
      <c r="BL120" s="64"/>
      <c r="BM120" s="64"/>
      <c r="BN120" s="64"/>
      <c r="BO120" s="64"/>
      <c r="BP120" s="64"/>
      <c r="BQ120" s="64"/>
      <c r="BR120" s="64"/>
      <c r="BS120" s="64"/>
      <c r="BT120" s="64"/>
      <c r="BU120" s="64"/>
      <c r="BV120" s="64"/>
      <c r="BW120" s="64"/>
      <c r="BX120" s="64"/>
      <c r="BY120" s="64"/>
      <c r="BZ120" s="64"/>
      <c r="CA120" s="64"/>
      <c r="CB120" s="64"/>
      <c r="CC120" s="64"/>
      <c r="CD120" s="64"/>
      <c r="CE120" s="64"/>
      <c r="CF120" s="64"/>
      <c r="CG120" s="64"/>
      <c r="CH120" s="64"/>
      <c r="CI120" s="64"/>
      <c r="CJ120" s="64"/>
      <c r="CK120" s="64"/>
      <c r="CL120" s="64"/>
      <c r="CM120" s="64"/>
      <c r="CN120" s="64"/>
      <c r="CO120" s="64"/>
      <c r="CP120" s="64"/>
      <c r="CQ120" s="64"/>
      <c r="CR120" s="64"/>
      <c r="CS120" s="64"/>
      <c r="CT120" s="64"/>
      <c r="CU120" s="64"/>
      <c r="CV120" s="64"/>
      <c r="CW120" s="64"/>
      <c r="CX120" s="64"/>
      <c r="CY120" s="64"/>
      <c r="CZ120" s="64"/>
      <c r="DA120" s="64"/>
      <c r="DB120" s="64"/>
      <c r="DC120" s="64"/>
      <c r="DD120" s="64"/>
      <c r="DE120" s="64"/>
      <c r="DF120" s="64"/>
      <c r="DG120" s="64"/>
      <c r="DH120" s="64"/>
      <c r="DI120" s="64"/>
      <c r="DJ120" s="64"/>
      <c r="DK120" s="64"/>
      <c r="DL120" s="64"/>
      <c r="DM120" s="64"/>
      <c r="DN120" s="64"/>
      <c r="DO120" s="64"/>
      <c r="DP120" s="64"/>
      <c r="DQ120" s="64"/>
      <c r="DR120" s="64"/>
      <c r="DS120" s="64"/>
      <c r="DT120" s="64"/>
      <c r="DU120" s="64"/>
      <c r="DV120" s="64"/>
      <c r="DW120" s="64"/>
      <c r="DX120" s="64"/>
      <c r="DY120" s="64"/>
      <c r="DZ120" s="64"/>
      <c r="EA120" s="64"/>
      <c r="EB120" s="64"/>
      <c r="EC120" s="64"/>
      <c r="ED120" s="64"/>
      <c r="EE120" s="64"/>
      <c r="EF120" s="64"/>
      <c r="EG120" s="64"/>
      <c r="EH120" s="64"/>
      <c r="EI120" s="64"/>
      <c r="EJ120" s="64"/>
      <c r="EK120" s="64"/>
      <c r="EL120" s="64"/>
      <c r="EM120" s="64"/>
      <c r="EN120" s="64"/>
      <c r="EO120" s="64"/>
      <c r="EP120" s="64"/>
      <c r="EQ120" s="64"/>
      <c r="ER120" s="64"/>
      <c r="ES120" s="64"/>
      <c r="ET120" s="64"/>
      <c r="EU120" s="64"/>
      <c r="EV120" s="64"/>
      <c r="EW120" s="64"/>
      <c r="EX120" s="64"/>
      <c r="EY120" s="64"/>
      <c r="EZ120" s="64"/>
      <c r="FA120" s="64"/>
      <c r="FB120" s="64"/>
      <c r="FC120" s="64"/>
      <c r="FD120" s="64"/>
      <c r="FE120" s="64"/>
      <c r="FF120" s="64"/>
      <c r="FG120" s="64"/>
      <c r="FH120" s="64"/>
      <c r="FI120" s="64"/>
      <c r="FJ120" s="64"/>
      <c r="FK120" s="64"/>
      <c r="FL120" s="64"/>
      <c r="FM120" s="64"/>
      <c r="FN120" s="64"/>
      <c r="FO120" s="64"/>
      <c r="FP120" s="64"/>
      <c r="FQ120" s="64"/>
      <c r="FR120" s="64"/>
      <c r="FS120" s="64"/>
      <c r="FT120" s="64"/>
      <c r="FU120" s="64"/>
      <c r="FV120" s="64"/>
      <c r="FW120" s="64"/>
      <c r="FX120" s="64"/>
      <c r="FY120" s="64"/>
      <c r="FZ120" s="64"/>
      <c r="GA120" s="64"/>
      <c r="GB120" s="64"/>
      <c r="GC120" s="64"/>
      <c r="GD120" s="64"/>
      <c r="GE120" s="64"/>
      <c r="GF120" s="64"/>
      <c r="GG120" s="64"/>
      <c r="GH120" s="64"/>
      <c r="GI120" s="64"/>
      <c r="GJ120" s="64"/>
      <c r="GK120" s="64"/>
      <c r="GL120" s="64"/>
      <c r="GM120" s="64"/>
      <c r="GN120" s="64"/>
      <c r="GO120" s="64"/>
      <c r="GP120" s="64"/>
      <c r="GQ120" s="64"/>
      <c r="GR120" s="64"/>
      <c r="GS120" s="64"/>
      <c r="GT120" s="64"/>
      <c r="GU120" s="64"/>
      <c r="GV120" s="64"/>
      <c r="GW120" s="64"/>
      <c r="GX120" s="64"/>
      <c r="GY120" s="64"/>
      <c r="GZ120" s="64"/>
      <c r="HA120" s="64"/>
      <c r="HB120" s="64"/>
      <c r="HC120" s="64"/>
      <c r="HD120" s="64"/>
      <c r="HE120" s="64"/>
      <c r="HF120" s="64"/>
      <c r="HG120" s="64"/>
      <c r="HH120" s="64"/>
      <c r="HI120" s="64"/>
      <c r="HJ120" s="64"/>
      <c r="HK120" s="64"/>
      <c r="HL120" s="64"/>
      <c r="HM120" s="64"/>
      <c r="HN120" s="64"/>
      <c r="HO120" s="64"/>
      <c r="HP120" s="64"/>
      <c r="HQ120" s="64"/>
      <c r="HR120" s="64"/>
      <c r="HS120" s="64"/>
      <c r="HT120" s="64"/>
      <c r="HU120" s="64"/>
      <c r="HV120" s="64"/>
      <c r="HW120" s="64"/>
      <c r="HX120" s="64"/>
      <c r="HY120" s="64"/>
      <c r="HZ120" s="64"/>
      <c r="IA120" s="64"/>
      <c r="IB120" s="64"/>
      <c r="IC120" s="64"/>
      <c r="ID120" s="64"/>
      <c r="IE120" s="64"/>
      <c r="IF120" s="64"/>
      <c r="IG120" s="64"/>
      <c r="IH120" s="64"/>
      <c r="II120" s="64"/>
      <c r="IJ120" s="64"/>
      <c r="IK120" s="64"/>
      <c r="IL120" s="64"/>
      <c r="IM120" s="64"/>
      <c r="IN120" s="64"/>
      <c r="IO120" s="64"/>
      <c r="IP120" s="64"/>
      <c r="IQ120" s="64"/>
      <c r="IR120" s="64"/>
      <c r="IS120" s="64"/>
      <c r="IT120" s="64"/>
      <c r="IU120" s="64"/>
      <c r="IV120" s="64"/>
      <c r="IW120" s="64"/>
      <c r="IX120" s="64"/>
      <c r="IY120" s="64"/>
      <c r="IZ120" s="64"/>
      <c r="JA120" s="64"/>
      <c r="JB120" s="64"/>
      <c r="JC120" s="64"/>
      <c r="JD120" s="64"/>
      <c r="JE120" s="64"/>
      <c r="JF120" s="64"/>
      <c r="JG120" s="64"/>
      <c r="JH120" s="64"/>
      <c r="JI120" s="64"/>
      <c r="JJ120" s="64"/>
      <c r="JK120" s="64"/>
      <c r="JL120" s="64"/>
      <c r="JM120" s="64"/>
      <c r="JN120" s="64"/>
      <c r="JO120" s="64"/>
      <c r="JP120" s="64"/>
      <c r="JQ120" s="64"/>
      <c r="JR120" s="64"/>
      <c r="JS120" s="64"/>
      <c r="JT120" s="64"/>
      <c r="JU120" s="64"/>
      <c r="JV120" s="64"/>
      <c r="JW120" s="64"/>
      <c r="JX120" s="64"/>
      <c r="JY120" s="64"/>
      <c r="JZ120" s="64"/>
      <c r="KA120" s="64"/>
      <c r="KB120" s="64"/>
      <c r="KC120" s="64"/>
      <c r="KD120" s="64"/>
      <c r="KE120" s="64"/>
      <c r="KF120" s="64"/>
      <c r="KG120" s="64"/>
      <c r="KH120" s="64"/>
    </row>
    <row r="121" spans="1:406" s="102" customFormat="1" x14ac:dyDescent="0.3">
      <c r="A121" s="107"/>
      <c r="B121" s="64"/>
      <c r="C121" s="83" t="s">
        <v>164</v>
      </c>
      <c r="D121" s="270">
        <f t="shared" ref="D121:S123" si="9">$B$124*D125+$B$128*D129</f>
        <v>-0.223487486494406</v>
      </c>
      <c r="E121" s="90">
        <f t="shared" si="9"/>
        <v>1.9507967865164466</v>
      </c>
      <c r="F121" s="278">
        <f t="shared" si="9"/>
        <v>2.3787858652369591</v>
      </c>
      <c r="G121" s="90">
        <f t="shared" si="9"/>
        <v>1.8226545689437867</v>
      </c>
      <c r="H121" s="90">
        <f t="shared" si="9"/>
        <v>0</v>
      </c>
      <c r="I121" s="90">
        <f t="shared" si="9"/>
        <v>0</v>
      </c>
      <c r="J121" s="90">
        <f t="shared" si="9"/>
        <v>0</v>
      </c>
      <c r="K121" s="90">
        <f t="shared" si="9"/>
        <v>0</v>
      </c>
      <c r="L121" s="90">
        <f t="shared" si="9"/>
        <v>-0.39579984272881752</v>
      </c>
      <c r="M121" s="90">
        <f t="shared" si="9"/>
        <v>0.17231235623441152</v>
      </c>
      <c r="N121" s="90">
        <f t="shared" si="9"/>
        <v>0.31024379389667528</v>
      </c>
      <c r="O121" s="90">
        <f t="shared" si="9"/>
        <v>4.1385910170390991E-2</v>
      </c>
      <c r="P121" s="90">
        <f t="shared" si="9"/>
        <v>0.26400000000000001</v>
      </c>
      <c r="Q121" s="90">
        <f t="shared" si="9"/>
        <v>2.2147967865164468</v>
      </c>
      <c r="R121" s="90">
        <f t="shared" si="9"/>
        <v>0.05</v>
      </c>
      <c r="S121" s="90">
        <f t="shared" si="9"/>
        <v>6.1999999999999986E-2</v>
      </c>
      <c r="T121" s="107"/>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c r="AT121" s="64"/>
      <c r="AU121" s="64"/>
      <c r="AV121" s="64"/>
      <c r="AW121" s="64"/>
      <c r="AX121" s="64"/>
      <c r="AY121" s="64"/>
      <c r="AZ121" s="64"/>
      <c r="BA121" s="64"/>
      <c r="BB121" s="64"/>
      <c r="BC121" s="64"/>
      <c r="BD121" s="64"/>
      <c r="BE121" s="64"/>
      <c r="BF121" s="64"/>
      <c r="BG121" s="64"/>
      <c r="BH121" s="64"/>
      <c r="BI121" s="64"/>
      <c r="BJ121" s="64"/>
      <c r="BK121" s="64"/>
      <c r="BL121" s="64"/>
      <c r="BM121" s="64"/>
      <c r="BN121" s="64"/>
      <c r="BO121" s="64"/>
      <c r="BP121" s="64"/>
      <c r="BQ121" s="64"/>
      <c r="BR121" s="64"/>
      <c r="BS121" s="64"/>
      <c r="BT121" s="64"/>
      <c r="BU121" s="64"/>
      <c r="BV121" s="64"/>
      <c r="BW121" s="64"/>
      <c r="BX121" s="64"/>
      <c r="BY121" s="64"/>
      <c r="BZ121" s="64"/>
      <c r="CA121" s="64"/>
      <c r="CB121" s="64"/>
      <c r="CC121" s="64"/>
      <c r="CD121" s="64"/>
      <c r="CE121" s="64"/>
      <c r="CF121" s="64"/>
      <c r="CG121" s="64"/>
      <c r="CH121" s="64"/>
      <c r="CI121" s="64"/>
      <c r="CJ121" s="64"/>
      <c r="CK121" s="64"/>
      <c r="CL121" s="64"/>
      <c r="CM121" s="64"/>
      <c r="CN121" s="64"/>
      <c r="CO121" s="64"/>
      <c r="CP121" s="64"/>
      <c r="CQ121" s="64"/>
      <c r="CR121" s="64"/>
      <c r="CS121" s="64"/>
      <c r="CT121" s="64"/>
      <c r="CU121" s="64"/>
      <c r="CV121" s="64"/>
      <c r="CW121" s="64"/>
      <c r="CX121" s="64"/>
      <c r="CY121" s="64"/>
      <c r="CZ121" s="64"/>
      <c r="DA121" s="64"/>
      <c r="DB121" s="64"/>
      <c r="DC121" s="64"/>
      <c r="DD121" s="64"/>
      <c r="DE121" s="64"/>
      <c r="DF121" s="64"/>
      <c r="DG121" s="64"/>
      <c r="DH121" s="64"/>
      <c r="DI121" s="64"/>
      <c r="DJ121" s="64"/>
      <c r="DK121" s="64"/>
      <c r="DL121" s="64"/>
      <c r="DM121" s="64"/>
      <c r="DN121" s="64"/>
      <c r="DO121" s="64"/>
      <c r="DP121" s="64"/>
      <c r="DQ121" s="64"/>
      <c r="DR121" s="64"/>
      <c r="DS121" s="64"/>
      <c r="DT121" s="64"/>
      <c r="DU121" s="64"/>
      <c r="DV121" s="64"/>
      <c r="DW121" s="64"/>
      <c r="DX121" s="64"/>
      <c r="DY121" s="64"/>
      <c r="DZ121" s="64"/>
      <c r="EA121" s="64"/>
      <c r="EB121" s="64"/>
      <c r="EC121" s="64"/>
      <c r="ED121" s="64"/>
      <c r="EE121" s="64"/>
      <c r="EF121" s="64"/>
      <c r="EG121" s="64"/>
      <c r="EH121" s="64"/>
      <c r="EI121" s="64"/>
      <c r="EJ121" s="64"/>
      <c r="EK121" s="64"/>
      <c r="EL121" s="64"/>
      <c r="EM121" s="64"/>
      <c r="EN121" s="64"/>
      <c r="EO121" s="64"/>
      <c r="EP121" s="64"/>
      <c r="EQ121" s="64"/>
      <c r="ER121" s="64"/>
      <c r="ES121" s="64"/>
      <c r="ET121" s="64"/>
      <c r="EU121" s="64"/>
      <c r="EV121" s="64"/>
      <c r="EW121" s="64"/>
      <c r="EX121" s="64"/>
      <c r="EY121" s="64"/>
      <c r="EZ121" s="64"/>
      <c r="FA121" s="64"/>
      <c r="FB121" s="64"/>
      <c r="FC121" s="64"/>
      <c r="FD121" s="64"/>
      <c r="FE121" s="64"/>
      <c r="FF121" s="64"/>
      <c r="FG121" s="64"/>
      <c r="FH121" s="64"/>
      <c r="FI121" s="64"/>
      <c r="FJ121" s="64"/>
      <c r="FK121" s="64"/>
      <c r="FL121" s="64"/>
      <c r="FM121" s="64"/>
      <c r="FN121" s="64"/>
      <c r="FO121" s="64"/>
      <c r="FP121" s="64"/>
      <c r="FQ121" s="64"/>
      <c r="FR121" s="64"/>
      <c r="FS121" s="64"/>
      <c r="FT121" s="64"/>
      <c r="FU121" s="64"/>
      <c r="FV121" s="64"/>
      <c r="FW121" s="64"/>
      <c r="FX121" s="64"/>
      <c r="FY121" s="64"/>
      <c r="FZ121" s="64"/>
      <c r="GA121" s="64"/>
      <c r="GB121" s="64"/>
      <c r="GC121" s="64"/>
      <c r="GD121" s="64"/>
      <c r="GE121" s="64"/>
      <c r="GF121" s="64"/>
      <c r="GG121" s="64"/>
      <c r="GH121" s="64"/>
      <c r="GI121" s="64"/>
      <c r="GJ121" s="64"/>
      <c r="GK121" s="64"/>
      <c r="GL121" s="64"/>
      <c r="GM121" s="64"/>
      <c r="GN121" s="64"/>
      <c r="GO121" s="64"/>
      <c r="GP121" s="64"/>
      <c r="GQ121" s="64"/>
      <c r="GR121" s="64"/>
      <c r="GS121" s="64"/>
      <c r="GT121" s="64"/>
      <c r="GU121" s="64"/>
      <c r="GV121" s="64"/>
      <c r="GW121" s="64"/>
      <c r="GX121" s="64"/>
      <c r="GY121" s="64"/>
      <c r="GZ121" s="64"/>
      <c r="HA121" s="64"/>
      <c r="HB121" s="64"/>
      <c r="HC121" s="64"/>
      <c r="HD121" s="64"/>
      <c r="HE121" s="64"/>
      <c r="HF121" s="64"/>
      <c r="HG121" s="64"/>
      <c r="HH121" s="64"/>
      <c r="HI121" s="64"/>
      <c r="HJ121" s="64"/>
      <c r="HK121" s="64"/>
      <c r="HL121" s="64"/>
      <c r="HM121" s="64"/>
      <c r="HN121" s="64"/>
      <c r="HO121" s="64"/>
      <c r="HP121" s="64"/>
      <c r="HQ121" s="64"/>
      <c r="HR121" s="64"/>
      <c r="HS121" s="64"/>
      <c r="HT121" s="64"/>
      <c r="HU121" s="64"/>
      <c r="HV121" s="64"/>
      <c r="HW121" s="64"/>
      <c r="HX121" s="64"/>
      <c r="HY121" s="64"/>
      <c r="HZ121" s="64"/>
      <c r="IA121" s="64"/>
      <c r="IB121" s="64"/>
      <c r="IC121" s="64"/>
      <c r="ID121" s="64"/>
      <c r="IE121" s="64"/>
      <c r="IF121" s="64"/>
      <c r="IG121" s="64"/>
      <c r="IH121" s="64"/>
      <c r="II121" s="64"/>
      <c r="IJ121" s="64"/>
      <c r="IK121" s="64"/>
      <c r="IL121" s="64"/>
      <c r="IM121" s="64"/>
      <c r="IN121" s="64"/>
      <c r="IO121" s="64"/>
      <c r="IP121" s="64"/>
      <c r="IQ121" s="64"/>
      <c r="IR121" s="64"/>
      <c r="IS121" s="64"/>
      <c r="IT121" s="64"/>
      <c r="IU121" s="64"/>
      <c r="IV121" s="64"/>
      <c r="IW121" s="64"/>
      <c r="IX121" s="64"/>
      <c r="IY121" s="64"/>
      <c r="IZ121" s="64"/>
      <c r="JA121" s="64"/>
      <c r="JB121" s="64"/>
      <c r="JC121" s="64"/>
      <c r="JD121" s="64"/>
      <c r="JE121" s="64"/>
      <c r="JF121" s="64"/>
      <c r="JG121" s="64"/>
      <c r="JH121" s="64"/>
      <c r="JI121" s="64"/>
      <c r="JJ121" s="64"/>
      <c r="JK121" s="64"/>
      <c r="JL121" s="64"/>
      <c r="JM121" s="64"/>
      <c r="JN121" s="64"/>
      <c r="JO121" s="64"/>
      <c r="JP121" s="64"/>
      <c r="JQ121" s="64"/>
      <c r="JR121" s="64"/>
      <c r="JS121" s="64"/>
      <c r="JT121" s="64"/>
      <c r="JU121" s="64"/>
      <c r="JV121" s="64"/>
      <c r="JW121" s="64"/>
      <c r="JX121" s="64"/>
      <c r="JY121" s="64"/>
      <c r="JZ121" s="64"/>
      <c r="KA121" s="64"/>
      <c r="KB121" s="64"/>
      <c r="KC121" s="64"/>
      <c r="KD121" s="64"/>
      <c r="KE121" s="64"/>
      <c r="KF121" s="64"/>
      <c r="KG121" s="64"/>
      <c r="KH121" s="64"/>
      <c r="KI121" s="64"/>
      <c r="KJ121" s="64"/>
      <c r="KK121" s="64"/>
      <c r="KL121" s="64"/>
      <c r="KM121" s="64"/>
      <c r="KN121" s="64"/>
      <c r="KO121" s="64"/>
      <c r="KP121" s="64"/>
      <c r="KQ121" s="64"/>
      <c r="KR121" s="64"/>
      <c r="KS121" s="64"/>
      <c r="KT121" s="64"/>
      <c r="KU121" s="64"/>
      <c r="KV121" s="64"/>
      <c r="KW121" s="64"/>
      <c r="KX121" s="64"/>
      <c r="KY121" s="64"/>
      <c r="KZ121" s="64"/>
      <c r="LA121" s="64"/>
      <c r="LB121" s="64"/>
      <c r="LC121" s="64"/>
      <c r="LD121" s="64"/>
      <c r="LE121" s="64"/>
      <c r="LF121" s="64"/>
      <c r="LG121" s="64"/>
      <c r="LH121" s="64"/>
      <c r="LI121" s="64"/>
      <c r="LJ121" s="64"/>
      <c r="LK121" s="64"/>
      <c r="LL121" s="64"/>
      <c r="LM121" s="64"/>
      <c r="LN121" s="64"/>
      <c r="LO121" s="64"/>
      <c r="LP121" s="64"/>
      <c r="LQ121" s="64"/>
      <c r="LR121" s="64"/>
      <c r="LS121" s="64"/>
      <c r="LT121" s="64"/>
      <c r="LU121" s="64"/>
      <c r="LV121" s="64"/>
      <c r="LW121" s="64"/>
      <c r="LX121" s="64"/>
      <c r="LY121" s="64"/>
      <c r="LZ121" s="64"/>
      <c r="MA121" s="64"/>
      <c r="MB121" s="64"/>
      <c r="MC121" s="64"/>
      <c r="MD121" s="64"/>
      <c r="ME121" s="64"/>
      <c r="MF121" s="64"/>
      <c r="MG121" s="64"/>
      <c r="MH121" s="64"/>
      <c r="MI121" s="64"/>
      <c r="MJ121" s="64"/>
      <c r="MK121" s="64"/>
      <c r="ML121" s="64"/>
      <c r="MM121" s="64"/>
      <c r="MN121" s="64"/>
      <c r="MO121" s="64"/>
      <c r="MP121" s="64"/>
      <c r="MQ121" s="64"/>
      <c r="MR121" s="64"/>
      <c r="MS121" s="64"/>
      <c r="MT121" s="64"/>
      <c r="MU121" s="64"/>
      <c r="MV121" s="64"/>
      <c r="MW121" s="64"/>
      <c r="MX121" s="64"/>
      <c r="MY121" s="64"/>
      <c r="MZ121" s="64"/>
      <c r="NA121" s="64"/>
      <c r="NB121" s="64"/>
      <c r="NC121" s="64"/>
      <c r="ND121" s="64"/>
      <c r="NE121" s="64"/>
      <c r="NF121" s="64"/>
      <c r="NG121" s="64"/>
      <c r="NH121" s="64"/>
      <c r="NI121" s="64"/>
      <c r="NJ121" s="64"/>
      <c r="NK121" s="64"/>
      <c r="NL121" s="64"/>
      <c r="NM121" s="64"/>
      <c r="NN121" s="64"/>
      <c r="NO121" s="64"/>
      <c r="NP121" s="64"/>
      <c r="NQ121" s="64"/>
      <c r="NR121" s="64"/>
      <c r="NS121" s="64"/>
      <c r="NT121" s="64"/>
      <c r="NU121" s="64"/>
      <c r="NV121" s="64"/>
      <c r="NW121" s="64"/>
      <c r="NX121" s="64"/>
      <c r="NY121" s="64"/>
      <c r="NZ121" s="64"/>
      <c r="OA121" s="64"/>
      <c r="OB121" s="64"/>
      <c r="OC121" s="64"/>
      <c r="OD121" s="64"/>
      <c r="OE121" s="64"/>
      <c r="OF121" s="64"/>
      <c r="OG121" s="64"/>
      <c r="OH121" s="64"/>
      <c r="OI121" s="64"/>
      <c r="OJ121" s="64"/>
      <c r="OK121" s="64"/>
      <c r="OL121" s="64"/>
      <c r="OM121" s="64"/>
      <c r="ON121" s="64"/>
      <c r="OO121" s="64"/>
      <c r="OP121" s="64"/>
    </row>
    <row r="122" spans="1:406" x14ac:dyDescent="0.3">
      <c r="A122" s="141"/>
      <c r="B122" s="142"/>
      <c r="C122" s="83" t="s">
        <v>165</v>
      </c>
      <c r="D122" s="270">
        <f t="shared" si="9"/>
        <v>0.1889065799464334</v>
      </c>
      <c r="E122" s="90">
        <f t="shared" si="9"/>
        <v>0.19086916312942237</v>
      </c>
      <c r="F122" s="278">
        <f t="shared" si="9"/>
        <v>0.19513387245202299</v>
      </c>
      <c r="G122" s="90">
        <f t="shared" si="9"/>
        <v>1.9513654359899018E-3</v>
      </c>
      <c r="H122" s="90">
        <f t="shared" si="9"/>
        <v>0</v>
      </c>
      <c r="I122" s="90">
        <f t="shared" si="9"/>
        <v>1.2343696244045209E-2</v>
      </c>
      <c r="J122" s="90">
        <f t="shared" si="9"/>
        <v>0</v>
      </c>
      <c r="K122" s="90">
        <f t="shared" si="9"/>
        <v>0.17656288370238818</v>
      </c>
      <c r="L122" s="90">
        <f t="shared" si="9"/>
        <v>0</v>
      </c>
      <c r="M122" s="90">
        <f t="shared" si="9"/>
        <v>0</v>
      </c>
      <c r="N122" s="90">
        <f t="shared" si="9"/>
        <v>0</v>
      </c>
      <c r="O122" s="90">
        <f t="shared" si="9"/>
        <v>1.1217746999060743E-5</v>
      </c>
      <c r="P122" s="90">
        <f t="shared" si="9"/>
        <v>0</v>
      </c>
      <c r="Q122" s="90">
        <f t="shared" si="9"/>
        <v>0.19086916312942237</v>
      </c>
      <c r="R122" s="90">
        <f t="shared" si="9"/>
        <v>0</v>
      </c>
      <c r="S122" s="90">
        <f t="shared" si="9"/>
        <v>0</v>
      </c>
      <c r="T122" s="107"/>
    </row>
    <row r="123" spans="1:406" x14ac:dyDescent="0.3">
      <c r="A123" s="141"/>
      <c r="B123" s="85"/>
      <c r="C123" s="84" t="s">
        <v>166</v>
      </c>
      <c r="D123" s="270">
        <f t="shared" si="9"/>
        <v>7.2531179059198156E-3</v>
      </c>
      <c r="E123" s="90">
        <f t="shared" si="9"/>
        <v>9.0980966414556212E-3</v>
      </c>
      <c r="F123" s="278">
        <f t="shared" si="9"/>
        <v>9.3013811161637098E-3</v>
      </c>
      <c r="G123" s="90">
        <f t="shared" si="9"/>
        <v>1.8439329922322269E-3</v>
      </c>
      <c r="H123" s="90">
        <f t="shared" si="9"/>
        <v>4.6607193796657682E-3</v>
      </c>
      <c r="I123" s="90">
        <f t="shared" si="9"/>
        <v>2.3897514517073701E-3</v>
      </c>
      <c r="J123" s="90">
        <f t="shared" si="9"/>
        <v>2.0264707454667715E-4</v>
      </c>
      <c r="K123" s="90">
        <f t="shared" si="9"/>
        <v>0</v>
      </c>
      <c r="L123" s="90">
        <f t="shared" si="9"/>
        <v>0</v>
      </c>
      <c r="M123" s="90">
        <f t="shared" si="9"/>
        <v>0</v>
      </c>
      <c r="N123" s="90">
        <f t="shared" si="9"/>
        <v>0</v>
      </c>
      <c r="O123" s="90">
        <f t="shared" si="9"/>
        <v>1.045743303579107E-6</v>
      </c>
      <c r="P123" s="90">
        <f t="shared" si="9"/>
        <v>0</v>
      </c>
      <c r="Q123" s="90">
        <f t="shared" si="9"/>
        <v>9.0980966414556212E-3</v>
      </c>
      <c r="R123" s="90">
        <f t="shared" si="9"/>
        <v>0</v>
      </c>
      <c r="S123" s="90">
        <f t="shared" si="9"/>
        <v>0</v>
      </c>
      <c r="T123" s="107"/>
    </row>
    <row r="124" spans="1:406" s="102" customFormat="1" x14ac:dyDescent="0.3">
      <c r="A124" s="284" t="s">
        <v>1</v>
      </c>
      <c r="B124" s="110">
        <f>'Input data dairy products'!C23</f>
        <v>0.84000000000000008</v>
      </c>
      <c r="C124" s="269" t="s">
        <v>473</v>
      </c>
      <c r="D124" s="320">
        <f>IF($E$1="GWP100 without fb",D125+D126*'Common input data'!$C$5+D127*'Common input data'!$D$5,IF($E$1="GWP100 with fb",D125+D126*'Common input data'!$C$6+D127*'Common input data'!$D$6,IF($E$1="GTP100 without fb",D125+D126*'Common input data'!$C$7+D127*'Common input data'!$D$7,IF($E$1="GTP100 with fb",D125+D126*'Common input data'!$C$8+D127*'Common input data'!$D$8,D125+D126*'Common input data'!$C$9+D127*'Common input data'!$D$9))))</f>
        <v>8.3607653676484333</v>
      </c>
      <c r="E124" s="302">
        <f>IF($E$1="GWP100 without fb",E125+E126*'Common input data'!$C$5+E127*'Common input data'!$D$5,IF($E$1="GWP100 with fb",E125+E126*'Common input data'!$C$6+E127*'Common input data'!$D$6,IF($E$1="GTP100 without fb",E125+E126*'Common input data'!$C$7+E127*'Common input data'!$D$7,IF($E$1="GTP100 with fb",E125+E126*'Common input data'!$C$8+E127*'Common input data'!$D$8,E125+E126*'Common input data'!$C$9+E127*'Common input data'!$D$9))))</f>
        <v>11.064842055519806</v>
      </c>
      <c r="F124" s="321">
        <f>IF($E$1="GWP100 without fb",F125+F126*'Common input data'!$C$5+F127*'Common input data'!$D$5,IF($E$1="GWP100 with fb",F125+F126*'Common input data'!$C$6+F127*'Common input data'!$D$6,IF($E$1="GTP100 without fb",F125+F126*'Common input data'!$C$7+F127*'Common input data'!$D$7,IF($E$1="GTP100 with fb",F125+F126*'Common input data'!$C$8+F127*'Common input data'!$D$8,F125+F126*'Common input data'!$C$9+F127*'Common input data'!$D$9))))</f>
        <v>11.598326970968408</v>
      </c>
      <c r="G124" s="104"/>
      <c r="P124" s="104"/>
      <c r="Q124" s="104"/>
      <c r="R124" s="106"/>
      <c r="S124" s="106"/>
      <c r="T124" s="107"/>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64"/>
      <c r="BP124" s="64"/>
      <c r="BQ124" s="64"/>
      <c r="BR124" s="64"/>
      <c r="BS124" s="64"/>
      <c r="BT124" s="64"/>
      <c r="BU124" s="64"/>
      <c r="BV124" s="64"/>
      <c r="BW124" s="64"/>
      <c r="BX124" s="64"/>
      <c r="BY124" s="64"/>
      <c r="BZ124" s="64"/>
      <c r="CA124" s="64"/>
      <c r="CB124" s="64"/>
      <c r="CC124" s="64"/>
      <c r="CD124" s="64"/>
      <c r="CE124" s="64"/>
      <c r="CF124" s="64"/>
      <c r="CG124" s="64"/>
      <c r="CH124" s="64"/>
      <c r="CI124" s="64"/>
      <c r="CJ124" s="64"/>
      <c r="CK124" s="64"/>
      <c r="CL124" s="64"/>
      <c r="CM124" s="64"/>
      <c r="CN124" s="64"/>
      <c r="CO124" s="64"/>
      <c r="CP124" s="64"/>
      <c r="CQ124" s="64"/>
      <c r="CR124" s="64"/>
      <c r="CS124" s="64"/>
      <c r="CT124" s="64"/>
      <c r="CU124" s="64"/>
      <c r="CV124" s="64"/>
      <c r="CW124" s="64"/>
      <c r="CX124" s="64"/>
      <c r="CY124" s="64"/>
      <c r="CZ124" s="64"/>
      <c r="DA124" s="64"/>
      <c r="DB124" s="64"/>
      <c r="DC124" s="64"/>
      <c r="DD124" s="64"/>
      <c r="DE124" s="64"/>
      <c r="DF124" s="64"/>
      <c r="DG124" s="64"/>
      <c r="DH124" s="64"/>
      <c r="DI124" s="64"/>
      <c r="DJ124" s="64"/>
      <c r="DK124" s="64"/>
      <c r="DL124" s="64"/>
      <c r="DM124" s="64"/>
      <c r="DN124" s="64"/>
      <c r="DO124" s="64"/>
      <c r="DP124" s="64"/>
      <c r="DQ124" s="64"/>
      <c r="DR124" s="64"/>
      <c r="DS124" s="64"/>
      <c r="DT124" s="64"/>
      <c r="DU124" s="64"/>
      <c r="DV124" s="64"/>
      <c r="DW124" s="64"/>
      <c r="DX124" s="64"/>
      <c r="DY124" s="64"/>
      <c r="DZ124" s="64"/>
      <c r="EA124" s="64"/>
      <c r="EB124" s="64"/>
      <c r="EC124" s="64"/>
      <c r="ED124" s="64"/>
      <c r="EE124" s="64"/>
      <c r="EF124" s="64"/>
      <c r="EG124" s="64"/>
      <c r="EH124" s="64"/>
      <c r="EI124" s="64"/>
      <c r="EJ124" s="64"/>
      <c r="EK124" s="64"/>
      <c r="EL124" s="64"/>
      <c r="EM124" s="64"/>
      <c r="EN124" s="64"/>
      <c r="EO124" s="64"/>
      <c r="EP124" s="64"/>
      <c r="EQ124" s="64"/>
      <c r="ER124" s="64"/>
      <c r="ES124" s="64"/>
      <c r="ET124" s="64"/>
      <c r="EU124" s="64"/>
      <c r="EV124" s="64"/>
      <c r="EW124" s="64"/>
      <c r="EX124" s="64"/>
      <c r="EY124" s="64"/>
      <c r="EZ124" s="64"/>
      <c r="FA124" s="64"/>
      <c r="FB124" s="64"/>
      <c r="FC124" s="64"/>
      <c r="FD124" s="64"/>
      <c r="FE124" s="64"/>
      <c r="FF124" s="64"/>
      <c r="FG124" s="64"/>
      <c r="FH124" s="64"/>
      <c r="FI124" s="64"/>
      <c r="FJ124" s="64"/>
      <c r="FK124" s="64"/>
      <c r="FL124" s="64"/>
      <c r="FM124" s="64"/>
      <c r="FN124" s="64"/>
      <c r="FO124" s="64"/>
      <c r="FP124" s="64"/>
      <c r="FQ124" s="64"/>
      <c r="FR124" s="64"/>
      <c r="FS124" s="64"/>
      <c r="FT124" s="64"/>
      <c r="FU124" s="64"/>
      <c r="FV124" s="64"/>
      <c r="FW124" s="64"/>
      <c r="FX124" s="64"/>
      <c r="FY124" s="64"/>
      <c r="FZ124" s="64"/>
      <c r="GA124" s="64"/>
      <c r="GB124" s="64"/>
      <c r="GC124" s="64"/>
      <c r="GD124" s="64"/>
      <c r="GE124" s="64"/>
      <c r="GF124" s="64"/>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c r="HO124" s="64"/>
      <c r="HP124" s="64"/>
      <c r="HQ124" s="64"/>
      <c r="HR124" s="64"/>
      <c r="HS124" s="64"/>
      <c r="HT124" s="64"/>
      <c r="HU124" s="64"/>
      <c r="HV124" s="64"/>
      <c r="HW124" s="64"/>
      <c r="HX124" s="64"/>
      <c r="HY124" s="64"/>
      <c r="HZ124" s="64"/>
      <c r="IA124" s="64"/>
      <c r="IB124" s="64"/>
      <c r="IC124" s="64"/>
      <c r="ID124" s="64"/>
      <c r="IE124" s="64"/>
      <c r="IF124" s="64"/>
      <c r="IG124" s="64"/>
      <c r="IH124" s="64"/>
      <c r="II124" s="64"/>
      <c r="IJ124" s="64"/>
      <c r="IK124" s="64"/>
      <c r="IL124" s="64"/>
      <c r="IM124" s="64"/>
      <c r="IN124" s="64"/>
      <c r="IO124" s="64"/>
      <c r="IP124" s="64"/>
      <c r="IQ124" s="64"/>
      <c r="IR124" s="64"/>
      <c r="IS124" s="64"/>
      <c r="IT124" s="64"/>
      <c r="IU124" s="64"/>
      <c r="IV124" s="64"/>
      <c r="IW124" s="64"/>
      <c r="IX124" s="64"/>
      <c r="IY124" s="64"/>
      <c r="IZ124" s="64"/>
      <c r="JA124" s="64"/>
      <c r="JB124" s="64"/>
      <c r="JC124" s="64"/>
      <c r="JD124" s="64"/>
      <c r="JE124" s="64"/>
      <c r="JF124" s="64"/>
      <c r="JG124" s="64"/>
      <c r="JH124" s="64"/>
      <c r="JI124" s="64"/>
      <c r="JJ124" s="64"/>
      <c r="JK124" s="64"/>
      <c r="JL124" s="64"/>
      <c r="JM124" s="64"/>
      <c r="JN124" s="64"/>
      <c r="JO124" s="64"/>
      <c r="JP124" s="64"/>
      <c r="JQ124" s="64"/>
      <c r="JR124" s="64"/>
      <c r="JS124" s="64"/>
      <c r="JT124" s="64"/>
      <c r="JU124" s="64"/>
      <c r="JV124" s="64"/>
      <c r="JW124" s="64"/>
      <c r="JX124" s="64"/>
      <c r="JY124" s="64"/>
      <c r="JZ124" s="64"/>
      <c r="KA124" s="64"/>
      <c r="KB124" s="64"/>
      <c r="KC124" s="64"/>
      <c r="KD124" s="64"/>
      <c r="KE124" s="64"/>
      <c r="KF124" s="64"/>
      <c r="KG124" s="64"/>
      <c r="KH124" s="64"/>
    </row>
    <row r="125" spans="1:406" s="102" customFormat="1" x14ac:dyDescent="0.3">
      <c r="A125" s="107"/>
      <c r="B125" s="64"/>
      <c r="C125" s="83" t="s">
        <v>164</v>
      </c>
      <c r="D125" s="270">
        <f>IF(AND($E$2="No",$E$3="No"),SUM(H125:K125),IF(AND($E$2="Yes", $E$3="No"), SUM(H125:K125)+M125, IF(AND($E$2="No", $E$3="Yes"),SUM(H125:K125)+L125, SUM(H125:K125)+M125+L125)))</f>
        <v>-0.223487486494406</v>
      </c>
      <c r="E125" s="90">
        <f>IF(AND($E$2="No",$E$3="No"),SUM(G125:K125,N125:O125),IF(AND($E$2="Yes",$E$3="No"), SUM(G125:K125,N125:O125)+M125, IF(AND($E$2="No", $E$3="Yes"),SUM(G125:K125,N125:O125)+L125, SUM(G125:K125,N125:O125)+M125+L125)))</f>
        <v>1.8642283296867554</v>
      </c>
      <c r="F125" s="278">
        <f>SUM(Q125:S125)/(1-'Common input data'!B$127)</f>
        <v>2.1921381669672746</v>
      </c>
      <c r="G125" s="85">
        <f>'Input data dairy products'!$D$23*G9</f>
        <v>1.8226545689437867</v>
      </c>
      <c r="H125" s="85">
        <f>'Input data dairy products'!$D$23*H9</f>
        <v>0</v>
      </c>
      <c r="I125" s="85">
        <f>'Input data dairy products'!$D$23*I9</f>
        <v>0</v>
      </c>
      <c r="J125" s="85">
        <f>'Input data dairy products'!$D$23*J9</f>
        <v>0</v>
      </c>
      <c r="K125" s="85">
        <f>'Input data dairy products'!$D$23*K9</f>
        <v>0</v>
      </c>
      <c r="L125" s="85">
        <f>'Input data dairy products'!$D$23*L9</f>
        <v>-0.39579984272881752</v>
      </c>
      <c r="M125" s="85">
        <f>'Input data dairy products'!$D$23*M9</f>
        <v>0.17231235623441152</v>
      </c>
      <c r="N125" s="85">
        <f>'Input data dairy products'!$D$23*N9</f>
        <v>0.23386422138621005</v>
      </c>
      <c r="O125" s="85">
        <f>'Input data dairy products'!$D$23*O9</f>
        <v>3.119702585116511E-2</v>
      </c>
      <c r="P125" s="85">
        <f>'Input data dairy products'!I$29</f>
        <v>0.2</v>
      </c>
      <c r="Q125" s="349">
        <f>IF(AND($E$2="No",$E$3="No"),SUM(G125:K125,N125:P125),IF(AND($E$2="Yes",$E$3="No"), SUM(G125:K125,N125:P125)+M125, IF(AND($E$2="No", $E$3="Yes"),SUM(G125:K125,N125:P125)+L125, SUM(G125:K125,N125:P125)+M125+L125)))</f>
        <v>2.0642283296867556</v>
      </c>
      <c r="R125" s="90">
        <f>'Common input data'!B$91</f>
        <v>0.05</v>
      </c>
      <c r="S125" s="90">
        <f>'Common input data'!C$98</f>
        <v>0.03</v>
      </c>
      <c r="T125" s="107"/>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c r="AQ125" s="64"/>
      <c r="AR125" s="64"/>
      <c r="AS125" s="64"/>
      <c r="AT125" s="64"/>
      <c r="AU125" s="64"/>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64"/>
      <c r="BR125" s="64"/>
      <c r="BS125" s="64"/>
      <c r="BT125" s="64"/>
      <c r="BU125" s="64"/>
      <c r="BV125" s="64"/>
      <c r="BW125" s="64"/>
      <c r="BX125" s="64"/>
      <c r="BY125" s="64"/>
      <c r="BZ125" s="64"/>
      <c r="CA125" s="64"/>
      <c r="CB125" s="64"/>
      <c r="CC125" s="64"/>
      <c r="CD125" s="64"/>
      <c r="CE125" s="64"/>
      <c r="CF125" s="64"/>
      <c r="CG125" s="64"/>
      <c r="CH125" s="64"/>
      <c r="CI125" s="64"/>
      <c r="CJ125" s="64"/>
      <c r="CK125" s="64"/>
      <c r="CL125" s="64"/>
      <c r="CM125" s="64"/>
      <c r="CN125" s="64"/>
      <c r="CO125" s="64"/>
      <c r="CP125" s="64"/>
      <c r="CQ125" s="64"/>
      <c r="CR125" s="64"/>
      <c r="CS125" s="64"/>
      <c r="CT125" s="64"/>
      <c r="CU125" s="64"/>
      <c r="CV125" s="64"/>
      <c r="CW125" s="64"/>
      <c r="CX125" s="64"/>
      <c r="CY125" s="64"/>
      <c r="CZ125" s="64"/>
      <c r="DA125" s="64"/>
      <c r="DB125" s="64"/>
      <c r="DC125" s="64"/>
      <c r="DD125" s="64"/>
      <c r="DE125" s="64"/>
      <c r="DF125" s="64"/>
      <c r="DG125" s="64"/>
      <c r="DH125" s="64"/>
      <c r="DI125" s="64"/>
      <c r="DJ125" s="64"/>
      <c r="DK125" s="64"/>
      <c r="DL125" s="64"/>
      <c r="DM125" s="64"/>
      <c r="DN125" s="64"/>
      <c r="DO125" s="64"/>
      <c r="DP125" s="64"/>
      <c r="DQ125" s="64"/>
      <c r="DR125" s="64"/>
      <c r="DS125" s="64"/>
      <c r="DT125" s="64"/>
      <c r="DU125" s="64"/>
      <c r="DV125" s="64"/>
      <c r="DW125" s="64"/>
      <c r="DX125" s="64"/>
      <c r="DY125" s="64"/>
      <c r="DZ125" s="64"/>
      <c r="EA125" s="64"/>
      <c r="EB125" s="64"/>
      <c r="EC125" s="64"/>
      <c r="ED125" s="64"/>
      <c r="EE125" s="64"/>
      <c r="EF125" s="64"/>
      <c r="EG125" s="64"/>
      <c r="EH125" s="64"/>
      <c r="EI125" s="64"/>
      <c r="EJ125" s="64"/>
      <c r="EK125" s="64"/>
      <c r="EL125" s="64"/>
      <c r="EM125" s="64"/>
      <c r="EN125" s="64"/>
      <c r="EO125" s="64"/>
      <c r="EP125" s="64"/>
      <c r="EQ125" s="64"/>
      <c r="ER125" s="64"/>
      <c r="ES125" s="64"/>
      <c r="ET125" s="64"/>
      <c r="EU125" s="64"/>
      <c r="EV125" s="64"/>
      <c r="EW125" s="64"/>
      <c r="EX125" s="64"/>
      <c r="EY125" s="64"/>
      <c r="EZ125" s="64"/>
      <c r="FA125" s="64"/>
      <c r="FB125" s="64"/>
      <c r="FC125" s="64"/>
      <c r="FD125" s="64"/>
      <c r="FE125" s="64"/>
      <c r="FF125" s="64"/>
      <c r="FG125" s="64"/>
      <c r="FH125" s="64"/>
      <c r="FI125" s="64"/>
      <c r="FJ125" s="64"/>
      <c r="FK125" s="64"/>
      <c r="FL125" s="64"/>
      <c r="FM125" s="64"/>
      <c r="FN125" s="64"/>
      <c r="FO125" s="64"/>
      <c r="FP125" s="64"/>
      <c r="FQ125" s="64"/>
      <c r="FR125" s="64"/>
      <c r="FS125" s="64"/>
      <c r="FT125" s="64"/>
      <c r="FU125" s="64"/>
      <c r="FV125" s="64"/>
      <c r="FW125" s="64"/>
      <c r="FX125" s="64"/>
      <c r="FY125" s="64"/>
      <c r="FZ125" s="64"/>
      <c r="GA125" s="64"/>
      <c r="GB125" s="64"/>
      <c r="GC125" s="64"/>
      <c r="GD125" s="64"/>
      <c r="GE125" s="64"/>
      <c r="GF125" s="64"/>
      <c r="GG125" s="64"/>
      <c r="GH125" s="64"/>
      <c r="GI125" s="64"/>
      <c r="GJ125" s="64"/>
      <c r="GK125" s="64"/>
      <c r="GL125" s="64"/>
      <c r="GM125" s="64"/>
      <c r="GN125" s="64"/>
      <c r="GO125" s="64"/>
      <c r="GP125" s="64"/>
      <c r="GQ125" s="64"/>
      <c r="GR125" s="64"/>
      <c r="GS125" s="64"/>
      <c r="GT125" s="64"/>
      <c r="GU125" s="64"/>
      <c r="GV125" s="64"/>
      <c r="GW125" s="64"/>
      <c r="GX125" s="64"/>
      <c r="GY125" s="64"/>
      <c r="GZ125" s="64"/>
      <c r="HA125" s="64"/>
      <c r="HB125" s="64"/>
      <c r="HC125" s="64"/>
      <c r="HD125" s="64"/>
      <c r="HE125" s="64"/>
      <c r="HF125" s="64"/>
      <c r="HG125" s="64"/>
      <c r="HH125" s="64"/>
      <c r="HI125" s="64"/>
      <c r="HJ125" s="64"/>
      <c r="HK125" s="64"/>
      <c r="HL125" s="64"/>
      <c r="HM125" s="64"/>
      <c r="HN125" s="64"/>
      <c r="HO125" s="64"/>
      <c r="HP125" s="64"/>
      <c r="HQ125" s="64"/>
      <c r="HR125" s="64"/>
      <c r="HS125" s="64"/>
      <c r="HT125" s="64"/>
      <c r="HU125" s="64"/>
      <c r="HV125" s="64"/>
      <c r="HW125" s="64"/>
      <c r="HX125" s="64"/>
      <c r="HY125" s="64"/>
      <c r="HZ125" s="64"/>
      <c r="IA125" s="64"/>
      <c r="IB125" s="64"/>
      <c r="IC125" s="64"/>
      <c r="ID125" s="64"/>
      <c r="IE125" s="64"/>
      <c r="IF125" s="64"/>
      <c r="IG125" s="64"/>
      <c r="IH125" s="64"/>
      <c r="II125" s="64"/>
      <c r="IJ125" s="64"/>
      <c r="IK125" s="64"/>
      <c r="IL125" s="64"/>
      <c r="IM125" s="64"/>
      <c r="IN125" s="64"/>
      <c r="IO125" s="64"/>
      <c r="IP125" s="64"/>
      <c r="IQ125" s="64"/>
      <c r="IR125" s="64"/>
      <c r="IS125" s="64"/>
      <c r="IT125" s="64"/>
      <c r="IU125" s="64"/>
      <c r="IV125" s="64"/>
      <c r="IW125" s="64"/>
      <c r="IX125" s="64"/>
      <c r="IY125" s="64"/>
      <c r="IZ125" s="64"/>
      <c r="JA125" s="64"/>
      <c r="JB125" s="64"/>
      <c r="JC125" s="64"/>
      <c r="JD125" s="64"/>
      <c r="JE125" s="64"/>
      <c r="JF125" s="64"/>
      <c r="JG125" s="64"/>
      <c r="JH125" s="64"/>
      <c r="JI125" s="64"/>
      <c r="JJ125" s="64"/>
      <c r="JK125" s="64"/>
      <c r="JL125" s="64"/>
      <c r="JM125" s="64"/>
      <c r="JN125" s="64"/>
      <c r="JO125" s="64"/>
      <c r="JP125" s="64"/>
      <c r="JQ125" s="64"/>
      <c r="JR125" s="64"/>
      <c r="JS125" s="64"/>
      <c r="JT125" s="64"/>
      <c r="JU125" s="64"/>
      <c r="JV125" s="64"/>
      <c r="JW125" s="64"/>
      <c r="JX125" s="64"/>
      <c r="JY125" s="64"/>
      <c r="JZ125" s="64"/>
      <c r="KA125" s="64"/>
      <c r="KB125" s="64"/>
      <c r="KC125" s="64"/>
      <c r="KD125" s="64"/>
      <c r="KE125" s="64"/>
      <c r="KF125" s="64"/>
      <c r="KG125" s="64"/>
      <c r="KH125" s="64"/>
      <c r="KI125" s="64"/>
      <c r="KJ125" s="64"/>
      <c r="KK125" s="64"/>
      <c r="KL125" s="64"/>
      <c r="KM125" s="64"/>
      <c r="KN125" s="64"/>
      <c r="KO125" s="64"/>
      <c r="KP125" s="64"/>
      <c r="KQ125" s="64"/>
      <c r="KR125" s="64"/>
      <c r="KS125" s="64"/>
      <c r="KT125" s="64"/>
      <c r="KU125" s="64"/>
      <c r="KV125" s="64"/>
      <c r="KW125" s="64"/>
      <c r="KX125" s="64"/>
      <c r="KY125" s="64"/>
      <c r="KZ125" s="64"/>
      <c r="LA125" s="64"/>
      <c r="LB125" s="64"/>
      <c r="LC125" s="64"/>
      <c r="LD125" s="64"/>
      <c r="LE125" s="64"/>
      <c r="LF125" s="64"/>
      <c r="LG125" s="64"/>
      <c r="LH125" s="64"/>
      <c r="LI125" s="64"/>
      <c r="LJ125" s="64"/>
      <c r="LK125" s="64"/>
      <c r="LL125" s="64"/>
      <c r="LM125" s="64"/>
      <c r="LN125" s="64"/>
      <c r="LO125" s="64"/>
      <c r="LP125" s="64"/>
      <c r="LQ125" s="64"/>
      <c r="LR125" s="64"/>
      <c r="LS125" s="64"/>
      <c r="LT125" s="64"/>
      <c r="LU125" s="64"/>
      <c r="LV125" s="64"/>
      <c r="LW125" s="64"/>
      <c r="LX125" s="64"/>
      <c r="LY125" s="64"/>
      <c r="LZ125" s="64"/>
      <c r="MA125" s="64"/>
      <c r="MB125" s="64"/>
      <c r="MC125" s="64"/>
      <c r="MD125" s="64"/>
      <c r="ME125" s="64"/>
      <c r="MF125" s="64"/>
      <c r="MG125" s="64"/>
      <c r="MH125" s="64"/>
      <c r="MI125" s="64"/>
      <c r="MJ125" s="64"/>
      <c r="MK125" s="64"/>
      <c r="ML125" s="64"/>
      <c r="MM125" s="64"/>
      <c r="MN125" s="64"/>
      <c r="MO125" s="64"/>
      <c r="MP125" s="64"/>
      <c r="MQ125" s="64"/>
      <c r="MR125" s="64"/>
      <c r="MS125" s="64"/>
      <c r="MT125" s="64"/>
      <c r="MU125" s="64"/>
      <c r="MV125" s="64"/>
      <c r="MW125" s="64"/>
      <c r="MX125" s="64"/>
      <c r="MY125" s="64"/>
      <c r="MZ125" s="64"/>
      <c r="NA125" s="64"/>
      <c r="NB125" s="64"/>
      <c r="NC125" s="64"/>
      <c r="ND125" s="64"/>
      <c r="NE125" s="64"/>
      <c r="NF125" s="64"/>
      <c r="NG125" s="64"/>
      <c r="NH125" s="64"/>
      <c r="NI125" s="64"/>
      <c r="NJ125" s="64"/>
      <c r="NK125" s="64"/>
      <c r="NL125" s="64"/>
      <c r="NM125" s="64"/>
      <c r="NN125" s="64"/>
      <c r="NO125" s="64"/>
      <c r="NP125" s="64"/>
      <c r="NQ125" s="64"/>
      <c r="NR125" s="64"/>
      <c r="NS125" s="64"/>
      <c r="NT125" s="64"/>
      <c r="NU125" s="64"/>
      <c r="NV125" s="64"/>
      <c r="NW125" s="64"/>
      <c r="NX125" s="64"/>
      <c r="NY125" s="64"/>
      <c r="NZ125" s="64"/>
      <c r="OA125" s="64"/>
      <c r="OB125" s="64"/>
      <c r="OC125" s="64"/>
      <c r="OD125" s="64"/>
      <c r="OE125" s="64"/>
      <c r="OF125" s="64"/>
      <c r="OG125" s="64"/>
      <c r="OH125" s="64"/>
      <c r="OI125" s="64"/>
      <c r="OJ125" s="64"/>
      <c r="OK125" s="64"/>
      <c r="OL125" s="64"/>
      <c r="OM125" s="64"/>
      <c r="ON125" s="64"/>
      <c r="OO125" s="64"/>
      <c r="OP125" s="64"/>
    </row>
    <row r="126" spans="1:406" x14ac:dyDescent="0.3">
      <c r="A126" s="144"/>
      <c r="B126" s="142"/>
      <c r="C126" s="83" t="s">
        <v>165</v>
      </c>
      <c r="D126" s="270">
        <f>SUM(H126:K126)</f>
        <v>0.1889065799464334</v>
      </c>
      <c r="E126" s="90">
        <f>SUM(G126:K126,N126:O126)</f>
        <v>0.19086640140868152</v>
      </c>
      <c r="F126" s="278">
        <f>SUM(Q126:S126)/(1-'Common input data'!B$127)</f>
        <v>0.19513104902442499</v>
      </c>
      <c r="G126" s="85">
        <f>'Input data dairy products'!$D$23*G10</f>
        <v>1.9513654359899018E-3</v>
      </c>
      <c r="H126" s="85">
        <f>'Input data dairy products'!$D$23*H10</f>
        <v>0</v>
      </c>
      <c r="I126" s="85">
        <f>'Input data dairy products'!$D$23*I10</f>
        <v>1.2343696244045209E-2</v>
      </c>
      <c r="J126" s="85">
        <f>'Input data dairy products'!$D$23*J10</f>
        <v>0</v>
      </c>
      <c r="K126" s="85">
        <f>'Input data dairy products'!$D$23*K10</f>
        <v>0.17656288370238818</v>
      </c>
      <c r="L126" s="85">
        <f>'Input data dairy products'!$D$23*L10</f>
        <v>0</v>
      </c>
      <c r="M126" s="85">
        <f>'Input data dairy products'!$D$23*M10</f>
        <v>0</v>
      </c>
      <c r="N126" s="85">
        <f>'Input data dairy products'!$D$23*N10</f>
        <v>0</v>
      </c>
      <c r="O126" s="85">
        <f>'Input data dairy products'!$D$23*O10</f>
        <v>8.4560262582288795E-6</v>
      </c>
      <c r="P126" s="85">
        <v>0</v>
      </c>
      <c r="Q126" s="85">
        <f t="shared" ref="Q126:Q131" si="10">SUM(G126:P126)</f>
        <v>0.19086640140868152</v>
      </c>
      <c r="R126" s="90">
        <v>0</v>
      </c>
      <c r="S126" s="90">
        <v>0</v>
      </c>
      <c r="T126" s="107"/>
    </row>
    <row r="127" spans="1:406" x14ac:dyDescent="0.3">
      <c r="A127" s="174"/>
      <c r="B127" s="85"/>
      <c r="C127" s="84" t="s">
        <v>166</v>
      </c>
      <c r="D127" s="270">
        <f>SUM(H127:K127)</f>
        <v>7.2531179059198156E-3</v>
      </c>
      <c r="E127" s="90">
        <f>SUM(G127:K127,N127:O127)</f>
        <v>9.0978391877110029E-3</v>
      </c>
      <c r="F127" s="278">
        <f>SUM(Q127:S127)/(1-'Common input data'!B$127)</f>
        <v>9.3011179099687404E-3</v>
      </c>
      <c r="G127" s="85">
        <f>'Input data dairy products'!$D$23*G11</f>
        <v>1.8439329922322269E-3</v>
      </c>
      <c r="H127" s="85">
        <f>'Input data dairy products'!$D$23*H11</f>
        <v>4.6607193796657682E-3</v>
      </c>
      <c r="I127" s="85">
        <f>'Input data dairy products'!$D$23*I11</f>
        <v>2.3897514517073701E-3</v>
      </c>
      <c r="J127" s="85">
        <f>'Input data dairy products'!$D$23*J11</f>
        <v>2.0264707454667715E-4</v>
      </c>
      <c r="K127" s="85">
        <f>'Input data dairy products'!$D$23*K11</f>
        <v>0</v>
      </c>
      <c r="L127" s="85">
        <f>'Input data dairy products'!$D$23*L11</f>
        <v>0</v>
      </c>
      <c r="M127" s="85">
        <f>'Input data dairy products'!$D$23*M11</f>
        <v>0</v>
      </c>
      <c r="N127" s="85">
        <f>'Input data dairy products'!$D$23*N11</f>
        <v>0</v>
      </c>
      <c r="O127" s="85">
        <f>'Input data dairy products'!$D$23*O11</f>
        <v>7.8828955896155885E-7</v>
      </c>
      <c r="P127" s="85">
        <v>0</v>
      </c>
      <c r="Q127" s="85">
        <f t="shared" si="10"/>
        <v>9.0978391877110029E-3</v>
      </c>
      <c r="R127" s="90">
        <v>0</v>
      </c>
      <c r="S127" s="90">
        <v>0</v>
      </c>
      <c r="T127" s="107"/>
    </row>
    <row r="128" spans="1:406" s="102" customFormat="1" x14ac:dyDescent="0.3">
      <c r="A128" s="284" t="s">
        <v>70</v>
      </c>
      <c r="B128" s="110">
        <f>'Input data dairy products'!C24</f>
        <v>0.15999999999999992</v>
      </c>
      <c r="C128" s="269" t="s">
        <v>473</v>
      </c>
      <c r="D128" s="320">
        <f>IF($E$1="GWP100 without fb",D129+D130*'Common input data'!$C$5+D131*'Common input data'!$D$5,IF($E$1="GWP100 with fb",D129+D130*'Common input data'!$C$6+D131*'Common input data'!$D$6,IF($E$1="GTP100 without fb",D129+D130*'Common input data'!$C$7+D131*'Common input data'!$D$7,IF($E$1="GTP100 with fb",D129+D130*'Common input data'!$C$8+D131*'Common input data'!$D$8,D129+D130*'Common input data'!$C$9+D131*'Common input data'!$D$9))))</f>
        <v>8.3607653676484333</v>
      </c>
      <c r="E128" s="302">
        <f>IF($E$1="GWP100 without fb",E129+E130*'Common input data'!$C$5+E131*'Common input data'!$D$5,IF($E$1="GWP100 with fb",E129+E130*'Common input data'!$C$6+E131*'Common input data'!$D$6,IF($E$1="GTP100 without fb",E129+E130*'Common input data'!$C$7+E131*'Common input data'!$D$7,IF($E$1="GTP100 with fb",E129+E130*'Common input data'!$C$8+E131*'Common input data'!$D$8,E129+E130*'Common input data'!$C$9+E131*'Common input data'!$D$9))))</f>
        <v>11.606961283962152</v>
      </c>
      <c r="F128" s="321">
        <f>IF($E$1="GWP100 without fb",F129+F130*'Common input data'!$C$5+F131*'Common input data'!$D$5,IF($E$1="GWP100 with fb",F129+F130*'Common input data'!$C$6+F131*'Common input data'!$D$6,IF($E$1="GTP100 without fb",F129+F130*'Common input data'!$C$7+F131*'Common input data'!$D$7,IF($E$1="GTP100 with fb",F129+F130*'Common input data'!$C$8+F131*'Common input data'!$D$8,F129+F130*'Common input data'!$C$9+F131*'Common input data'!$D$9))))</f>
        <v>12.765965285056648</v>
      </c>
      <c r="G128" s="104"/>
      <c r="P128" s="104"/>
      <c r="Q128" s="104"/>
      <c r="R128" s="106"/>
      <c r="S128" s="106"/>
      <c r="T128" s="107"/>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4"/>
      <c r="CA128" s="64"/>
      <c r="CB128" s="64"/>
      <c r="CC128" s="64"/>
      <c r="CD128" s="64"/>
      <c r="CE128" s="64"/>
      <c r="CF128" s="64"/>
      <c r="CG128" s="64"/>
      <c r="CH128" s="64"/>
      <c r="CI128" s="64"/>
      <c r="CJ128" s="64"/>
      <c r="CK128" s="64"/>
      <c r="CL128" s="64"/>
      <c r="CM128" s="64"/>
      <c r="CN128" s="64"/>
      <c r="CO128" s="64"/>
      <c r="CP128" s="64"/>
      <c r="CQ128" s="64"/>
      <c r="CR128" s="64"/>
      <c r="CS128" s="64"/>
      <c r="CT128" s="64"/>
      <c r="CU128" s="64"/>
      <c r="CV128" s="64"/>
      <c r="CW128" s="64"/>
      <c r="CX128" s="64"/>
      <c r="CY128" s="64"/>
      <c r="CZ128" s="64"/>
      <c r="DA128" s="64"/>
      <c r="DB128" s="64"/>
      <c r="DC128" s="64"/>
      <c r="DD128" s="64"/>
      <c r="DE128" s="64"/>
      <c r="DF128" s="64"/>
      <c r="DG128" s="64"/>
      <c r="DH128" s="64"/>
      <c r="DI128" s="64"/>
      <c r="DJ128" s="64"/>
      <c r="DK128" s="64"/>
      <c r="DL128" s="64"/>
      <c r="DM128" s="64"/>
      <c r="DN128" s="64"/>
      <c r="DO128" s="64"/>
      <c r="DP128" s="64"/>
      <c r="DQ128" s="64"/>
      <c r="DR128" s="64"/>
      <c r="DS128" s="64"/>
      <c r="DT128" s="64"/>
      <c r="DU128" s="64"/>
      <c r="DV128" s="64"/>
      <c r="DW128" s="64"/>
      <c r="DX128" s="64"/>
      <c r="DY128" s="64"/>
      <c r="DZ128" s="64"/>
      <c r="EA128" s="64"/>
      <c r="EB128" s="64"/>
      <c r="EC128" s="64"/>
      <c r="ED128" s="64"/>
      <c r="EE128" s="64"/>
      <c r="EF128" s="64"/>
      <c r="EG128" s="64"/>
      <c r="EH128" s="64"/>
      <c r="EI128" s="64"/>
      <c r="EJ128" s="64"/>
      <c r="EK128" s="64"/>
      <c r="EL128" s="64"/>
      <c r="EM128" s="64"/>
      <c r="EN128" s="64"/>
      <c r="EO128" s="64"/>
      <c r="EP128" s="64"/>
      <c r="EQ128" s="64"/>
      <c r="ER128" s="64"/>
      <c r="ES128" s="64"/>
      <c r="ET128" s="64"/>
      <c r="EU128" s="64"/>
      <c r="EV128" s="64"/>
      <c r="EW128" s="64"/>
      <c r="EX128" s="64"/>
      <c r="EY128" s="64"/>
      <c r="EZ128" s="64"/>
      <c r="FA128" s="64"/>
      <c r="FB128" s="64"/>
      <c r="FC128" s="64"/>
      <c r="FD128" s="64"/>
      <c r="FE128" s="64"/>
      <c r="FF128" s="64"/>
      <c r="FG128" s="64"/>
      <c r="FH128" s="64"/>
      <c r="FI128" s="64"/>
      <c r="FJ128" s="64"/>
      <c r="FK128" s="64"/>
      <c r="FL128" s="64"/>
      <c r="FM128" s="64"/>
      <c r="FN128" s="64"/>
      <c r="FO128" s="64"/>
      <c r="FP128" s="64"/>
      <c r="FQ128" s="64"/>
      <c r="FR128" s="64"/>
      <c r="FS128" s="64"/>
      <c r="FT128" s="64"/>
      <c r="FU128" s="64"/>
      <c r="FV128" s="64"/>
      <c r="FW128" s="64"/>
      <c r="FX128" s="64"/>
      <c r="FY128" s="64"/>
      <c r="FZ128" s="64"/>
      <c r="GA128" s="64"/>
      <c r="GB128" s="64"/>
      <c r="GC128" s="64"/>
      <c r="GD128" s="64"/>
      <c r="GE128" s="64"/>
      <c r="GF128" s="64"/>
      <c r="GG128" s="64"/>
      <c r="GH128" s="64"/>
      <c r="GI128" s="64"/>
      <c r="GJ128" s="64"/>
      <c r="GK128" s="64"/>
      <c r="GL128" s="64"/>
      <c r="GM128" s="64"/>
      <c r="GN128" s="64"/>
      <c r="GO128" s="64"/>
      <c r="GP128" s="64"/>
      <c r="GQ128" s="64"/>
      <c r="GR128" s="64"/>
      <c r="GS128" s="64"/>
      <c r="GT128" s="64"/>
      <c r="GU128" s="64"/>
      <c r="GV128" s="64"/>
      <c r="GW128" s="64"/>
      <c r="GX128" s="64"/>
      <c r="GY128" s="64"/>
      <c r="GZ128" s="64"/>
      <c r="HA128" s="64"/>
      <c r="HB128" s="64"/>
      <c r="HC128" s="64"/>
      <c r="HD128" s="64"/>
      <c r="HE128" s="64"/>
      <c r="HF128" s="64"/>
      <c r="HG128" s="64"/>
      <c r="HH128" s="64"/>
      <c r="HI128" s="64"/>
      <c r="HJ128" s="64"/>
      <c r="HK128" s="64"/>
      <c r="HL128" s="64"/>
      <c r="HM128" s="64"/>
      <c r="HN128" s="64"/>
      <c r="HO128" s="64"/>
      <c r="HP128" s="64"/>
      <c r="HQ128" s="64"/>
      <c r="HR128" s="64"/>
      <c r="HS128" s="64"/>
      <c r="HT128" s="64"/>
      <c r="HU128" s="64"/>
      <c r="HV128" s="64"/>
      <c r="HW128" s="64"/>
      <c r="HX128" s="64"/>
      <c r="HY128" s="64"/>
      <c r="HZ128" s="64"/>
      <c r="IA128" s="64"/>
      <c r="IB128" s="64"/>
      <c r="IC128" s="64"/>
      <c r="ID128" s="64"/>
      <c r="IE128" s="64"/>
      <c r="IF128" s="64"/>
      <c r="IG128" s="64"/>
      <c r="IH128" s="64"/>
      <c r="II128" s="64"/>
      <c r="IJ128" s="64"/>
      <c r="IK128" s="64"/>
      <c r="IL128" s="64"/>
      <c r="IM128" s="64"/>
      <c r="IN128" s="64"/>
      <c r="IO128" s="64"/>
      <c r="IP128" s="64"/>
      <c r="IQ128" s="64"/>
      <c r="IR128" s="64"/>
      <c r="IS128" s="64"/>
      <c r="IT128" s="64"/>
      <c r="IU128" s="64"/>
      <c r="IV128" s="64"/>
      <c r="IW128" s="64"/>
      <c r="IX128" s="64"/>
      <c r="IY128" s="64"/>
      <c r="IZ128" s="64"/>
      <c r="JA128" s="64"/>
      <c r="JB128" s="64"/>
      <c r="JC128" s="64"/>
      <c r="JD128" s="64"/>
      <c r="JE128" s="64"/>
      <c r="JF128" s="64"/>
      <c r="JG128" s="64"/>
      <c r="JH128" s="64"/>
      <c r="JI128" s="64"/>
      <c r="JJ128" s="64"/>
      <c r="JK128" s="64"/>
      <c r="JL128" s="64"/>
      <c r="JM128" s="64"/>
      <c r="JN128" s="64"/>
      <c r="JO128" s="64"/>
      <c r="JP128" s="64"/>
      <c r="JQ128" s="64"/>
      <c r="JR128" s="64"/>
      <c r="JS128" s="64"/>
      <c r="JT128" s="64"/>
      <c r="JU128" s="64"/>
      <c r="JV128" s="64"/>
      <c r="JW128" s="64"/>
      <c r="JX128" s="64"/>
      <c r="JY128" s="64"/>
      <c r="JZ128" s="64"/>
      <c r="KA128" s="64"/>
      <c r="KB128" s="64"/>
      <c r="KC128" s="64"/>
      <c r="KD128" s="64"/>
      <c r="KE128" s="64"/>
      <c r="KF128" s="64"/>
      <c r="KG128" s="64"/>
      <c r="KH128" s="64"/>
    </row>
    <row r="129" spans="1:406" s="102" customFormat="1" x14ac:dyDescent="0.3">
      <c r="A129" s="107"/>
      <c r="B129" s="64"/>
      <c r="C129" s="83" t="s">
        <v>164</v>
      </c>
      <c r="D129" s="270">
        <f>IF(AND($E$2="No",$E$3="No"),SUM(H129:K129),IF(AND($E$2="Yes", $E$3="No"), SUM(H129:K129)+M129, IF(AND($E$2="No", $E$3="Yes"),SUM(H129:K129)+L129, SUM(H129:K129)+M129+L129)))</f>
        <v>-0.223487486494406</v>
      </c>
      <c r="E129" s="90">
        <f>IF(AND($E$2="No",$E$3="No"),SUM(G129:K129,N129:O129),IF(AND($E$2="Yes",$E$3="No"), SUM(G129:K129,N129:O129)+M129, IF(AND($E$2="No", $E$3="Yes"),SUM(G129:K129,N129:O129)+L129, SUM(G129:K129,N129:O129)+M129+L129)))</f>
        <v>2.4052811848723255</v>
      </c>
      <c r="F129" s="278">
        <f>SUM(Q129:S129)/(1-'Common input data'!B$127)</f>
        <v>3.3586862811528033</v>
      </c>
      <c r="G129" s="85">
        <f>'Input data dairy products'!$D$24*G13</f>
        <v>1.8226545689437867</v>
      </c>
      <c r="H129" s="85">
        <f>'Input data dairy products'!$D$24*H13</f>
        <v>0</v>
      </c>
      <c r="I129" s="85">
        <f>'Input data dairy products'!$D$24*I13</f>
        <v>0</v>
      </c>
      <c r="J129" s="85">
        <f>'Input data dairy products'!$D$24*J13</f>
        <v>0</v>
      </c>
      <c r="K129" s="85">
        <f>'Input data dairy products'!$D$24*K13</f>
        <v>0</v>
      </c>
      <c r="L129" s="85">
        <f>'Input data dairy products'!$D$24*L13</f>
        <v>-0.39579984272881752</v>
      </c>
      <c r="M129" s="85">
        <f>'Input data dairy products'!$D$24*M13</f>
        <v>0.17231235623441152</v>
      </c>
      <c r="N129" s="85">
        <f>'Input data dairy products'!$D$24*N13</f>
        <v>0.71123654957661808</v>
      </c>
      <c r="O129" s="85">
        <f>'Input data dairy products'!$D$24*O13</f>
        <v>9.4877552846326874E-2</v>
      </c>
      <c r="P129" s="85">
        <f>'Input data dairy products'!I$30</f>
        <v>0.6</v>
      </c>
      <c r="Q129" s="349">
        <f>IF(AND($E$2="No",$E$3="No"),SUM(G129:K129,N129:P129),IF(AND($E$2="Yes",$E$3="No"), SUM(G129:K129,N129:P129)+M129, IF(AND($E$2="No", $E$3="Yes"),SUM(G129:K129,N129:P129)+L129, SUM(G129:K129,N129:P129)+M129+L129)))</f>
        <v>3.0052811848723255</v>
      </c>
      <c r="R129" s="90">
        <f>'Common input data'!B$91</f>
        <v>0.05</v>
      </c>
      <c r="S129" s="90">
        <f>'Common input data'!B$102+'Common input data'!C$102</f>
        <v>0.23000000000000004</v>
      </c>
      <c r="T129" s="107"/>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c r="BP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c r="HO129" s="64"/>
      <c r="HP129" s="64"/>
      <c r="HQ129" s="64"/>
      <c r="HR129" s="64"/>
      <c r="HS129" s="64"/>
      <c r="HT129" s="64"/>
      <c r="HU129" s="64"/>
      <c r="HV129" s="64"/>
      <c r="HW129" s="64"/>
      <c r="HX129" s="64"/>
      <c r="HY129" s="64"/>
      <c r="HZ129" s="64"/>
      <c r="IA129" s="64"/>
      <c r="IB129" s="64"/>
      <c r="IC129" s="64"/>
      <c r="ID129" s="64"/>
      <c r="IE129" s="64"/>
      <c r="IF129" s="64"/>
      <c r="IG129" s="64"/>
      <c r="IH129" s="64"/>
      <c r="II129" s="64"/>
      <c r="IJ129" s="64"/>
      <c r="IK129" s="64"/>
      <c r="IL129" s="64"/>
      <c r="IM129" s="64"/>
      <c r="IN129" s="64"/>
      <c r="IO129" s="64"/>
      <c r="IP129" s="64"/>
      <c r="IQ129" s="64"/>
      <c r="IR129" s="64"/>
      <c r="IS129" s="64"/>
      <c r="IT129" s="64"/>
      <c r="IU129" s="64"/>
      <c r="IV129" s="64"/>
      <c r="IW129" s="64"/>
      <c r="IX129" s="64"/>
      <c r="IY129" s="64"/>
      <c r="IZ129" s="64"/>
      <c r="JA129" s="64"/>
      <c r="JB129" s="64"/>
      <c r="JC129" s="64"/>
      <c r="JD129" s="64"/>
      <c r="JE129" s="64"/>
      <c r="JF129" s="64"/>
      <c r="JG129" s="64"/>
      <c r="JH129" s="64"/>
      <c r="JI129" s="64"/>
      <c r="JJ129" s="64"/>
      <c r="JK129" s="64"/>
      <c r="JL129" s="64"/>
      <c r="JM129" s="64"/>
      <c r="JN129" s="64"/>
      <c r="JO129" s="64"/>
      <c r="JP129" s="64"/>
      <c r="JQ129" s="64"/>
      <c r="JR129" s="64"/>
      <c r="JS129" s="64"/>
      <c r="JT129" s="64"/>
      <c r="JU129" s="64"/>
      <c r="JV129" s="64"/>
      <c r="JW129" s="64"/>
      <c r="JX129" s="64"/>
      <c r="JY129" s="64"/>
      <c r="JZ129" s="64"/>
      <c r="KA129" s="64"/>
      <c r="KB129" s="64"/>
      <c r="KC129" s="64"/>
      <c r="KD129" s="64"/>
      <c r="KE129" s="64"/>
      <c r="KF129" s="64"/>
      <c r="KG129" s="64"/>
      <c r="KH129" s="64"/>
      <c r="KI129" s="64"/>
      <c r="KJ129" s="64"/>
      <c r="KK129" s="64"/>
      <c r="KL129" s="64"/>
      <c r="KM129" s="64"/>
      <c r="KN129" s="64"/>
      <c r="KO129" s="64"/>
      <c r="KP129" s="64"/>
      <c r="KQ129" s="64"/>
      <c r="KR129" s="64"/>
      <c r="KS129" s="64"/>
      <c r="KT129" s="64"/>
      <c r="KU129" s="64"/>
      <c r="KV129" s="64"/>
      <c r="KW129" s="64"/>
      <c r="KX129" s="64"/>
      <c r="KY129" s="64"/>
      <c r="KZ129" s="64"/>
      <c r="LA129" s="64"/>
      <c r="LB129" s="64"/>
      <c r="LC129" s="64"/>
      <c r="LD129" s="64"/>
      <c r="LE129" s="64"/>
      <c r="LF129" s="64"/>
      <c r="LG129" s="64"/>
      <c r="LH129" s="64"/>
      <c r="LI129" s="64"/>
      <c r="LJ129" s="64"/>
      <c r="LK129" s="64"/>
      <c r="LL129" s="64"/>
      <c r="LM129" s="64"/>
      <c r="LN129" s="64"/>
      <c r="LO129" s="64"/>
      <c r="LP129" s="64"/>
      <c r="LQ129" s="64"/>
      <c r="LR129" s="64"/>
      <c r="LS129" s="64"/>
      <c r="LT129" s="64"/>
      <c r="LU129" s="64"/>
      <c r="LV129" s="64"/>
      <c r="LW129" s="64"/>
      <c r="LX129" s="64"/>
      <c r="LY129" s="64"/>
      <c r="LZ129" s="64"/>
      <c r="MA129" s="64"/>
      <c r="MB129" s="64"/>
      <c r="MC129" s="64"/>
      <c r="MD129" s="64"/>
      <c r="ME129" s="64"/>
      <c r="MF129" s="64"/>
      <c r="MG129" s="64"/>
      <c r="MH129" s="64"/>
      <c r="MI129" s="64"/>
      <c r="MJ129" s="64"/>
      <c r="MK129" s="64"/>
      <c r="ML129" s="64"/>
      <c r="MM129" s="64"/>
      <c r="MN129" s="64"/>
      <c r="MO129" s="64"/>
      <c r="MP129" s="64"/>
      <c r="MQ129" s="64"/>
      <c r="MR129" s="64"/>
      <c r="MS129" s="64"/>
      <c r="MT129" s="64"/>
      <c r="MU129" s="64"/>
      <c r="MV129" s="64"/>
      <c r="MW129" s="64"/>
      <c r="MX129" s="64"/>
      <c r="MY129" s="64"/>
      <c r="MZ129" s="64"/>
      <c r="NA129" s="64"/>
      <c r="NB129" s="64"/>
      <c r="NC129" s="64"/>
      <c r="ND129" s="64"/>
      <c r="NE129" s="64"/>
      <c r="NF129" s="64"/>
      <c r="NG129" s="64"/>
      <c r="NH129" s="64"/>
      <c r="NI129" s="64"/>
      <c r="NJ129" s="64"/>
      <c r="NK129" s="64"/>
      <c r="NL129" s="64"/>
      <c r="NM129" s="64"/>
      <c r="NN129" s="64"/>
      <c r="NO129" s="64"/>
      <c r="NP129" s="64"/>
      <c r="NQ129" s="64"/>
      <c r="NR129" s="64"/>
      <c r="NS129" s="64"/>
      <c r="NT129" s="64"/>
      <c r="NU129" s="64"/>
      <c r="NV129" s="64"/>
      <c r="NW129" s="64"/>
      <c r="NX129" s="64"/>
      <c r="NY129" s="64"/>
      <c r="NZ129" s="64"/>
      <c r="OA129" s="64"/>
      <c r="OB129" s="64"/>
      <c r="OC129" s="64"/>
      <c r="OD129" s="64"/>
      <c r="OE129" s="64"/>
      <c r="OF129" s="64"/>
      <c r="OG129" s="64"/>
      <c r="OH129" s="64"/>
      <c r="OI129" s="64"/>
      <c r="OJ129" s="64"/>
      <c r="OK129" s="64"/>
      <c r="OL129" s="64"/>
      <c r="OM129" s="64"/>
      <c r="ON129" s="64"/>
      <c r="OO129" s="64"/>
      <c r="OP129" s="64"/>
    </row>
    <row r="130" spans="1:406" x14ac:dyDescent="0.3">
      <c r="A130" s="144"/>
      <c r="B130" s="84"/>
      <c r="C130" s="83" t="s">
        <v>165</v>
      </c>
      <c r="D130" s="270">
        <f>SUM(H130:K130)</f>
        <v>0.1889065799464334</v>
      </c>
      <c r="E130" s="90">
        <f>SUM(G130:K130,N130:O130)</f>
        <v>0.19088366216331171</v>
      </c>
      <c r="F130" s="278">
        <f>SUM(Q130:S130)/(1-'Common input data'!B$127)</f>
        <v>0.19514869544691257</v>
      </c>
      <c r="G130" s="85">
        <f>'Input data dairy products'!$D$24*G14</f>
        <v>1.9513654359899018E-3</v>
      </c>
      <c r="H130" s="85">
        <f>'Input data dairy products'!$D$24*H14</f>
        <v>0</v>
      </c>
      <c r="I130" s="85">
        <f>'Input data dairy products'!$D$24*I14</f>
        <v>1.2343696244045209E-2</v>
      </c>
      <c r="J130" s="85">
        <f>'Input data dairy products'!$D$24*J14</f>
        <v>0</v>
      </c>
      <c r="K130" s="85">
        <f>'Input data dairy products'!$D$24*K14</f>
        <v>0.17656288370238818</v>
      </c>
      <c r="L130" s="85">
        <f>'Input data dairy products'!$D$24*L14</f>
        <v>0</v>
      </c>
      <c r="M130" s="85">
        <f>'Input data dairy products'!$D$24*M14</f>
        <v>0</v>
      </c>
      <c r="N130" s="85">
        <f>'Input data dairy products'!$D$24*N14</f>
        <v>0</v>
      </c>
      <c r="O130" s="85">
        <f>'Input data dairy products'!$D$24*O14</f>
        <v>2.5716780888428033E-5</v>
      </c>
      <c r="P130" s="85">
        <v>0</v>
      </c>
      <c r="Q130" s="85">
        <f t="shared" si="10"/>
        <v>0.19088366216331171</v>
      </c>
      <c r="R130" s="90">
        <v>0</v>
      </c>
      <c r="S130" s="90">
        <v>0</v>
      </c>
      <c r="T130" s="107"/>
    </row>
    <row r="131" spans="1:406" ht="15" thickBot="1" x14ac:dyDescent="0.35">
      <c r="A131" s="145"/>
      <c r="B131" s="101"/>
      <c r="C131" s="100" t="s">
        <v>166</v>
      </c>
      <c r="D131" s="271">
        <f>SUM(H131:K131)</f>
        <v>7.2531179059198156E-3</v>
      </c>
      <c r="E131" s="265">
        <f>SUM(G131:K131,N131:O131)</f>
        <v>9.099448273614863E-3</v>
      </c>
      <c r="F131" s="478">
        <f>SUM(Q131:S131)/(1-'Common input data'!B$127)</f>
        <v>9.3027629486873067E-3</v>
      </c>
      <c r="G131" s="101">
        <f>'Input data dairy products'!$D$24*G15</f>
        <v>1.8439329922322269E-3</v>
      </c>
      <c r="H131" s="101">
        <f>'Input data dairy products'!$D$24*H15</f>
        <v>4.6607193796657682E-3</v>
      </c>
      <c r="I131" s="101">
        <f>'Input data dairy products'!$D$24*I15</f>
        <v>2.3897514517073701E-3</v>
      </c>
      <c r="J131" s="101">
        <f>'Input data dairy products'!$D$24*J15</f>
        <v>2.0264707454667715E-4</v>
      </c>
      <c r="K131" s="101">
        <f>'Input data dairy products'!$D$24*K15</f>
        <v>0</v>
      </c>
      <c r="L131" s="101">
        <f>'Input data dairy products'!$D$24*L15</f>
        <v>0</v>
      </c>
      <c r="M131" s="101">
        <f>'Input data dairy products'!$D$24*M15</f>
        <v>0</v>
      </c>
      <c r="N131" s="101">
        <f>'Input data dairy products'!$D$24*N15</f>
        <v>0</v>
      </c>
      <c r="O131" s="101">
        <f>'Input data dairy products'!$D$24*O15</f>
        <v>2.3973754628212351E-6</v>
      </c>
      <c r="P131" s="101">
        <v>0</v>
      </c>
      <c r="Q131" s="101">
        <f t="shared" si="10"/>
        <v>9.099448273614863E-3</v>
      </c>
      <c r="R131" s="290">
        <v>0</v>
      </c>
      <c r="S131" s="108">
        <v>0</v>
      </c>
      <c r="T131" s="107"/>
    </row>
  </sheetData>
  <dataValidations count="2">
    <dataValidation type="list" allowBlank="1" showInputMessage="1" showErrorMessage="1" sqref="E2:E3">
      <formula1>"Yes, No"</formula1>
    </dataValidation>
    <dataValidation type="list" allowBlank="1" showInputMessage="1" showErrorMessage="1" sqref="E1">
      <formula1>"GWP100 without fb, GWP100 with fb, GTP100 without fb, GTP100 with fb, GTP climate goal"</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LX169"/>
  <sheetViews>
    <sheetView zoomScale="50" zoomScaleNormal="50" workbookViewId="0"/>
  </sheetViews>
  <sheetFormatPr defaultColWidth="8.88671875" defaultRowHeight="14.4" x14ac:dyDescent="0.3"/>
  <cols>
    <col min="1" max="1" width="77.88671875" style="64" bestFit="1" customWidth="1"/>
    <col min="2" max="2" width="37.6640625" style="64" customWidth="1"/>
    <col min="3" max="3" width="19.88671875" style="64" bestFit="1" customWidth="1"/>
    <col min="4" max="4" width="28" style="64" customWidth="1"/>
    <col min="5" max="5" width="43.6640625" style="64" bestFit="1" customWidth="1"/>
    <col min="6" max="7" width="38.88671875" style="64" customWidth="1"/>
    <col min="8" max="8" width="48.6640625" style="64" bestFit="1" customWidth="1"/>
    <col min="9" max="9" width="35.44140625" style="64" bestFit="1" customWidth="1"/>
    <col min="10" max="10" width="22.33203125" style="64" customWidth="1"/>
    <col min="11" max="11" width="33" style="64" customWidth="1"/>
    <col min="12" max="12" width="22.6640625" style="64" bestFit="1" customWidth="1"/>
    <col min="13" max="13" width="20.6640625" style="64" bestFit="1" customWidth="1"/>
    <col min="14" max="14" width="22.5546875" style="64" bestFit="1" customWidth="1"/>
    <col min="15" max="15" width="31.44140625" style="64" bestFit="1" customWidth="1"/>
    <col min="16" max="17" width="28.6640625" style="64" customWidth="1"/>
    <col min="18" max="18" width="32.6640625" style="64" bestFit="1" customWidth="1"/>
    <col min="19" max="19" width="16.5546875" style="64" bestFit="1" customWidth="1"/>
    <col min="20" max="20" width="22.33203125" style="64" bestFit="1" customWidth="1"/>
    <col min="21" max="26" width="8.88671875" style="64"/>
    <col min="27" max="27" width="39.6640625" style="64" bestFit="1" customWidth="1"/>
    <col min="28" max="31" width="8.88671875" style="64"/>
    <col min="32" max="32" width="33.88671875" style="64" bestFit="1" customWidth="1"/>
    <col min="33" max="33" width="27.6640625" style="64" bestFit="1" customWidth="1"/>
    <col min="34" max="34" width="19" style="64" bestFit="1" customWidth="1"/>
    <col min="35" max="35" width="17.6640625" style="64" bestFit="1" customWidth="1"/>
    <col min="36" max="36" width="8.88671875" style="64"/>
    <col min="37" max="37" width="28.6640625" style="64" bestFit="1" customWidth="1"/>
    <col min="38" max="38" width="27.6640625" style="64" bestFit="1" customWidth="1"/>
    <col min="39" max="16384" width="8.88671875" style="64"/>
  </cols>
  <sheetData>
    <row r="1" spans="1:336" ht="31.2" x14ac:dyDescent="0.6">
      <c r="A1" s="362" t="s">
        <v>457</v>
      </c>
      <c r="E1" s="291" t="s">
        <v>550</v>
      </c>
      <c r="F1" s="292" t="s">
        <v>1243</v>
      </c>
    </row>
    <row r="2" spans="1:336" ht="31.2" x14ac:dyDescent="0.6">
      <c r="B2" s="253"/>
      <c r="E2" s="291" t="s">
        <v>551</v>
      </c>
      <c r="F2" s="292" t="s">
        <v>1339</v>
      </c>
      <c r="G2" s="292"/>
      <c r="I2" s="243"/>
      <c r="J2" s="242"/>
      <c r="K2" s="243"/>
      <c r="L2" s="243"/>
      <c r="M2" s="243"/>
      <c r="N2" s="243"/>
      <c r="O2" s="243"/>
      <c r="P2" s="243"/>
      <c r="Q2" s="243"/>
      <c r="R2" s="243"/>
      <c r="S2" s="243"/>
      <c r="T2" s="243"/>
      <c r="U2" s="243"/>
      <c r="V2" s="65"/>
    </row>
    <row r="3" spans="1:336" ht="52.2" x14ac:dyDescent="0.35">
      <c r="E3" s="763" t="s">
        <v>1251</v>
      </c>
      <c r="F3" s="292" t="s">
        <v>1339</v>
      </c>
      <c r="G3" s="432"/>
    </row>
    <row r="4" spans="1:336" ht="15" thickBot="1" x14ac:dyDescent="0.35">
      <c r="H4" s="214"/>
      <c r="I4" s="879"/>
      <c r="J4" s="880"/>
    </row>
    <row r="5" spans="1:336" ht="17.399999999999999" x14ac:dyDescent="0.3">
      <c r="A5" s="275"/>
      <c r="B5" s="276"/>
      <c r="C5" s="297"/>
      <c r="D5" s="297"/>
      <c r="E5" s="298" t="s">
        <v>531</v>
      </c>
      <c r="F5" s="304"/>
      <c r="G5" s="472"/>
      <c r="H5" s="332"/>
      <c r="I5" s="337" t="s">
        <v>417</v>
      </c>
      <c r="J5" s="307"/>
      <c r="K5" s="241"/>
      <c r="L5" s="241"/>
      <c r="M5" s="241"/>
      <c r="N5" s="241"/>
      <c r="O5" s="241"/>
      <c r="P5" s="241"/>
      <c r="Q5" s="241"/>
      <c r="R5" s="241"/>
      <c r="S5" s="241"/>
      <c r="T5" s="254"/>
    </row>
    <row r="6" spans="1:336" s="308" customFormat="1" ht="61.2" customHeight="1" x14ac:dyDescent="0.3">
      <c r="A6" s="335"/>
      <c r="B6" s="295" t="s">
        <v>17</v>
      </c>
      <c r="C6" s="293" t="s">
        <v>570</v>
      </c>
      <c r="D6" s="293" t="s">
        <v>178</v>
      </c>
      <c r="E6" s="294" t="s">
        <v>554</v>
      </c>
      <c r="F6" s="293" t="s">
        <v>863</v>
      </c>
      <c r="G6" s="473" t="s">
        <v>533</v>
      </c>
      <c r="H6" s="295" t="s">
        <v>418</v>
      </c>
      <c r="I6" s="338" t="s">
        <v>562</v>
      </c>
      <c r="J6" s="296" t="s">
        <v>286</v>
      </c>
      <c r="K6" s="295" t="s">
        <v>177</v>
      </c>
      <c r="L6" s="295" t="s">
        <v>176</v>
      </c>
      <c r="M6" s="293" t="s">
        <v>571</v>
      </c>
      <c r="N6" s="293" t="s">
        <v>572</v>
      </c>
      <c r="O6" s="295" t="s">
        <v>416</v>
      </c>
      <c r="P6" s="295" t="s">
        <v>415</v>
      </c>
      <c r="Q6" s="293" t="s">
        <v>573</v>
      </c>
      <c r="R6" s="295" t="s">
        <v>175</v>
      </c>
      <c r="S6" s="295" t="s">
        <v>3</v>
      </c>
      <c r="T6" s="336" t="s">
        <v>4</v>
      </c>
    </row>
    <row r="7" spans="1:336" s="297" customFormat="1" ht="17.399999999999999" x14ac:dyDescent="0.3">
      <c r="A7" s="426" t="s">
        <v>607</v>
      </c>
      <c r="B7" s="412"/>
      <c r="C7" s="413"/>
      <c r="D7" s="414"/>
      <c r="E7" s="764" t="s">
        <v>802</v>
      </c>
      <c r="F7" s="765" t="s">
        <v>802</v>
      </c>
      <c r="G7" s="766" t="s">
        <v>790</v>
      </c>
      <c r="H7" s="413"/>
      <c r="I7" s="413"/>
      <c r="J7" s="413"/>
      <c r="K7" s="416"/>
      <c r="L7" s="416"/>
      <c r="M7" s="417"/>
      <c r="N7" s="416"/>
      <c r="O7" s="416"/>
      <c r="P7" s="416"/>
      <c r="Q7" s="416"/>
      <c r="R7" s="416"/>
      <c r="S7" s="416"/>
      <c r="T7" s="418"/>
      <c r="U7" s="308"/>
      <c r="V7" s="308"/>
      <c r="W7" s="308"/>
      <c r="X7" s="308"/>
      <c r="Y7" s="308"/>
      <c r="Z7" s="308"/>
      <c r="AA7" s="308"/>
      <c r="AB7" s="308"/>
      <c r="AC7" s="308"/>
      <c r="AD7" s="308"/>
      <c r="AE7" s="308"/>
      <c r="AF7" s="308"/>
      <c r="AG7" s="308"/>
      <c r="AH7" s="308"/>
      <c r="AI7" s="308"/>
      <c r="AJ7" s="308"/>
      <c r="AK7" s="308"/>
      <c r="AL7" s="308"/>
      <c r="AM7" s="308"/>
      <c r="AN7" s="308"/>
      <c r="AO7" s="308"/>
      <c r="AP7" s="308"/>
      <c r="AQ7" s="308"/>
      <c r="AR7" s="308"/>
      <c r="AS7" s="308"/>
      <c r="AT7" s="308"/>
      <c r="AU7" s="308"/>
      <c r="AV7" s="308"/>
      <c r="AW7" s="308"/>
      <c r="AX7" s="308"/>
      <c r="AY7" s="308"/>
      <c r="AZ7" s="308"/>
      <c r="BA7" s="308"/>
      <c r="BB7" s="308"/>
      <c r="BC7" s="308"/>
      <c r="BD7" s="308"/>
      <c r="BE7" s="308"/>
      <c r="BF7" s="308"/>
      <c r="BG7" s="308"/>
      <c r="BH7" s="308"/>
      <c r="BI7" s="308"/>
      <c r="BJ7" s="308"/>
      <c r="BK7" s="308"/>
      <c r="BL7" s="308"/>
      <c r="BM7" s="308"/>
      <c r="BN7" s="308"/>
      <c r="BO7" s="308"/>
      <c r="BP7" s="308"/>
      <c r="BQ7" s="308"/>
      <c r="BR7" s="308"/>
      <c r="BS7" s="308"/>
      <c r="BT7" s="308"/>
      <c r="BU7" s="308"/>
      <c r="BV7" s="308"/>
      <c r="BW7" s="308"/>
      <c r="BX7" s="308"/>
      <c r="BY7" s="308"/>
      <c r="BZ7" s="308"/>
      <c r="CA7" s="308"/>
      <c r="CB7" s="308"/>
      <c r="CC7" s="308"/>
      <c r="CD7" s="308"/>
      <c r="CE7" s="308"/>
      <c r="CF7" s="308"/>
      <c r="CG7" s="308"/>
      <c r="CH7" s="308"/>
      <c r="CI7" s="308"/>
      <c r="CJ7" s="308"/>
      <c r="CK7" s="308"/>
      <c r="CL7" s="308"/>
      <c r="CM7" s="308"/>
      <c r="CN7" s="308"/>
      <c r="CO7" s="308"/>
      <c r="CP7" s="308"/>
      <c r="CQ7" s="308"/>
      <c r="CR7" s="308"/>
      <c r="CS7" s="308"/>
      <c r="CT7" s="308"/>
      <c r="CU7" s="308"/>
      <c r="CV7" s="308"/>
      <c r="CW7" s="308"/>
      <c r="CX7" s="308"/>
      <c r="CY7" s="308"/>
      <c r="CZ7" s="308"/>
      <c r="DA7" s="308"/>
      <c r="DB7" s="308"/>
      <c r="DC7" s="308"/>
      <c r="DD7" s="308"/>
      <c r="DE7" s="308"/>
      <c r="DF7" s="308"/>
      <c r="DG7" s="308"/>
      <c r="DH7" s="308"/>
      <c r="DI7" s="308"/>
      <c r="DJ7" s="308"/>
      <c r="DK7" s="308"/>
      <c r="DL7" s="308"/>
      <c r="DM7" s="308"/>
      <c r="DN7" s="308"/>
      <c r="DO7" s="308"/>
      <c r="DP7" s="308"/>
      <c r="DQ7" s="308"/>
      <c r="DR7" s="308"/>
      <c r="DS7" s="308"/>
      <c r="DT7" s="308"/>
      <c r="DU7" s="308"/>
      <c r="DV7" s="308"/>
      <c r="DW7" s="308"/>
      <c r="DX7" s="308"/>
      <c r="DY7" s="308"/>
      <c r="DZ7" s="308"/>
      <c r="EA7" s="308"/>
      <c r="EB7" s="308"/>
      <c r="EC7" s="308"/>
      <c r="ED7" s="308"/>
      <c r="EE7" s="308"/>
      <c r="EF7" s="308"/>
      <c r="EG7" s="308"/>
      <c r="EH7" s="308"/>
      <c r="EI7" s="308"/>
      <c r="EJ7" s="308"/>
      <c r="EK7" s="308"/>
      <c r="EL7" s="308"/>
      <c r="EM7" s="308"/>
      <c r="EN7" s="308"/>
      <c r="EO7" s="308"/>
      <c r="EP7" s="308"/>
      <c r="EQ7" s="308"/>
      <c r="ER7" s="308"/>
      <c r="ES7" s="308"/>
      <c r="ET7" s="308"/>
      <c r="EU7" s="308"/>
      <c r="EV7" s="308"/>
      <c r="EW7" s="308"/>
      <c r="EX7" s="308"/>
      <c r="EY7" s="308"/>
      <c r="EZ7" s="308"/>
      <c r="FA7" s="308"/>
      <c r="FB7" s="308"/>
      <c r="FC7" s="308"/>
      <c r="FD7" s="308"/>
      <c r="FE7" s="308"/>
      <c r="FF7" s="308"/>
      <c r="FG7" s="308"/>
      <c r="FH7" s="308"/>
      <c r="FI7" s="308"/>
      <c r="FJ7" s="308"/>
      <c r="FK7" s="308"/>
      <c r="FL7" s="308"/>
      <c r="FM7" s="308"/>
      <c r="FN7" s="308"/>
      <c r="FO7" s="308"/>
      <c r="FP7" s="308"/>
      <c r="FQ7" s="308"/>
      <c r="FR7" s="308"/>
      <c r="FS7" s="308"/>
      <c r="FT7" s="308"/>
      <c r="FU7" s="308"/>
      <c r="FV7" s="308"/>
      <c r="FW7" s="308"/>
      <c r="FX7" s="308"/>
      <c r="FY7" s="308"/>
      <c r="FZ7" s="308"/>
      <c r="GA7" s="308"/>
      <c r="GB7" s="308"/>
      <c r="GC7" s="308"/>
      <c r="GD7" s="308"/>
      <c r="GE7" s="308"/>
      <c r="GF7" s="308"/>
      <c r="GG7" s="308"/>
      <c r="GH7" s="308"/>
      <c r="GI7" s="308"/>
      <c r="GJ7" s="308"/>
      <c r="GK7" s="308"/>
      <c r="GL7" s="308"/>
      <c r="GM7" s="308"/>
      <c r="GN7" s="308"/>
      <c r="GO7" s="308"/>
      <c r="GP7" s="308"/>
      <c r="GQ7" s="308"/>
      <c r="GR7" s="308"/>
      <c r="GS7" s="308"/>
      <c r="GT7" s="308"/>
      <c r="GU7" s="308"/>
      <c r="GV7" s="308"/>
      <c r="GW7" s="308"/>
      <c r="GX7" s="308"/>
      <c r="GY7" s="308"/>
      <c r="GZ7" s="308"/>
      <c r="HA7" s="308"/>
      <c r="HB7" s="308"/>
      <c r="HC7" s="308"/>
      <c r="HD7" s="308"/>
      <c r="HE7" s="308"/>
      <c r="HF7" s="308"/>
      <c r="HG7" s="308"/>
      <c r="HH7" s="308"/>
      <c r="HI7" s="308"/>
      <c r="HJ7" s="308"/>
      <c r="HK7" s="308"/>
      <c r="HL7" s="308"/>
      <c r="HM7" s="308"/>
      <c r="HN7" s="308"/>
      <c r="HO7" s="308"/>
      <c r="HP7" s="308"/>
      <c r="HQ7" s="308"/>
      <c r="HR7" s="308"/>
      <c r="HS7" s="308"/>
      <c r="HT7" s="308"/>
      <c r="HU7" s="308"/>
      <c r="HV7" s="308"/>
      <c r="HW7" s="308"/>
      <c r="HX7" s="308"/>
      <c r="HY7" s="308"/>
      <c r="HZ7" s="308"/>
      <c r="IA7" s="308"/>
      <c r="IB7" s="308"/>
      <c r="IC7" s="308"/>
      <c r="ID7" s="308"/>
      <c r="IE7" s="308"/>
      <c r="IF7" s="308"/>
      <c r="IG7" s="308"/>
      <c r="IH7" s="308"/>
      <c r="II7" s="308"/>
      <c r="IJ7" s="308"/>
      <c r="IK7" s="308"/>
      <c r="IL7" s="308"/>
      <c r="IM7" s="308"/>
      <c r="IN7" s="308"/>
      <c r="IO7" s="308"/>
      <c r="IP7" s="308"/>
      <c r="IQ7" s="308"/>
      <c r="IR7" s="308"/>
      <c r="IS7" s="308"/>
      <c r="IT7" s="308"/>
      <c r="IU7" s="308"/>
      <c r="IV7" s="308"/>
      <c r="IW7" s="308"/>
      <c r="IX7" s="308"/>
      <c r="IY7" s="308"/>
      <c r="IZ7" s="308"/>
      <c r="JA7" s="308"/>
      <c r="JB7" s="308"/>
      <c r="JC7" s="308"/>
      <c r="JD7" s="308"/>
      <c r="JE7" s="308"/>
      <c r="JF7" s="308"/>
      <c r="JG7" s="308"/>
      <c r="JH7" s="308"/>
      <c r="JI7" s="308"/>
      <c r="JJ7" s="308"/>
      <c r="JK7" s="308"/>
      <c r="JL7" s="308"/>
      <c r="JM7" s="308"/>
      <c r="JN7" s="308"/>
      <c r="JO7" s="308"/>
      <c r="JP7" s="308"/>
      <c r="JQ7" s="308"/>
      <c r="JR7" s="308"/>
      <c r="JS7" s="308"/>
      <c r="JT7" s="308"/>
      <c r="JU7" s="308"/>
      <c r="JV7" s="308"/>
      <c r="JW7" s="308"/>
      <c r="JX7" s="308"/>
      <c r="JY7" s="308"/>
      <c r="JZ7" s="308"/>
      <c r="KA7" s="308"/>
      <c r="KB7" s="308"/>
      <c r="KC7" s="308"/>
      <c r="KD7" s="308"/>
      <c r="KE7" s="308"/>
      <c r="KF7" s="308"/>
      <c r="KG7" s="308"/>
      <c r="KH7" s="308"/>
      <c r="KI7" s="308"/>
      <c r="KJ7" s="308"/>
      <c r="KK7" s="308"/>
      <c r="KL7" s="308"/>
      <c r="KM7" s="308"/>
      <c r="KN7" s="308"/>
      <c r="KO7" s="308"/>
      <c r="KP7" s="308"/>
      <c r="KQ7" s="308"/>
      <c r="KR7" s="308"/>
      <c r="KS7" s="308"/>
      <c r="KT7" s="308"/>
      <c r="KU7" s="308"/>
      <c r="KV7" s="308"/>
      <c r="KW7" s="308"/>
      <c r="KX7" s="308"/>
      <c r="KY7" s="308"/>
      <c r="KZ7" s="308"/>
    </row>
    <row r="8" spans="1:336" s="308" customFormat="1" ht="17.399999999999999" x14ac:dyDescent="0.3">
      <c r="A8" s="143"/>
      <c r="B8" s="150"/>
      <c r="C8" s="112"/>
      <c r="D8" s="269" t="s">
        <v>473</v>
      </c>
      <c r="E8" s="784">
        <f>IF($F$1="GWP100 without fb",E9+E10*'Common input data'!$C$5+E11*'Common input data'!$D$5+E12*'Common input data'!$E$5,IF($F$1="GWP100 with fb",E9+E10*'Common input data'!$C$6+E11*'Common input data'!$D$6+E12*'Common input data'!$E$6,IF($F$1="GTP100 without fb",E9+E10*'Common input data'!$C$7+E11*'Common input data'!$D$7+E12*'Common input data'!$E$7,IF($F$1="GTP100 with fb",E9+E10*'Common input data'!$C$8+E11*'Common input data'!$D$8+E12*'Common input data'!$E$8,E9+E10*'Common input data'!$C$9+E11*'Common input data'!$D$9+E12*'Common input data'!$E$9))))</f>
        <v>0.53565316240493677</v>
      </c>
      <c r="F8" s="782">
        <f>IF($F$1="GWP100 without fb",F9+F10*'Common input data'!$C$5+F11*'Common input data'!$D$5+F12*'Common input data'!$E$5,IF($F$1="GWP100 with fb",F9+F10*'Common input data'!$C$6+F11*'Common input data'!$D$6+F12*'Common input data'!$E$6,IF($F$1="GTP100 without fb",F9+F10*'Common input data'!$C$7+F11*'Common input data'!$D$7+F12*'Common input data'!$E$7,IF($F$1="GTP100 with fb",F9+F10*'Common input data'!$C$8+F11*'Common input data'!$D$8+F12*'Common input data'!$E$8,F9+F10*'Common input data'!$C$9+F11*'Common input data'!$D$9+F12*'Common input data'!$E$9))))</f>
        <v>2.3897407096691237</v>
      </c>
      <c r="G8" s="785">
        <f>IF($F$1="GWP100 without fb",G9+G10*'Common input data'!$C$5+G11*'Common input data'!$D$5+G12*'Common input data'!$E$5,IF($F$1="GWP100 with fb",G9+G10*'Common input data'!$C$6+G11*'Common input data'!$D$6+G12*'Common input data'!$E$6,IF($F$1="GTP100 without fb",G9+G10*'Common input data'!$C$7+G11*'Common input data'!$D$7+G12*'Common input data'!$E$7,IF($F$1="GTP100 with fb",G9+G10*'Common input data'!$C$8+G11*'Common input data'!$D$8+G12*'Common input data'!$E$8,G9+G10*'Common input data'!$C$9+G11*'Common input data'!$D$9+G12*'Common input data'!$E$9))))</f>
        <v>6.0980990359200007</v>
      </c>
      <c r="H8" s="302"/>
      <c r="I8" s="104"/>
      <c r="J8" s="104"/>
      <c r="K8" s="102"/>
      <c r="L8" s="102"/>
      <c r="M8" s="102"/>
      <c r="N8" s="102"/>
      <c r="O8" s="102"/>
      <c r="P8" s="102"/>
      <c r="Q8" s="102"/>
      <c r="R8" s="102"/>
      <c r="S8" s="102"/>
      <c r="T8" s="319"/>
    </row>
    <row r="9" spans="1:336" s="308" customFormat="1" ht="17.399999999999999" x14ac:dyDescent="0.3">
      <c r="A9" s="144"/>
      <c r="B9" s="84"/>
      <c r="C9" s="64"/>
      <c r="D9" s="83" t="s">
        <v>164</v>
      </c>
      <c r="E9" s="348">
        <f>'Input data fish and seafood'!$B$5*E15+'Input data fish and seafood'!$B$7*E21+'Input data fish and seafood'!$B$9*E53+'Input data fish and seafood'!$B$11*E69+'Input data fish and seafood'!$B$14*E90+'Input data fish and seafood'!$B$18*E116+'Input data fish and seafood'!$B$20*E122+'Input data fish and seafood'!$B$22*E128+'Input data fish and seafood'!$B$24*E37+'Input data fish and seafood'!$B$26*E134+'Input data fish and seafood'!$B$28*E140+'Input data fish and seafood'!$B$30*E156+'Input data fish and seafood'!$B$32*AVERAGE(E21,E53,E69,E90,E116,E122,E37,E140,E156)+'Input data fish and seafood'!$B$34*AVERAGE(E15,E128,E134)</f>
        <v>0.17386900133579036</v>
      </c>
      <c r="F9" s="349">
        <f>'Input data fish and seafood'!$B$5*F15+'Input data fish and seafood'!$B$7*F21+'Input data fish and seafood'!$B$9*F53+'Input data fish and seafood'!$B$11*F69+'Input data fish and seafood'!$B$14*F90+'Input data fish and seafood'!$B$18*F116+'Input data fish and seafood'!$B$20*F122+'Input data fish and seafood'!$B$22*F128+'Input data fish and seafood'!$B$24*F37+'Input data fish and seafood'!$B$26*F134+'Input data fish and seafood'!$B$28*F140+'Input data fish and seafood'!$B$30*F156+'Input data fish and seafood'!$B$32*AVERAGE(F21,F53,F69,F90,F116,F122,F37,F140,F156)+'Input data fish and seafood'!$B$34*AVERAGE(F15,F128,F134)</f>
        <v>1.6852915900530747</v>
      </c>
      <c r="G9" s="350">
        <f>'Input data fish and seafood'!$B$5*G15+'Input data fish and seafood'!$B$7*G21+'Input data fish and seafood'!$B$9*G53+'Input data fish and seafood'!$B$11*G69+'Input data fish and seafood'!$B$14*G90+'Input data fish and seafood'!$B$18*G116+'Input data fish and seafood'!$B$20*G122+'Input data fish and seafood'!$B$22*G128+'Input data fish and seafood'!$B$24*G37+'Input data fish and seafood'!$B$26*G134+'Input data fish and seafood'!$B$28*G140+'Input data fish and seafood'!$B$30*G156+'Input data fish and seafood'!$B$32*AVERAGE(G21,G53,G69,G90,G116,G122,G37,G140,G156)+'Input data fish and seafood'!$B$34*AVERAGE(G15,G128,G134)</f>
        <v>4.5499456575202899</v>
      </c>
      <c r="H9" s="88">
        <f>'Input data fish and seafood'!$B$5*H15+'Input data fish and seafood'!$B$7*H21+'Input data fish and seafood'!$B$9*H53+'Input data fish and seafood'!$B$11*H69+'Input data fish and seafood'!$B$14*H90+'Input data fish and seafood'!$B$18*H116+'Input data fish and seafood'!$B$20*H122+'Input data fish and seafood'!$B$22*H128+'Input data fish and seafood'!$B$24*H37+'Input data fish and seafood'!$B$26*H134+'Input data fish and seafood'!$B$28*H140+'Input data fish and seafood'!$B$30*H156+'Input data fish and seafood'!$B$32*AVERAGE(H21,H53,H69,H90,H116,H122,H37,H140,H156)+'Input data fish and seafood'!$B$34*AVERAGE(H15,H128,H134)</f>
        <v>3.6733333333333333E-2</v>
      </c>
      <c r="I9" s="88">
        <f>'Input data fish and seafood'!$B$5*I15+'Input data fish and seafood'!$B$7*I21+'Input data fish and seafood'!$B$9*I53+'Input data fish and seafood'!$B$11*I69+'Input data fish and seafood'!$B$14*I90+'Input data fish and seafood'!$B$18*I116+'Input data fish and seafood'!$B$20*I122+'Input data fish and seafood'!$B$22*I128+'Input data fish and seafood'!$B$24*I37+'Input data fish and seafood'!$B$26*I134+'Input data fish and seafood'!$B$28*I140+'Input data fish and seafood'!$B$30*I156+'Input data fish and seafood'!$B$32*AVERAGE(I21,I53,I69,I90,I116,I122,I37,I140,I156)+'Input data fish and seafood'!$B$34*AVERAGE(I15,I128,I134)</f>
        <v>0.49761008471430668</v>
      </c>
      <c r="J9" s="88">
        <f>'Input data fish and seafood'!$B$5*J15+'Input data fish and seafood'!$B$7*J21+'Input data fish and seafood'!$B$9*J53+'Input data fish and seafood'!$B$11*J69+'Input data fish and seafood'!$B$14*J90+'Input data fish and seafood'!$B$18*J116+'Input data fish and seafood'!$B$20*J122+'Input data fish and seafood'!$B$22*J128+'Input data fish and seafood'!$B$24*J37+'Input data fish and seafood'!$B$26*J134+'Input data fish and seafood'!$B$28*J140+'Input data fish and seafood'!$B$30*J156+'Input data fish and seafood'!$B$32*AVERAGE(J21,J53,J69,J90,J116,J122,J37,J140,J156)+'Input data fish and seafood'!$B$34*AVERAGE(J15,J128,J134)</f>
        <v>0</v>
      </c>
      <c r="K9" s="88">
        <f>'Input data fish and seafood'!$B$5*K15+'Input data fish and seafood'!$B$7*K21+'Input data fish and seafood'!$B$9*K53+'Input data fish and seafood'!$B$11*K69+'Input data fish and seafood'!$B$14*K90+'Input data fish and seafood'!$B$18*K116+'Input data fish and seafood'!$B$20*K122+'Input data fish and seafood'!$B$22*K128+'Input data fish and seafood'!$B$24*K37+'Input data fish and seafood'!$B$26*K134+'Input data fish and seafood'!$B$28*K140+'Input data fish and seafood'!$B$30*K156+'Input data fish and seafood'!$B$32*AVERAGE(K21,K53,K69,K90,K116,K122,K37,K140,K156)+'Input data fish and seafood'!$B$34*AVERAGE(K15,K128,K134)</f>
        <v>5.8693729157656131E-2</v>
      </c>
      <c r="L9" s="88">
        <f>'Input data fish and seafood'!$B$5*L15+'Input data fish and seafood'!$B$7*L21+'Input data fish and seafood'!$B$9*L53+'Input data fish and seafood'!$B$11*L69+'Input data fish and seafood'!$B$14*L90+'Input data fish and seafood'!$B$18*L116+'Input data fish and seafood'!$B$20*L122+'Input data fish and seafood'!$B$22*L128+'Input data fish and seafood'!$B$24*L37+'Input data fish and seafood'!$B$26*L134+'Input data fish and seafood'!$B$28*L140+'Input data fish and seafood'!$B$30*L156+'Input data fish and seafood'!$B$32*AVERAGE(L21,L53,L69,L90,L116,L122,L37,L140,L156)+'Input data fish and seafood'!$B$34*AVERAGE(L15,L128,L134)</f>
        <v>0.11517527217813424</v>
      </c>
      <c r="M9" s="88">
        <f>'Input data fish and seafood'!$B$5*M15+'Input data fish and seafood'!$B$7*M21+'Input data fish and seafood'!$B$9*M53+'Input data fish and seafood'!$B$11*M69+'Input data fish and seafood'!$B$14*M90+'Input data fish and seafood'!$B$18*M116+'Input data fish and seafood'!$B$20*M122+'Input data fish and seafood'!$B$22*M128+'Input data fish and seafood'!$B$24*M37+'Input data fish and seafood'!$B$26*M134+'Input data fish and seafood'!$B$28*M140+'Input data fish and seafood'!$B$30*M156+'Input data fish and seafood'!$B$32*AVERAGE(M21,M53,M69,M90,M116,M122,M37,M140,M156)+'Input data fish and seafood'!$B$34*AVERAGE(M15,M128,M134)</f>
        <v>1.5599999999999998E-2</v>
      </c>
      <c r="N9" s="88">
        <f>'Input data fish and seafood'!$B$5*N15+'Input data fish and seafood'!$B$7*N21+'Input data fish and seafood'!$B$9*N53+'Input data fish and seafood'!$B$11*N69+'Input data fish and seafood'!$B$14*N90+'Input data fish and seafood'!$B$18*N116+'Input data fish and seafood'!$B$20*N122+'Input data fish and seafood'!$B$22*N128+'Input data fish and seafood'!$B$24*N37+'Input data fish and seafood'!$B$26*N134+'Input data fish and seafood'!$B$28*N140+'Input data fish and seafood'!$B$30*N156+'Input data fish and seafood'!$B$32*AVERAGE(N21,N53,N69,N90,N116,N122,N37,N140,N156)+'Input data fish and seafood'!$B$34*AVERAGE(N15,N128,N134)</f>
        <v>4.4600000000000001E-2</v>
      </c>
      <c r="O9" s="88">
        <f>'Input data fish and seafood'!$B$5*O15+'Input data fish and seafood'!$B$7*O21+'Input data fish and seafood'!$B$9*O53+'Input data fish and seafood'!$B$11*O69+'Input data fish and seafood'!$B$14*O90+'Input data fish and seafood'!$B$18*O116+'Input data fish and seafood'!$B$20*O122+'Input data fish and seafood'!$B$22*O128+'Input data fish and seafood'!$B$24*O37+'Input data fish and seafood'!$B$26*O134+'Input data fish and seafood'!$B$28*O140+'Input data fish and seafood'!$B$30*O156+'Input data fish and seafood'!$B$32*AVERAGE(O21,O53,O69,O90,O116,O122,O37,O140,O156)+'Input data fish and seafood'!$B$34*AVERAGE(O15,O128,O134)</f>
        <v>0.91687917066964464</v>
      </c>
      <c r="P9" s="88">
        <f>'Input data fish and seafood'!$B$5*P15+'Input data fish and seafood'!$B$7*P21+'Input data fish and seafood'!$B$9*P53+'Input data fish and seafood'!$B$11*P69+'Input data fish and seafood'!$B$14*P90+'Input data fish and seafood'!$B$18*P116+'Input data fish and seafood'!$B$20*P122+'Input data fish and seafood'!$B$22*P128+'Input data fish and seafood'!$B$24*P37+'Input data fish and seafood'!$B$26*P134+'Input data fish and seafood'!$B$28*P140+'Input data fish and seafood'!$B$30*P156+'Input data fish and seafood'!$B$32*AVERAGE(P21,P53,P69,P90,P116,P122,P37,P140,P156)+'Input data fish and seafood'!$B$34*AVERAGE(P15,P128,P134)</f>
        <v>0</v>
      </c>
      <c r="Q9" s="88">
        <f>'Input data fish and seafood'!$B$5*Q15+'Input data fish and seafood'!$B$7*Q21+'Input data fish and seafood'!$B$9*Q53+'Input data fish and seafood'!$B$11*Q69+'Input data fish and seafood'!$B$14*Q90+'Input data fish and seafood'!$B$18*Q116+'Input data fish and seafood'!$B$20*Q122+'Input data fish and seafood'!$B$22*Q128+'Input data fish and seafood'!$B$24*Q37+'Input data fish and seafood'!$B$26*Q134+'Input data fish and seafood'!$B$28*Q140+'Input data fish and seafood'!$B$30*Q156+'Input data fish and seafood'!$B$32*AVERAGE(Q21,Q53,Q69,Q90,Q116,Q122,Q37,Q140,Q156)+'Input data fish and seafood'!$B$34*AVERAGE(Q15,Q128,Q134)</f>
        <v>0.10096647083</v>
      </c>
      <c r="R9" s="88">
        <f>'Input data fish and seafood'!$B$5*R15+'Input data fish and seafood'!$B$7*R21+'Input data fish and seafood'!$B$9*R53+'Input data fish and seafood'!$B$11*R69+'Input data fish and seafood'!$B$14*R90+'Input data fish and seafood'!$B$18*R116+'Input data fish and seafood'!$B$20*R122+'Input data fish and seafood'!$B$22*R128+'Input data fish and seafood'!$B$24*R37+'Input data fish and seafood'!$B$26*R134+'Input data fish and seafood'!$B$28*R140+'Input data fish and seafood'!$B$30*R156+'Input data fish and seafood'!$B$32*AVERAGE(R21,R53,R69,R90,R116,R122,R37,R140,R156)+'Input data fish and seafood'!$B$34*AVERAGE(R15,R128,R134)</f>
        <v>3.5899715819161608</v>
      </c>
      <c r="S9" s="88">
        <f>'Input data fish and seafood'!$B$5*S15+'Input data fish and seafood'!$B$7*S21+'Input data fish and seafood'!$B$9*S53+'Input data fish and seafood'!$B$11*S69+'Input data fish and seafood'!$B$14*S90+'Input data fish and seafood'!$B$18*S116+'Input data fish and seafood'!$B$20*S122+'Input data fish and seafood'!$B$22*S128+'Input data fish and seafood'!$B$24*S37+'Input data fish and seafood'!$B$26*S134+'Input data fish and seafood'!$B$28*S140+'Input data fish and seafood'!$B$30*S156+'Input data fish and seafood'!$B$32*AVERAGE(S21,S53,S69,S90,S116,S122,S37,S140,S156)+'Input data fish and seafood'!$B$34*AVERAGE(S15,S128,S134)</f>
        <v>0.14600000000000002</v>
      </c>
      <c r="T9" s="151">
        <f>'Input data fish and seafood'!$B$5*T15+'Input data fish and seafood'!$B$7*T21+'Input data fish and seafood'!$B$9*T53+'Input data fish and seafood'!$B$11*T69+'Input data fish and seafood'!$B$14*T90+'Input data fish and seafood'!$B$18*T116+'Input data fish and seafood'!$B$20*T122+'Input data fish and seafood'!$B$22*T128+'Input data fish and seafood'!$B$24*T37+'Input data fish and seafood'!$B$26*T134+'Input data fish and seafood'!$B$28*T140+'Input data fish and seafood'!$B$30*T156+'Input data fish and seafood'!$B$32*AVERAGE(T21,T53,T69,T90,T116,T122,T37,T140,T156)+'Input data fish and seafood'!$B$34*AVERAGE(T15,T128,T134)</f>
        <v>0.11837333333333334</v>
      </c>
    </row>
    <row r="10" spans="1:336" s="308" customFormat="1" ht="17.399999999999999" x14ac:dyDescent="0.3">
      <c r="A10" s="144"/>
      <c r="B10" s="84"/>
      <c r="C10" s="142"/>
      <c r="D10" s="83" t="s">
        <v>165</v>
      </c>
      <c r="E10" s="348">
        <f>'Input data fish and seafood'!$B$5*E16+'Input data fish and seafood'!$B$7*E22+'Input data fish and seafood'!$B$9*E54+'Input data fish and seafood'!$B$11*E70+'Input data fish and seafood'!$B$14*E91+'Input data fish and seafood'!$B$18*E117+'Input data fish and seafood'!$B$20*E123+'Input data fish and seafood'!$B$22*E129+'Input data fish and seafood'!$B$24*E38+'Input data fish and seafood'!$B$26*E135+'Input data fish and seafood'!$B$28*E141+'Input data fish and seafood'!$B$30*E157+'Input data fish and seafood'!$B$32*AVERAGE(E22,E54,E70,E91,E117,E123,E38,E141,E157)+'Input data fish and seafood'!$B$34*AVERAGE(E16,E129,E135)</f>
        <v>0</v>
      </c>
      <c r="F10" s="349">
        <f>'Input data fish and seafood'!$B$5*F16+'Input data fish and seafood'!$B$7*F22+'Input data fish and seafood'!$B$9*F54+'Input data fish and seafood'!$B$11*F70+'Input data fish and seafood'!$B$14*F91+'Input data fish and seafood'!$B$18*F117+'Input data fish and seafood'!$B$20*F123+'Input data fish and seafood'!$B$22*F129+'Input data fish and seafood'!$B$24*F38+'Input data fish and seafood'!$B$26*F135+'Input data fish and seafood'!$B$28*F141+'Input data fish and seafood'!$B$30*F157+'Input data fish and seafood'!$B$32*AVERAGE(F22,F54,F70,F91,F117,F123,F38,F141,F157)+'Input data fish and seafood'!$B$34*AVERAGE(F16,F129,F135)</f>
        <v>5.200321364990431E-4</v>
      </c>
      <c r="G10" s="350">
        <f>'Input data fish and seafood'!$B$5*G16+'Input data fish and seafood'!$B$7*G22+'Input data fish and seafood'!$B$9*G54+'Input data fish and seafood'!$B$11*G70+'Input data fish and seafood'!$B$14*G91+'Input data fish and seafood'!$B$18*G117+'Input data fish and seafood'!$B$20*G123+'Input data fish and seafood'!$B$22*G129+'Input data fish and seafood'!$B$24*G38+'Input data fish and seafood'!$B$26*G135+'Input data fish and seafood'!$B$28*G141+'Input data fish and seafood'!$B$30*G157+'Input data fish and seafood'!$B$32*AVERAGE(G22,G54,G70,G91,G117,G123,G38,G141,G157)+'Input data fish and seafood'!$B$34*AVERAGE(G16,G129,G135)</f>
        <v>1.3052395758826583E-3</v>
      </c>
      <c r="H10" s="88">
        <f>'Input data fish and seafood'!$B$5*H16+'Input data fish and seafood'!$B$7*H22+'Input data fish and seafood'!$B$9*H54+'Input data fish and seafood'!$B$11*H70+'Input data fish and seafood'!$B$14*H91+'Input data fish and seafood'!$B$18*H117+'Input data fish and seafood'!$B$20*H123+'Input data fish and seafood'!$B$22*H129+'Input data fish and seafood'!$B$24*H38+'Input data fish and seafood'!$B$26*H135+'Input data fish and seafood'!$B$28*H141+'Input data fish and seafood'!$B$30*H157+'Input data fish and seafood'!$B$32*AVERAGE(H22,H54,H70,H91,H117,H123,H38,H141,H157)+'Input data fish and seafood'!$B$34*AVERAGE(H16,H129,H135)</f>
        <v>0</v>
      </c>
      <c r="I10" s="88">
        <f>'Input data fish and seafood'!$B$5*I16+'Input data fish and seafood'!$B$7*I22+'Input data fish and seafood'!$B$9*I54+'Input data fish and seafood'!$B$11*I70+'Input data fish and seafood'!$B$14*I91+'Input data fish and seafood'!$B$18*I117+'Input data fish and seafood'!$B$20*I123+'Input data fish and seafood'!$B$22*I129+'Input data fish and seafood'!$B$24*I38+'Input data fish and seafood'!$B$26*I135+'Input data fish and seafood'!$B$28*I141+'Input data fish and seafood'!$B$30*I157+'Input data fish and seafood'!$B$32*AVERAGE(I22,I54,I70,I91,I117,I123,I38,I141,I157)+'Input data fish and seafood'!$B$34*AVERAGE(I16,I129,I135)</f>
        <v>1.1388558078750264E-4</v>
      </c>
      <c r="J10" s="88">
        <f>'Input data fish and seafood'!$B$5*J16+'Input data fish and seafood'!$B$7*J22+'Input data fish and seafood'!$B$9*J54+'Input data fish and seafood'!$B$11*J70+'Input data fish and seafood'!$B$14*J91+'Input data fish and seafood'!$B$18*J117+'Input data fish and seafood'!$B$20*J123+'Input data fish and seafood'!$B$22*J129+'Input data fish and seafood'!$B$24*J38+'Input data fish and seafood'!$B$26*J135+'Input data fish and seafood'!$B$28*J141+'Input data fish and seafood'!$B$30*J157+'Input data fish and seafood'!$B$32*AVERAGE(J22,J54,J70,J91,J117,J123,J38,J141,J157)+'Input data fish and seafood'!$B$34*AVERAGE(J16,J129,J135)</f>
        <v>0</v>
      </c>
      <c r="K10" s="88">
        <f>'Input data fish and seafood'!$B$5*K16+'Input data fish and seafood'!$B$7*K22+'Input data fish and seafood'!$B$9*K54+'Input data fish and seafood'!$B$11*K70+'Input data fish and seafood'!$B$14*K91+'Input data fish and seafood'!$B$18*K117+'Input data fish and seafood'!$B$20*K123+'Input data fish and seafood'!$B$22*K129+'Input data fish and seafood'!$B$24*K38+'Input data fish and seafood'!$B$26*K135+'Input data fish and seafood'!$B$28*K141+'Input data fish and seafood'!$B$30*K157+'Input data fish and seafood'!$B$32*AVERAGE(K22,K54,K70,K91,K117,K123,K38,K141,K157)+'Input data fish and seafood'!$B$34*AVERAGE(K16,K129,K135)</f>
        <v>0</v>
      </c>
      <c r="L10" s="88">
        <f>'Input data fish and seafood'!$B$5*L16+'Input data fish and seafood'!$B$7*L22+'Input data fish and seafood'!$B$9*L54+'Input data fish and seafood'!$B$11*L70+'Input data fish and seafood'!$B$14*L91+'Input data fish and seafood'!$B$18*L117+'Input data fish and seafood'!$B$20*L123+'Input data fish and seafood'!$B$22*L129+'Input data fish and seafood'!$B$24*L38+'Input data fish and seafood'!$B$26*L135+'Input data fish and seafood'!$B$28*L141+'Input data fish and seafood'!$B$30*L157+'Input data fish and seafood'!$B$32*AVERAGE(L22,L54,L70,L91,L117,L123,L38,L141,L157)+'Input data fish and seafood'!$B$34*AVERAGE(L16,L129,L135)</f>
        <v>0</v>
      </c>
      <c r="M10" s="88">
        <f>'Input data fish and seafood'!$B$5*M16+'Input data fish and seafood'!$B$7*M22+'Input data fish and seafood'!$B$9*M54+'Input data fish and seafood'!$B$11*M70+'Input data fish and seafood'!$B$14*M91+'Input data fish and seafood'!$B$18*M117+'Input data fish and seafood'!$B$20*M123+'Input data fish and seafood'!$B$22*M129+'Input data fish and seafood'!$B$24*M38+'Input data fish and seafood'!$B$26*M135+'Input data fish and seafood'!$B$28*M141+'Input data fish and seafood'!$B$30*M157+'Input data fish and seafood'!$B$32*AVERAGE(M22,M54,M70,M91,M117,M123,M38,M141,M157)+'Input data fish and seafood'!$B$34*AVERAGE(M16,M129,M135)</f>
        <v>0</v>
      </c>
      <c r="N10" s="88">
        <f>'Input data fish and seafood'!$B$5*N16+'Input data fish and seafood'!$B$7*N22+'Input data fish and seafood'!$B$9*N54+'Input data fish and seafood'!$B$11*N70+'Input data fish and seafood'!$B$14*N91+'Input data fish and seafood'!$B$18*N117+'Input data fish and seafood'!$B$20*N123+'Input data fish and seafood'!$B$22*N129+'Input data fish and seafood'!$B$24*N38+'Input data fish and seafood'!$B$26*N135+'Input data fish and seafood'!$B$28*N141+'Input data fish and seafood'!$B$30*N157+'Input data fish and seafood'!$B$32*AVERAGE(N22,N54,N70,N91,N117,N123,N38,N141,N157)+'Input data fish and seafood'!$B$34*AVERAGE(N16,N129,N135)</f>
        <v>0</v>
      </c>
      <c r="O10" s="88">
        <f>'Input data fish and seafood'!$B$5*O16+'Input data fish and seafood'!$B$7*O22+'Input data fish and seafood'!$B$9*O54+'Input data fish and seafood'!$B$11*O70+'Input data fish and seafood'!$B$14*O91+'Input data fish and seafood'!$B$18*O117+'Input data fish and seafood'!$B$20*O123+'Input data fish and seafood'!$B$22*O129+'Input data fish and seafood'!$B$24*O38+'Input data fish and seafood'!$B$26*O135+'Input data fish and seafood'!$B$28*O141+'Input data fish and seafood'!$B$30*O157+'Input data fish and seafood'!$B$32*AVERAGE(O22,O54,O70,O91,O117,O123,O38,O141,O157)+'Input data fish and seafood'!$B$34*AVERAGE(O16,O129,O135)</f>
        <v>4.0614655571154034E-4</v>
      </c>
      <c r="P10" s="88">
        <f>'Input data fish and seafood'!$B$5*P16+'Input data fish and seafood'!$B$7*P22+'Input data fish and seafood'!$B$9*P54+'Input data fish and seafood'!$B$11*P70+'Input data fish and seafood'!$B$14*P91+'Input data fish and seafood'!$B$18*P117+'Input data fish and seafood'!$B$20*P123+'Input data fish and seafood'!$B$22*P129+'Input data fish and seafood'!$B$24*P38+'Input data fish and seafood'!$B$26*P135+'Input data fish and seafood'!$B$28*P141+'Input data fish and seafood'!$B$30*P157+'Input data fish and seafood'!$B$32*AVERAGE(P22,P54,P70,P91,P117,P123,P38,P141,P157)+'Input data fish and seafood'!$B$34*AVERAGE(P16,P129,P135)</f>
        <v>0</v>
      </c>
      <c r="Q10" s="88">
        <f>'Input data fish and seafood'!$B$5*Q16+'Input data fish and seafood'!$B$7*Q22+'Input data fish and seafood'!$B$9*Q54+'Input data fish and seafood'!$B$11*Q70+'Input data fish and seafood'!$B$14*Q91+'Input data fish and seafood'!$B$18*Q117+'Input data fish and seafood'!$B$20*Q123+'Input data fish and seafood'!$B$22*Q129+'Input data fish and seafood'!$B$24*Q38+'Input data fish and seafood'!$B$26*Q135+'Input data fish and seafood'!$B$28*Q141+'Input data fish and seafood'!$B$30*Q157+'Input data fish and seafood'!$B$32*AVERAGE(Q22,Q54,Q70,Q91,Q117,Q123,Q38,Q141,Q157)+'Input data fish and seafood'!$B$34*AVERAGE(Q16,Q129,Q135)</f>
        <v>0</v>
      </c>
      <c r="R10" s="88">
        <f>'Input data fish and seafood'!$B$5*R16+'Input data fish and seafood'!$B$7*R22+'Input data fish and seafood'!$B$9*R54+'Input data fish and seafood'!$B$11*R70+'Input data fish and seafood'!$B$14*R91+'Input data fish and seafood'!$B$18*R117+'Input data fish and seafood'!$B$20*R123+'Input data fish and seafood'!$B$22*R129+'Input data fish and seafood'!$B$24*R38+'Input data fish and seafood'!$B$26*R135+'Input data fish and seafood'!$B$28*R141+'Input data fish and seafood'!$B$30*R157+'Input data fish and seafood'!$B$32*AVERAGE(R22,R54,R70,R91,R117,R123,R38,R141,R157)+'Input data fish and seafood'!$B$34*AVERAGE(R16,R129,R135)</f>
        <v>1.1089795147183883E-3</v>
      </c>
      <c r="S10" s="88">
        <f>'Input data fish and seafood'!$B$5*S16+'Input data fish and seafood'!$B$7*S22+'Input data fish and seafood'!$B$9*S54+'Input data fish and seafood'!$B$11*S70+'Input data fish and seafood'!$B$14*S91+'Input data fish and seafood'!$B$18*S117+'Input data fish and seafood'!$B$20*S123+'Input data fish and seafood'!$B$22*S129+'Input data fish and seafood'!$B$24*S38+'Input data fish and seafood'!$B$26*S135+'Input data fish and seafood'!$B$28*S141+'Input data fish and seafood'!$B$30*S157+'Input data fish and seafood'!$B$32*AVERAGE(S22,S54,S70,S91,S117,S123,S38,S141,S157)+'Input data fish and seafood'!$B$34*AVERAGE(S16,S129,S135)</f>
        <v>0</v>
      </c>
      <c r="T10" s="151">
        <f>'Input data fish and seafood'!$B$5*T16+'Input data fish and seafood'!$B$7*T22+'Input data fish and seafood'!$B$9*T54+'Input data fish and seafood'!$B$11*T70+'Input data fish and seafood'!$B$14*T91+'Input data fish and seafood'!$B$18*T117+'Input data fish and seafood'!$B$20*T123+'Input data fish and seafood'!$B$22*T129+'Input data fish and seafood'!$B$24*T38+'Input data fish and seafood'!$B$26*T135+'Input data fish and seafood'!$B$28*T141+'Input data fish and seafood'!$B$30*T157+'Input data fish and seafood'!$B$32*AVERAGE(T22,T54,T70,T91,T117,T123,T38,T141,T157)+'Input data fish and seafood'!$B$34*AVERAGE(T16,T129,T135)</f>
        <v>0</v>
      </c>
    </row>
    <row r="11" spans="1:336" s="308" customFormat="1" ht="20.399999999999999" customHeight="1" x14ac:dyDescent="0.3">
      <c r="A11" s="174"/>
      <c r="B11" s="206"/>
      <c r="C11" s="85"/>
      <c r="D11" s="84" t="s">
        <v>166</v>
      </c>
      <c r="E11" s="348">
        <f>'Input data fish and seafood'!$B$5*E17+'Input data fish and seafood'!$B$7*E23+'Input data fish and seafood'!$B$9*E55+'Input data fish and seafood'!$B$11*E71+'Input data fish and seafood'!$B$14*E92+'Input data fish and seafood'!$B$18*E118+'Input data fish and seafood'!$B$20*E124+'Input data fish and seafood'!$B$22*E130+'Input data fish and seafood'!$B$24*E39+'Input data fish and seafood'!$B$26*E136+'Input data fish and seafood'!$B$28*E142+'Input data fish and seafood'!$B$30*E158+'Input data fish and seafood'!$B$32*AVERAGE(E23,E55,E71,E92,E118,E124,E39,E142,E158)+'Input data fish and seafood'!$B$34*AVERAGE(E17,E130,E136)</f>
        <v>1.2140408089568672E-3</v>
      </c>
      <c r="F11" s="349">
        <f>'Input data fish and seafood'!$B$5*F17+'Input data fish and seafood'!$B$7*F23+'Input data fish and seafood'!$B$9*F55+'Input data fish and seafood'!$B$11*F71+'Input data fish and seafood'!$B$14*F92+'Input data fish and seafood'!$B$18*F118+'Input data fish and seafood'!$B$20*F124+'Input data fish and seafood'!$B$22*F130+'Input data fish and seafood'!$B$24*F39+'Input data fish and seafood'!$B$26*F136+'Input data fish and seafood'!$B$28*F142+'Input data fish and seafood'!$B$30*F158+'Input data fish and seafood'!$B$32*AVERAGE(F23,F55,F71,F92,F118,F124,F39,F142,F158)+'Input data fish and seafood'!$B$34*AVERAGE(F17,F130,F136)</f>
        <v>1.7189919529365149E-3</v>
      </c>
      <c r="G11" s="350">
        <f>'Input data fish and seafood'!$B$5*G17+'Input data fish and seafood'!$B$7*G23+'Input data fish and seafood'!$B$9*G55+'Input data fish and seafood'!$B$11*G71+'Input data fish and seafood'!$B$14*G92+'Input data fish and seafood'!$B$18*G118+'Input data fish and seafood'!$B$20*G124+'Input data fish and seafood'!$B$22*G130+'Input data fish and seafood'!$B$24*G39+'Input data fish and seafood'!$B$26*G136+'Input data fish and seafood'!$B$28*G142+'Input data fish and seafood'!$B$30*G158+'Input data fish and seafood'!$B$32*AVERAGE(G23,G55,G71,G92,G118,G124,G39,G142,G158)+'Input data fish and seafood'!$B$34*AVERAGE(G17,G130,G136)</f>
        <v>3.4785750444861572E-3</v>
      </c>
      <c r="H11" s="88">
        <f>'Input data fish and seafood'!$B$5*H17+'Input data fish and seafood'!$B$7*H23+'Input data fish and seafood'!$B$9*H55+'Input data fish and seafood'!$B$11*H71+'Input data fish and seafood'!$B$14*H92+'Input data fish and seafood'!$B$18*H118+'Input data fish and seafood'!$B$20*H124+'Input data fish and seafood'!$B$22*H130+'Input data fish and seafood'!$B$24*H39+'Input data fish and seafood'!$B$26*H136+'Input data fish and seafood'!$B$28*H142+'Input data fish and seafood'!$B$30*H158+'Input data fish and seafood'!$B$32*AVERAGE(H23,H55,H71,H92,H118,H124,H39,H142,H158)+'Input data fish and seafood'!$B$34*AVERAGE(H17,H130,H136)</f>
        <v>0</v>
      </c>
      <c r="I11" s="88">
        <f>'Input data fish and seafood'!$B$5*I17+'Input data fish and seafood'!$B$7*I23+'Input data fish and seafood'!$B$9*I55+'Input data fish and seafood'!$B$11*I71+'Input data fish and seafood'!$B$14*I92+'Input data fish and seafood'!$B$18*I118+'Input data fish and seafood'!$B$20*I124+'Input data fish and seafood'!$B$22*I130+'Input data fish and seafood'!$B$24*I39+'Input data fish and seafood'!$B$26*I136+'Input data fish and seafood'!$B$28*I142+'Input data fish and seafood'!$B$30*I158+'Input data fish and seafood'!$B$32*AVERAGE(I23,I55,I71,I92,I118,I124,I39,I142,I158)+'Input data fish and seafood'!$B$34*AVERAGE(I17,I130,I136)</f>
        <v>4.8031424318715484E-4</v>
      </c>
      <c r="J11" s="88">
        <f>'Input data fish and seafood'!$B$5*J17+'Input data fish and seafood'!$B$7*J23+'Input data fish and seafood'!$B$9*J55+'Input data fish and seafood'!$B$11*J71+'Input data fish and seafood'!$B$14*J92+'Input data fish and seafood'!$B$18*J118+'Input data fish and seafood'!$B$20*J124+'Input data fish and seafood'!$B$22*J130+'Input data fish and seafood'!$B$24*J39+'Input data fish and seafood'!$B$26*J136+'Input data fish and seafood'!$B$28*J142+'Input data fish and seafood'!$B$30*J158+'Input data fish and seafood'!$B$32*AVERAGE(J23,J55,J71,J92,J118,J124,J39,J142,J158)+'Input data fish and seafood'!$B$34*AVERAGE(J17,J130,J136)</f>
        <v>1.2140408089568672E-3</v>
      </c>
      <c r="K11" s="88">
        <f>'Input data fish and seafood'!$B$5*K17+'Input data fish and seafood'!$B$7*K23+'Input data fish and seafood'!$B$9*K55+'Input data fish and seafood'!$B$11*K71+'Input data fish and seafood'!$B$14*K92+'Input data fish and seafood'!$B$18*K118+'Input data fish and seafood'!$B$20*K124+'Input data fish and seafood'!$B$22*K130+'Input data fish and seafood'!$B$24*K39+'Input data fish and seafood'!$B$26*K136+'Input data fish and seafood'!$B$28*K142+'Input data fish and seafood'!$B$30*K158+'Input data fish and seafood'!$B$32*AVERAGE(K23,K55,K71,K92,K118,K124,K39,K142,K158)+'Input data fish and seafood'!$B$34*AVERAGE(K17,K130,K136)</f>
        <v>0</v>
      </c>
      <c r="L11" s="88">
        <f>'Input data fish and seafood'!$B$5*L17+'Input data fish and seafood'!$B$7*L23+'Input data fish and seafood'!$B$9*L55+'Input data fish and seafood'!$B$11*L71+'Input data fish and seafood'!$B$14*L92+'Input data fish and seafood'!$B$18*L118+'Input data fish and seafood'!$B$20*L124+'Input data fish and seafood'!$B$22*L130+'Input data fish and seafood'!$B$24*L39+'Input data fish and seafood'!$B$26*L136+'Input data fish and seafood'!$B$28*L142+'Input data fish and seafood'!$B$30*L158+'Input data fish and seafood'!$B$32*AVERAGE(L23,L55,L71,L92,L118,L124,L39,L142,L158)+'Input data fish and seafood'!$B$34*AVERAGE(L17,L130,L136)</f>
        <v>0</v>
      </c>
      <c r="M11" s="88">
        <f>'Input data fish and seafood'!$B$5*M17+'Input data fish and seafood'!$B$7*M23+'Input data fish and seafood'!$B$9*M55+'Input data fish and seafood'!$B$11*M71+'Input data fish and seafood'!$B$14*M92+'Input data fish and seafood'!$B$18*M118+'Input data fish and seafood'!$B$20*M124+'Input data fish and seafood'!$B$22*M130+'Input data fish and seafood'!$B$24*M39+'Input data fish and seafood'!$B$26*M136+'Input data fish and seafood'!$B$28*M142+'Input data fish and seafood'!$B$30*M158+'Input data fish and seafood'!$B$32*AVERAGE(M23,M55,M71,M92,M118,M124,M39,M142,M158)+'Input data fish and seafood'!$B$34*AVERAGE(M17,M130,M136)</f>
        <v>0</v>
      </c>
      <c r="N11" s="88">
        <f>'Input data fish and seafood'!$B$5*N17+'Input data fish and seafood'!$B$7*N23+'Input data fish and seafood'!$B$9*N55+'Input data fish and seafood'!$B$11*N71+'Input data fish and seafood'!$B$14*N92+'Input data fish and seafood'!$B$18*N118+'Input data fish and seafood'!$B$20*N124+'Input data fish and seafood'!$B$22*N130+'Input data fish and seafood'!$B$24*N39+'Input data fish and seafood'!$B$26*N136+'Input data fish and seafood'!$B$28*N142+'Input data fish and seafood'!$B$30*N158+'Input data fish and seafood'!$B$32*AVERAGE(N23,N55,N71,N92,N118,N124,N39,N142,N158)+'Input data fish and seafood'!$B$34*AVERAGE(N17,N130,N136)</f>
        <v>0</v>
      </c>
      <c r="O11" s="88">
        <f>'Input data fish and seafood'!$B$5*O17+'Input data fish and seafood'!$B$7*O23+'Input data fish and seafood'!$B$9*O55+'Input data fish and seafood'!$B$11*O71+'Input data fish and seafood'!$B$14*O92+'Input data fish and seafood'!$B$18*O118+'Input data fish and seafood'!$B$20*O124+'Input data fish and seafood'!$B$22*O130+'Input data fish and seafood'!$B$24*O39+'Input data fish and seafood'!$B$26*O136+'Input data fish and seafood'!$B$28*O142+'Input data fish and seafood'!$B$30*O158+'Input data fish and seafood'!$B$32*AVERAGE(O23,O55,O71,O92,O118,O124,O39,O142,O158)+'Input data fish and seafood'!$B$34*AVERAGE(O17,O130,O136)</f>
        <v>2.4636900792493087E-5</v>
      </c>
      <c r="P11" s="88">
        <f>'Input data fish and seafood'!$B$5*P17+'Input data fish and seafood'!$B$7*P23+'Input data fish and seafood'!$B$9*P55+'Input data fish and seafood'!$B$11*P71+'Input data fish and seafood'!$B$14*P92+'Input data fish and seafood'!$B$18*P118+'Input data fish and seafood'!$B$20*P124+'Input data fish and seafood'!$B$22*P130+'Input data fish and seafood'!$B$24*P39+'Input data fish and seafood'!$B$26*P136+'Input data fish and seafood'!$B$28*P142+'Input data fish and seafood'!$B$30*P158+'Input data fish and seafood'!$B$32*AVERAGE(P23,P55,P71,P92,P118,P124,P39,P142,P158)+'Input data fish and seafood'!$B$34*AVERAGE(P17,P130,P136)</f>
        <v>0</v>
      </c>
      <c r="Q11" s="88">
        <f>'Input data fish and seafood'!$B$5*Q17+'Input data fish and seafood'!$B$7*Q23+'Input data fish and seafood'!$B$9*Q55+'Input data fish and seafood'!$B$11*Q71+'Input data fish and seafood'!$B$14*Q92+'Input data fish and seafood'!$B$18*Q118+'Input data fish and seafood'!$B$20*Q124+'Input data fish and seafood'!$B$22*Q130+'Input data fish and seafood'!$B$24*Q39+'Input data fish and seafood'!$B$26*Q136+'Input data fish and seafood'!$B$28*Q142+'Input data fish and seafood'!$B$30*Q158+'Input data fish and seafood'!$B$32*AVERAGE(Q23,Q55,Q71,Q92,Q118,Q124,Q39,Q142,Q158)+'Input data fish and seafood'!$B$34*AVERAGE(Q17,Q130,Q136)</f>
        <v>0</v>
      </c>
      <c r="R11" s="88">
        <f>'Input data fish and seafood'!$B$5*R17+'Input data fish and seafood'!$B$7*R23+'Input data fish and seafood'!$B$9*R55+'Input data fish and seafood'!$B$11*R71+'Input data fish and seafood'!$B$14*R92+'Input data fish and seafood'!$B$18*R118+'Input data fish and seafood'!$B$20*R124+'Input data fish and seafood'!$B$22*R130+'Input data fish and seafood'!$B$24*R39+'Input data fish and seafood'!$B$26*R136+'Input data fish and seafood'!$B$28*R142+'Input data fish and seafood'!$B$30*R158+'Input data fish and seafood'!$B$32*AVERAGE(R23,R55,R71,R92,R118,R124,R39,R142,R158)+'Input data fish and seafood'!$B$34*AVERAGE(R17,R130,R136)</f>
        <v>2.9318338537724291E-3</v>
      </c>
      <c r="S11" s="88">
        <f>'Input data fish and seafood'!$B$5*S17+'Input data fish and seafood'!$B$7*S23+'Input data fish and seafood'!$B$9*S55+'Input data fish and seafood'!$B$11*S71+'Input data fish and seafood'!$B$14*S92+'Input data fish and seafood'!$B$18*S118+'Input data fish and seafood'!$B$20*S124+'Input data fish and seafood'!$B$22*S130+'Input data fish and seafood'!$B$24*S39+'Input data fish and seafood'!$B$26*S136+'Input data fish and seafood'!$B$28*S142+'Input data fish and seafood'!$B$30*S158+'Input data fish and seafood'!$B$32*AVERAGE(S23,S55,S71,S92,S118,S124,S39,S142,S158)+'Input data fish and seafood'!$B$34*AVERAGE(S17,S130,S136)</f>
        <v>0</v>
      </c>
      <c r="T11" s="151">
        <f>'Input data fish and seafood'!$B$5*T17+'Input data fish and seafood'!$B$7*T23+'Input data fish and seafood'!$B$9*T55+'Input data fish and seafood'!$B$11*T71+'Input data fish and seafood'!$B$14*T92+'Input data fish and seafood'!$B$18*T118+'Input data fish and seafood'!$B$20*T124+'Input data fish and seafood'!$B$22*T130+'Input data fish and seafood'!$B$24*T39+'Input data fish and seafood'!$B$26*T136+'Input data fish and seafood'!$B$28*T142+'Input data fish and seafood'!$B$30*T158+'Input data fish and seafood'!$B$32*AVERAGE(T23,T55,T71,T92,T118,T124,T39,T142,T158)+'Input data fish and seafood'!$B$34*AVERAGE(T17,T130,T136)</f>
        <v>0</v>
      </c>
    </row>
    <row r="12" spans="1:336" s="308" customFormat="1" ht="17.399999999999999" x14ac:dyDescent="0.3">
      <c r="A12" s="172"/>
      <c r="B12" s="333"/>
      <c r="C12" s="101"/>
      <c r="D12" s="100" t="s">
        <v>414</v>
      </c>
      <c r="E12" s="786">
        <f>'Input data fish and seafood'!$B$5*E18+'Input data fish and seafood'!$B$7*E24+'Input data fish and seafood'!$B$9*E56+'Input data fish and seafood'!$B$11*E72+'Input data fish and seafood'!$B$14*E93+'Input data fish and seafood'!$B$18*E119+'Input data fish and seafood'!$B$20*E125+'Input data fish and seafood'!$B$22*E131+'Input data fish and seafood'!$B$24*E40+'Input data fish and seafood'!$B$26*E137+'Input data fish and seafood'!$B$28*E143+'Input data fish and seafood'!$B$30*E159+'Input data fish and seafood'!$B$32*AVERAGE(E24,E56,E72,E93,E119,E125,E40,E143,E159)+'Input data fish and seafood'!$B$34*AVERAGE(E18,E131,E137)</f>
        <v>0</v>
      </c>
      <c r="F12" s="783">
        <f>'Input data fish and seafood'!$B$5*F18+'Input data fish and seafood'!$B$7*F24+'Input data fish and seafood'!$B$9*F56+'Input data fish and seafood'!$B$11*F72+'Input data fish and seafood'!$B$14*F93+'Input data fish and seafood'!$B$18*F119+'Input data fish and seafood'!$B$20*F125+'Input data fish and seafood'!$B$22*F131+'Input data fish and seafood'!$B$24*F40+'Input data fish and seafood'!$B$26*F137+'Input data fish and seafood'!$B$28*F143+'Input data fish and seafood'!$B$30*F159+'Input data fish and seafood'!$B$32*AVERAGE(F24,F56,F72,F93,F119,F125,F40,F143,F159)+'Input data fish and seafood'!$B$34*AVERAGE(F18,F131,F137)</f>
        <v>8.2862500000000002E-5</v>
      </c>
      <c r="G12" s="787">
        <f>'Input data fish and seafood'!$B$5*G18+'Input data fish and seafood'!$B$7*G24+'Input data fish and seafood'!$B$9*G56+'Input data fish and seafood'!$B$11*G72+'Input data fish and seafood'!$B$14*G93+'Input data fish and seafood'!$B$18*G119+'Input data fish and seafood'!$B$20*G125+'Input data fish and seafood'!$B$22*G131+'Input data fish and seafood'!$B$24*G40+'Input data fish and seafood'!$B$26*G137+'Input data fish and seafood'!$B$28*G143+'Input data fish and seafood'!$B$30*G159+'Input data fish and seafood'!$B$32*AVERAGE(G24,G56,G72,G93,G119,G125,G40,G143,G159)+'Input data fish and seafood'!$B$34*AVERAGE(G18,G131,G137)</f>
        <v>2.2182329988738162E-4</v>
      </c>
      <c r="H12" s="105">
        <f>'Input data fish and seafood'!$B$5*H18+'Input data fish and seafood'!$B$7*H24+'Input data fish and seafood'!$B$9*H56+'Input data fish and seafood'!$B$11*H72+'Input data fish and seafood'!$B$14*H93+'Input data fish and seafood'!$B$18*H119+'Input data fish and seafood'!$B$20*H125+'Input data fish and seafood'!$B$22*H131+'Input data fish and seafood'!$B$24*H40+'Input data fish and seafood'!$B$26*H137+'Input data fish and seafood'!$B$28*H143+'Input data fish and seafood'!$B$30*H159+'Input data fish and seafood'!$B$32*AVERAGE(H24,H56,H72,H93,H119,H125,H40,H143,H159)+'Input data fish and seafood'!$B$34*AVERAGE(H18,H131,H137)</f>
        <v>0</v>
      </c>
      <c r="I12" s="105">
        <f>'Input data fish and seafood'!$B$5*I18+'Input data fish and seafood'!$B$7*I24+'Input data fish and seafood'!$B$9*I56+'Input data fish and seafood'!$B$11*I72+'Input data fish and seafood'!$B$14*I93+'Input data fish and seafood'!$B$18*I119+'Input data fish and seafood'!$B$20*I125+'Input data fish and seafood'!$B$22*I131+'Input data fish and seafood'!$B$24*I40+'Input data fish and seafood'!$B$26*I137+'Input data fish and seafood'!$B$28*I143+'Input data fish and seafood'!$B$30*I159+'Input data fish and seafood'!$B$32*AVERAGE(I24,I56,I72,I93,I119,I125,I40,I143,I159)+'Input data fish and seafood'!$B$34*AVERAGE(I18,I131,I137)</f>
        <v>0</v>
      </c>
      <c r="J12" s="105">
        <f>'Input data fish and seafood'!$B$5*J18+'Input data fish and seafood'!$B$7*J24+'Input data fish and seafood'!$B$9*J56+'Input data fish and seafood'!$B$11*J72+'Input data fish and seafood'!$B$14*J93+'Input data fish and seafood'!$B$18*J119+'Input data fish and seafood'!$B$20*J125+'Input data fish and seafood'!$B$22*J131+'Input data fish and seafood'!$B$24*J40+'Input data fish and seafood'!$B$26*J137+'Input data fish and seafood'!$B$28*J143+'Input data fish and seafood'!$B$30*J159+'Input data fish and seafood'!$B$32*AVERAGE(J24,J56,J72,J93,J119,J125,J40,J143,J159)+'Input data fish and seafood'!$B$34*AVERAGE(J18,J131,J137)</f>
        <v>0</v>
      </c>
      <c r="K12" s="105">
        <f>'Input data fish and seafood'!$B$5*K18+'Input data fish and seafood'!$B$7*K24+'Input data fish and seafood'!$B$9*K56+'Input data fish and seafood'!$B$11*K72+'Input data fish and seafood'!$B$14*K93+'Input data fish and seafood'!$B$18*K119+'Input data fish and seafood'!$B$20*K125+'Input data fish and seafood'!$B$22*K131+'Input data fish and seafood'!$B$24*K40+'Input data fish and seafood'!$B$26*K137+'Input data fish and seafood'!$B$28*K143+'Input data fish and seafood'!$B$30*K159+'Input data fish and seafood'!$B$32*AVERAGE(K24,K56,K72,K93,K119,K125,K40,K143,K159)+'Input data fish and seafood'!$B$34*AVERAGE(K18,K131,K137)</f>
        <v>0</v>
      </c>
      <c r="L12" s="105">
        <f>'Input data fish and seafood'!$B$5*L18+'Input data fish and seafood'!$B$7*L24+'Input data fish and seafood'!$B$9*L56+'Input data fish and seafood'!$B$11*L72+'Input data fish and seafood'!$B$14*L93+'Input data fish and seafood'!$B$18*L119+'Input data fish and seafood'!$B$20*L125+'Input data fish and seafood'!$B$22*L131+'Input data fish and seafood'!$B$24*L40+'Input data fish and seafood'!$B$26*L137+'Input data fish and seafood'!$B$28*L143+'Input data fish and seafood'!$B$30*L159+'Input data fish and seafood'!$B$32*AVERAGE(L24,L56,L72,L93,L119,L125,L40,L143,L159)+'Input data fish and seafood'!$B$34*AVERAGE(L18,L131,L137)</f>
        <v>0</v>
      </c>
      <c r="M12" s="105">
        <f>'Input data fish and seafood'!$B$5*M18+'Input data fish and seafood'!$B$7*M24+'Input data fish and seafood'!$B$9*M56+'Input data fish and seafood'!$B$11*M72+'Input data fish and seafood'!$B$14*M93+'Input data fish and seafood'!$B$18*M119+'Input data fish and seafood'!$B$20*M125+'Input data fish and seafood'!$B$22*M131+'Input data fish and seafood'!$B$24*M40+'Input data fish and seafood'!$B$26*M137+'Input data fish and seafood'!$B$28*M143+'Input data fish and seafood'!$B$30*M159+'Input data fish and seafood'!$B$32*AVERAGE(M24,M56,M72,M93,M119,M125,M40,M143,M159)+'Input data fish and seafood'!$B$34*AVERAGE(M18,M131,M137)</f>
        <v>0</v>
      </c>
      <c r="N12" s="105">
        <f>'Input data fish and seafood'!$B$5*N18+'Input data fish and seafood'!$B$7*N24+'Input data fish and seafood'!$B$9*N56+'Input data fish and seafood'!$B$11*N72+'Input data fish and seafood'!$B$14*N93+'Input data fish and seafood'!$B$18*N119+'Input data fish and seafood'!$B$20*N125+'Input data fish and seafood'!$B$22*N131+'Input data fish and seafood'!$B$24*N40+'Input data fish and seafood'!$B$26*N137+'Input data fish and seafood'!$B$28*N143+'Input data fish and seafood'!$B$30*N159+'Input data fish and seafood'!$B$32*AVERAGE(N24,N56,N72,N93,N119,N125,N40,N143,N159)+'Input data fish and seafood'!$B$34*AVERAGE(N18,N131,N137)</f>
        <v>0</v>
      </c>
      <c r="O12" s="105">
        <f>'Input data fish and seafood'!$B$5*O18+'Input data fish and seafood'!$B$7*O24+'Input data fish and seafood'!$B$9*O56+'Input data fish and seafood'!$B$11*O72+'Input data fish and seafood'!$B$14*O93+'Input data fish and seafood'!$B$18*O119+'Input data fish and seafood'!$B$20*O125+'Input data fish and seafood'!$B$22*O131+'Input data fish and seafood'!$B$24*O40+'Input data fish and seafood'!$B$26*O137+'Input data fish and seafood'!$B$28*O143+'Input data fish and seafood'!$B$30*O159+'Input data fish and seafood'!$B$32*AVERAGE(O24,O56,O72,O93,O119,O125,O40,O143,O159)+'Input data fish and seafood'!$B$34*AVERAGE(O18,O131,O137)</f>
        <v>0</v>
      </c>
      <c r="P12" s="105">
        <f>'Input data fish and seafood'!$B$5*P18+'Input data fish and seafood'!$B$7*P24+'Input data fish and seafood'!$B$9*P56+'Input data fish and seafood'!$B$11*P72+'Input data fish and seafood'!$B$14*P93+'Input data fish and seafood'!$B$18*P119+'Input data fish and seafood'!$B$20*P125+'Input data fish and seafood'!$B$22*P131+'Input data fish and seafood'!$B$24*P40+'Input data fish and seafood'!$B$26*P137+'Input data fish and seafood'!$B$28*P143+'Input data fish and seafood'!$B$30*P159+'Input data fish and seafood'!$B$32*AVERAGE(P24,P56,P72,P93,P119,P125,P40,P143,P159)+'Input data fish and seafood'!$B$34*AVERAGE(P18,P131,P137)</f>
        <v>8.2862500000000002E-5</v>
      </c>
      <c r="Q12" s="105">
        <f>'Input data fish and seafood'!$B$5*Q18+'Input data fish and seafood'!$B$7*Q24+'Input data fish and seafood'!$B$9*Q56+'Input data fish and seafood'!$B$11*Q72+'Input data fish and seafood'!$B$14*Q93+'Input data fish and seafood'!$B$18*Q119+'Input data fish and seafood'!$B$20*Q125+'Input data fish and seafood'!$B$22*Q131+'Input data fish and seafood'!$B$24*Q40+'Input data fish and seafood'!$B$26*Q137+'Input data fish and seafood'!$B$28*Q143+'Input data fish and seafood'!$B$30*Q159+'Input data fish and seafood'!$B$32*AVERAGE(Q24,Q56,Q72,Q93,Q119,Q125,Q40,Q143,Q159)+'Input data fish and seafood'!$B$34*AVERAGE(Q18,Q131,Q137)</f>
        <v>0</v>
      </c>
      <c r="R12" s="105">
        <f>'Input data fish and seafood'!$B$5*R18+'Input data fish and seafood'!$B$7*R24+'Input data fish and seafood'!$B$9*R56+'Input data fish and seafood'!$B$11*R72+'Input data fish and seafood'!$B$14*R93+'Input data fish and seafood'!$B$18*R119+'Input data fish and seafood'!$B$20*R125+'Input data fish and seafood'!$B$22*R131+'Input data fish and seafood'!$B$24*R40+'Input data fish and seafood'!$B$26*R137+'Input data fish and seafood'!$B$28*R143+'Input data fish and seafood'!$B$30*R159+'Input data fish and seafood'!$B$32*AVERAGE(R24,R56,R72,R93,R119,R125,R40,R143,R159)+'Input data fish and seafood'!$B$34*AVERAGE(R18,R131,R137)</f>
        <v>1.8879891247004787E-4</v>
      </c>
      <c r="S12" s="105">
        <f>'Input data fish and seafood'!$B$5*S18+'Input data fish and seafood'!$B$7*S24+'Input data fish and seafood'!$B$9*S56+'Input data fish and seafood'!$B$11*S72+'Input data fish and seafood'!$B$14*S93+'Input data fish and seafood'!$B$18*S119+'Input data fish and seafood'!$B$20*S125+'Input data fish and seafood'!$B$22*S131+'Input data fish and seafood'!$B$24*S40+'Input data fish and seafood'!$B$26*S137+'Input data fish and seafood'!$B$28*S143+'Input data fish and seafood'!$B$30*S159+'Input data fish and seafood'!$B$32*AVERAGE(S24,S56,S72,S93,S119,S125,S40,S143,S159)+'Input data fish and seafood'!$B$34*AVERAGE(S18,S131,S137)</f>
        <v>0</v>
      </c>
      <c r="T12" s="208">
        <f>'Input data fish and seafood'!$B$5*T18+'Input data fish and seafood'!$B$7*T24+'Input data fish and seafood'!$B$9*T56+'Input data fish and seafood'!$B$11*T72+'Input data fish and seafood'!$B$14*T93+'Input data fish and seafood'!$B$18*T119+'Input data fish and seafood'!$B$20*T125+'Input data fish and seafood'!$B$22*T131+'Input data fish and seafood'!$B$24*T40+'Input data fish and seafood'!$B$26*T137+'Input data fish and seafood'!$B$28*T143+'Input data fish and seafood'!$B$30*T159+'Input data fish and seafood'!$B$32*AVERAGE(T24,T56,T72,T93,T119,T125,T40,T143,T159)+'Input data fish and seafood'!$B$34*AVERAGE(T18,T131,T137)</f>
        <v>0</v>
      </c>
    </row>
    <row r="13" spans="1:336" s="282" customFormat="1" x14ac:dyDescent="0.3">
      <c r="A13" s="311" t="s">
        <v>566</v>
      </c>
      <c r="B13" s="312"/>
      <c r="C13" s="313"/>
      <c r="D13" s="314"/>
      <c r="E13" s="767" t="s">
        <v>802</v>
      </c>
      <c r="F13" s="768" t="s">
        <v>802</v>
      </c>
      <c r="G13" s="590" t="s">
        <v>790</v>
      </c>
      <c r="H13" s="277"/>
      <c r="I13" s="277"/>
      <c r="J13" s="277"/>
      <c r="M13" s="303"/>
      <c r="T13" s="32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row>
    <row r="14" spans="1:336" s="408" customFormat="1" x14ac:dyDescent="0.3">
      <c r="A14" s="139" t="s">
        <v>315</v>
      </c>
      <c r="B14" s="146" t="s">
        <v>306</v>
      </c>
      <c r="C14" s="136">
        <v>1</v>
      </c>
      <c r="D14" s="325" t="s">
        <v>473</v>
      </c>
      <c r="E14" s="784">
        <f>IF($F$1="GWP100 without fb",E15+E16*'Common input data'!$C$5+E17*'Common input data'!$D$5+E18*'Common input data'!$E$5,IF($F$1="GWP100 with fb",E15+E16*'Common input data'!$C$6+E17*'Common input data'!$D$6+E18*'Common input data'!$E$6,IF($F$1="GTP100 without fb",E15+E16*'Common input data'!$C$7+E17*'Common input data'!$D$7+E18*'Common input data'!$E$7,IF($F$1="GTP100 with fb",E15+E16*'Common input data'!$C$8+E17*'Common input data'!$D$8+E18*'Common input data'!$E$8,E15+E16*'Common input data'!$C$9+E17*'Common input data'!$D$9+E18*'Common input data'!$E$9))))</f>
        <v>1.2556203087877722</v>
      </c>
      <c r="F14" s="782">
        <f>IF($F$1="GWP100 without fb",F15+F16*'Common input data'!$C$5+F17*'Common input data'!$D$5+F18*'Common input data'!$E$5,IF($F$1="GWP100 with fb",F15+F16*'Common input data'!$C$6+F17*'Common input data'!$D$6+F18*'Common input data'!$E$6,IF($F$1="GTP100 without fb",F15+F16*'Common input data'!$C$7+F17*'Common input data'!$D$7+F18*'Common input data'!$E$7,IF($F$1="GTP100 with fb",F15+F16*'Common input data'!$C$8+F17*'Common input data'!$D$8+F18*'Common input data'!$E$8,F15+F16*'Common input data'!$C$9+F17*'Common input data'!$D$9+F18*'Common input data'!$E$9))))</f>
        <v>3.0288599882731155</v>
      </c>
      <c r="G14" s="785">
        <f>IF($F$1="GWP100 without fb",G15+G16*'Common input data'!$C$5+G17*'Common input data'!$D$5+G18*'Common input data'!$E$5,IF($F$1="GWP100 with fb",G15+G16*'Common input data'!$C$6+G17*'Common input data'!$D$6+G18*'Common input data'!$E$6,IF($F$1="GTP100 without fb",G15+G16*'Common input data'!$C$7+G17*'Common input data'!$D$7+G18*'Common input data'!$E$7,IF($F$1="GTP100 with fb",G15+G16*'Common input data'!$C$8+G17*'Common input data'!$D$8+G18*'Common input data'!$E$8,G15+G16*'Common input data'!$C$9+G17*'Common input data'!$D$9+G18*'Common input data'!$E$9))))</f>
        <v>6.0652315183608003</v>
      </c>
      <c r="H14" s="326"/>
      <c r="I14" s="137"/>
      <c r="J14" s="137"/>
      <c r="T14" s="409"/>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c r="IW14" s="64"/>
      <c r="IX14" s="64"/>
      <c r="IY14" s="64"/>
      <c r="IZ14" s="64"/>
      <c r="JA14" s="64"/>
      <c r="JB14" s="64"/>
      <c r="JC14" s="64"/>
      <c r="JD14" s="64"/>
      <c r="JE14" s="64"/>
      <c r="JF14" s="64"/>
      <c r="JG14" s="64"/>
      <c r="JH14" s="64"/>
      <c r="JI14" s="64"/>
      <c r="JJ14" s="64"/>
      <c r="JK14" s="64"/>
      <c r="JL14" s="64"/>
      <c r="JM14" s="64"/>
      <c r="JN14" s="64"/>
      <c r="JO14" s="64"/>
      <c r="JP14" s="64"/>
      <c r="JQ14" s="64"/>
      <c r="JR14" s="64"/>
      <c r="JS14" s="64"/>
      <c r="JT14" s="64"/>
      <c r="JU14" s="64"/>
      <c r="JV14" s="64"/>
      <c r="JW14" s="64"/>
      <c r="JX14" s="64"/>
      <c r="JY14" s="64"/>
      <c r="JZ14" s="64"/>
      <c r="KA14" s="64"/>
      <c r="KB14" s="64"/>
      <c r="KC14" s="64"/>
      <c r="KD14" s="64"/>
      <c r="KE14" s="64"/>
      <c r="KF14" s="64"/>
      <c r="KG14" s="64"/>
      <c r="KH14" s="64"/>
      <c r="KI14" s="64"/>
      <c r="KJ14" s="64"/>
      <c r="KK14" s="64"/>
      <c r="KL14" s="64"/>
      <c r="KM14" s="64"/>
      <c r="KN14" s="64"/>
      <c r="KO14" s="64"/>
      <c r="KP14" s="64"/>
      <c r="KQ14" s="64"/>
      <c r="KR14" s="64"/>
      <c r="KS14" s="64"/>
      <c r="KT14" s="64"/>
      <c r="KU14" s="64"/>
      <c r="KV14" s="64"/>
      <c r="KW14" s="64"/>
      <c r="KX14" s="64"/>
      <c r="KY14" s="64"/>
      <c r="KZ14" s="64"/>
    </row>
    <row r="15" spans="1:336" x14ac:dyDescent="0.3">
      <c r="A15" s="144"/>
      <c r="B15" s="84"/>
      <c r="D15" s="83" t="s">
        <v>164</v>
      </c>
      <c r="E15" s="334">
        <f>IF(AND($F$2="No",$F$3="No"),SUM(J15),IF(AND($F$2="Yes", $F$3="No"), SUM(J15)+L15, IF(AND($F$2="No", $F$3="Yes"),SUM(J15)+K15, SUM(J15)+L15+K15)))</f>
        <v>0.39285998827311475</v>
      </c>
      <c r="F15" s="88">
        <f>IF(AND($F$2="No",$F$3="No"),SUM(H15:J15,M15:P15),IF(AND($F$2="Yes", $F$3="No"), SUM(H15:J15,M15:P15)+L15, IF(AND($F$2="No", $F$3="Yes"),SUM(H15:J15,M15:P15)+K15, SUM(H15:J15,M15:P15)+L15+K15)))</f>
        <v>1.8155295066697128</v>
      </c>
      <c r="G15" s="474">
        <f>SUM(R15:T15)/(1-'Common input data'!B125)</f>
        <v>3.7659344158886263</v>
      </c>
      <c r="H15" s="88">
        <f>'Input data fish and seafood'!B56</f>
        <v>0.09</v>
      </c>
      <c r="I15" s="88">
        <f>'Input data fish and seafood'!B63*'Input data fish and seafood'!I5</f>
        <v>1.1866695183965978</v>
      </c>
      <c r="J15" s="88">
        <f>'Input data fish and seafood'!B67*'Input data fish and seafood'!I5</f>
        <v>0</v>
      </c>
      <c r="K15" s="88">
        <f>'Input data fish and seafood'!I5*('Input data fish and seafood'!B75*'Common input data'!C13*'Common input data'!G30/'Common input data'!F30+'Input data fish and seafood'!B76*'Common input data'!B13*'Common input data'!G28/'Common input data'!F28+'Input data fish and seafood'!B77*'Common input data'!D13*'Common input data'!G26/'Common input data'!F26+'Input data fish and seafood'!B78*'Common input data'!C13+'Input data fish and seafood'!B79*'Common input data'!D13*'Common input data'!D26/'Common input data'!C26)</f>
        <v>0.13956599918307658</v>
      </c>
      <c r="L15" s="88">
        <f>'Common input data'!B21*'Input data fish and seafood'!B75*'Input data fish and seafood'!I5*'Common input data'!G30/'Common input data'!F30</f>
        <v>0.2532939890900382</v>
      </c>
      <c r="M15" s="88">
        <f>'Input data fish and seafood'!I5*'Common input data'!B81</f>
        <v>3.5999999999999997E-2</v>
      </c>
      <c r="N15" s="88">
        <f>'Input data fish and seafood'!B57</f>
        <v>0.11</v>
      </c>
      <c r="O15" s="85">
        <v>0</v>
      </c>
      <c r="P15" s="85">
        <v>0</v>
      </c>
      <c r="Q15" s="88">
        <f>'Input data fish and seafood'!B89*'Input data fish and seafood'!B93*'Common input data'!B63</f>
        <v>6.0139999999999999E-2</v>
      </c>
      <c r="R15" s="88">
        <f>(F15+Q15)/'Input data fish and seafood'!$H$5</f>
        <v>3.0252733978543755</v>
      </c>
      <c r="S15" s="88">
        <f>'Common input data'!B94</f>
        <v>0.1</v>
      </c>
      <c r="T15" s="151">
        <f>'Input data fish and seafood'!B107*'Common input data'!B98+'Common input data'!C98</f>
        <v>0.08</v>
      </c>
    </row>
    <row r="16" spans="1:336" x14ac:dyDescent="0.3">
      <c r="A16" s="144"/>
      <c r="B16" s="84"/>
      <c r="C16" s="142"/>
      <c r="D16" s="83" t="s">
        <v>165</v>
      </c>
      <c r="E16" s="334">
        <f>J16</f>
        <v>0</v>
      </c>
      <c r="F16" s="88">
        <f>SUM(H16:J16,M16:P16)</f>
        <v>2.7158723558227976E-4</v>
      </c>
      <c r="G16" s="474">
        <f>SUM(R16:T16)/(1-'Common input data'!B125)</f>
        <v>5.1466583367916941E-4</v>
      </c>
      <c r="H16" s="88">
        <v>0</v>
      </c>
      <c r="I16" s="88">
        <f>'Input data fish and seafood'!B64*'Input data fish and seafood'!I5</f>
        <v>2.7158723558227976E-4</v>
      </c>
      <c r="J16" s="88">
        <f>'Input data fish and seafood'!B68*'Input data fish and seafood'!I5</f>
        <v>0</v>
      </c>
      <c r="K16" s="88">
        <v>0</v>
      </c>
      <c r="L16" s="88">
        <v>0</v>
      </c>
      <c r="M16" s="88">
        <v>0</v>
      </c>
      <c r="N16" s="88">
        <v>0</v>
      </c>
      <c r="O16" s="85">
        <v>0</v>
      </c>
      <c r="P16" s="85">
        <v>0</v>
      </c>
      <c r="Q16" s="88">
        <v>0</v>
      </c>
      <c r="R16" s="88">
        <f>(F16+Q16)/'Input data fish and seafood'!$H$5</f>
        <v>4.3804392835851576E-4</v>
      </c>
      <c r="S16" s="88">
        <v>0</v>
      </c>
      <c r="T16" s="151">
        <v>0</v>
      </c>
    </row>
    <row r="17" spans="1:336" x14ac:dyDescent="0.3">
      <c r="A17" s="174"/>
      <c r="B17" s="206"/>
      <c r="C17" s="85"/>
      <c r="D17" s="84" t="s">
        <v>166</v>
      </c>
      <c r="E17" s="334">
        <f>J17</f>
        <v>2.8951688607874414E-3</v>
      </c>
      <c r="F17" s="88">
        <f>SUM(H17:J17,M17:P17)</f>
        <v>4.0405923342067291E-3</v>
      </c>
      <c r="G17" s="474">
        <f>SUM(R17:T17)/(1-'Common input data'!B125)</f>
        <v>7.6570418259298044E-3</v>
      </c>
      <c r="H17" s="88">
        <v>0</v>
      </c>
      <c r="I17" s="88">
        <f>'Input data fish and seafood'!B65*'Input data fish and seafood'!I5</f>
        <v>1.1454234734192882E-3</v>
      </c>
      <c r="J17" s="88">
        <f>'Input data fish and seafood'!B69*'Input data fish and seafood'!I5</f>
        <v>2.8951688607874414E-3</v>
      </c>
      <c r="K17" s="88">
        <v>0</v>
      </c>
      <c r="L17" s="88">
        <v>0</v>
      </c>
      <c r="M17" s="88">
        <v>0</v>
      </c>
      <c r="N17" s="88">
        <v>0</v>
      </c>
      <c r="O17" s="85">
        <v>0</v>
      </c>
      <c r="P17" s="85">
        <v>0</v>
      </c>
      <c r="Q17" s="88">
        <v>0</v>
      </c>
      <c r="R17" s="88">
        <f>(F17+Q17)/'Input data fish and seafood'!$H$5</f>
        <v>6.5170844100108536E-3</v>
      </c>
      <c r="S17" s="88">
        <v>0</v>
      </c>
      <c r="T17" s="151">
        <v>0</v>
      </c>
    </row>
    <row r="18" spans="1:336" x14ac:dyDescent="0.3">
      <c r="A18" s="172"/>
      <c r="B18" s="333"/>
      <c r="C18" s="101"/>
      <c r="D18" s="100" t="s">
        <v>414</v>
      </c>
      <c r="E18" s="788">
        <f>J18</f>
        <v>0</v>
      </c>
      <c r="F18" s="105">
        <f>SUM(H18:J18,M18:P18)</f>
        <v>0</v>
      </c>
      <c r="G18" s="789">
        <v>0</v>
      </c>
      <c r="H18" s="105">
        <v>0</v>
      </c>
      <c r="I18" s="105">
        <v>0</v>
      </c>
      <c r="J18" s="105">
        <v>0</v>
      </c>
      <c r="K18" s="105">
        <v>0</v>
      </c>
      <c r="L18" s="105">
        <v>0</v>
      </c>
      <c r="M18" s="105">
        <v>0</v>
      </c>
      <c r="N18" s="105">
        <v>0</v>
      </c>
      <c r="O18" s="101">
        <v>0</v>
      </c>
      <c r="P18" s="101">
        <v>0</v>
      </c>
      <c r="Q18" s="105">
        <v>0</v>
      </c>
      <c r="R18" s="105">
        <f>(F18+Q18)/'Input data fish and seafood'!$H$5</f>
        <v>0</v>
      </c>
      <c r="S18" s="105">
        <v>0</v>
      </c>
      <c r="T18" s="208">
        <v>0</v>
      </c>
    </row>
    <row r="19" spans="1:336" s="282" customFormat="1" x14ac:dyDescent="0.3">
      <c r="A19" s="255" t="s">
        <v>567</v>
      </c>
      <c r="B19" s="256"/>
      <c r="C19" s="277"/>
      <c r="D19" s="281"/>
      <c r="E19" s="767" t="s">
        <v>802</v>
      </c>
      <c r="F19" s="768" t="s">
        <v>802</v>
      </c>
      <c r="G19" s="590" t="s">
        <v>790</v>
      </c>
      <c r="H19" s="277"/>
      <c r="I19" s="277"/>
      <c r="J19" s="277"/>
      <c r="M19" s="303"/>
      <c r="T19" s="32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c r="IW19" s="64"/>
      <c r="IX19" s="64"/>
      <c r="IY19" s="64"/>
      <c r="IZ19" s="64"/>
      <c r="JA19" s="64"/>
      <c r="JB19" s="64"/>
      <c r="JC19" s="64"/>
      <c r="JD19" s="64"/>
      <c r="JE19" s="64"/>
      <c r="JF19" s="64"/>
      <c r="JG19" s="64"/>
      <c r="JH19" s="64"/>
      <c r="JI19" s="64"/>
      <c r="JJ19" s="64"/>
      <c r="JK19" s="64"/>
      <c r="JL19" s="64"/>
      <c r="JM19" s="64"/>
      <c r="JN19" s="64"/>
      <c r="JO19" s="64"/>
      <c r="JP19" s="64"/>
      <c r="JQ19" s="64"/>
      <c r="JR19" s="64"/>
      <c r="JS19" s="64"/>
      <c r="JT19" s="64"/>
      <c r="JU19" s="64"/>
      <c r="JV19" s="64"/>
      <c r="JW19" s="64"/>
      <c r="JX19" s="64"/>
      <c r="JY19" s="64"/>
      <c r="JZ19" s="64"/>
      <c r="KA19" s="64"/>
      <c r="KB19" s="64"/>
      <c r="KC19" s="64"/>
      <c r="KD19" s="64"/>
      <c r="KE19" s="64"/>
      <c r="KF19" s="64"/>
      <c r="KG19" s="64"/>
      <c r="KH19" s="64"/>
      <c r="KI19" s="64"/>
      <c r="KJ19" s="64"/>
      <c r="KK19" s="64"/>
      <c r="KL19" s="64"/>
      <c r="KM19" s="64"/>
      <c r="KN19" s="64"/>
      <c r="KO19" s="64"/>
      <c r="KP19" s="64"/>
      <c r="KQ19" s="64"/>
      <c r="KR19" s="64"/>
      <c r="KS19" s="64"/>
      <c r="KT19" s="64"/>
      <c r="KU19" s="64"/>
      <c r="KV19" s="64"/>
      <c r="KW19" s="64"/>
      <c r="KX19" s="64"/>
      <c r="KY19" s="64"/>
      <c r="KZ19" s="64"/>
      <c r="LA19" s="64"/>
      <c r="LB19" s="64"/>
      <c r="LC19" s="64"/>
      <c r="LD19" s="64"/>
      <c r="LE19" s="64"/>
      <c r="LF19" s="64"/>
      <c r="LG19" s="64"/>
      <c r="LH19" s="64"/>
      <c r="LI19" s="64"/>
      <c r="LJ19" s="64"/>
      <c r="LK19" s="64"/>
      <c r="LL19" s="64"/>
      <c r="LM19" s="64"/>
      <c r="LN19" s="64"/>
      <c r="LO19" s="64"/>
      <c r="LP19" s="64"/>
      <c r="LQ19" s="64"/>
      <c r="LR19" s="64"/>
      <c r="LS19" s="64"/>
      <c r="LT19" s="64"/>
      <c r="LU19" s="64"/>
      <c r="LV19" s="64"/>
      <c r="LW19" s="64"/>
      <c r="LX19" s="64"/>
    </row>
    <row r="20" spans="1:336" s="102" customFormat="1" ht="13.2" customHeight="1" x14ac:dyDescent="0.3">
      <c r="A20" s="139" t="s">
        <v>260</v>
      </c>
      <c r="B20" s="146"/>
      <c r="C20" s="136">
        <f>SUM(C25:C34)</f>
        <v>1</v>
      </c>
      <c r="D20" s="325" t="s">
        <v>473</v>
      </c>
      <c r="E20" s="784">
        <f>IF($F$1="GWP100 without fb",E21+E22*'Common input data'!$C$5+E23*'Common input data'!$D$5+E24*'Common input data'!$E$5,IF($F$1="GWP100 with fb",E21+E22*'Common input data'!$C$6+E23*'Common input data'!$D$6+E24*'Common input data'!$E$6,IF($F$1="GTP100 without fb",E21+E22*'Common input data'!$C$7+E23*'Common input data'!$D$7+E24*'Common input data'!$E$7,IF($F$1="GTP100 with fb",E21+E22*'Common input data'!$C$8+E23*'Common input data'!$D$8+E24*'Common input data'!$E$8,E21+E22*'Common input data'!$C$9+E23*'Common input data'!$D$9+E24*'Common input data'!$E$9))))</f>
        <v>0</v>
      </c>
      <c r="F20" s="782">
        <f>IF($F$1="GWP100 without fb",F21+F22*'Common input data'!$C$5+F23*'Common input data'!$D$5+F24*'Common input data'!$E$5,IF($F$1="GWP100 with fb",F21+F22*'Common input data'!$C$6+F23*'Common input data'!$D$6+F24*'Common input data'!$E$6,IF($F$1="GTP100 without fb",F21+F22*'Common input data'!$C$7+F23*'Common input data'!$D$7+F24*'Common input data'!$E$7,IF($F$1="GTP100 with fb",F21+F22*'Common input data'!$C$8+F23*'Common input data'!$D$8+F24*'Common input data'!$E$8,F21+F22*'Common input data'!$C$9+F23*'Common input data'!$D$9+F24*'Common input data'!$E$9))))</f>
        <v>2.51844</v>
      </c>
      <c r="G20" s="785">
        <f>IF($F$1="GWP100 without fb",G21+G22*'Common input data'!$C$5+G23*'Common input data'!$D$5+G24*'Common input data'!$E$5,IF($F$1="GWP100 with fb",G21+G22*'Common input data'!$C$6+G23*'Common input data'!$D$6+G24*'Common input data'!$E$6,IF($F$1="GTP100 without fb",G21+G22*'Common input data'!$C$7+G23*'Common input data'!$D$7+G24*'Common input data'!$E$7,IF($F$1="GTP100 with fb",G21+G22*'Common input data'!$C$8+G23*'Common input data'!$D$8+G24*'Common input data'!$E$8,G21+G22*'Common input data'!$C$9+G23*'Common input data'!$D$9+G24*'Common input data'!$E$9))))</f>
        <v>7.293408670206647</v>
      </c>
      <c r="H20" s="326"/>
      <c r="I20" s="327"/>
      <c r="J20" s="327"/>
      <c r="K20" s="328"/>
      <c r="L20" s="328"/>
      <c r="M20" s="329"/>
      <c r="N20" s="328"/>
      <c r="O20" s="328"/>
      <c r="P20" s="328"/>
      <c r="Q20" s="328"/>
      <c r="R20" s="328"/>
      <c r="S20" s="328"/>
      <c r="T20" s="330"/>
      <c r="U20" s="242"/>
      <c r="V20" s="243"/>
      <c r="W20" s="243"/>
      <c r="X20" s="243"/>
      <c r="Y20" s="242"/>
      <c r="Z20" s="243"/>
      <c r="AA20" s="243"/>
      <c r="AB20" s="243"/>
      <c r="AC20" s="243"/>
      <c r="AD20" s="243"/>
      <c r="AE20" s="243"/>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c r="IW20" s="64"/>
      <c r="IX20" s="64"/>
      <c r="IY20" s="64"/>
      <c r="IZ20" s="64"/>
      <c r="JA20" s="64"/>
      <c r="JB20" s="64"/>
      <c r="JC20" s="64"/>
      <c r="JD20" s="64"/>
      <c r="JE20" s="64"/>
      <c r="JF20" s="64"/>
      <c r="JG20" s="64"/>
      <c r="JH20" s="64"/>
      <c r="JI20" s="64"/>
      <c r="JJ20" s="64"/>
      <c r="JK20" s="64"/>
      <c r="JL20" s="64"/>
      <c r="JM20" s="64"/>
      <c r="JN20" s="64"/>
      <c r="JO20" s="64"/>
      <c r="JP20" s="64"/>
      <c r="JQ20" s="64"/>
      <c r="JR20" s="64"/>
      <c r="JS20" s="64"/>
      <c r="JT20" s="64"/>
      <c r="JU20" s="64"/>
      <c r="JV20" s="64"/>
      <c r="JW20" s="64"/>
      <c r="JX20" s="64"/>
      <c r="JY20" s="64"/>
      <c r="JZ20" s="64"/>
      <c r="KA20" s="64"/>
      <c r="KB20" s="64"/>
      <c r="KC20" s="64"/>
      <c r="KD20" s="64"/>
      <c r="KE20" s="64"/>
      <c r="KF20" s="64"/>
      <c r="KG20" s="64"/>
      <c r="KH20" s="64"/>
      <c r="KI20" s="64"/>
      <c r="KJ20" s="64"/>
      <c r="KK20" s="64"/>
      <c r="KL20" s="64"/>
      <c r="KM20" s="64"/>
      <c r="KN20" s="64"/>
      <c r="KO20" s="64"/>
      <c r="KP20" s="64"/>
      <c r="KQ20" s="64"/>
      <c r="KR20" s="64"/>
      <c r="KS20" s="64"/>
      <c r="KT20" s="64"/>
      <c r="KU20" s="64"/>
      <c r="KV20" s="64"/>
      <c r="KW20" s="64"/>
      <c r="KX20" s="64"/>
      <c r="KY20" s="64"/>
      <c r="KZ20" s="64"/>
    </row>
    <row r="21" spans="1:336" x14ac:dyDescent="0.3">
      <c r="A21" s="155"/>
      <c r="B21" s="157"/>
      <c r="C21" s="157"/>
      <c r="D21" s="83" t="s">
        <v>164</v>
      </c>
      <c r="E21" s="258">
        <f>$C$25*E26+$C$30*E31</f>
        <v>0</v>
      </c>
      <c r="F21" s="85">
        <f t="shared" ref="F21:G24" si="0">$C$25*F26+$C$30*F31</f>
        <v>1.9676107042829436</v>
      </c>
      <c r="G21" s="259">
        <f t="shared" si="0"/>
        <v>5.8399324150010585</v>
      </c>
      <c r="H21" s="85">
        <f t="shared" ref="H21:T21" si="1">$C$25*H26+$C$30*H31</f>
        <v>0</v>
      </c>
      <c r="I21" s="85">
        <f t="shared" si="1"/>
        <v>0</v>
      </c>
      <c r="J21" s="85">
        <f t="shared" si="1"/>
        <v>0</v>
      </c>
      <c r="K21" s="85">
        <f t="shared" si="1"/>
        <v>0</v>
      </c>
      <c r="L21" s="85">
        <f t="shared" si="1"/>
        <v>0</v>
      </c>
      <c r="M21" s="85">
        <f t="shared" si="1"/>
        <v>0</v>
      </c>
      <c r="N21" s="85">
        <f t="shared" si="1"/>
        <v>0</v>
      </c>
      <c r="O21" s="85">
        <f>$C$25*O26+$C$30*O31</f>
        <v>1.9676107042829436</v>
      </c>
      <c r="P21" s="85">
        <f t="shared" si="1"/>
        <v>0</v>
      </c>
      <c r="Q21" s="85">
        <f t="shared" si="1"/>
        <v>0.13603544000000001</v>
      </c>
      <c r="R21" s="85">
        <f t="shared" si="1"/>
        <v>4.7245007968529471</v>
      </c>
      <c r="S21" s="85">
        <f t="shared" si="1"/>
        <v>0.1</v>
      </c>
      <c r="T21" s="207">
        <f t="shared" si="1"/>
        <v>0.14600000000000002</v>
      </c>
      <c r="W21" s="243"/>
      <c r="X21" s="243"/>
      <c r="Y21" s="243"/>
      <c r="Z21" s="243"/>
      <c r="AA21" s="242"/>
      <c r="AB21" s="242"/>
      <c r="AC21" s="242"/>
      <c r="AD21" s="242"/>
      <c r="AE21" s="242"/>
      <c r="AF21" s="243"/>
      <c r="AG21" s="243"/>
      <c r="AH21" s="243"/>
      <c r="AI21" s="242"/>
      <c r="AJ21" s="243"/>
      <c r="AK21" s="243"/>
      <c r="AL21" s="243"/>
      <c r="AM21" s="243"/>
      <c r="AN21" s="243"/>
      <c r="AO21" s="243"/>
    </row>
    <row r="22" spans="1:336" x14ac:dyDescent="0.3">
      <c r="A22" s="141"/>
      <c r="B22" s="243"/>
      <c r="C22" s="142"/>
      <c r="D22" s="83" t="s">
        <v>165</v>
      </c>
      <c r="E22" s="258">
        <f>$C$25*E27+$C$30*E32</f>
        <v>0</v>
      </c>
      <c r="F22" s="85">
        <f t="shared" si="0"/>
        <v>8.7158519474493418E-4</v>
      </c>
      <c r="G22" s="259">
        <f t="shared" si="0"/>
        <v>2.2998565886031422E-3</v>
      </c>
      <c r="H22" s="85">
        <f t="shared" ref="H22:T22" si="2">$C$25*H27+$C$30*H32</f>
        <v>0</v>
      </c>
      <c r="I22" s="85">
        <f t="shared" si="2"/>
        <v>0</v>
      </c>
      <c r="J22" s="85">
        <f t="shared" si="2"/>
        <v>0</v>
      </c>
      <c r="K22" s="85">
        <f t="shared" si="2"/>
        <v>0</v>
      </c>
      <c r="L22" s="85">
        <f t="shared" si="2"/>
        <v>0</v>
      </c>
      <c r="M22" s="85">
        <f t="shared" si="2"/>
        <v>0</v>
      </c>
      <c r="N22" s="85">
        <f t="shared" si="2"/>
        <v>0</v>
      </c>
      <c r="O22" s="85">
        <f t="shared" si="2"/>
        <v>8.7158519474493418E-4</v>
      </c>
      <c r="P22" s="85">
        <f t="shared" si="2"/>
        <v>0</v>
      </c>
      <c r="Q22" s="85">
        <f t="shared" si="2"/>
        <v>0</v>
      </c>
      <c r="R22" s="85">
        <f t="shared" si="2"/>
        <v>1.9574608392616726E-3</v>
      </c>
      <c r="S22" s="85">
        <f t="shared" si="2"/>
        <v>0</v>
      </c>
      <c r="T22" s="207">
        <f t="shared" si="2"/>
        <v>0</v>
      </c>
      <c r="W22" s="251"/>
      <c r="X22" s="2"/>
      <c r="Y22" s="113"/>
      <c r="Z22" s="83"/>
    </row>
    <row r="23" spans="1:336" x14ac:dyDescent="0.3">
      <c r="A23" s="141"/>
      <c r="B23" s="243"/>
      <c r="C23" s="85"/>
      <c r="D23" s="84" t="s">
        <v>166</v>
      </c>
      <c r="E23" s="258">
        <f>$C$25*E28+$C$30*E33</f>
        <v>0</v>
      </c>
      <c r="F23" s="85">
        <f t="shared" si="0"/>
        <v>5.2870466764188688E-5</v>
      </c>
      <c r="G23" s="259">
        <f t="shared" si="0"/>
        <v>1.3950958789028873E-4</v>
      </c>
      <c r="H23" s="85">
        <f t="shared" ref="H23:T23" si="3">$C$25*H28+$C$30*H33</f>
        <v>0</v>
      </c>
      <c r="I23" s="85">
        <f t="shared" si="3"/>
        <v>0</v>
      </c>
      <c r="J23" s="85">
        <f t="shared" si="3"/>
        <v>0</v>
      </c>
      <c r="K23" s="85">
        <f t="shared" si="3"/>
        <v>0</v>
      </c>
      <c r="L23" s="85">
        <f t="shared" si="3"/>
        <v>0</v>
      </c>
      <c r="M23" s="85">
        <f t="shared" si="3"/>
        <v>0</v>
      </c>
      <c r="N23" s="85">
        <f t="shared" si="3"/>
        <v>0</v>
      </c>
      <c r="O23" s="85">
        <f t="shared" si="3"/>
        <v>5.2870466764188688E-5</v>
      </c>
      <c r="P23" s="85">
        <f t="shared" si="3"/>
        <v>0</v>
      </c>
      <c r="Q23" s="85">
        <f t="shared" si="3"/>
        <v>0</v>
      </c>
      <c r="R23" s="85">
        <f t="shared" si="3"/>
        <v>1.1873981897394623E-4</v>
      </c>
      <c r="S23" s="85">
        <f t="shared" si="3"/>
        <v>0</v>
      </c>
      <c r="T23" s="207">
        <f t="shared" si="3"/>
        <v>0</v>
      </c>
      <c r="W23" s="65"/>
      <c r="X23" s="2"/>
      <c r="Y23" s="113"/>
      <c r="Z23" s="83"/>
    </row>
    <row r="24" spans="1:336" x14ac:dyDescent="0.3">
      <c r="A24" s="141"/>
      <c r="B24" s="243"/>
      <c r="C24" s="85"/>
      <c r="D24" s="84" t="s">
        <v>414</v>
      </c>
      <c r="E24" s="258">
        <f>$C$25*E29+$C$30*E34</f>
        <v>0</v>
      </c>
      <c r="F24" s="85">
        <f t="shared" si="0"/>
        <v>2.4000000000000001E-4</v>
      </c>
      <c r="G24" s="259">
        <f t="shared" si="0"/>
        <v>6.332893038944801E-4</v>
      </c>
      <c r="H24" s="85">
        <f t="shared" ref="H24:T24" si="4">$C$25*H29+$C$30*H34</f>
        <v>0</v>
      </c>
      <c r="I24" s="85">
        <f t="shared" si="4"/>
        <v>0</v>
      </c>
      <c r="J24" s="85">
        <f t="shared" si="4"/>
        <v>0</v>
      </c>
      <c r="K24" s="85">
        <f t="shared" si="4"/>
        <v>0</v>
      </c>
      <c r="L24" s="85">
        <f t="shared" si="4"/>
        <v>0</v>
      </c>
      <c r="M24" s="85">
        <f t="shared" si="4"/>
        <v>0</v>
      </c>
      <c r="N24" s="85">
        <f t="shared" si="4"/>
        <v>0</v>
      </c>
      <c r="O24" s="85">
        <f t="shared" si="4"/>
        <v>0</v>
      </c>
      <c r="P24" s="85">
        <f t="shared" si="4"/>
        <v>2.4000000000000001E-4</v>
      </c>
      <c r="Q24" s="85">
        <f t="shared" si="4"/>
        <v>0</v>
      </c>
      <c r="R24" s="85">
        <f t="shared" si="4"/>
        <v>5.3900709219858165E-4</v>
      </c>
      <c r="S24" s="85">
        <f t="shared" si="4"/>
        <v>0</v>
      </c>
      <c r="T24" s="207">
        <f t="shared" si="4"/>
        <v>0</v>
      </c>
      <c r="W24" s="65"/>
      <c r="X24" s="2"/>
      <c r="Y24" s="113"/>
      <c r="Z24" s="83"/>
    </row>
    <row r="25" spans="1:336" s="102" customFormat="1" x14ac:dyDescent="0.3">
      <c r="A25" s="219" t="s">
        <v>314</v>
      </c>
      <c r="B25" s="210" t="s">
        <v>568</v>
      </c>
      <c r="C25" s="112">
        <f>'Input data fish and seafood'!E7</f>
        <v>0.5</v>
      </c>
      <c r="D25" s="269" t="s">
        <v>473</v>
      </c>
      <c r="E25" s="345">
        <f>IF($F$1="GWP100 without fb",E26+E27*'Common input data'!$C$5+E28*'Common input data'!$D$5+E29*'Common input data'!$E$5,IF($F$1="GWP100 with fb",E26+E27*'Common input data'!$C$6+E28*'Common input data'!$D$6+E29*'Common input data'!$E$6,IF($F$1="GTP100 without fb",E26+E27*'Common input data'!$C$7+E28*'Common input data'!$D$7+E29*'Common input data'!$E$7,IF($F$1="GTP100 with fb",E26+E27*'Common input data'!$C$8+E28*'Common input data'!$D$8+E29*'Common input data'!$E$8,E26+E27*'Common input data'!$C$9+E28*'Common input data'!$D$9+E29*'Common input data'!$E$9))))</f>
        <v>0</v>
      </c>
      <c r="F25" s="346">
        <f>IF($F$1="GWP100 without fb",F26+F27*'Common input data'!$C$5+F28*'Common input data'!$D$5+F29*'Common input data'!$E$5,IF($F$1="GWP100 with fb",F26+F27*'Common input data'!$C$6+F28*'Common input data'!$D$6+F29*'Common input data'!$E$6,IF($F$1="GTP100 without fb",F26+F27*'Common input data'!$C$7+F28*'Common input data'!$D$7+F29*'Common input data'!$E$7,IF($F$1="GTP100 with fb",F26+F27*'Common input data'!$C$8+F28*'Common input data'!$D$8+F29*'Common input data'!$E$8,F26+F27*'Common input data'!$C$9+F28*'Common input data'!$D$9+F29*'Common input data'!$E$9))))</f>
        <v>3.1784399999999997</v>
      </c>
      <c r="G25" s="347">
        <f>IF($F$1="GWP100 without fb",G26+G27*'Common input data'!$C$5+G28*'Common input data'!$D$5+G29*'Common input data'!$E$5,IF($F$1="GWP100 with fb",G26+G27*'Common input data'!$C$6+G28*'Common input data'!$D$6+G29*'Common input data'!$E$6,IF($F$1="GTP100 without fb",G26+G27*'Common input data'!$C$7+G28*'Common input data'!$D$7+G29*'Common input data'!$E$7,IF($F$1="GTP100 with fb",G26+G27*'Common input data'!$C$8+G28*'Common input data'!$D$8+G29*'Common input data'!$E$8,G26+G27*'Common input data'!$C$9+G28*'Common input data'!$D$9+G29*'Common input data'!$E$9))))</f>
        <v>9.0349542559164675</v>
      </c>
      <c r="H25" s="302"/>
      <c r="I25" s="104"/>
      <c r="J25" s="104"/>
      <c r="K25" s="223"/>
      <c r="L25" s="223"/>
      <c r="M25" s="223"/>
      <c r="N25" s="223"/>
      <c r="O25" s="223"/>
      <c r="P25" s="223"/>
      <c r="Q25" s="223"/>
      <c r="R25" s="223"/>
      <c r="S25" s="223"/>
      <c r="T25" s="331"/>
      <c r="U25" s="64"/>
      <c r="V25" s="64"/>
      <c r="W25" s="65"/>
      <c r="X25" s="65"/>
      <c r="Y25" s="65"/>
      <c r="Z25" s="65"/>
      <c r="AA25" s="243"/>
      <c r="AB25" s="243"/>
      <c r="AC25" s="243"/>
      <c r="AD25" s="243"/>
      <c r="AE25" s="243"/>
      <c r="AF25" s="64"/>
      <c r="AG25" s="64"/>
      <c r="AH25" s="243"/>
      <c r="AI25" s="243"/>
      <c r="AJ25" s="243"/>
      <c r="AK25" s="243"/>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c r="IW25" s="64"/>
      <c r="IX25" s="64"/>
      <c r="IY25" s="64"/>
      <c r="IZ25" s="64"/>
      <c r="JA25" s="64"/>
      <c r="JB25" s="64"/>
      <c r="JC25" s="64"/>
      <c r="JD25" s="64"/>
      <c r="JE25" s="64"/>
      <c r="JF25" s="64"/>
      <c r="JG25" s="64"/>
      <c r="JH25" s="64"/>
      <c r="JI25" s="64"/>
      <c r="JJ25" s="64"/>
      <c r="JK25" s="64"/>
      <c r="JL25" s="64"/>
      <c r="JM25" s="64"/>
      <c r="JN25" s="64"/>
      <c r="JO25" s="64"/>
      <c r="JP25" s="64"/>
      <c r="JQ25" s="64"/>
      <c r="JR25" s="64"/>
      <c r="JS25" s="64"/>
      <c r="JT25" s="64"/>
      <c r="JU25" s="64"/>
      <c r="JV25" s="64"/>
      <c r="JW25" s="64"/>
      <c r="JX25" s="64"/>
      <c r="JY25" s="64"/>
      <c r="JZ25" s="64"/>
      <c r="KA25" s="64"/>
      <c r="KB25" s="64"/>
      <c r="KC25" s="64"/>
      <c r="KD25" s="64"/>
      <c r="KE25" s="64"/>
      <c r="KF25" s="64"/>
      <c r="KG25" s="64"/>
      <c r="KH25" s="64"/>
      <c r="KI25" s="64"/>
      <c r="KJ25" s="64"/>
      <c r="KK25" s="64"/>
      <c r="KL25" s="64"/>
      <c r="KM25" s="64"/>
      <c r="KN25" s="64"/>
      <c r="KO25" s="64"/>
      <c r="KP25" s="64"/>
      <c r="KQ25" s="64"/>
      <c r="KR25" s="64"/>
      <c r="KS25" s="64"/>
      <c r="KT25" s="64"/>
      <c r="KU25" s="64"/>
      <c r="KV25" s="64"/>
      <c r="KW25" s="64"/>
      <c r="KX25" s="64"/>
      <c r="KY25" s="64"/>
      <c r="KZ25" s="64"/>
    </row>
    <row r="26" spans="1:336" x14ac:dyDescent="0.3">
      <c r="A26" s="144"/>
      <c r="B26" s="84"/>
      <c r="C26" s="157"/>
      <c r="D26" s="83" t="s">
        <v>164</v>
      </c>
      <c r="E26" s="334">
        <f>IF(AND($F$2="No",$F$3="No"),SUM(J26),IF(AND($F$2="Yes", $F$3="No"), SUM(J26)+L26, IF(AND($F$2="No", $F$3="Yes"),SUM(J26)+K26, SUM(J26)+L26+K26)))</f>
        <v>0</v>
      </c>
      <c r="F26" s="88">
        <f>IF(AND($F$2="No",$F$3="No"),SUM(H26:J26,M26:P26),IF(AND($F$2="Yes", $F$3="No"), SUM(H26:J26,M26:P26)+L26, IF(AND($F$2="No", $F$3="Yes"),SUM(H26:J26,M26:P26)+K26, SUM(H26:J26,M26:P26)+L26+K26)))</f>
        <v>2.6127289679822696</v>
      </c>
      <c r="G26" s="474">
        <f>SUM(R26:T26)/(1-'Common input data'!$B$125)</f>
        <v>7.5422094822833996</v>
      </c>
      <c r="H26" s="85">
        <v>0</v>
      </c>
      <c r="I26" s="85">
        <v>0</v>
      </c>
      <c r="J26" s="85">
        <v>0</v>
      </c>
      <c r="K26" s="85">
        <v>0</v>
      </c>
      <c r="L26" s="85">
        <v>0</v>
      </c>
      <c r="M26" s="85">
        <v>0</v>
      </c>
      <c r="N26" s="85">
        <v>0</v>
      </c>
      <c r="O26" s="88">
        <f>'Input data fish and seafood'!G7*'Input data fish and seafood'!B42</f>
        <v>2.6127289679822696</v>
      </c>
      <c r="P26" s="88">
        <v>0</v>
      </c>
      <c r="Q26" s="211">
        <f>'Input data fish and seafood'!B89*('Input data fish and seafood'!B94*'Common input data'!B63+'Input data fish and seafood'!C94*'Common input data'!C63+'Input data fish and seafood'!D94*'Common input data'!E63)</f>
        <v>0.13603544000000001</v>
      </c>
      <c r="R26" s="88">
        <f>(F26+Q26)/'Common input data'!$C$42/'Input data fish and seafood'!$H$7*'Common input data'!$D$42</f>
        <v>6.1733479611894948</v>
      </c>
      <c r="S26" s="88">
        <f>'Common input data'!B94</f>
        <v>0.1</v>
      </c>
      <c r="T26" s="151">
        <f>'Input data fish and seafood'!B108*'Common input data'!B98+'Input data fish and seafood'!C108*'Common input data'!B102+'Input data fish and seafood'!D108*'Common input data'!B106+'Common input data'!C98</f>
        <v>0.14600000000000002</v>
      </c>
      <c r="V26" s="65"/>
      <c r="AA26" s="83"/>
      <c r="AM26" s="65"/>
    </row>
    <row r="27" spans="1:336" x14ac:dyDescent="0.3">
      <c r="A27" s="322"/>
      <c r="B27" s="38"/>
      <c r="C27" s="45"/>
      <c r="D27" s="83" t="s">
        <v>165</v>
      </c>
      <c r="E27" s="334">
        <v>0</v>
      </c>
      <c r="F27" s="88">
        <f>SUM(H27:J27,M27:P27)</f>
        <v>1.157350832366224E-3</v>
      </c>
      <c r="G27" s="474">
        <f>SUM(R27:T27)/(1-'Common input data'!$B$125)</f>
        <v>3.0539079291287624E-3</v>
      </c>
      <c r="H27" s="85">
        <v>0</v>
      </c>
      <c r="I27" s="85">
        <v>0</v>
      </c>
      <c r="J27" s="85">
        <v>0</v>
      </c>
      <c r="K27" s="85">
        <v>0</v>
      </c>
      <c r="L27" s="85">
        <v>0</v>
      </c>
      <c r="M27" s="85">
        <v>0</v>
      </c>
      <c r="N27" s="85">
        <v>0</v>
      </c>
      <c r="O27" s="88">
        <f>'Input data fish and seafood'!G7*'Input data fish and seafood'!B43</f>
        <v>1.157350832366224E-3</v>
      </c>
      <c r="P27" s="88">
        <v>0</v>
      </c>
      <c r="Q27" s="211">
        <v>0</v>
      </c>
      <c r="R27" s="88">
        <f>(F27+Q27)/'Common input data'!$C$42/'Input data fish and seafood'!$H$7*'Common input data'!$D$42</f>
        <v>2.5992512783638601E-3</v>
      </c>
      <c r="S27" s="88">
        <v>0</v>
      </c>
      <c r="T27" s="151">
        <v>0</v>
      </c>
      <c r="V27" s="157"/>
      <c r="X27" s="2"/>
      <c r="Y27" s="2"/>
      <c r="Z27" s="2"/>
      <c r="AA27" s="83"/>
    </row>
    <row r="28" spans="1:336" x14ac:dyDescent="0.3">
      <c r="A28" s="174"/>
      <c r="B28" s="206"/>
      <c r="C28" s="85"/>
      <c r="D28" s="84" t="s">
        <v>166</v>
      </c>
      <c r="E28" s="334">
        <v>0</v>
      </c>
      <c r="F28" s="88">
        <f>SUM(H28:J28,M28:P28)</f>
        <v>7.0205046031135808E-5</v>
      </c>
      <c r="G28" s="474">
        <f>SUM(R28:T28)/(1-'Common input data'!$B$125)</f>
        <v>1.85250436378908E-4</v>
      </c>
      <c r="H28" s="85">
        <v>0</v>
      </c>
      <c r="I28" s="85">
        <v>0</v>
      </c>
      <c r="J28" s="85">
        <v>0</v>
      </c>
      <c r="K28" s="85">
        <v>0</v>
      </c>
      <c r="L28" s="85">
        <v>0</v>
      </c>
      <c r="M28" s="85">
        <v>0</v>
      </c>
      <c r="N28" s="85">
        <v>0</v>
      </c>
      <c r="O28" s="88">
        <f>'Input data fish and seafood'!G7*'Input data fish and seafood'!B44</f>
        <v>7.0205046031135808E-5</v>
      </c>
      <c r="P28" s="88">
        <v>0</v>
      </c>
      <c r="Q28" s="211">
        <v>0</v>
      </c>
      <c r="R28" s="88">
        <f>(F28+Q28)/'Common input data'!$C$42/'Input data fish and seafood'!$H$7*'Common input data'!$D$42</f>
        <v>1.5767090716212534E-4</v>
      </c>
      <c r="S28" s="88">
        <v>0</v>
      </c>
      <c r="T28" s="151">
        <v>0</v>
      </c>
      <c r="V28" s="157"/>
      <c r="AA28" s="84"/>
    </row>
    <row r="29" spans="1:336" x14ac:dyDescent="0.3">
      <c r="A29" s="174"/>
      <c r="B29" s="206"/>
      <c r="C29" s="85"/>
      <c r="D29" s="84" t="s">
        <v>414</v>
      </c>
      <c r="E29" s="334">
        <v>0</v>
      </c>
      <c r="F29" s="88">
        <f>SUM(H29:J29,M29:P29)</f>
        <v>2.4000000000000001E-4</v>
      </c>
      <c r="G29" s="474">
        <f>SUM(R29:T29)/(1-'Common input data'!$B$125)</f>
        <v>6.332893038944801E-4</v>
      </c>
      <c r="H29" s="85">
        <v>0</v>
      </c>
      <c r="I29" s="85">
        <v>0</v>
      </c>
      <c r="J29" s="85">
        <v>0</v>
      </c>
      <c r="K29" s="85">
        <v>0</v>
      </c>
      <c r="L29" s="85">
        <v>0</v>
      </c>
      <c r="M29" s="85">
        <v>0</v>
      </c>
      <c r="N29" s="85">
        <v>0</v>
      </c>
      <c r="O29" s="88">
        <v>0</v>
      </c>
      <c r="P29" s="88">
        <f>'Input data fish and seafood'!C49</f>
        <v>2.4000000000000001E-4</v>
      </c>
      <c r="Q29" s="211">
        <v>0</v>
      </c>
      <c r="R29" s="88">
        <f>(F29+Q29)/'Common input data'!$C$42/'Input data fish and seafood'!$H$7*'Common input data'!$D$42</f>
        <v>5.3900709219858165E-4</v>
      </c>
      <c r="S29" s="88">
        <v>0</v>
      </c>
      <c r="T29" s="151">
        <v>0</v>
      </c>
      <c r="V29" s="157"/>
      <c r="AA29" s="84"/>
    </row>
    <row r="30" spans="1:336" s="102" customFormat="1" x14ac:dyDescent="0.3">
      <c r="A30" s="219" t="s">
        <v>314</v>
      </c>
      <c r="B30" s="210" t="s">
        <v>569</v>
      </c>
      <c r="C30" s="112">
        <f>'Input data fish and seafood'!E8</f>
        <v>0.5</v>
      </c>
      <c r="D30" s="269" t="s">
        <v>473</v>
      </c>
      <c r="E30" s="345">
        <f>IF($F$1="GWP100 without fb",E31+E32*'Common input data'!$C$5+E33*'Common input data'!$D$5+E34*'Common input data'!$E$5,IF($F$1="GWP100 with fb",E31+E32*'Common input data'!$C$6+E33*'Common input data'!$D$6+E34*'Common input data'!$E$6,IF($F$1="GTP100 without fb",E31+E32*'Common input data'!$C$7+E33*'Common input data'!$D$7+E34*'Common input data'!$E$7,IF($F$1="GTP100 with fb",E31+E32*'Common input data'!$C$8+E33*'Common input data'!$D$8+E34*'Common input data'!$E$8,E31+E32*'Common input data'!$C$9+E33*'Common input data'!$D$9+E34*'Common input data'!$E$9))))</f>
        <v>0</v>
      </c>
      <c r="F30" s="346">
        <f>IF($F$1="GWP100 without fb",F31+F32*'Common input data'!$C$5+F33*'Common input data'!$D$5+F34*'Common input data'!$E$5,IF($F$1="GWP100 with fb",F31+F32*'Common input data'!$C$6+F33*'Common input data'!$D$6+F34*'Common input data'!$E$6,IF($F$1="GTP100 without fb",F31+F32*'Common input data'!$C$7+F33*'Common input data'!$D$7+F34*'Common input data'!$E$7,IF($F$1="GTP100 with fb",F31+F32*'Common input data'!$C$8+F33*'Common input data'!$D$8+F34*'Common input data'!$E$8,F31+F32*'Common input data'!$C$9+F33*'Common input data'!$D$9+F34*'Common input data'!$E$9))))</f>
        <v>1.8584399999999994</v>
      </c>
      <c r="G30" s="347">
        <f>IF($F$1="GWP100 without fb",G31+G32*'Common input data'!$C$5+G33*'Common input data'!$D$5+G34*'Common input data'!$E$5,IF($F$1="GWP100 with fb",G31+G32*'Common input data'!$C$6+G33*'Common input data'!$D$6+G34*'Common input data'!$E$6,IF($F$1="GTP100 without fb",G31+G32*'Common input data'!$C$7+G33*'Common input data'!$D$7+G34*'Common input data'!$E$7,IF($F$1="GTP100 with fb",G31+G32*'Common input data'!$C$8+G33*'Common input data'!$D$8+G34*'Common input data'!$E$8,G31+G32*'Common input data'!$C$9+G33*'Common input data'!$D$9+G34*'Common input data'!$E$9))))</f>
        <v>5.5518630844968264</v>
      </c>
      <c r="H30" s="302"/>
      <c r="I30" s="104"/>
      <c r="J30" s="104"/>
      <c r="K30" s="223"/>
      <c r="L30" s="223"/>
      <c r="M30" s="223"/>
      <c r="N30" s="223"/>
      <c r="O30" s="223"/>
      <c r="P30" s="223"/>
      <c r="Q30" s="223"/>
      <c r="R30" s="223"/>
      <c r="S30" s="223"/>
      <c r="T30" s="331"/>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c r="IW30" s="64"/>
      <c r="IX30" s="64"/>
      <c r="IY30" s="64"/>
      <c r="IZ30" s="64"/>
      <c r="JA30" s="64"/>
      <c r="JB30" s="64"/>
      <c r="JC30" s="64"/>
      <c r="JD30" s="64"/>
      <c r="JE30" s="64"/>
      <c r="JF30" s="64"/>
      <c r="JG30" s="64"/>
      <c r="JH30" s="64"/>
      <c r="JI30" s="64"/>
      <c r="JJ30" s="64"/>
      <c r="JK30" s="64"/>
      <c r="JL30" s="64"/>
      <c r="JM30" s="64"/>
      <c r="JN30" s="64"/>
      <c r="JO30" s="64"/>
      <c r="JP30" s="64"/>
      <c r="JQ30" s="64"/>
      <c r="JR30" s="64"/>
      <c r="JS30" s="64"/>
      <c r="JT30" s="64"/>
      <c r="JU30" s="64"/>
      <c r="JV30" s="64"/>
      <c r="JW30" s="64"/>
      <c r="JX30" s="64"/>
      <c r="JY30" s="64"/>
      <c r="JZ30" s="64"/>
      <c r="KA30" s="64"/>
      <c r="KB30" s="64"/>
      <c r="KC30" s="64"/>
      <c r="KD30" s="64"/>
      <c r="KE30" s="64"/>
      <c r="KF30" s="64"/>
      <c r="KG30" s="64"/>
      <c r="KH30" s="64"/>
      <c r="KI30" s="64"/>
      <c r="KJ30" s="64"/>
      <c r="KK30" s="64"/>
      <c r="KL30" s="64"/>
      <c r="KM30" s="64"/>
      <c r="KN30" s="64"/>
      <c r="KO30" s="64"/>
      <c r="KP30" s="64"/>
      <c r="KQ30" s="64"/>
      <c r="KR30" s="64"/>
      <c r="KS30" s="64"/>
      <c r="KT30" s="64"/>
      <c r="KU30" s="64"/>
      <c r="KV30" s="64"/>
      <c r="KW30" s="64"/>
      <c r="KX30" s="64"/>
      <c r="KY30" s="64"/>
      <c r="KZ30" s="64"/>
    </row>
    <row r="31" spans="1:336" x14ac:dyDescent="0.3">
      <c r="A31" s="144"/>
      <c r="B31" s="84"/>
      <c r="C31" s="157"/>
      <c r="D31" s="83" t="s">
        <v>164</v>
      </c>
      <c r="E31" s="334">
        <f>IF(AND($F$2="No",$F$3="No"),SUM(J31),IF(AND($F$2="Yes", $F$3="No"), SUM(J31)+L31, IF(AND($F$2="No", $F$3="Yes"),SUM(J31)+K31, SUM(J31)+L31+K31)))</f>
        <v>0</v>
      </c>
      <c r="F31" s="88">
        <f>IF(AND($F$2="No",$F$3="No"),SUM(H31:J31,M31:P31),IF(AND($F$2="Yes", $F$3="No"), SUM(H31:J31,M31:P31)+L31, IF(AND($F$2="No", $F$3="Yes"),SUM(H31:J31,M31:P31)+K31, SUM(H31:J31,M31:P31)+L31+K31)))</f>
        <v>1.3224924405836178</v>
      </c>
      <c r="G31" s="474">
        <f>SUM(R31:T31)/(1-'Common input data'!$B$125)</f>
        <v>4.1376553477187175</v>
      </c>
      <c r="H31" s="85">
        <v>0</v>
      </c>
      <c r="I31" s="85">
        <v>0</v>
      </c>
      <c r="J31" s="85">
        <v>0</v>
      </c>
      <c r="K31" s="85">
        <v>0</v>
      </c>
      <c r="L31" s="85">
        <v>0</v>
      </c>
      <c r="M31" s="85">
        <v>0</v>
      </c>
      <c r="N31" s="85">
        <v>0</v>
      </c>
      <c r="O31" s="323">
        <f>'Input data fish and seafood'!G8*'Input data fish and seafood'!B42</f>
        <v>1.3224924405836178</v>
      </c>
      <c r="P31" s="88">
        <v>0</v>
      </c>
      <c r="Q31" s="211">
        <f>'Input data fish and seafood'!B89*('Input data fish and seafood'!B94*'Common input data'!B63+'Input data fish and seafood'!C94*'Common input data'!C63+'Input data fish and seafood'!D94*'Common input data'!E63)</f>
        <v>0.13603544000000001</v>
      </c>
      <c r="R31" s="88">
        <f>(F31+Q31)/'Common input data'!$C$42/'Input data fish and seafood'!$H$7*'Common input data'!$D$42</f>
        <v>3.2756536325163985</v>
      </c>
      <c r="S31" s="211">
        <f>'Common input data'!B94</f>
        <v>0.1</v>
      </c>
      <c r="T31" s="151">
        <f>'Input data fish and seafood'!B108*'Common input data'!B98+'Input data fish and seafood'!C108*'Common input data'!B102+'Input data fish and seafood'!D108*'Common input data'!B106+'Common input data'!C98</f>
        <v>0.14600000000000002</v>
      </c>
      <c r="W31" s="156"/>
      <c r="X31" s="38"/>
      <c r="Y31" s="45"/>
      <c r="Z31" s="45"/>
      <c r="AA31" s="83"/>
    </row>
    <row r="32" spans="1:336" x14ac:dyDescent="0.3">
      <c r="A32" s="144"/>
      <c r="B32" s="84"/>
      <c r="C32" s="84"/>
      <c r="D32" s="83" t="s">
        <v>165</v>
      </c>
      <c r="E32" s="334">
        <v>0</v>
      </c>
      <c r="F32" s="88">
        <f>SUM(H32:J32,M32:P32)</f>
        <v>5.8581955712364421E-4</v>
      </c>
      <c r="G32" s="474">
        <f>SUM(R32:T32)/(1-'Common input data'!$B$125)</f>
        <v>1.5458052480775218E-3</v>
      </c>
      <c r="H32" s="85">
        <v>0</v>
      </c>
      <c r="I32" s="85">
        <v>0</v>
      </c>
      <c r="J32" s="85">
        <v>0</v>
      </c>
      <c r="K32" s="85">
        <v>0</v>
      </c>
      <c r="L32" s="85">
        <v>0</v>
      </c>
      <c r="M32" s="85">
        <v>0</v>
      </c>
      <c r="N32" s="85">
        <v>0</v>
      </c>
      <c r="O32" s="218">
        <f>'Input data fish and seafood'!G8*'Input data fish and seafood'!B43</f>
        <v>5.8581955712364421E-4</v>
      </c>
      <c r="P32" s="88">
        <v>0</v>
      </c>
      <c r="Q32" s="211">
        <v>0</v>
      </c>
      <c r="R32" s="88">
        <f>(F32+Q32)/'Common input data'!$C$42/'Input data fish and seafood'!$H$7*'Common input data'!$D$42</f>
        <v>1.3156704001594847E-3</v>
      </c>
      <c r="S32" s="211">
        <v>0</v>
      </c>
      <c r="T32" s="151">
        <v>0</v>
      </c>
      <c r="Y32" s="45"/>
      <c r="Z32" s="45"/>
      <c r="AA32" s="83"/>
    </row>
    <row r="33" spans="1:27" x14ac:dyDescent="0.3">
      <c r="A33" s="144"/>
      <c r="B33" s="84"/>
      <c r="C33" s="85"/>
      <c r="D33" s="84" t="s">
        <v>166</v>
      </c>
      <c r="E33" s="334">
        <v>0</v>
      </c>
      <c r="F33" s="88">
        <f>SUM(H33:J33,M33:P33)</f>
        <v>3.5535887497241575E-5</v>
      </c>
      <c r="G33" s="474">
        <f>SUM(R33:T33)/(1-'Common input data'!$B$125)</f>
        <v>9.3768739401669463E-5</v>
      </c>
      <c r="H33" s="85">
        <v>0</v>
      </c>
      <c r="I33" s="85">
        <v>0</v>
      </c>
      <c r="J33" s="85">
        <v>0</v>
      </c>
      <c r="K33" s="85">
        <v>0</v>
      </c>
      <c r="L33" s="85">
        <v>0</v>
      </c>
      <c r="M33" s="85">
        <v>0</v>
      </c>
      <c r="N33" s="85">
        <v>0</v>
      </c>
      <c r="O33" s="88">
        <f>'Input data fish and seafood'!G8*'Input data fish and seafood'!B44</f>
        <v>3.5535887497241575E-5</v>
      </c>
      <c r="P33" s="88">
        <v>0</v>
      </c>
      <c r="Q33" s="217">
        <v>0</v>
      </c>
      <c r="R33" s="88">
        <f>(F33+Q33)/'Common input data'!$C$42/'Input data fish and seafood'!$H$7*'Common input data'!$D$42</f>
        <v>7.9808730785767124E-5</v>
      </c>
      <c r="S33" s="216">
        <v>0</v>
      </c>
      <c r="T33" s="151">
        <v>0</v>
      </c>
      <c r="AA33" s="84"/>
    </row>
    <row r="34" spans="1:27" x14ac:dyDescent="0.3">
      <c r="A34" s="145"/>
      <c r="B34" s="100"/>
      <c r="C34" s="101"/>
      <c r="D34" s="100" t="s">
        <v>414</v>
      </c>
      <c r="E34" s="788">
        <v>0</v>
      </c>
      <c r="F34" s="105">
        <f>SUM(H34:J34,M34:P34)</f>
        <v>2.4000000000000001E-4</v>
      </c>
      <c r="G34" s="789">
        <f>SUM(R34:T34)/(1-'Common input data'!$B$125)</f>
        <v>6.332893038944801E-4</v>
      </c>
      <c r="H34" s="101">
        <v>0</v>
      </c>
      <c r="I34" s="101">
        <v>0</v>
      </c>
      <c r="J34" s="101">
        <v>0</v>
      </c>
      <c r="K34" s="101">
        <v>0</v>
      </c>
      <c r="L34" s="101">
        <v>0</v>
      </c>
      <c r="M34" s="101">
        <v>0</v>
      </c>
      <c r="N34" s="101">
        <v>0</v>
      </c>
      <c r="O34" s="105">
        <v>0</v>
      </c>
      <c r="P34" s="105">
        <f>'Input data fish and seafood'!C49</f>
        <v>2.4000000000000001E-4</v>
      </c>
      <c r="Q34" s="215">
        <v>0</v>
      </c>
      <c r="R34" s="105">
        <f>(F34+Q34)/'Common input data'!$C$42/'Input data fish and seafood'!$H$7*'Common input data'!$D$42</f>
        <v>5.3900709219858165E-4</v>
      </c>
      <c r="S34" s="215">
        <v>0</v>
      </c>
      <c r="T34" s="208">
        <v>0</v>
      </c>
      <c r="AA34" s="84"/>
    </row>
    <row r="35" spans="1:27" x14ac:dyDescent="0.3">
      <c r="A35" s="311" t="s">
        <v>1459</v>
      </c>
      <c r="B35" s="312"/>
      <c r="C35" s="313"/>
      <c r="D35" s="314"/>
      <c r="E35" s="767"/>
      <c r="F35" s="768"/>
      <c r="G35" s="590" t="s">
        <v>790</v>
      </c>
      <c r="H35" s="313"/>
      <c r="I35" s="313"/>
      <c r="J35" s="313"/>
      <c r="K35" s="316"/>
      <c r="L35" s="316"/>
      <c r="M35" s="317"/>
      <c r="N35" s="316"/>
      <c r="O35" s="316"/>
      <c r="P35" s="316"/>
      <c r="Q35" s="316"/>
      <c r="R35" s="316"/>
      <c r="S35" s="316"/>
      <c r="T35" s="318"/>
      <c r="AA35" s="84"/>
    </row>
    <row r="36" spans="1:27" x14ac:dyDescent="0.3">
      <c r="A36" s="139" t="s">
        <v>260</v>
      </c>
      <c r="B36" s="146"/>
      <c r="C36" s="136">
        <f>SUM(C41:C50)</f>
        <v>1</v>
      </c>
      <c r="D36" s="325" t="s">
        <v>473</v>
      </c>
      <c r="E36" s="784"/>
      <c r="F36" s="782"/>
      <c r="G36" s="785">
        <f>IF($F$1="GWP100 without fb",G37+G38*'Common input data'!$C$5+G39*'Common input data'!$D$5+G40*'Common input data'!$E$5,IF($F$1="GWP100 with fb",G37+G38*'Common input data'!$C$6+G39*'Common input data'!$D$6+G40*'Common input data'!$E$6,IF($F$1="GTP100 without fb",G37+G38*'Common input data'!$C$7+G39*'Common input data'!$D$7+G40*'Common input data'!$E$7,IF($F$1="GTP100 with fb",G37+G38*'Common input data'!$C$8+G39*'Common input data'!$D$8+G40*'Common input data'!$E$8,G37+G38*'Common input data'!$C$9+G39*'Common input data'!$D$9+G40*'Common input data'!$E$9))))</f>
        <v>2.0058648632453826</v>
      </c>
      <c r="H36" s="326"/>
      <c r="I36" s="327"/>
      <c r="J36" s="327"/>
      <c r="K36" s="328"/>
      <c r="L36" s="328"/>
      <c r="M36" s="329"/>
      <c r="N36" s="328"/>
      <c r="O36" s="328"/>
      <c r="P36" s="328"/>
      <c r="Q36" s="328"/>
      <c r="R36" s="843" t="s">
        <v>1460</v>
      </c>
      <c r="S36" s="328"/>
      <c r="T36" s="330"/>
      <c r="AA36" s="84"/>
    </row>
    <row r="37" spans="1:27" x14ac:dyDescent="0.3">
      <c r="A37" s="155"/>
      <c r="B37" s="157"/>
      <c r="C37" s="157"/>
      <c r="D37" s="83" t="s">
        <v>164</v>
      </c>
      <c r="E37" s="258"/>
      <c r="F37" s="85"/>
      <c r="G37" s="259">
        <f>$C$41*G42+$C$46*G47</f>
        <v>1.6822751495864545</v>
      </c>
      <c r="H37" s="85"/>
      <c r="I37" s="85"/>
      <c r="J37" s="85"/>
      <c r="K37" s="85"/>
      <c r="L37" s="85"/>
      <c r="M37" s="85"/>
      <c r="N37" s="85"/>
      <c r="O37" s="85"/>
      <c r="P37" s="85"/>
      <c r="Q37" s="85"/>
      <c r="R37" s="85">
        <f t="shared" ref="R37:T40" si="5">$C$41*R42+$C$46*R47</f>
        <v>1.0518230721414719</v>
      </c>
      <c r="S37" s="85">
        <f t="shared" si="5"/>
        <v>0.3</v>
      </c>
      <c r="T37" s="207">
        <f t="shared" si="5"/>
        <v>0.08</v>
      </c>
      <c r="AA37" s="84"/>
    </row>
    <row r="38" spans="1:27" x14ac:dyDescent="0.3">
      <c r="A38" s="141"/>
      <c r="B38" s="243"/>
      <c r="C38" s="142"/>
      <c r="D38" s="83" t="s">
        <v>165</v>
      </c>
      <c r="E38" s="258"/>
      <c r="F38" s="85"/>
      <c r="G38" s="259">
        <f>$C$41*G43+$C$46*G48</f>
        <v>5.1202070367322588E-4</v>
      </c>
      <c r="H38" s="85"/>
      <c r="I38" s="85"/>
      <c r="J38" s="85"/>
      <c r="K38" s="85"/>
      <c r="L38" s="85"/>
      <c r="M38" s="85"/>
      <c r="N38" s="85"/>
      <c r="O38" s="85"/>
      <c r="P38" s="85"/>
      <c r="Q38" s="85"/>
      <c r="R38" s="85">
        <f t="shared" si="5"/>
        <v>4.3579259737246709E-4</v>
      </c>
      <c r="S38" s="85">
        <f t="shared" si="5"/>
        <v>0</v>
      </c>
      <c r="T38" s="207">
        <f t="shared" si="5"/>
        <v>0</v>
      </c>
      <c r="AA38" s="84"/>
    </row>
    <row r="39" spans="1:27" x14ac:dyDescent="0.3">
      <c r="A39" s="141"/>
      <c r="B39" s="243"/>
      <c r="C39" s="85"/>
      <c r="D39" s="84" t="s">
        <v>166</v>
      </c>
      <c r="E39" s="258"/>
      <c r="F39" s="85"/>
      <c r="G39" s="259">
        <f>$C$41*G44+$C$46*G49</f>
        <v>3.1059239830311652E-5</v>
      </c>
      <c r="H39" s="85"/>
      <c r="I39" s="85"/>
      <c r="J39" s="85"/>
      <c r="K39" s="85"/>
      <c r="L39" s="85"/>
      <c r="M39" s="85"/>
      <c r="N39" s="85"/>
      <c r="O39" s="85"/>
      <c r="P39" s="85"/>
      <c r="Q39" s="85"/>
      <c r="R39" s="85">
        <f t="shared" si="5"/>
        <v>2.6435233382094344E-5</v>
      </c>
      <c r="S39" s="85">
        <f t="shared" si="5"/>
        <v>0</v>
      </c>
      <c r="T39" s="207">
        <f t="shared" si="5"/>
        <v>0</v>
      </c>
      <c r="AA39" s="84"/>
    </row>
    <row r="40" spans="1:27" x14ac:dyDescent="0.3">
      <c r="A40" s="141"/>
      <c r="B40" s="243"/>
      <c r="C40" s="85"/>
      <c r="D40" s="84" t="s">
        <v>414</v>
      </c>
      <c r="E40" s="258"/>
      <c r="F40" s="85"/>
      <c r="G40" s="259">
        <f>$C$41*G45+$C$46*G50</f>
        <v>1.409901976565079E-4</v>
      </c>
      <c r="H40" s="85"/>
      <c r="I40" s="85"/>
      <c r="J40" s="85"/>
      <c r="K40" s="85"/>
      <c r="L40" s="85"/>
      <c r="M40" s="85"/>
      <c r="N40" s="85"/>
      <c r="O40" s="85"/>
      <c r="P40" s="85"/>
      <c r="Q40" s="85"/>
      <c r="R40" s="85">
        <f t="shared" si="5"/>
        <v>1.1999999999999999E-4</v>
      </c>
      <c r="S40" s="85">
        <f t="shared" si="5"/>
        <v>0</v>
      </c>
      <c r="T40" s="207">
        <f t="shared" si="5"/>
        <v>0</v>
      </c>
      <c r="AA40" s="84"/>
    </row>
    <row r="41" spans="1:27" x14ac:dyDescent="0.3">
      <c r="A41" s="219" t="s">
        <v>583</v>
      </c>
      <c r="B41" s="210" t="s">
        <v>568</v>
      </c>
      <c r="C41" s="209">
        <f>'Input data fish and seafood'!E24</f>
        <v>0.5</v>
      </c>
      <c r="D41" s="269" t="s">
        <v>473</v>
      </c>
      <c r="E41" s="345"/>
      <c r="F41" s="346"/>
      <c r="G41" s="347">
        <f>IF($F$1="GWP100 without fb",G42+G43*'Common input data'!$C$5+G44*'Common input data'!$D$5+G45*'Common input data'!$E$5,IF($F$1="GWP100 with fb",G42+G43*'Common input data'!$C$6+G44*'Common input data'!$D$6+G45*'Common input data'!$E$6,IF($F$1="GTP100 without fb",G42+G43*'Common input data'!$C$7+G44*'Common input data'!$D$7+G45*'Common input data'!$E$7,IF($F$1="GTP100 with fb",G42+G43*'Common input data'!$C$8+G44*'Common input data'!$D$8+G45*'Common input data'!$E$8,G42+G43*'Common input data'!$C$9+G44*'Common input data'!$D$9+G45*'Common input data'!$E$9))))</f>
        <v>2.3935879068007799</v>
      </c>
      <c r="H41" s="302"/>
      <c r="I41" s="104"/>
      <c r="J41" s="104"/>
      <c r="K41" s="223"/>
      <c r="L41" s="223"/>
      <c r="M41" s="223"/>
      <c r="N41" s="223"/>
      <c r="O41" s="223"/>
      <c r="P41" s="223"/>
      <c r="Q41" s="223"/>
      <c r="R41" s="223"/>
      <c r="S41" s="223"/>
      <c r="T41" s="331"/>
      <c r="AA41" s="84"/>
    </row>
    <row r="42" spans="1:27" x14ac:dyDescent="0.3">
      <c r="A42" s="144"/>
      <c r="B42" s="84"/>
      <c r="C42" s="157"/>
      <c r="D42" s="83" t="s">
        <v>164</v>
      </c>
      <c r="E42" s="334"/>
      <c r="F42" s="88"/>
      <c r="G42" s="259">
        <f>SUM(R42:T42)/(1-'Common input data'!B$125)</f>
        <v>2.0612557808814178</v>
      </c>
      <c r="H42" s="85"/>
      <c r="I42" s="85"/>
      <c r="J42" s="85"/>
      <c r="K42" s="85"/>
      <c r="L42" s="85"/>
      <c r="M42" s="85"/>
      <c r="N42" s="85"/>
      <c r="O42" s="85"/>
      <c r="P42" s="85"/>
      <c r="Q42" s="90"/>
      <c r="R42" s="85">
        <f>(F26+Q26)/'Common input data'!$F$42*'Common input data'!$G$42</f>
        <v>1.3743822039911349</v>
      </c>
      <c r="S42" s="85">
        <f>'Common input data'!B93</f>
        <v>0.3</v>
      </c>
      <c r="T42" s="207">
        <f>'Input data fish and seafood'!B115*'Common input data'!B98+'Common input data'!C98</f>
        <v>0.08</v>
      </c>
      <c r="AA42" s="84"/>
    </row>
    <row r="43" spans="1:27" x14ac:dyDescent="0.3">
      <c r="A43" s="322"/>
      <c r="B43" s="38"/>
      <c r="C43" s="45"/>
      <c r="D43" s="83" t="s">
        <v>165</v>
      </c>
      <c r="E43" s="258"/>
      <c r="F43" s="88"/>
      <c r="G43" s="259">
        <f>SUM(R43:T43)/(1-'Common input data'!B$125)</f>
        <v>6.7989634422182458E-4</v>
      </c>
      <c r="H43" s="85"/>
      <c r="I43" s="85"/>
      <c r="J43" s="85"/>
      <c r="K43" s="85"/>
      <c r="L43" s="85"/>
      <c r="M43" s="85"/>
      <c r="N43" s="85"/>
      <c r="O43" s="85"/>
      <c r="P43" s="85"/>
      <c r="Q43" s="90"/>
      <c r="R43" s="85">
        <f>(F27+Q27)/'Common input data'!$F$42*'Common input data'!$G$42</f>
        <v>5.7867541618311202E-4</v>
      </c>
      <c r="S43" s="85">
        <v>0</v>
      </c>
      <c r="T43" s="207">
        <v>0</v>
      </c>
      <c r="AA43" s="84"/>
    </row>
    <row r="44" spans="1:27" x14ac:dyDescent="0.3">
      <c r="A44" s="174"/>
      <c r="B44" s="206"/>
      <c r="C44" s="85"/>
      <c r="D44" s="84" t="s">
        <v>166</v>
      </c>
      <c r="E44" s="258"/>
      <c r="F44" s="88"/>
      <c r="G44" s="259">
        <f>SUM(R44:T44)/(1-'Common input data'!B$125)</f>
        <v>4.1242597151725308E-5</v>
      </c>
      <c r="H44" s="85"/>
      <c r="I44" s="85"/>
      <c r="J44" s="85"/>
      <c r="K44" s="85"/>
      <c r="L44" s="85"/>
      <c r="M44" s="85"/>
      <c r="N44" s="85"/>
      <c r="O44" s="85"/>
      <c r="P44" s="85"/>
      <c r="Q44" s="90"/>
      <c r="R44" s="85">
        <f>(F28+Q28)/'Common input data'!$F$42*'Common input data'!$G$42</f>
        <v>3.5102523015567904E-5</v>
      </c>
      <c r="S44" s="85">
        <v>0</v>
      </c>
      <c r="T44" s="207">
        <v>0</v>
      </c>
      <c r="AA44" s="84"/>
    </row>
    <row r="45" spans="1:27" x14ac:dyDescent="0.3">
      <c r="A45" s="174"/>
      <c r="B45" s="206"/>
      <c r="C45" s="85"/>
      <c r="D45" s="84" t="s">
        <v>414</v>
      </c>
      <c r="E45" s="258"/>
      <c r="F45" s="88"/>
      <c r="G45" s="259">
        <f>SUM(R45:T45)/(1-'Common input data'!B$125)</f>
        <v>1.409901976565079E-4</v>
      </c>
      <c r="H45" s="85"/>
      <c r="I45" s="85"/>
      <c r="J45" s="85"/>
      <c r="K45" s="85"/>
      <c r="L45" s="85"/>
      <c r="M45" s="85"/>
      <c r="N45" s="85"/>
      <c r="O45" s="85"/>
      <c r="P45" s="85"/>
      <c r="Q45" s="90"/>
      <c r="R45" s="85">
        <f>(F29+Q29)/'Common input data'!$F$42*'Common input data'!$G$42</f>
        <v>1.1999999999999999E-4</v>
      </c>
      <c r="S45" s="85">
        <v>0</v>
      </c>
      <c r="T45" s="207">
        <v>0</v>
      </c>
      <c r="AA45" s="84"/>
    </row>
    <row r="46" spans="1:27" x14ac:dyDescent="0.3">
      <c r="A46" s="378" t="s">
        <v>583</v>
      </c>
      <c r="B46" s="210" t="s">
        <v>569</v>
      </c>
      <c r="C46" s="209">
        <f>'Input data fish and seafood'!E25</f>
        <v>0.5</v>
      </c>
      <c r="D46" s="269" t="s">
        <v>473</v>
      </c>
      <c r="E46" s="345"/>
      <c r="F46" s="346"/>
      <c r="G46" s="347">
        <f>IF($F$1="GWP100 without fb",G47+G48*'Common input data'!$C$5+G49*'Common input data'!$D$5+G50*'Common input data'!$E$5,IF($F$1="GWP100 with fb",G47+G48*'Common input data'!$C$6+G49*'Common input data'!$D$6+G50*'Common input data'!$E$6,IF($F$1="GTP100 without fb",G47+G48*'Common input data'!$C$7+G49*'Common input data'!$D$7+G50*'Common input data'!$E$7,IF($F$1="GTP100 with fb",G47+G48*'Common input data'!$C$8+G49*'Common input data'!$D$8+G50*'Common input data'!$E$8,G47+G48*'Common input data'!$C$9+G49*'Common input data'!$D$9+G50*'Common input data'!$E$9))))</f>
        <v>1.6181418196899859</v>
      </c>
      <c r="H46" s="302"/>
      <c r="I46" s="104"/>
      <c r="J46" s="104"/>
      <c r="K46" s="223"/>
      <c r="L46" s="223"/>
      <c r="M46" s="223"/>
      <c r="N46" s="223"/>
      <c r="O46" s="223"/>
      <c r="P46" s="223"/>
      <c r="Q46" s="223"/>
      <c r="R46" s="223"/>
      <c r="S46" s="223"/>
      <c r="T46" s="331"/>
      <c r="AA46" s="84"/>
    </row>
    <row r="47" spans="1:27" x14ac:dyDescent="0.3">
      <c r="A47" s="144"/>
      <c r="B47" s="84"/>
      <c r="C47" s="157"/>
      <c r="D47" s="83" t="s">
        <v>164</v>
      </c>
      <c r="E47" s="334"/>
      <c r="F47" s="88"/>
      <c r="G47" s="259">
        <f>SUM(R47:T47)/(1-'Common input data'!B$125)</f>
        <v>1.3032945182914912</v>
      </c>
      <c r="H47" s="85"/>
      <c r="I47" s="85"/>
      <c r="J47" s="85"/>
      <c r="K47" s="85"/>
      <c r="L47" s="85"/>
      <c r="M47" s="85"/>
      <c r="N47" s="85"/>
      <c r="O47" s="213"/>
      <c r="P47" s="85"/>
      <c r="Q47" s="90"/>
      <c r="R47" s="85">
        <f>(F31+Q31)/'Common input data'!$F$42*'Common input data'!$G$42</f>
        <v>0.72926394029180885</v>
      </c>
      <c r="S47" s="90">
        <f>'Common input data'!B93</f>
        <v>0.3</v>
      </c>
      <c r="T47" s="207">
        <f>'Input data fish and seafood'!B115*'Common input data'!B98+'Common input data'!C98</f>
        <v>0.08</v>
      </c>
      <c r="AA47" s="84"/>
    </row>
    <row r="48" spans="1:27" x14ac:dyDescent="0.3">
      <c r="A48" s="144"/>
      <c r="B48" s="84"/>
      <c r="C48" s="84"/>
      <c r="D48" s="83" t="s">
        <v>165</v>
      </c>
      <c r="E48" s="258"/>
      <c r="F48" s="88"/>
      <c r="G48" s="259">
        <f>SUM(R48:T48)/(1-'Common input data'!B$125)</f>
        <v>3.4414506312462718E-4</v>
      </c>
      <c r="H48" s="85"/>
      <c r="I48" s="85"/>
      <c r="J48" s="85"/>
      <c r="K48" s="85"/>
      <c r="L48" s="85"/>
      <c r="M48" s="85"/>
      <c r="N48" s="85"/>
      <c r="O48" s="212"/>
      <c r="P48" s="85"/>
      <c r="Q48" s="90"/>
      <c r="R48" s="85">
        <f>(F32+Q32)/'Common input data'!$F$42*'Common input data'!$G$42</f>
        <v>2.9290977856182211E-4</v>
      </c>
      <c r="S48" s="90">
        <v>0</v>
      </c>
      <c r="T48" s="207">
        <v>0</v>
      </c>
      <c r="AA48" s="84"/>
    </row>
    <row r="49" spans="1:336" x14ac:dyDescent="0.3">
      <c r="A49" s="144"/>
      <c r="B49" s="84"/>
      <c r="C49" s="85"/>
      <c r="D49" s="84" t="s">
        <v>166</v>
      </c>
      <c r="E49" s="258"/>
      <c r="F49" s="88"/>
      <c r="G49" s="259">
        <f>SUM(R49:T49)/(1-'Common input data'!B$125)</f>
        <v>2.0875882508897993E-5</v>
      </c>
      <c r="H49" s="85"/>
      <c r="I49" s="85"/>
      <c r="J49" s="85"/>
      <c r="K49" s="85"/>
      <c r="L49" s="85"/>
      <c r="M49" s="85"/>
      <c r="N49" s="85"/>
      <c r="O49" s="85"/>
      <c r="P49" s="85"/>
      <c r="Q49" s="221"/>
      <c r="R49" s="85">
        <f>(F33+Q33)/'Common input data'!$F$42*'Common input data'!$G$42</f>
        <v>1.7767943748620788E-5</v>
      </c>
      <c r="S49" s="94">
        <v>0</v>
      </c>
      <c r="T49" s="207">
        <v>0</v>
      </c>
      <c r="AA49" s="84"/>
    </row>
    <row r="50" spans="1:336" x14ac:dyDescent="0.3">
      <c r="A50" s="144"/>
      <c r="B50" s="84"/>
      <c r="C50" s="85"/>
      <c r="D50" s="84" t="s">
        <v>414</v>
      </c>
      <c r="E50" s="771"/>
      <c r="F50" s="105"/>
      <c r="G50" s="790">
        <f>SUM(R50:T50)/(1-'Common input data'!B$125)</f>
        <v>1.409901976565079E-4</v>
      </c>
      <c r="H50" s="85"/>
      <c r="I50" s="85"/>
      <c r="J50" s="85"/>
      <c r="K50" s="85"/>
      <c r="L50" s="85"/>
      <c r="M50" s="85"/>
      <c r="N50" s="85"/>
      <c r="O50" s="85"/>
      <c r="P50" s="85"/>
      <c r="Q50" s="90"/>
      <c r="R50" s="85">
        <f>(F34+Q34)/'Common input data'!$F$42*'Common input data'!$G$42</f>
        <v>1.1999999999999999E-4</v>
      </c>
      <c r="S50" s="90">
        <v>0</v>
      </c>
      <c r="T50" s="207">
        <v>0</v>
      </c>
      <c r="AA50" s="84"/>
    </row>
    <row r="51" spans="1:336" x14ac:dyDescent="0.3">
      <c r="A51" s="426" t="s">
        <v>574</v>
      </c>
      <c r="B51" s="412"/>
      <c r="C51" s="413"/>
      <c r="D51" s="844"/>
      <c r="E51" s="767" t="s">
        <v>802</v>
      </c>
      <c r="F51" s="768" t="s">
        <v>802</v>
      </c>
      <c r="G51" s="590" t="s">
        <v>790</v>
      </c>
      <c r="H51" s="845"/>
      <c r="I51" s="413"/>
      <c r="J51" s="413"/>
      <c r="K51" s="416"/>
      <c r="L51" s="416"/>
      <c r="M51" s="417"/>
      <c r="N51" s="416"/>
      <c r="O51" s="416"/>
      <c r="P51" s="416"/>
      <c r="Q51" s="416"/>
      <c r="R51" s="416"/>
      <c r="S51" s="416"/>
      <c r="T51" s="418"/>
    </row>
    <row r="52" spans="1:336" s="102" customFormat="1" x14ac:dyDescent="0.3">
      <c r="A52" s="139" t="s">
        <v>260</v>
      </c>
      <c r="B52" s="146"/>
      <c r="C52" s="136">
        <f>SUM(C57:C66)</f>
        <v>1</v>
      </c>
      <c r="D52" s="325" t="s">
        <v>473</v>
      </c>
      <c r="E52" s="784">
        <f>IF($F$1="GWP100 without fb",E53+E54*'Common input data'!$C$5+E55*'Common input data'!$D$5+E56*'Common input data'!$E$5,IF($F$1="GWP100 with fb",E53+E54*'Common input data'!$C$6+E55*'Common input data'!$D$6+E56*'Common input data'!$E$6,IF($F$1="GTP100 without fb",E53+E54*'Common input data'!$C$7+E55*'Common input data'!$D$7+E56*'Common input data'!$E$7,IF($F$1="GTP100 with fb",E53+E54*'Common input data'!$C$8+E55*'Common input data'!$D$8+E56*'Common input data'!$E$8,E53+E54*'Common input data'!$C$9+E55*'Common input data'!$D$9+E56*'Common input data'!$E$9))))</f>
        <v>0</v>
      </c>
      <c r="F52" s="782">
        <f>IF($F$1="GWP100 without fb",F53+F54*'Common input data'!$C$5+F55*'Common input data'!$D$5+F56*'Common input data'!$E$5,IF($F$1="GWP100 with fb",F53+F54*'Common input data'!$C$6+F55*'Common input data'!$D$6+F56*'Common input data'!$E$6,IF($F$1="GTP100 without fb",F53+F54*'Common input data'!$C$7+F55*'Common input data'!$D$7+F56*'Common input data'!$E$7,IF($F$1="GTP100 with fb",F53+F54*'Common input data'!$C$8+F55*'Common input data'!$D$8+F56*'Common input data'!$E$8,F53+F54*'Common input data'!$C$9+F55*'Common input data'!$D$9+F56*'Common input data'!$E$9))))</f>
        <v>0.32893799999999995</v>
      </c>
      <c r="G52" s="785">
        <f>IF($F$1="GWP100 without fb",G53+G54*'Common input data'!$C$5+G55*'Common input data'!$D$5+G56*'Common input data'!$E$5,IF($F$1="GWP100 with fb",G53+G54*'Common input data'!$C$6+G55*'Common input data'!$D$6+G56*'Common input data'!$E$6,IF($F$1="GTP100 without fb",G53+G54*'Common input data'!$C$7+G55*'Common input data'!$D$7+G56*'Common input data'!$E$7,IF($F$1="GTP100 with fb",G53+G54*'Common input data'!$C$8+G55*'Common input data'!$D$8+G56*'Common input data'!$E$8,G53+G54*'Common input data'!$C$9+G55*'Common input data'!$D$9+G56*'Common input data'!$E$9))))</f>
        <v>1.1371244660116642</v>
      </c>
      <c r="H52" s="326"/>
      <c r="I52" s="327"/>
      <c r="J52" s="327"/>
      <c r="K52" s="328"/>
      <c r="L52" s="328"/>
      <c r="M52" s="329"/>
      <c r="N52" s="328"/>
      <c r="O52" s="328"/>
      <c r="P52" s="328"/>
      <c r="Q52" s="328"/>
      <c r="R52" s="328"/>
      <c r="S52" s="328"/>
      <c r="T52" s="330"/>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c r="EO52" s="64"/>
      <c r="EP52" s="64"/>
      <c r="EQ52" s="64"/>
      <c r="ER52" s="64"/>
      <c r="ES52" s="64"/>
      <c r="ET52" s="64"/>
      <c r="EU52" s="64"/>
      <c r="EV52" s="64"/>
      <c r="EW52" s="64"/>
      <c r="EX52" s="64"/>
      <c r="EY52" s="64"/>
      <c r="EZ52" s="64"/>
      <c r="FA52" s="64"/>
      <c r="FB52" s="64"/>
      <c r="FC52" s="64"/>
      <c r="FD52" s="64"/>
      <c r="FE52" s="64"/>
      <c r="FF52" s="64"/>
      <c r="FG52" s="64"/>
      <c r="FH52" s="64"/>
      <c r="FI52" s="64"/>
      <c r="FJ52" s="64"/>
      <c r="FK52" s="64"/>
      <c r="FL52" s="64"/>
      <c r="FM52" s="64"/>
      <c r="FN52" s="64"/>
      <c r="FO52" s="64"/>
      <c r="FP52" s="64"/>
      <c r="FQ52" s="64"/>
      <c r="FR52" s="64"/>
      <c r="FS52" s="64"/>
      <c r="FT52" s="64"/>
      <c r="FU52" s="64"/>
      <c r="FV52" s="64"/>
      <c r="FW52" s="64"/>
      <c r="FX52" s="64"/>
      <c r="FY52" s="64"/>
      <c r="FZ52" s="64"/>
      <c r="GA52" s="64"/>
      <c r="GB52" s="64"/>
      <c r="GC52" s="64"/>
      <c r="GD52" s="64"/>
      <c r="GE52" s="64"/>
      <c r="GF52" s="64"/>
      <c r="GG52" s="64"/>
      <c r="GH52" s="64"/>
      <c r="GI52" s="64"/>
      <c r="GJ52" s="64"/>
      <c r="GK52" s="64"/>
      <c r="GL52" s="64"/>
      <c r="GM52" s="64"/>
      <c r="GN52" s="64"/>
      <c r="GO52" s="64"/>
      <c r="GP52" s="64"/>
      <c r="GQ52" s="64"/>
      <c r="GR52" s="64"/>
      <c r="GS52" s="64"/>
      <c r="GT52" s="64"/>
      <c r="GU52" s="64"/>
      <c r="GV52" s="64"/>
      <c r="GW52" s="64"/>
      <c r="GX52" s="64"/>
      <c r="GY52" s="64"/>
      <c r="GZ52" s="64"/>
      <c r="HA52" s="64"/>
      <c r="HB52" s="64"/>
      <c r="HC52" s="64"/>
      <c r="HD52" s="64"/>
      <c r="HE52" s="64"/>
      <c r="HF52" s="64"/>
      <c r="HG52" s="64"/>
      <c r="HH52" s="64"/>
      <c r="HI52" s="64"/>
      <c r="HJ52" s="64"/>
      <c r="HK52" s="64"/>
      <c r="HL52" s="64"/>
      <c r="HM52" s="64"/>
      <c r="HN52" s="64"/>
      <c r="HO52" s="64"/>
      <c r="HP52" s="64"/>
      <c r="HQ52" s="64"/>
      <c r="HR52" s="64"/>
      <c r="HS52" s="64"/>
      <c r="HT52" s="64"/>
      <c r="HU52" s="64"/>
      <c r="HV52" s="64"/>
      <c r="HW52" s="64"/>
      <c r="HX52" s="64"/>
      <c r="HY52" s="64"/>
      <c r="HZ52" s="64"/>
      <c r="IA52" s="64"/>
      <c r="IB52" s="64"/>
      <c r="IC52" s="64"/>
      <c r="ID52" s="64"/>
      <c r="IE52" s="64"/>
      <c r="IF52" s="64"/>
      <c r="IG52" s="64"/>
      <c r="IH52" s="64"/>
      <c r="II52" s="64"/>
      <c r="IJ52" s="64"/>
      <c r="IK52" s="64"/>
      <c r="IL52" s="64"/>
      <c r="IM52" s="64"/>
      <c r="IN52" s="64"/>
      <c r="IO52" s="64"/>
      <c r="IP52" s="64"/>
      <c r="IQ52" s="64"/>
      <c r="IR52" s="64"/>
      <c r="IS52" s="64"/>
      <c r="IT52" s="64"/>
      <c r="IU52" s="64"/>
      <c r="IV52" s="64"/>
      <c r="IW52" s="64"/>
      <c r="IX52" s="64"/>
      <c r="IY52" s="64"/>
      <c r="IZ52" s="64"/>
      <c r="JA52" s="64"/>
      <c r="JB52" s="64"/>
      <c r="JC52" s="64"/>
      <c r="JD52" s="64"/>
      <c r="JE52" s="64"/>
      <c r="JF52" s="64"/>
      <c r="JG52" s="64"/>
      <c r="JH52" s="64"/>
      <c r="JI52" s="64"/>
      <c r="JJ52" s="64"/>
      <c r="JK52" s="64"/>
      <c r="JL52" s="64"/>
      <c r="JM52" s="64"/>
      <c r="JN52" s="64"/>
      <c r="JO52" s="64"/>
      <c r="JP52" s="64"/>
      <c r="JQ52" s="64"/>
      <c r="JR52" s="64"/>
      <c r="JS52" s="64"/>
      <c r="JT52" s="64"/>
      <c r="JU52" s="64"/>
      <c r="JV52" s="64"/>
      <c r="JW52" s="64"/>
      <c r="JX52" s="64"/>
      <c r="JY52" s="64"/>
      <c r="JZ52" s="64"/>
      <c r="KA52" s="64"/>
      <c r="KB52" s="64"/>
      <c r="KC52" s="64"/>
      <c r="KD52" s="64"/>
      <c r="KE52" s="64"/>
      <c r="KF52" s="64"/>
      <c r="KG52" s="64"/>
      <c r="KH52" s="64"/>
      <c r="KI52" s="64"/>
      <c r="KJ52" s="64"/>
      <c r="KK52" s="64"/>
      <c r="KL52" s="64"/>
      <c r="KM52" s="64"/>
      <c r="KN52" s="64"/>
      <c r="KO52" s="64"/>
      <c r="KP52" s="64"/>
      <c r="KQ52" s="64"/>
      <c r="KR52" s="64"/>
      <c r="KS52" s="64"/>
      <c r="KT52" s="64"/>
      <c r="KU52" s="64"/>
      <c r="KV52" s="64"/>
      <c r="KW52" s="64"/>
      <c r="KX52" s="64"/>
      <c r="KY52" s="64"/>
      <c r="KZ52" s="64"/>
    </row>
    <row r="53" spans="1:336" x14ac:dyDescent="0.3">
      <c r="A53" s="155"/>
      <c r="B53" s="157"/>
      <c r="C53" s="157"/>
      <c r="D53" s="83" t="s">
        <v>164</v>
      </c>
      <c r="E53" s="258">
        <f>$C$57*E58+$C$62*E63</f>
        <v>0</v>
      </c>
      <c r="F53" s="85">
        <f t="shared" ref="F53:G56" si="6">$C$57*F58+$C$62*F63</f>
        <v>0.27417526207221349</v>
      </c>
      <c r="G53" s="259">
        <f t="shared" si="6"/>
        <v>1.0316461976421265</v>
      </c>
      <c r="H53" s="85">
        <f t="shared" ref="H53" si="7">$C$57*H58+$C$62*H63</f>
        <v>0</v>
      </c>
      <c r="I53" s="85">
        <f t="shared" ref="I53:T53" si="8">$C$57*I58+$C$62*I63</f>
        <v>0</v>
      </c>
      <c r="J53" s="85">
        <f t="shared" si="8"/>
        <v>0</v>
      </c>
      <c r="K53" s="85">
        <f t="shared" si="8"/>
        <v>0</v>
      </c>
      <c r="L53" s="85">
        <f t="shared" si="8"/>
        <v>0</v>
      </c>
      <c r="M53" s="85">
        <f t="shared" si="8"/>
        <v>0</v>
      </c>
      <c r="N53" s="85">
        <f t="shared" si="8"/>
        <v>0</v>
      </c>
      <c r="O53" s="85">
        <f t="shared" si="8"/>
        <v>0.27417526207221349</v>
      </c>
      <c r="P53" s="85">
        <f t="shared" si="8"/>
        <v>0</v>
      </c>
      <c r="Q53" s="85">
        <f t="shared" si="8"/>
        <v>6.0139999999999999E-2</v>
      </c>
      <c r="R53" s="85">
        <f t="shared" si="8"/>
        <v>0.54805780667575976</v>
      </c>
      <c r="S53" s="85">
        <f t="shared" si="8"/>
        <v>0.3</v>
      </c>
      <c r="T53" s="207">
        <f t="shared" si="8"/>
        <v>0.03</v>
      </c>
    </row>
    <row r="54" spans="1:336" x14ac:dyDescent="0.3">
      <c r="A54" s="141"/>
      <c r="B54" s="243"/>
      <c r="C54" s="142"/>
      <c r="D54" s="83" t="s">
        <v>165</v>
      </c>
      <c r="E54" s="258">
        <f>$C$57*E59+$C$62*E64</f>
        <v>0</v>
      </c>
      <c r="F54" s="85">
        <f t="shared" si="6"/>
        <v>1.2145039598904819E-4</v>
      </c>
      <c r="G54" s="259">
        <f t="shared" si="6"/>
        <v>2.3392507289558825E-4</v>
      </c>
      <c r="H54" s="85">
        <f t="shared" ref="H54" si="9">$C$57*H59+$C$62*H64</f>
        <v>0</v>
      </c>
      <c r="I54" s="85">
        <f t="shared" ref="I54:T54" si="10">$C$57*I59+$C$62*I64</f>
        <v>0</v>
      </c>
      <c r="J54" s="85">
        <f t="shared" si="10"/>
        <v>0</v>
      </c>
      <c r="K54" s="85">
        <f t="shared" si="10"/>
        <v>0</v>
      </c>
      <c r="L54" s="85">
        <f t="shared" si="10"/>
        <v>0</v>
      </c>
      <c r="M54" s="85">
        <f t="shared" si="10"/>
        <v>0</v>
      </c>
      <c r="N54" s="85">
        <f t="shared" si="10"/>
        <v>0</v>
      </c>
      <c r="O54" s="85">
        <f t="shared" si="10"/>
        <v>1.2145039598904819E-4</v>
      </c>
      <c r="P54" s="85">
        <f t="shared" si="10"/>
        <v>0</v>
      </c>
      <c r="Q54" s="85">
        <f t="shared" si="10"/>
        <v>0</v>
      </c>
      <c r="R54" s="85">
        <f t="shared" si="10"/>
        <v>1.9909900981811179E-4</v>
      </c>
      <c r="S54" s="85">
        <f t="shared" si="10"/>
        <v>0</v>
      </c>
      <c r="T54" s="207">
        <f t="shared" si="10"/>
        <v>0</v>
      </c>
    </row>
    <row r="55" spans="1:336" x14ac:dyDescent="0.3">
      <c r="A55" s="141"/>
      <c r="B55" s="243"/>
      <c r="C55" s="85"/>
      <c r="D55" s="84" t="s">
        <v>166</v>
      </c>
      <c r="E55" s="258">
        <f>$C$57*E60+$C$62*E65</f>
        <v>0</v>
      </c>
      <c r="F55" s="85">
        <f t="shared" si="6"/>
        <v>7.3671961884525228E-6</v>
      </c>
      <c r="G55" s="259">
        <f t="shared" si="6"/>
        <v>1.4189924136396079E-5</v>
      </c>
      <c r="H55" s="85">
        <f t="shared" ref="H55" si="11">$C$57*H60+$C$62*H65</f>
        <v>0</v>
      </c>
      <c r="I55" s="85">
        <f t="shared" ref="I55:T55" si="12">$C$57*I60+$C$62*I65</f>
        <v>0</v>
      </c>
      <c r="J55" s="85">
        <f t="shared" si="12"/>
        <v>0</v>
      </c>
      <c r="K55" s="85">
        <f t="shared" si="12"/>
        <v>0</v>
      </c>
      <c r="L55" s="85">
        <f t="shared" si="12"/>
        <v>0</v>
      </c>
      <c r="M55" s="85">
        <f t="shared" si="12"/>
        <v>0</v>
      </c>
      <c r="N55" s="85">
        <f t="shared" si="12"/>
        <v>0</v>
      </c>
      <c r="O55" s="85">
        <f t="shared" si="12"/>
        <v>7.3671961884525228E-6</v>
      </c>
      <c r="P55" s="85">
        <f t="shared" si="12"/>
        <v>0</v>
      </c>
      <c r="Q55" s="85">
        <f t="shared" si="12"/>
        <v>0</v>
      </c>
      <c r="R55" s="85">
        <f t="shared" si="12"/>
        <v>1.2077370800741841E-5</v>
      </c>
      <c r="S55" s="85">
        <f t="shared" si="12"/>
        <v>0</v>
      </c>
      <c r="T55" s="207">
        <f t="shared" si="12"/>
        <v>0</v>
      </c>
    </row>
    <row r="56" spans="1:336" s="102" customFormat="1" x14ac:dyDescent="0.3">
      <c r="A56" s="141"/>
      <c r="B56" s="243"/>
      <c r="C56" s="85"/>
      <c r="D56" s="84" t="s">
        <v>414</v>
      </c>
      <c r="E56" s="258">
        <f>$C$57*E61+$C$62*E66</f>
        <v>0</v>
      </c>
      <c r="F56" s="85">
        <f t="shared" si="6"/>
        <v>2.3E-5</v>
      </c>
      <c r="G56" s="259">
        <f t="shared" si="6"/>
        <v>4.4300198717208771E-5</v>
      </c>
      <c r="H56" s="85">
        <f t="shared" ref="H56" si="13">$C$57*H61+$C$62*H66</f>
        <v>0</v>
      </c>
      <c r="I56" s="85">
        <f t="shared" ref="I56:T56" si="14">$C$57*I61+$C$62*I66</f>
        <v>0</v>
      </c>
      <c r="J56" s="85">
        <f t="shared" si="14"/>
        <v>0</v>
      </c>
      <c r="K56" s="85">
        <f t="shared" si="14"/>
        <v>0</v>
      </c>
      <c r="L56" s="85">
        <f t="shared" si="14"/>
        <v>0</v>
      </c>
      <c r="M56" s="85">
        <f t="shared" si="14"/>
        <v>0</v>
      </c>
      <c r="N56" s="85">
        <f t="shared" si="14"/>
        <v>0</v>
      </c>
      <c r="O56" s="85">
        <f t="shared" si="14"/>
        <v>0</v>
      </c>
      <c r="P56" s="85">
        <f t="shared" si="14"/>
        <v>2.3E-5</v>
      </c>
      <c r="Q56" s="85">
        <f t="shared" si="14"/>
        <v>0</v>
      </c>
      <c r="R56" s="85">
        <f t="shared" si="14"/>
        <v>3.7704918032786885E-5</v>
      </c>
      <c r="S56" s="85">
        <f t="shared" si="14"/>
        <v>0</v>
      </c>
      <c r="T56" s="207">
        <f t="shared" si="14"/>
        <v>0</v>
      </c>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c r="GH56" s="64"/>
      <c r="GI56" s="64"/>
      <c r="GJ56" s="64"/>
      <c r="GK56" s="64"/>
      <c r="GL56" s="64"/>
      <c r="GM56" s="64"/>
      <c r="GN56" s="64"/>
      <c r="GO56" s="64"/>
      <c r="GP56" s="64"/>
      <c r="GQ56" s="64"/>
      <c r="GR56" s="64"/>
      <c r="GS56" s="64"/>
      <c r="GT56" s="64"/>
      <c r="GU56" s="64"/>
      <c r="GV56" s="64"/>
      <c r="GW56" s="64"/>
      <c r="GX56" s="64"/>
      <c r="GY56" s="64"/>
      <c r="GZ56" s="64"/>
      <c r="HA56" s="64"/>
      <c r="HB56" s="64"/>
      <c r="HC56" s="64"/>
      <c r="HD56" s="64"/>
      <c r="HE56" s="64"/>
      <c r="HF56" s="64"/>
      <c r="HG56" s="64"/>
      <c r="HH56" s="64"/>
      <c r="HI56" s="64"/>
      <c r="HJ56" s="64"/>
      <c r="HK56" s="64"/>
      <c r="HL56" s="64"/>
      <c r="HM56" s="64"/>
      <c r="HN56" s="64"/>
      <c r="HO56" s="64"/>
      <c r="HP56" s="64"/>
      <c r="HQ56" s="64"/>
      <c r="HR56" s="64"/>
      <c r="HS56" s="64"/>
      <c r="HT56" s="64"/>
      <c r="HU56" s="64"/>
      <c r="HV56" s="64"/>
      <c r="HW56" s="64"/>
      <c r="HX56" s="64"/>
      <c r="HY56" s="64"/>
      <c r="HZ56" s="64"/>
      <c r="IA56" s="64"/>
      <c r="IB56" s="64"/>
      <c r="IC56" s="64"/>
      <c r="ID56" s="64"/>
      <c r="IE56" s="64"/>
      <c r="IF56" s="64"/>
      <c r="IG56" s="64"/>
      <c r="IH56" s="64"/>
      <c r="II56" s="64"/>
      <c r="IJ56" s="64"/>
      <c r="IK56" s="64"/>
      <c r="IL56" s="64"/>
      <c r="IM56" s="64"/>
      <c r="IN56" s="64"/>
      <c r="IO56" s="64"/>
      <c r="IP56" s="64"/>
      <c r="IQ56" s="64"/>
      <c r="IR56" s="64"/>
      <c r="IS56" s="64"/>
      <c r="IT56" s="64"/>
      <c r="IU56" s="64"/>
      <c r="IV56" s="64"/>
      <c r="IW56" s="64"/>
      <c r="IX56" s="64"/>
      <c r="IY56" s="64"/>
      <c r="IZ56" s="64"/>
      <c r="JA56" s="64"/>
      <c r="JB56" s="64"/>
      <c r="JC56" s="64"/>
      <c r="JD56" s="64"/>
      <c r="JE56" s="64"/>
      <c r="JF56" s="64"/>
      <c r="JG56" s="64"/>
      <c r="JH56" s="64"/>
      <c r="JI56" s="64"/>
      <c r="JJ56" s="64"/>
      <c r="JK56" s="64"/>
      <c r="JL56" s="64"/>
      <c r="JM56" s="64"/>
      <c r="JN56" s="64"/>
      <c r="JO56" s="64"/>
      <c r="JP56" s="64"/>
      <c r="JQ56" s="64"/>
      <c r="JR56" s="64"/>
      <c r="JS56" s="64"/>
      <c r="JT56" s="64"/>
      <c r="JU56" s="64"/>
      <c r="JV56" s="64"/>
      <c r="JW56" s="64"/>
      <c r="JX56" s="64"/>
      <c r="JY56" s="64"/>
      <c r="JZ56" s="64"/>
      <c r="KA56" s="64"/>
      <c r="KB56" s="64"/>
      <c r="KC56" s="64"/>
      <c r="KD56" s="64"/>
      <c r="KE56" s="64"/>
      <c r="KF56" s="64"/>
      <c r="KG56" s="64"/>
      <c r="KH56" s="64"/>
      <c r="KI56" s="64"/>
      <c r="KJ56" s="64"/>
      <c r="KK56" s="64"/>
      <c r="KL56" s="64"/>
      <c r="KM56" s="64"/>
      <c r="KN56" s="64"/>
      <c r="KO56" s="64"/>
      <c r="KP56" s="64"/>
      <c r="KQ56" s="64"/>
      <c r="KR56" s="64"/>
      <c r="KS56" s="64"/>
      <c r="KT56" s="64"/>
      <c r="KU56" s="64"/>
      <c r="KV56" s="64"/>
      <c r="KW56" s="64"/>
      <c r="KX56" s="64"/>
      <c r="KY56" s="64"/>
      <c r="KZ56" s="64"/>
    </row>
    <row r="57" spans="1:336" s="102" customFormat="1" x14ac:dyDescent="0.3">
      <c r="A57" s="219" t="s">
        <v>1</v>
      </c>
      <c r="B57" s="210" t="s">
        <v>568</v>
      </c>
      <c r="C57" s="112">
        <f>'Input data fish and seafood'!E9</f>
        <v>0.5</v>
      </c>
      <c r="D57" s="269" t="s">
        <v>473</v>
      </c>
      <c r="E57" s="345">
        <f>IF($F$1="GWP100 without fb",E58+E59*'Common input data'!$C$5+E60*'Common input data'!$D$5+E61*'Common input data'!$E$5,IF($F$1="GWP100 with fb",E58+E59*'Common input data'!$C$6+E60*'Common input data'!$D$6+E61*'Common input data'!$E$6,IF($F$1="GTP100 without fb",E58+E59*'Common input data'!$C$7+E60*'Common input data'!$D$7+E61*'Common input data'!$E$7,IF($F$1="GTP100 with fb",E58+E59*'Common input data'!$C$8+E60*'Common input data'!$D$8+E61*'Common input data'!$E$8,E58+E59*'Common input data'!$C$9+E60*'Common input data'!$D$9+E61*'Common input data'!$E$9))))</f>
        <v>0</v>
      </c>
      <c r="F57" s="346">
        <f>IF($F$1="GWP100 without fb",F58+F59*'Common input data'!$C$5+F60*'Common input data'!$D$5+F61*'Common input data'!$E$5,IF($F$1="GWP100 with fb",F58+F59*'Common input data'!$C$6+F60*'Common input data'!$D$6+F61*'Common input data'!$E$6,IF($F$1="GTP100 without fb",F58+F59*'Common input data'!$C$7+F60*'Common input data'!$D$7+F61*'Common input data'!$E$7,IF($F$1="GTP100 with fb",F58+F59*'Common input data'!$C$8+F60*'Common input data'!$D$8+F61*'Common input data'!$E$8,F58+F59*'Common input data'!$C$9+F60*'Common input data'!$D$9+F61*'Common input data'!$E$9))))</f>
        <v>0.44443799999999989</v>
      </c>
      <c r="G57" s="347">
        <f>IF($F$1="GWP100 without fb",G58+G59*'Common input data'!$C$5+G60*'Common input data'!$D$5+G61*'Common input data'!$E$5,IF($F$1="GWP100 with fb",G58+G59*'Common input data'!$C$6+G60*'Common input data'!$D$6+G61*'Common input data'!$E$6,IF($F$1="GTP100 without fb",G58+G59*'Common input data'!$C$7+G60*'Common input data'!$D$7+G61*'Common input data'!$E$7,IF($F$1="GTP100 with fb",G58+G59*'Common input data'!$C$8+G60*'Common input data'!$D$8+G61*'Common input data'!$E$8,G58+G59*'Common input data'!$C$9+G60*'Common input data'!$D$9+G61*'Common input data'!$E$9))))</f>
        <v>1.3595885073959082</v>
      </c>
      <c r="H57" s="302"/>
      <c r="I57" s="104"/>
      <c r="J57" s="104"/>
      <c r="K57" s="223"/>
      <c r="L57" s="223"/>
      <c r="M57" s="223"/>
      <c r="N57" s="223"/>
      <c r="O57" s="223"/>
      <c r="P57" s="223"/>
      <c r="Q57" s="223"/>
      <c r="R57" s="223"/>
      <c r="S57" s="223"/>
      <c r="T57" s="331"/>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c r="EO57" s="64"/>
      <c r="EP57" s="64"/>
      <c r="EQ57" s="64"/>
      <c r="ER57" s="64"/>
      <c r="ES57" s="64"/>
      <c r="ET57" s="64"/>
      <c r="EU57" s="64"/>
      <c r="EV57" s="64"/>
      <c r="EW57" s="64"/>
      <c r="EX57" s="64"/>
      <c r="EY57" s="64"/>
      <c r="EZ57" s="64"/>
      <c r="FA57" s="64"/>
      <c r="FB57" s="64"/>
      <c r="FC57" s="64"/>
      <c r="FD57" s="64"/>
      <c r="FE57" s="64"/>
      <c r="FF57" s="64"/>
      <c r="FG57" s="64"/>
      <c r="FH57" s="64"/>
      <c r="FI57" s="64"/>
      <c r="FJ57" s="64"/>
      <c r="FK57" s="64"/>
      <c r="FL57" s="64"/>
      <c r="FM57" s="64"/>
      <c r="FN57" s="64"/>
      <c r="FO57" s="64"/>
      <c r="FP57" s="64"/>
      <c r="FQ57" s="64"/>
      <c r="FR57" s="64"/>
      <c r="FS57" s="64"/>
      <c r="FT57" s="64"/>
      <c r="FU57" s="64"/>
      <c r="FV57" s="64"/>
      <c r="FW57" s="64"/>
      <c r="FX57" s="64"/>
      <c r="FY57" s="64"/>
      <c r="FZ57" s="64"/>
      <c r="GA57" s="64"/>
      <c r="GB57" s="64"/>
      <c r="GC57" s="64"/>
      <c r="GD57" s="64"/>
      <c r="GE57" s="64"/>
      <c r="GF57" s="64"/>
      <c r="GG57" s="64"/>
      <c r="GH57" s="64"/>
      <c r="GI57" s="64"/>
      <c r="GJ57" s="64"/>
      <c r="GK57" s="64"/>
      <c r="GL57" s="64"/>
      <c r="GM57" s="64"/>
      <c r="GN57" s="64"/>
      <c r="GO57" s="64"/>
      <c r="GP57" s="64"/>
      <c r="GQ57" s="64"/>
      <c r="GR57" s="64"/>
      <c r="GS57" s="64"/>
      <c r="GT57" s="64"/>
      <c r="GU57" s="64"/>
      <c r="GV57" s="64"/>
      <c r="GW57" s="64"/>
      <c r="GX57" s="64"/>
      <c r="GY57" s="64"/>
      <c r="GZ57" s="64"/>
      <c r="HA57" s="64"/>
      <c r="HB57" s="64"/>
      <c r="HC57" s="64"/>
      <c r="HD57" s="64"/>
      <c r="HE57" s="64"/>
      <c r="HF57" s="64"/>
      <c r="HG57" s="64"/>
      <c r="HH57" s="64"/>
      <c r="HI57" s="64"/>
      <c r="HJ57" s="64"/>
      <c r="HK57" s="64"/>
      <c r="HL57" s="64"/>
      <c r="HM57" s="64"/>
      <c r="HN57" s="64"/>
      <c r="HO57" s="64"/>
      <c r="HP57" s="64"/>
      <c r="HQ57" s="64"/>
      <c r="HR57" s="64"/>
      <c r="HS57" s="64"/>
      <c r="HT57" s="64"/>
      <c r="HU57" s="64"/>
      <c r="HV57" s="64"/>
      <c r="HW57" s="64"/>
      <c r="HX57" s="64"/>
      <c r="HY57" s="64"/>
      <c r="HZ57" s="64"/>
      <c r="IA57" s="64"/>
      <c r="IB57" s="64"/>
      <c r="IC57" s="64"/>
      <c r="ID57" s="64"/>
      <c r="IE57" s="64"/>
      <c r="IF57" s="64"/>
      <c r="IG57" s="64"/>
      <c r="IH57" s="64"/>
      <c r="II57" s="64"/>
      <c r="IJ57" s="64"/>
      <c r="IK57" s="64"/>
      <c r="IL57" s="64"/>
      <c r="IM57" s="64"/>
      <c r="IN57" s="64"/>
      <c r="IO57" s="64"/>
      <c r="IP57" s="64"/>
      <c r="IQ57" s="64"/>
      <c r="IR57" s="64"/>
      <c r="IS57" s="64"/>
      <c r="IT57" s="64"/>
      <c r="IU57" s="64"/>
      <c r="IV57" s="64"/>
      <c r="IW57" s="64"/>
      <c r="IX57" s="64"/>
      <c r="IY57" s="64"/>
      <c r="IZ57" s="64"/>
      <c r="JA57" s="64"/>
      <c r="JB57" s="64"/>
      <c r="JC57" s="64"/>
      <c r="JD57" s="64"/>
      <c r="JE57" s="64"/>
      <c r="JF57" s="64"/>
      <c r="JG57" s="64"/>
      <c r="JH57" s="64"/>
      <c r="JI57" s="64"/>
      <c r="JJ57" s="64"/>
      <c r="JK57" s="64"/>
      <c r="JL57" s="64"/>
      <c r="JM57" s="64"/>
      <c r="JN57" s="64"/>
      <c r="JO57" s="64"/>
      <c r="JP57" s="64"/>
      <c r="JQ57" s="64"/>
      <c r="JR57" s="64"/>
      <c r="JS57" s="64"/>
      <c r="JT57" s="64"/>
      <c r="JU57" s="64"/>
      <c r="JV57" s="64"/>
      <c r="JW57" s="64"/>
      <c r="JX57" s="64"/>
      <c r="JY57" s="64"/>
      <c r="JZ57" s="64"/>
      <c r="KA57" s="64"/>
      <c r="KB57" s="64"/>
      <c r="KC57" s="64"/>
      <c r="KD57" s="64"/>
      <c r="KE57" s="64"/>
      <c r="KF57" s="64"/>
      <c r="KG57" s="64"/>
      <c r="KH57" s="64"/>
      <c r="KI57" s="64"/>
      <c r="KJ57" s="64"/>
      <c r="KK57" s="64"/>
      <c r="KL57" s="64"/>
      <c r="KM57" s="64"/>
      <c r="KN57" s="64"/>
      <c r="KO57" s="64"/>
      <c r="KP57" s="64"/>
      <c r="KQ57" s="64"/>
      <c r="KR57" s="64"/>
      <c r="KS57" s="64"/>
      <c r="KT57" s="64"/>
      <c r="KU57" s="64"/>
      <c r="KV57" s="64"/>
      <c r="KW57" s="64"/>
      <c r="KX57" s="64"/>
      <c r="KY57" s="64"/>
      <c r="KZ57" s="64"/>
    </row>
    <row r="58" spans="1:336" x14ac:dyDescent="0.3">
      <c r="A58" s="144"/>
      <c r="B58" s="84"/>
      <c r="C58" s="157"/>
      <c r="D58" s="83" t="s">
        <v>164</v>
      </c>
      <c r="E58" s="334">
        <f>IF(AND($F$2="No",$F$3="No"),SUM(J58),IF(AND($F$2="Yes", $F$3="No"), SUM(J58)+L58, IF(AND($F$2="No", $F$3="Yes"),SUM(J58)+K58, SUM(J58)+L58+K58)))</f>
        <v>0</v>
      </c>
      <c r="F58" s="88">
        <f>IF(AND($F$2="No",$F$3="No"),SUM(H58:J58,M58:P58),IF(AND($F$2="Yes", $F$3="No"), SUM(H58:J58,M58:P58)+L58, IF(AND($F$2="No", $F$3="Yes"),SUM(H58:J58,M58:P58)+K58, SUM(H58:J58,M58:P58)+L58+K58)))</f>
        <v>0.38707095821959547</v>
      </c>
      <c r="G58" s="259">
        <f>SUM(R58:T58)/(1-'Common input data'!B$125)</f>
        <v>1.2490941008441545</v>
      </c>
      <c r="H58" s="85">
        <v>0</v>
      </c>
      <c r="I58" s="85">
        <v>0</v>
      </c>
      <c r="J58" s="85">
        <v>0</v>
      </c>
      <c r="K58" s="85">
        <v>0</v>
      </c>
      <c r="L58" s="85">
        <v>0</v>
      </c>
      <c r="M58" s="85">
        <v>0</v>
      </c>
      <c r="N58" s="85">
        <v>0</v>
      </c>
      <c r="O58" s="85">
        <f>'Input data fish and seafood'!G9*'Input data fish and seafood'!B42</f>
        <v>0.38707095821959547</v>
      </c>
      <c r="P58" s="85">
        <v>0</v>
      </c>
      <c r="Q58" s="90">
        <f>'Input data fish and seafood'!B89*'Input data fish and seafood'!B95*'Common input data'!B63</f>
        <v>6.0139999999999999E-2</v>
      </c>
      <c r="R58" s="85">
        <f>(F58+Q58)/'Input data fish and seafood'!$H$9</f>
        <v>0.73313271839277938</v>
      </c>
      <c r="S58" s="85">
        <f>'Common input data'!B93</f>
        <v>0.3</v>
      </c>
      <c r="T58" s="207">
        <f>'Common input data'!C98</f>
        <v>0.03</v>
      </c>
    </row>
    <row r="59" spans="1:336" x14ac:dyDescent="0.3">
      <c r="A59" s="322"/>
      <c r="B59" s="38"/>
      <c r="C59" s="45"/>
      <c r="D59" s="83" t="s">
        <v>165</v>
      </c>
      <c r="E59" s="258">
        <v>0</v>
      </c>
      <c r="F59" s="88">
        <f>SUM(H59:J59,M59:P59)</f>
        <v>1.7145938257277392E-4</v>
      </c>
      <c r="G59" s="259">
        <f>SUM(R59:T59)/(1-'Common input data'!B$125)</f>
        <v>3.3024716173494812E-4</v>
      </c>
      <c r="H59" s="85">
        <v>0</v>
      </c>
      <c r="I59" s="85">
        <v>0</v>
      </c>
      <c r="J59" s="85">
        <v>0</v>
      </c>
      <c r="K59" s="85">
        <v>0</v>
      </c>
      <c r="L59" s="85">
        <v>0</v>
      </c>
      <c r="M59" s="85">
        <v>0</v>
      </c>
      <c r="N59" s="85">
        <v>0</v>
      </c>
      <c r="O59" s="85">
        <f>'Input data fish and seafood'!G9*'Input data fish and seafood'!B43</f>
        <v>1.7145938257277392E-4</v>
      </c>
      <c r="P59" s="85">
        <v>0</v>
      </c>
      <c r="Q59" s="90">
        <v>0</v>
      </c>
      <c r="R59" s="85">
        <f>(F59+Q59)/'Input data fish and seafood'!$H$9</f>
        <v>2.8108095503733428E-4</v>
      </c>
      <c r="S59" s="85">
        <v>0</v>
      </c>
      <c r="T59" s="207">
        <v>0</v>
      </c>
    </row>
    <row r="60" spans="1:336" s="102" customFormat="1" x14ac:dyDescent="0.3">
      <c r="A60" s="174"/>
      <c r="B60" s="206"/>
      <c r="C60" s="85"/>
      <c r="D60" s="84" t="s">
        <v>166</v>
      </c>
      <c r="E60" s="258">
        <v>0</v>
      </c>
      <c r="F60" s="88">
        <f>SUM(H60:J60,M60:P60)</f>
        <v>1.0400747560168267E-5</v>
      </c>
      <c r="G60" s="259">
        <f>SUM(R60:T60)/(1-'Common input data'!B$125)</f>
        <v>2.0032834074912111E-5</v>
      </c>
      <c r="H60" s="85">
        <v>0</v>
      </c>
      <c r="I60" s="85">
        <v>0</v>
      </c>
      <c r="J60" s="85">
        <v>0</v>
      </c>
      <c r="K60" s="85">
        <v>0</v>
      </c>
      <c r="L60" s="85">
        <v>0</v>
      </c>
      <c r="M60" s="85">
        <v>0</v>
      </c>
      <c r="N60" s="85">
        <v>0</v>
      </c>
      <c r="O60" s="85">
        <f>'Input data fish and seafood'!G9*'Input data fish and seafood'!B44</f>
        <v>1.0400747560168267E-5</v>
      </c>
      <c r="P60" s="85">
        <v>0</v>
      </c>
      <c r="Q60" s="90">
        <v>0</v>
      </c>
      <c r="R60" s="85">
        <f>(F60+Q60)/'Input data fish and seafood'!$H$9</f>
        <v>1.7050405836341422E-5</v>
      </c>
      <c r="S60" s="85">
        <v>0</v>
      </c>
      <c r="T60" s="207">
        <v>0</v>
      </c>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c r="GH60" s="64"/>
      <c r="GI60" s="64"/>
      <c r="GJ60" s="64"/>
      <c r="GK60" s="64"/>
      <c r="GL60" s="64"/>
      <c r="GM60" s="64"/>
      <c r="GN60" s="64"/>
      <c r="GO60" s="64"/>
      <c r="GP60" s="64"/>
      <c r="GQ60" s="64"/>
      <c r="GR60" s="64"/>
      <c r="GS60" s="64"/>
      <c r="GT60" s="64"/>
      <c r="GU60" s="64"/>
      <c r="GV60" s="64"/>
      <c r="GW60" s="64"/>
      <c r="GX60" s="64"/>
      <c r="GY60" s="64"/>
      <c r="GZ60" s="64"/>
      <c r="HA60" s="64"/>
      <c r="HB60" s="64"/>
      <c r="HC60" s="64"/>
      <c r="HD60" s="64"/>
      <c r="HE60" s="64"/>
      <c r="HF60" s="64"/>
      <c r="HG60" s="64"/>
      <c r="HH60" s="64"/>
      <c r="HI60" s="64"/>
      <c r="HJ60" s="64"/>
      <c r="HK60" s="64"/>
      <c r="HL60" s="64"/>
      <c r="HM60" s="64"/>
      <c r="HN60" s="64"/>
      <c r="HO60" s="64"/>
      <c r="HP60" s="64"/>
      <c r="HQ60" s="64"/>
      <c r="HR60" s="64"/>
      <c r="HS60" s="64"/>
      <c r="HT60" s="64"/>
      <c r="HU60" s="64"/>
      <c r="HV60" s="64"/>
      <c r="HW60" s="64"/>
      <c r="HX60" s="64"/>
      <c r="HY60" s="64"/>
      <c r="HZ60" s="64"/>
      <c r="IA60" s="64"/>
      <c r="IB60" s="64"/>
      <c r="IC60" s="64"/>
      <c r="ID60" s="64"/>
      <c r="IE60" s="64"/>
      <c r="IF60" s="64"/>
      <c r="IG60" s="64"/>
      <c r="IH60" s="64"/>
      <c r="II60" s="64"/>
      <c r="IJ60" s="64"/>
      <c r="IK60" s="64"/>
      <c r="IL60" s="64"/>
      <c r="IM60" s="64"/>
      <c r="IN60" s="64"/>
      <c r="IO60" s="64"/>
      <c r="IP60" s="64"/>
      <c r="IQ60" s="64"/>
      <c r="IR60" s="64"/>
      <c r="IS60" s="64"/>
      <c r="IT60" s="64"/>
      <c r="IU60" s="64"/>
      <c r="IV60" s="64"/>
      <c r="IW60" s="64"/>
      <c r="IX60" s="64"/>
      <c r="IY60" s="64"/>
      <c r="IZ60" s="64"/>
      <c r="JA60" s="64"/>
      <c r="JB60" s="64"/>
      <c r="JC60" s="64"/>
      <c r="JD60" s="64"/>
      <c r="JE60" s="64"/>
      <c r="JF60" s="64"/>
      <c r="JG60" s="64"/>
      <c r="JH60" s="64"/>
      <c r="JI60" s="64"/>
      <c r="JJ60" s="64"/>
      <c r="JK60" s="64"/>
      <c r="JL60" s="64"/>
      <c r="JM60" s="64"/>
      <c r="JN60" s="64"/>
      <c r="JO60" s="64"/>
      <c r="JP60" s="64"/>
      <c r="JQ60" s="64"/>
      <c r="JR60" s="64"/>
      <c r="JS60" s="64"/>
      <c r="JT60" s="64"/>
      <c r="JU60" s="64"/>
      <c r="JV60" s="64"/>
      <c r="JW60" s="64"/>
      <c r="JX60" s="64"/>
      <c r="JY60" s="64"/>
      <c r="JZ60" s="64"/>
      <c r="KA60" s="64"/>
      <c r="KB60" s="64"/>
      <c r="KC60" s="64"/>
      <c r="KD60" s="64"/>
      <c r="KE60" s="64"/>
      <c r="KF60" s="64"/>
      <c r="KG60" s="64"/>
      <c r="KH60" s="64"/>
      <c r="KI60" s="64"/>
      <c r="KJ60" s="64"/>
      <c r="KK60" s="64"/>
      <c r="KL60" s="64"/>
      <c r="KM60" s="64"/>
      <c r="KN60" s="64"/>
      <c r="KO60" s="64"/>
      <c r="KP60" s="64"/>
      <c r="KQ60" s="64"/>
      <c r="KR60" s="64"/>
      <c r="KS60" s="64"/>
      <c r="KT60" s="64"/>
      <c r="KU60" s="64"/>
      <c r="KV60" s="64"/>
      <c r="KW60" s="64"/>
      <c r="KX60" s="64"/>
      <c r="KY60" s="64"/>
      <c r="KZ60" s="64"/>
    </row>
    <row r="61" spans="1:336" s="102" customFormat="1" x14ac:dyDescent="0.3">
      <c r="A61" s="174"/>
      <c r="B61" s="206"/>
      <c r="C61" s="85"/>
      <c r="D61" s="84" t="s">
        <v>414</v>
      </c>
      <c r="E61" s="258">
        <v>0</v>
      </c>
      <c r="F61" s="88">
        <f>SUM(H61:J61,M61:P61)</f>
        <v>2.3E-5</v>
      </c>
      <c r="G61" s="259">
        <f>SUM(R61:T61)/(1-'Common input data'!B$125)</f>
        <v>4.4300198717208771E-5</v>
      </c>
      <c r="H61" s="85">
        <v>0</v>
      </c>
      <c r="I61" s="85">
        <v>0</v>
      </c>
      <c r="J61" s="85">
        <v>0</v>
      </c>
      <c r="K61" s="85">
        <v>0</v>
      </c>
      <c r="L61" s="85">
        <v>0</v>
      </c>
      <c r="M61" s="85">
        <v>0</v>
      </c>
      <c r="N61" s="85">
        <v>0</v>
      </c>
      <c r="O61" s="85">
        <v>0</v>
      </c>
      <c r="P61" s="85">
        <f>'Input data fish and seafood'!B49</f>
        <v>2.3E-5</v>
      </c>
      <c r="Q61" s="90">
        <v>0</v>
      </c>
      <c r="R61" s="85">
        <f>(F61+Q61)/'Input data fish and seafood'!$H$9</f>
        <v>3.7704918032786885E-5</v>
      </c>
      <c r="S61" s="85">
        <v>0</v>
      </c>
      <c r="T61" s="207">
        <v>0</v>
      </c>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c r="EO61" s="64"/>
      <c r="EP61" s="64"/>
      <c r="EQ61" s="64"/>
      <c r="ER61" s="64"/>
      <c r="ES61" s="64"/>
      <c r="ET61" s="64"/>
      <c r="EU61" s="64"/>
      <c r="EV61" s="64"/>
      <c r="EW61" s="64"/>
      <c r="EX61" s="64"/>
      <c r="EY61" s="64"/>
      <c r="EZ61" s="64"/>
      <c r="FA61" s="64"/>
      <c r="FB61" s="64"/>
      <c r="FC61" s="64"/>
      <c r="FD61" s="64"/>
      <c r="FE61" s="64"/>
      <c r="FF61" s="64"/>
      <c r="FG61" s="64"/>
      <c r="FH61" s="64"/>
      <c r="FI61" s="64"/>
      <c r="FJ61" s="64"/>
      <c r="FK61" s="64"/>
      <c r="FL61" s="64"/>
      <c r="FM61" s="64"/>
      <c r="FN61" s="64"/>
      <c r="FO61" s="64"/>
      <c r="FP61" s="64"/>
      <c r="FQ61" s="64"/>
      <c r="FR61" s="64"/>
      <c r="FS61" s="64"/>
      <c r="FT61" s="64"/>
      <c r="FU61" s="64"/>
      <c r="FV61" s="64"/>
      <c r="FW61" s="64"/>
      <c r="FX61" s="64"/>
      <c r="FY61" s="64"/>
      <c r="FZ61" s="64"/>
      <c r="GA61" s="64"/>
      <c r="GB61" s="64"/>
      <c r="GC61" s="64"/>
      <c r="GD61" s="64"/>
      <c r="GE61" s="64"/>
      <c r="GF61" s="64"/>
      <c r="GG61" s="64"/>
      <c r="GH61" s="64"/>
      <c r="GI61" s="64"/>
      <c r="GJ61" s="64"/>
      <c r="GK61" s="64"/>
      <c r="GL61" s="64"/>
      <c r="GM61" s="64"/>
      <c r="GN61" s="64"/>
      <c r="GO61" s="64"/>
      <c r="GP61" s="64"/>
      <c r="GQ61" s="64"/>
      <c r="GR61" s="64"/>
      <c r="GS61" s="64"/>
      <c r="GT61" s="64"/>
      <c r="GU61" s="64"/>
      <c r="GV61" s="64"/>
      <c r="GW61" s="64"/>
      <c r="GX61" s="64"/>
      <c r="GY61" s="64"/>
      <c r="GZ61" s="64"/>
      <c r="HA61" s="64"/>
      <c r="HB61" s="64"/>
      <c r="HC61" s="64"/>
      <c r="HD61" s="64"/>
      <c r="HE61" s="64"/>
      <c r="HF61" s="64"/>
      <c r="HG61" s="64"/>
      <c r="HH61" s="64"/>
      <c r="HI61" s="64"/>
      <c r="HJ61" s="64"/>
      <c r="HK61" s="64"/>
      <c r="HL61" s="64"/>
      <c r="HM61" s="64"/>
      <c r="HN61" s="64"/>
      <c r="HO61" s="64"/>
      <c r="HP61" s="64"/>
      <c r="HQ61" s="64"/>
      <c r="HR61" s="64"/>
      <c r="HS61" s="64"/>
      <c r="HT61" s="64"/>
      <c r="HU61" s="64"/>
      <c r="HV61" s="64"/>
      <c r="HW61" s="64"/>
      <c r="HX61" s="64"/>
      <c r="HY61" s="64"/>
      <c r="HZ61" s="64"/>
      <c r="IA61" s="64"/>
      <c r="IB61" s="64"/>
      <c r="IC61" s="64"/>
      <c r="ID61" s="64"/>
      <c r="IE61" s="64"/>
      <c r="IF61" s="64"/>
      <c r="IG61" s="64"/>
      <c r="IH61" s="64"/>
      <c r="II61" s="64"/>
      <c r="IJ61" s="64"/>
      <c r="IK61" s="64"/>
      <c r="IL61" s="64"/>
      <c r="IM61" s="64"/>
      <c r="IN61" s="64"/>
      <c r="IO61" s="64"/>
      <c r="IP61" s="64"/>
      <c r="IQ61" s="64"/>
      <c r="IR61" s="64"/>
      <c r="IS61" s="64"/>
      <c r="IT61" s="64"/>
      <c r="IU61" s="64"/>
      <c r="IV61" s="64"/>
      <c r="IW61" s="64"/>
      <c r="IX61" s="64"/>
      <c r="IY61" s="64"/>
      <c r="IZ61" s="64"/>
      <c r="JA61" s="64"/>
      <c r="JB61" s="64"/>
      <c r="JC61" s="64"/>
      <c r="JD61" s="64"/>
      <c r="JE61" s="64"/>
      <c r="JF61" s="64"/>
      <c r="JG61" s="64"/>
      <c r="JH61" s="64"/>
      <c r="JI61" s="64"/>
      <c r="JJ61" s="64"/>
      <c r="JK61" s="64"/>
      <c r="JL61" s="64"/>
      <c r="JM61" s="64"/>
      <c r="JN61" s="64"/>
      <c r="JO61" s="64"/>
      <c r="JP61" s="64"/>
      <c r="JQ61" s="64"/>
      <c r="JR61" s="64"/>
      <c r="JS61" s="64"/>
      <c r="JT61" s="64"/>
      <c r="JU61" s="64"/>
      <c r="JV61" s="64"/>
      <c r="JW61" s="64"/>
      <c r="JX61" s="64"/>
      <c r="JY61" s="64"/>
      <c r="JZ61" s="64"/>
      <c r="KA61" s="64"/>
      <c r="KB61" s="64"/>
      <c r="KC61" s="64"/>
      <c r="KD61" s="64"/>
      <c r="KE61" s="64"/>
      <c r="KF61" s="64"/>
      <c r="KG61" s="64"/>
      <c r="KH61" s="64"/>
      <c r="KI61" s="64"/>
      <c r="KJ61" s="64"/>
      <c r="KK61" s="64"/>
      <c r="KL61" s="64"/>
      <c r="KM61" s="64"/>
      <c r="KN61" s="64"/>
      <c r="KO61" s="64"/>
      <c r="KP61" s="64"/>
      <c r="KQ61" s="64"/>
      <c r="KR61" s="64"/>
      <c r="KS61" s="64"/>
      <c r="KT61" s="64"/>
      <c r="KU61" s="64"/>
      <c r="KV61" s="64"/>
      <c r="KW61" s="64"/>
      <c r="KX61" s="64"/>
      <c r="KY61" s="64"/>
      <c r="KZ61" s="64"/>
      <c r="LA61" s="64"/>
      <c r="LB61" s="64"/>
      <c r="LC61" s="64"/>
      <c r="LD61" s="64"/>
      <c r="LE61" s="64"/>
      <c r="LF61" s="64"/>
      <c r="LG61" s="64"/>
      <c r="LH61" s="64"/>
      <c r="LI61" s="64"/>
      <c r="LJ61" s="64"/>
      <c r="LK61" s="64"/>
      <c r="LL61" s="64"/>
      <c r="LM61" s="64"/>
      <c r="LN61" s="64"/>
      <c r="LO61" s="64"/>
      <c r="LP61" s="64"/>
      <c r="LQ61" s="64"/>
      <c r="LR61" s="64"/>
      <c r="LS61" s="64"/>
      <c r="LT61" s="64"/>
      <c r="LU61" s="64"/>
      <c r="LV61" s="64"/>
      <c r="LW61" s="64"/>
      <c r="LX61" s="64"/>
    </row>
    <row r="62" spans="1:336" s="102" customFormat="1" x14ac:dyDescent="0.3">
      <c r="A62" s="219" t="s">
        <v>1</v>
      </c>
      <c r="B62" s="210" t="s">
        <v>569</v>
      </c>
      <c r="C62" s="112">
        <f>'Input data fish and seafood'!E10</f>
        <v>0.5</v>
      </c>
      <c r="D62" s="269" t="s">
        <v>473</v>
      </c>
      <c r="E62" s="345">
        <f>IF($F$1="GWP100 without fb",E63+E64*'Common input data'!$C$5+E65*'Common input data'!$D$5+E66*'Common input data'!$E$5,IF($F$1="GWP100 with fb",E63+E64*'Common input data'!$C$6+E65*'Common input data'!$D$6+E66*'Common input data'!$E$6,IF($F$1="GTP100 without fb",E63+E64*'Common input data'!$C$7+E65*'Common input data'!$D$7+E66*'Common input data'!$E$7,IF($F$1="GTP100 with fb",E63+E64*'Common input data'!$C$8+E65*'Common input data'!$D$8+E66*'Common input data'!$E$8,E63+E64*'Common input data'!$C$9+E65*'Common input data'!$D$9+E66*'Common input data'!$E$9))))</f>
        <v>0</v>
      </c>
      <c r="F62" s="346">
        <f>IF($F$1="GWP100 without fb",F63+F64*'Common input data'!$C$5+F65*'Common input data'!$D$5+F66*'Common input data'!$E$5,IF($F$1="GWP100 with fb",F63+F64*'Common input data'!$C$6+F65*'Common input data'!$D$6+F66*'Common input data'!$E$6,IF($F$1="GTP100 without fb",F63+F64*'Common input data'!$C$7+F65*'Common input data'!$D$7+F66*'Common input data'!$E$7,IF($F$1="GTP100 with fb",F63+F64*'Common input data'!$C$8+F65*'Common input data'!$D$8+F66*'Common input data'!$E$8,F63+F64*'Common input data'!$C$9+F65*'Common input data'!$D$9+F66*'Common input data'!$E$9))))</f>
        <v>0.21343799999999999</v>
      </c>
      <c r="G62" s="347">
        <f>IF($F$1="GWP100 without fb",G63+G64*'Common input data'!$C$5+G65*'Common input data'!$D$5+G66*'Common input data'!$E$5,IF($F$1="GWP100 with fb",G63+G64*'Common input data'!$C$6+G65*'Common input data'!$D$6+G66*'Common input data'!$E$6,IF($F$1="GTP100 without fb",G63+G64*'Common input data'!$C$7+G65*'Common input data'!$D$7+G66*'Common input data'!$E$7,IF($F$1="GTP100 with fb",G63+G64*'Common input data'!$C$8+G65*'Common input data'!$D$8+G66*'Common input data'!$E$8,G63+G64*'Common input data'!$C$9+G65*'Common input data'!$D$9+G66*'Common input data'!$E$9))))</f>
        <v>0.91466042462742048</v>
      </c>
      <c r="H62" s="302"/>
      <c r="I62" s="104"/>
      <c r="J62" s="104"/>
      <c r="K62" s="223"/>
      <c r="L62" s="223"/>
      <c r="M62" s="223"/>
      <c r="N62" s="223"/>
      <c r="O62" s="223"/>
      <c r="P62" s="223"/>
      <c r="Q62" s="223"/>
      <c r="R62" s="223"/>
      <c r="S62" s="223"/>
      <c r="T62" s="331"/>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c r="IW62" s="64"/>
      <c r="IX62" s="64"/>
      <c r="IY62" s="64"/>
      <c r="IZ62" s="64"/>
      <c r="JA62" s="64"/>
      <c r="JB62" s="64"/>
      <c r="JC62" s="64"/>
      <c r="JD62" s="64"/>
      <c r="JE62" s="64"/>
      <c r="JF62" s="64"/>
      <c r="JG62" s="64"/>
      <c r="JH62" s="64"/>
      <c r="JI62" s="64"/>
      <c r="JJ62" s="64"/>
      <c r="JK62" s="64"/>
      <c r="JL62" s="64"/>
      <c r="JM62" s="64"/>
      <c r="JN62" s="64"/>
      <c r="JO62" s="64"/>
      <c r="JP62" s="64"/>
      <c r="JQ62" s="64"/>
      <c r="JR62" s="64"/>
      <c r="JS62" s="64"/>
      <c r="JT62" s="64"/>
      <c r="JU62" s="64"/>
      <c r="JV62" s="64"/>
      <c r="JW62" s="64"/>
      <c r="JX62" s="64"/>
      <c r="JY62" s="64"/>
      <c r="JZ62" s="64"/>
      <c r="KA62" s="64"/>
      <c r="KB62" s="64"/>
      <c r="KC62" s="64"/>
      <c r="KD62" s="64"/>
      <c r="KE62" s="64"/>
      <c r="KF62" s="64"/>
      <c r="KG62" s="64"/>
      <c r="KH62" s="64"/>
      <c r="KI62" s="64"/>
      <c r="KJ62" s="64"/>
      <c r="KK62" s="64"/>
      <c r="KL62" s="64"/>
      <c r="KM62" s="64"/>
      <c r="KN62" s="64"/>
      <c r="KO62" s="64"/>
      <c r="KP62" s="64"/>
      <c r="KQ62" s="64"/>
      <c r="KR62" s="64"/>
      <c r="KS62" s="64"/>
      <c r="KT62" s="64"/>
      <c r="KU62" s="64"/>
      <c r="KV62" s="64"/>
      <c r="KW62" s="64"/>
      <c r="KX62" s="64"/>
      <c r="KY62" s="64"/>
      <c r="KZ62" s="64"/>
    </row>
    <row r="63" spans="1:336" x14ac:dyDescent="0.3">
      <c r="A63" s="144"/>
      <c r="B63" s="84"/>
      <c r="C63" s="157"/>
      <c r="D63" s="83" t="s">
        <v>164</v>
      </c>
      <c r="E63" s="334">
        <f>IF(AND($F$2="No",$F$3="No"),SUM(J63),IF(AND($F$2="Yes", $F$3="No"), SUM(J63)+L63, IF(AND($F$2="No", $F$3="Yes"),SUM(J63)+K63, SUM(J63)+L63+K63)))</f>
        <v>0</v>
      </c>
      <c r="F63" s="88">
        <f>IF(AND($F$2="No",$F$3="No"),SUM(H63:J63,M63:P63),IF(AND($F$2="Yes", $F$3="No"), SUM(H63:J63,M63:P63)+L63, IF(AND($F$2="No", $F$3="Yes"),SUM(H63:J63,M63:P63)+K63, SUM(H63:J63,M63:P63)+L63+K63)))</f>
        <v>0.16127956592483148</v>
      </c>
      <c r="G63" s="259">
        <f>SUM(R63:T63)/(1-'Common input data'!B$125)</f>
        <v>0.81419829444009872</v>
      </c>
      <c r="H63" s="85">
        <v>0</v>
      </c>
      <c r="I63" s="85">
        <v>0</v>
      </c>
      <c r="J63" s="85">
        <v>0</v>
      </c>
      <c r="K63" s="85">
        <v>0</v>
      </c>
      <c r="L63" s="85">
        <v>0</v>
      </c>
      <c r="M63" s="85">
        <v>0</v>
      </c>
      <c r="N63" s="85">
        <v>0</v>
      </c>
      <c r="O63" s="213">
        <f>'Input data fish and seafood'!G10*'Input data fish and seafood'!B42</f>
        <v>0.16127956592483148</v>
      </c>
      <c r="P63" s="85">
        <v>0</v>
      </c>
      <c r="Q63" s="90">
        <f>'Input data fish and seafood'!B89*'Input data fish and seafood'!B95*'Common input data'!B63</f>
        <v>6.0139999999999999E-2</v>
      </c>
      <c r="R63" s="85">
        <f>(F63+Q63)/'Input data fish and seafood'!$H$10</f>
        <v>0.36298289495874014</v>
      </c>
      <c r="S63" s="90">
        <f>'Common input data'!B93</f>
        <v>0.3</v>
      </c>
      <c r="T63" s="207">
        <f>'Common input data'!C98</f>
        <v>0.03</v>
      </c>
    </row>
    <row r="64" spans="1:336" x14ac:dyDescent="0.3">
      <c r="A64" s="144"/>
      <c r="B64" s="84"/>
      <c r="C64" s="84"/>
      <c r="D64" s="83" t="s">
        <v>165</v>
      </c>
      <c r="E64" s="258">
        <v>0</v>
      </c>
      <c r="F64" s="88">
        <f>SUM(H64:J64,M64:P64)</f>
        <v>7.1441409405322465E-5</v>
      </c>
      <c r="G64" s="259">
        <f>SUM(R64:T64)/(1-'Common input data'!B$125)</f>
        <v>1.3760298405622839E-4</v>
      </c>
      <c r="H64" s="85">
        <v>0</v>
      </c>
      <c r="I64" s="85">
        <v>0</v>
      </c>
      <c r="J64" s="85">
        <v>0</v>
      </c>
      <c r="K64" s="85">
        <v>0</v>
      </c>
      <c r="L64" s="85">
        <v>0</v>
      </c>
      <c r="M64" s="85">
        <v>0</v>
      </c>
      <c r="N64" s="85">
        <v>0</v>
      </c>
      <c r="O64" s="212">
        <f>'Input data fish and seafood'!G10*'Input data fish and seafood'!B43</f>
        <v>7.1441409405322465E-5</v>
      </c>
      <c r="P64" s="85">
        <v>0</v>
      </c>
      <c r="Q64" s="90">
        <v>0</v>
      </c>
      <c r="R64" s="85">
        <f>(F64+Q64)/'Input data fish and seafood'!$H$10</f>
        <v>1.1711706459888929E-4</v>
      </c>
      <c r="S64" s="90">
        <v>0</v>
      </c>
      <c r="T64" s="207">
        <v>0</v>
      </c>
    </row>
    <row r="65" spans="1:312" x14ac:dyDescent="0.3">
      <c r="A65" s="144"/>
      <c r="B65" s="84"/>
      <c r="C65" s="85"/>
      <c r="D65" s="84" t="s">
        <v>166</v>
      </c>
      <c r="E65" s="258">
        <v>0</v>
      </c>
      <c r="F65" s="88">
        <f>SUM(H65:J65,M65:P65)</f>
        <v>4.3336448167367783E-6</v>
      </c>
      <c r="G65" s="259">
        <f>SUM(R65:T65)/(1-'Common input data'!B$125)</f>
        <v>8.3470141978800473E-6</v>
      </c>
      <c r="H65" s="85">
        <v>0</v>
      </c>
      <c r="I65" s="85">
        <v>0</v>
      </c>
      <c r="J65" s="85">
        <v>0</v>
      </c>
      <c r="K65" s="85">
        <v>0</v>
      </c>
      <c r="L65" s="85">
        <v>0</v>
      </c>
      <c r="M65" s="85">
        <v>0</v>
      </c>
      <c r="N65" s="85">
        <v>0</v>
      </c>
      <c r="O65" s="85">
        <f>'Input data fish and seafood'!G10*'Input data fish and seafood'!B44</f>
        <v>4.3336448167367783E-6</v>
      </c>
      <c r="P65" s="85">
        <v>0</v>
      </c>
      <c r="Q65" s="221">
        <v>0</v>
      </c>
      <c r="R65" s="85">
        <f>(F65+Q65)/'Input data fish and seafood'!$H$10</f>
        <v>7.10433576514226E-6</v>
      </c>
      <c r="S65" s="94">
        <v>0</v>
      </c>
      <c r="T65" s="207">
        <v>0</v>
      </c>
    </row>
    <row r="66" spans="1:312" x14ac:dyDescent="0.3">
      <c r="A66" s="144"/>
      <c r="B66" s="84"/>
      <c r="C66" s="85"/>
      <c r="D66" s="84" t="s">
        <v>414</v>
      </c>
      <c r="E66" s="771">
        <v>0</v>
      </c>
      <c r="F66" s="105">
        <f>SUM(H66:J66,M66:P66)</f>
        <v>2.3E-5</v>
      </c>
      <c r="G66" s="790">
        <f>SUM(R66:T66)/(1-'Common input data'!B$125)</f>
        <v>4.4300198717208771E-5</v>
      </c>
      <c r="H66" s="85">
        <v>0</v>
      </c>
      <c r="I66" s="85">
        <v>0</v>
      </c>
      <c r="J66" s="85">
        <v>0</v>
      </c>
      <c r="K66" s="85">
        <v>0</v>
      </c>
      <c r="L66" s="85">
        <v>0</v>
      </c>
      <c r="M66" s="85">
        <v>0</v>
      </c>
      <c r="N66" s="85">
        <v>0</v>
      </c>
      <c r="O66" s="85">
        <v>0</v>
      </c>
      <c r="P66" s="85">
        <f>'Input data fish and seafood'!B49</f>
        <v>2.3E-5</v>
      </c>
      <c r="Q66" s="90">
        <v>0</v>
      </c>
      <c r="R66" s="85">
        <f>(F66+Q66)/'Input data fish and seafood'!$H$10</f>
        <v>3.7704918032786885E-5</v>
      </c>
      <c r="S66" s="90">
        <v>0</v>
      </c>
      <c r="T66" s="207">
        <v>0</v>
      </c>
    </row>
    <row r="67" spans="1:312" x14ac:dyDescent="0.3">
      <c r="A67" s="311" t="s">
        <v>587</v>
      </c>
      <c r="B67" s="312"/>
      <c r="C67" s="313"/>
      <c r="D67" s="314"/>
      <c r="E67" s="767" t="s">
        <v>802</v>
      </c>
      <c r="F67" s="768" t="s">
        <v>802</v>
      </c>
      <c r="G67" s="590" t="s">
        <v>790</v>
      </c>
      <c r="H67" s="313"/>
      <c r="I67" s="313"/>
      <c r="J67" s="313"/>
      <c r="K67" s="316"/>
      <c r="L67" s="316"/>
      <c r="M67" s="317"/>
      <c r="N67" s="316"/>
      <c r="O67" s="316"/>
      <c r="P67" s="316"/>
      <c r="Q67" s="316"/>
      <c r="R67" s="316"/>
      <c r="S67" s="316"/>
      <c r="T67" s="318"/>
    </row>
    <row r="68" spans="1:312" s="241" customFormat="1" x14ac:dyDescent="0.3">
      <c r="A68" s="139" t="s">
        <v>260</v>
      </c>
      <c r="B68" s="146"/>
      <c r="C68" s="136">
        <f>SUM(C73:C87)</f>
        <v>1</v>
      </c>
      <c r="D68" s="325" t="s">
        <v>473</v>
      </c>
      <c r="E68" s="784">
        <f>IF($F$1="GWP100 without fb",E69+E70*'Common input data'!$C$5+E71*'Common input data'!$D$5+E72*'Common input data'!$E$5,IF($F$1="GWP100 with fb",E69+E70*'Common input data'!$C$6+E71*'Common input data'!$D$6+E72*'Common input data'!$E$6,IF($F$1="GTP100 without fb",E69+E70*'Common input data'!$C$7+E71*'Common input data'!$D$7+E72*'Common input data'!$E$7,IF($F$1="GTP100 with fb",E69+E70*'Common input data'!$C$8+E71*'Common input data'!$D$8+E72*'Common input data'!$E$8,E69+E70*'Common input data'!$C$9+E71*'Common input data'!$D$9+E72*'Common input data'!$E$9))))</f>
        <v>0</v>
      </c>
      <c r="F68" s="782">
        <f>IF($F$1="GWP100 without fb",F69+F70*'Common input data'!$C$5+F71*'Common input data'!$D$5+F72*'Common input data'!$E$5,IF($F$1="GWP100 with fb",F69+F70*'Common input data'!$C$6+F71*'Common input data'!$D$6+F72*'Common input data'!$E$6,IF($F$1="GTP100 without fb",F69+F70*'Common input data'!$C$7+F71*'Common input data'!$D$7+F72*'Common input data'!$E$7,IF($F$1="GTP100 with fb",F69+F70*'Common input data'!$C$8+F71*'Common input data'!$D$8+F72*'Common input data'!$E$8,F69+F70*'Common input data'!$C$9+F71*'Common input data'!$D$9+F72*'Common input data'!$E$9))))</f>
        <v>0.19627800000000001</v>
      </c>
      <c r="G68" s="785">
        <f>IF($F$1="GWP100 without fb",G69+G70*'Common input data'!$C$5+G71*'Common input data'!$D$5+G72*'Common input data'!$E$5,IF($F$1="GWP100 with fb",G69+G70*'Common input data'!$C$6+G71*'Common input data'!$D$6+G72*'Common input data'!$E$6,IF($F$1="GTP100 without fb",G69+G70*'Common input data'!$C$7+G71*'Common input data'!$D$7+G72*'Common input data'!$E$7,IF($F$1="GTP100 with fb",G69+G70*'Common input data'!$C$8+G71*'Common input data'!$D$8+G72*'Common input data'!$E$8,G69+G70*'Common input data'!$C$9+G71*'Common input data'!$D$9+G72*'Common input data'!$E$9))))</f>
        <v>1.035272145654893</v>
      </c>
      <c r="H68" s="326"/>
      <c r="I68" s="327"/>
      <c r="J68" s="327"/>
      <c r="K68" s="328"/>
      <c r="L68" s="328"/>
      <c r="M68" s="329"/>
      <c r="N68" s="328"/>
      <c r="O68" s="328"/>
      <c r="P68" s="328"/>
      <c r="Q68" s="328"/>
      <c r="R68" s="328"/>
      <c r="S68" s="328"/>
      <c r="T68" s="330"/>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c r="IH68" s="64"/>
      <c r="II68" s="64"/>
      <c r="IJ68" s="64"/>
      <c r="IK68" s="64"/>
      <c r="IL68" s="64"/>
      <c r="IM68" s="64"/>
      <c r="IN68" s="64"/>
      <c r="IO68" s="64"/>
      <c r="IP68" s="64"/>
      <c r="IQ68" s="64"/>
      <c r="IR68" s="64"/>
      <c r="IS68" s="64"/>
      <c r="IT68" s="64"/>
      <c r="IU68" s="64"/>
      <c r="IV68" s="64"/>
      <c r="IW68" s="64"/>
      <c r="IX68" s="64"/>
      <c r="IY68" s="64"/>
      <c r="IZ68" s="64"/>
      <c r="JA68" s="64"/>
      <c r="JB68" s="64"/>
      <c r="JC68" s="64"/>
      <c r="JD68" s="64"/>
      <c r="JE68" s="64"/>
      <c r="JF68" s="64"/>
      <c r="JG68" s="64"/>
      <c r="JH68" s="64"/>
      <c r="JI68" s="64"/>
      <c r="JJ68" s="64"/>
      <c r="JK68" s="64"/>
      <c r="JL68" s="64"/>
      <c r="JM68" s="64"/>
      <c r="JN68" s="64"/>
      <c r="JO68" s="64"/>
      <c r="JP68" s="64"/>
      <c r="JQ68" s="64"/>
      <c r="JR68" s="64"/>
      <c r="JS68" s="64"/>
      <c r="JT68" s="64"/>
      <c r="JU68" s="64"/>
      <c r="JV68" s="64"/>
      <c r="JW68" s="64"/>
      <c r="JX68" s="64"/>
      <c r="JY68" s="64"/>
      <c r="JZ68" s="64"/>
      <c r="KA68" s="64"/>
      <c r="KB68" s="64"/>
      <c r="KC68" s="64"/>
      <c r="KD68" s="64"/>
      <c r="KE68" s="64"/>
      <c r="KF68" s="64"/>
      <c r="KG68" s="64"/>
      <c r="KH68" s="64"/>
      <c r="KI68" s="64"/>
      <c r="KJ68" s="64"/>
      <c r="KK68" s="64"/>
      <c r="KL68" s="64"/>
      <c r="KM68" s="64"/>
      <c r="KN68" s="64"/>
      <c r="KO68" s="64"/>
      <c r="KP68" s="64"/>
      <c r="KQ68" s="64"/>
      <c r="KR68" s="64"/>
      <c r="KS68" s="64"/>
      <c r="KT68" s="64"/>
      <c r="KU68" s="64"/>
      <c r="KV68" s="64"/>
      <c r="KW68" s="64"/>
      <c r="KX68" s="64"/>
      <c r="KY68" s="64"/>
      <c r="KZ68" s="64"/>
    </row>
    <row r="69" spans="1:312" x14ac:dyDescent="0.3">
      <c r="A69" s="155"/>
      <c r="B69" s="157"/>
      <c r="C69" s="157"/>
      <c r="D69" s="83" t="s">
        <v>164</v>
      </c>
      <c r="E69" s="258">
        <f>$C$73*E74+$C$78*E79+$C$83*E84</f>
        <v>0</v>
      </c>
      <c r="F69" s="85">
        <f t="shared" ref="F69:G72" si="15">$C$73*F74+$C$78*F79+$C$83*F84</f>
        <v>0.14450649106864899</v>
      </c>
      <c r="G69" s="259">
        <f t="shared" si="15"/>
        <v>0.93555527028321483</v>
      </c>
      <c r="H69" s="85">
        <f t="shared" ref="H69:T69" si="16">$C$73*H74+$C$78*H79+$C$83*H84</f>
        <v>0</v>
      </c>
      <c r="I69" s="85">
        <f t="shared" si="16"/>
        <v>0</v>
      </c>
      <c r="J69" s="85">
        <f t="shared" si="16"/>
        <v>0</v>
      </c>
      <c r="K69" s="85">
        <f t="shared" si="16"/>
        <v>0</v>
      </c>
      <c r="L69" s="85">
        <f t="shared" si="16"/>
        <v>0</v>
      </c>
      <c r="M69" s="85">
        <f t="shared" si="16"/>
        <v>0</v>
      </c>
      <c r="N69" s="85">
        <f t="shared" si="16"/>
        <v>0</v>
      </c>
      <c r="O69" s="85">
        <f t="shared" si="16"/>
        <v>0.14450649106864899</v>
      </c>
      <c r="P69" s="85">
        <f t="shared" si="16"/>
        <v>0</v>
      </c>
      <c r="Q69" s="85">
        <f t="shared" si="16"/>
        <v>8.8374800000000003E-2</v>
      </c>
      <c r="R69" s="85">
        <f t="shared" si="16"/>
        <v>0.38177260830926063</v>
      </c>
      <c r="S69" s="85">
        <f t="shared" si="16"/>
        <v>0.30000000000000004</v>
      </c>
      <c r="T69" s="207">
        <f t="shared" si="16"/>
        <v>0.11450000000000002</v>
      </c>
    </row>
    <row r="70" spans="1:312" x14ac:dyDescent="0.3">
      <c r="A70" s="141"/>
      <c r="B70" s="243"/>
      <c r="C70" s="142"/>
      <c r="D70" s="83" t="s">
        <v>165</v>
      </c>
      <c r="E70" s="258">
        <f>$C$73*E75+$C$78*E80+$C$83*E85</f>
        <v>0</v>
      </c>
      <c r="F70" s="85">
        <f t="shared" si="15"/>
        <v>6.4011502827168934E-5</v>
      </c>
      <c r="G70" s="259">
        <f t="shared" si="15"/>
        <v>1.2329227371438064E-4</v>
      </c>
      <c r="H70" s="85">
        <f t="shared" ref="H70:T70" si="17">$C$73*H75+$C$78*H80+$C$83*H85</f>
        <v>0</v>
      </c>
      <c r="I70" s="85">
        <f t="shared" si="17"/>
        <v>0</v>
      </c>
      <c r="J70" s="85">
        <f t="shared" si="17"/>
        <v>0</v>
      </c>
      <c r="K70" s="85">
        <f t="shared" si="17"/>
        <v>0</v>
      </c>
      <c r="L70" s="85">
        <f t="shared" si="17"/>
        <v>0</v>
      </c>
      <c r="M70" s="85">
        <f t="shared" si="17"/>
        <v>0</v>
      </c>
      <c r="N70" s="85">
        <f t="shared" si="17"/>
        <v>0</v>
      </c>
      <c r="O70" s="85">
        <f t="shared" si="17"/>
        <v>6.4011502827168934E-5</v>
      </c>
      <c r="P70" s="85">
        <f t="shared" si="17"/>
        <v>0</v>
      </c>
      <c r="Q70" s="85">
        <f t="shared" si="17"/>
        <v>0</v>
      </c>
      <c r="R70" s="85">
        <f t="shared" si="17"/>
        <v>1.049368898806048E-4</v>
      </c>
      <c r="S70" s="85">
        <f t="shared" si="17"/>
        <v>0</v>
      </c>
      <c r="T70" s="207">
        <f t="shared" si="17"/>
        <v>0</v>
      </c>
    </row>
    <row r="71" spans="1:312" x14ac:dyDescent="0.3">
      <c r="A71" s="141"/>
      <c r="B71" s="243"/>
      <c r="C71" s="85"/>
      <c r="D71" s="84" t="s">
        <v>166</v>
      </c>
      <c r="E71" s="258">
        <f>$C$73*E76+$C$78*E81+$C$83*E86</f>
        <v>0</v>
      </c>
      <c r="F71" s="85">
        <f t="shared" si="15"/>
        <v>3.8829457557961531E-6</v>
      </c>
      <c r="G71" s="259">
        <f t="shared" si="15"/>
        <v>7.4789247213005212E-6</v>
      </c>
      <c r="H71" s="85">
        <f t="shared" ref="H71:T71" si="18">$C$73*H76+$C$78*H81+$C$83*H86</f>
        <v>0</v>
      </c>
      <c r="I71" s="85">
        <f t="shared" si="18"/>
        <v>0</v>
      </c>
      <c r="J71" s="85">
        <f t="shared" si="18"/>
        <v>0</v>
      </c>
      <c r="K71" s="85">
        <f t="shared" si="18"/>
        <v>0</v>
      </c>
      <c r="L71" s="85">
        <f t="shared" si="18"/>
        <v>0</v>
      </c>
      <c r="M71" s="85">
        <f t="shared" si="18"/>
        <v>0</v>
      </c>
      <c r="N71" s="85">
        <f t="shared" si="18"/>
        <v>0</v>
      </c>
      <c r="O71" s="85">
        <f t="shared" si="18"/>
        <v>3.8829457557961531E-6</v>
      </c>
      <c r="P71" s="85">
        <f t="shared" si="18"/>
        <v>0</v>
      </c>
      <c r="Q71" s="85">
        <f t="shared" si="18"/>
        <v>0</v>
      </c>
      <c r="R71" s="85">
        <f t="shared" si="18"/>
        <v>6.3654848455674649E-6</v>
      </c>
      <c r="S71" s="85">
        <f t="shared" si="18"/>
        <v>0</v>
      </c>
      <c r="T71" s="207">
        <f t="shared" si="18"/>
        <v>0</v>
      </c>
    </row>
    <row r="72" spans="1:312" x14ac:dyDescent="0.3">
      <c r="A72" s="141"/>
      <c r="B72" s="243"/>
      <c r="C72" s="85"/>
      <c r="D72" s="84" t="s">
        <v>414</v>
      </c>
      <c r="E72" s="258">
        <f>$C$73*E77+$C$78*E82+$C$83*E87</f>
        <v>0</v>
      </c>
      <c r="F72" s="85">
        <f t="shared" si="15"/>
        <v>2.2999999999999997E-5</v>
      </c>
      <c r="G72" s="259">
        <f t="shared" si="15"/>
        <v>4.4300198717208771E-5</v>
      </c>
      <c r="H72" s="85">
        <f t="shared" ref="H72:T72" si="19">$C$73*H77+$C$78*H82+$C$83*H87</f>
        <v>0</v>
      </c>
      <c r="I72" s="85">
        <f t="shared" si="19"/>
        <v>0</v>
      </c>
      <c r="J72" s="85">
        <f t="shared" si="19"/>
        <v>0</v>
      </c>
      <c r="K72" s="85">
        <f t="shared" si="19"/>
        <v>0</v>
      </c>
      <c r="L72" s="85">
        <f t="shared" si="19"/>
        <v>0</v>
      </c>
      <c r="M72" s="85">
        <f t="shared" si="19"/>
        <v>0</v>
      </c>
      <c r="N72" s="85">
        <f t="shared" si="19"/>
        <v>0</v>
      </c>
      <c r="O72" s="85">
        <f t="shared" si="19"/>
        <v>0</v>
      </c>
      <c r="P72" s="85">
        <f t="shared" si="19"/>
        <v>2.2999999999999997E-5</v>
      </c>
      <c r="Q72" s="85">
        <f t="shared" si="19"/>
        <v>0</v>
      </c>
      <c r="R72" s="85">
        <f t="shared" si="19"/>
        <v>3.7704918032786885E-5</v>
      </c>
      <c r="S72" s="85">
        <f t="shared" si="19"/>
        <v>0</v>
      </c>
      <c r="T72" s="207">
        <f t="shared" si="19"/>
        <v>0</v>
      </c>
    </row>
    <row r="73" spans="1:312" x14ac:dyDescent="0.3">
      <c r="A73" s="219" t="s">
        <v>311</v>
      </c>
      <c r="B73" s="209" t="s">
        <v>578</v>
      </c>
      <c r="C73" s="209">
        <f>'Input data fish and seafood'!E11</f>
        <v>0.03</v>
      </c>
      <c r="D73" s="269" t="s">
        <v>473</v>
      </c>
      <c r="E73" s="345">
        <f>IF($F$1="GWP100 without fb",E74+E75*'Common input data'!$C$5+E76*'Common input data'!$D$5+E77*'Common input data'!$E$5,IF($F$1="GWP100 with fb",E74+E75*'Common input data'!$C$6+E76*'Common input data'!$D$6+E77*'Common input data'!$E$6,IF($F$1="GTP100 without fb",E74+E75*'Common input data'!$C$7+E76*'Common input data'!$D$7+E77*'Common input data'!$E$7,IF($F$1="GTP100 with fb",E74+E75*'Common input data'!$C$8+E76*'Common input data'!$D$8+E77*'Common input data'!$E$8,E74+E75*'Common input data'!$C$9+E76*'Common input data'!$D$9+E77*'Common input data'!$E$9))))</f>
        <v>0</v>
      </c>
      <c r="F73" s="346">
        <f>IF($F$1="GWP100 without fb",F74+F75*'Common input data'!$C$5+F76*'Common input data'!$D$5+F77*'Common input data'!$E$5,IF($F$1="GWP100 with fb",F74+F75*'Common input data'!$C$6+F76*'Common input data'!$D$6+F77*'Common input data'!$E$6,IF($F$1="GTP100 without fb",F74+F75*'Common input data'!$C$7+F76*'Common input data'!$D$7+F77*'Common input data'!$E$7,IF($F$1="GTP100 with fb",F74+F75*'Common input data'!$C$8+F76*'Common input data'!$D$8+F77*'Common input data'!$E$8,F74+F75*'Common input data'!$C$9+F76*'Common input data'!$D$9+F77*'Common input data'!$E$9))))</f>
        <v>0.51043799999999995</v>
      </c>
      <c r="G73" s="347">
        <f>IF($F$1="GWP100 without fb",G74+G75*'Common input data'!$C$5+G76*'Common input data'!$D$5+G77*'Common input data'!$E$5,IF($F$1="GWP100 with fb",G74+G75*'Common input data'!$C$6+G76*'Common input data'!$D$6+G77*'Common input data'!$E$6,IF($F$1="GTP100 without fb",G74+G75*'Common input data'!$C$7+G76*'Common input data'!$D$7+G77*'Common input data'!$E$7,IF($F$1="GTP100 with fb",G74+G75*'Common input data'!$C$8+G76*'Common input data'!$D$8+G77*'Common input data'!$E$8,G74+G75*'Common input data'!$C$9+G76*'Common input data'!$D$9+G77*'Common input data'!$E$9))))</f>
        <v>1.6403743382200369</v>
      </c>
      <c r="H73" s="302"/>
      <c r="I73" s="104"/>
      <c r="J73" s="104"/>
      <c r="K73" s="223"/>
      <c r="L73" s="223"/>
      <c r="M73" s="223"/>
      <c r="N73" s="223"/>
      <c r="O73" s="223"/>
      <c r="P73" s="223"/>
      <c r="Q73" s="223"/>
      <c r="R73" s="223"/>
      <c r="S73" s="223"/>
      <c r="T73" s="331"/>
    </row>
    <row r="74" spans="1:312" x14ac:dyDescent="0.3">
      <c r="A74" s="144"/>
      <c r="B74" s="2"/>
      <c r="C74" s="157"/>
      <c r="D74" s="83" t="s">
        <v>164</v>
      </c>
      <c r="E74" s="334">
        <f>IF(AND($F$2="No",$F$3="No"),SUM(J74),IF(AND($F$2="Yes", $F$3="No"), SUM(J74)+L74, IF(AND($F$2="No", $F$3="Yes"),SUM(J74)+K74, SUM(J74)+L74+K74)))</f>
        <v>0</v>
      </c>
      <c r="F74" s="88">
        <f>IF(AND($F$2="No",$F$3="No"),SUM(H74:J74,M74:P74),IF(AND($F$2="Yes", $F$3="No"), SUM(H74:J74,M74:P74)+L74, IF(AND($F$2="No", $F$3="Yes"),SUM(H74:J74,M74:P74)+K74, SUM(H74:J74,M74:P74)+L74+K74)))</f>
        <v>0.45158278458952811</v>
      </c>
      <c r="G74" s="259">
        <f>SUM(R74:T74)/(1-'Common input data'!B$125)</f>
        <v>1.5270135669927312</v>
      </c>
      <c r="H74" s="85">
        <v>0</v>
      </c>
      <c r="I74" s="85">
        <v>0</v>
      </c>
      <c r="J74" s="85">
        <v>0</v>
      </c>
      <c r="K74" s="85">
        <v>0</v>
      </c>
      <c r="L74" s="85">
        <v>0</v>
      </c>
      <c r="M74" s="85">
        <v>0</v>
      </c>
      <c r="N74" s="85">
        <v>0</v>
      </c>
      <c r="O74" s="85">
        <f>'Input data fish and seafood'!G11*'Input data fish and seafood'!B42</f>
        <v>0.45158278458952811</v>
      </c>
      <c r="P74" s="85">
        <v>0</v>
      </c>
      <c r="Q74" s="90">
        <f>'Input data fish and seafood'!B89*('Input data fish and seafood'!B96*'Common input data'!B63+'Input data fish and seafood'!C96*'Common input data'!C63)</f>
        <v>8.8374800000000003E-2</v>
      </c>
      <c r="R74" s="88">
        <f>(F74+Q74)/'Input data fish and seafood'!$H$11</f>
        <v>0.88517636817955436</v>
      </c>
      <c r="S74" s="85">
        <f>'Common input data'!B93</f>
        <v>0.3</v>
      </c>
      <c r="T74" s="207">
        <f>'Input data fish and seafood'!B110*'Common input data'!B98+'Input data fish and seafood'!C110*'Common input data'!B102+'Common input data'!C98</f>
        <v>0.11450000000000002</v>
      </c>
    </row>
    <row r="75" spans="1:312" x14ac:dyDescent="0.3">
      <c r="A75" s="322"/>
      <c r="C75" s="45"/>
      <c r="D75" s="83" t="s">
        <v>165</v>
      </c>
      <c r="E75" s="258">
        <v>0</v>
      </c>
      <c r="F75" s="88">
        <f>SUM(H75:J75,M75:P75)</f>
        <v>2.0003594633490293E-4</v>
      </c>
      <c r="G75" s="259">
        <f>SUM(R75:T75)/(1-'Common input data'!B$125)</f>
        <v>3.8528835535743956E-4</v>
      </c>
      <c r="H75" s="85">
        <v>0</v>
      </c>
      <c r="I75" s="85">
        <v>0</v>
      </c>
      <c r="J75" s="85">
        <v>0</v>
      </c>
      <c r="K75" s="85">
        <v>0</v>
      </c>
      <c r="L75" s="85">
        <v>0</v>
      </c>
      <c r="M75" s="85">
        <v>0</v>
      </c>
      <c r="N75" s="85">
        <v>0</v>
      </c>
      <c r="O75" s="85">
        <f>'Input data fish and seafood'!G11*'Input data fish and seafood'!B43</f>
        <v>2.0003594633490293E-4</v>
      </c>
      <c r="P75" s="85">
        <v>0</v>
      </c>
      <c r="Q75" s="224">
        <v>0</v>
      </c>
      <c r="R75" s="88">
        <f>(F75+Q75)/'Input data fish and seafood'!$H$11</f>
        <v>3.2792778087689005E-4</v>
      </c>
      <c r="S75" s="89">
        <v>0</v>
      </c>
      <c r="T75" s="341">
        <v>0</v>
      </c>
    </row>
    <row r="76" spans="1:312" x14ac:dyDescent="0.3">
      <c r="A76" s="174"/>
      <c r="C76" s="85"/>
      <c r="D76" s="84" t="s">
        <v>166</v>
      </c>
      <c r="E76" s="258">
        <v>0</v>
      </c>
      <c r="F76" s="88">
        <f>SUM(H76:J76,M76:P76)</f>
        <v>1.213420548686298E-5</v>
      </c>
      <c r="G76" s="259">
        <f>SUM(R76:T76)/(1-'Common input data'!B$125)</f>
        <v>2.3371639754064134E-5</v>
      </c>
      <c r="H76" s="85">
        <v>0</v>
      </c>
      <c r="I76" s="85">
        <v>0</v>
      </c>
      <c r="J76" s="85">
        <v>0</v>
      </c>
      <c r="K76" s="85">
        <v>0</v>
      </c>
      <c r="L76" s="85">
        <v>0</v>
      </c>
      <c r="M76" s="85">
        <v>0</v>
      </c>
      <c r="N76" s="85">
        <v>0</v>
      </c>
      <c r="O76" s="85">
        <f>'Input data fish and seafood'!G11*'Input data fish and seafood'!B44</f>
        <v>1.213420548686298E-5</v>
      </c>
      <c r="P76" s="85">
        <v>0</v>
      </c>
      <c r="Q76" s="224">
        <v>0</v>
      </c>
      <c r="R76" s="88">
        <f>(F76+Q76)/'Input data fish and seafood'!$H$11</f>
        <v>1.9892140142398329E-5</v>
      </c>
      <c r="S76" s="89">
        <v>0</v>
      </c>
      <c r="T76" s="341">
        <v>0</v>
      </c>
    </row>
    <row r="77" spans="1:312" x14ac:dyDescent="0.3">
      <c r="A77" s="174"/>
      <c r="C77" s="85"/>
      <c r="D77" s="84" t="s">
        <v>414</v>
      </c>
      <c r="E77" s="258">
        <v>0</v>
      </c>
      <c r="F77" s="88">
        <f>SUM(H77:J77,M77:P77)</f>
        <v>2.3E-5</v>
      </c>
      <c r="G77" s="259">
        <f>SUM(R77:T77)/(1-'Common input data'!B$125)</f>
        <v>4.4300198717208771E-5</v>
      </c>
      <c r="H77" s="85">
        <v>0</v>
      </c>
      <c r="I77" s="85">
        <v>0</v>
      </c>
      <c r="J77" s="85">
        <v>0</v>
      </c>
      <c r="K77" s="85">
        <v>0</v>
      </c>
      <c r="L77" s="85">
        <v>0</v>
      </c>
      <c r="M77" s="85">
        <v>0</v>
      </c>
      <c r="N77" s="85">
        <v>0</v>
      </c>
      <c r="O77" s="85">
        <v>0</v>
      </c>
      <c r="P77" s="85">
        <f>'Input data fish and seafood'!B49</f>
        <v>2.3E-5</v>
      </c>
      <c r="Q77" s="224">
        <v>0</v>
      </c>
      <c r="R77" s="88">
        <f>(F77+Q77)/'Input data fish and seafood'!$H$11</f>
        <v>3.7704918032786885E-5</v>
      </c>
      <c r="S77" s="89">
        <v>0</v>
      </c>
      <c r="T77" s="341">
        <v>0</v>
      </c>
    </row>
    <row r="78" spans="1:312" x14ac:dyDescent="0.3">
      <c r="A78" s="219" t="s">
        <v>311</v>
      </c>
      <c r="B78" s="209" t="s">
        <v>585</v>
      </c>
      <c r="C78" s="209">
        <f>'Input data fish and seafood'!E12</f>
        <v>0.88</v>
      </c>
      <c r="D78" s="269" t="s">
        <v>473</v>
      </c>
      <c r="E78" s="345">
        <f>IF($F$1="GWP100 without fb",E79+E80*'Common input data'!$C$5+E81*'Common input data'!$D$5+E82*'Common input data'!$E$5,IF($F$1="GWP100 with fb",E79+E80*'Common input data'!$C$6+E81*'Common input data'!$D$6+E82*'Common input data'!$E$6,IF($F$1="GTP100 without fb",E79+E80*'Common input data'!$C$7+E81*'Common input data'!$D$7+E82*'Common input data'!$E$7,IF($F$1="GTP100 with fb",E79+E80*'Common input data'!$C$8+E81*'Common input data'!$D$8+E82*'Common input data'!$E$8,E79+E80*'Common input data'!$C$9+E81*'Common input data'!$D$9+E82*'Common input data'!$E$9))))</f>
        <v>0</v>
      </c>
      <c r="F78" s="346">
        <f>IF($F$1="GWP100 without fb",F79+F80*'Common input data'!$C$5+F81*'Common input data'!$D$5+F82*'Common input data'!$E$5,IF($F$1="GWP100 with fb",F79+F80*'Common input data'!$C$6+F81*'Common input data'!$D$6+F82*'Common input data'!$E$6,IF($F$1="GTP100 without fb",F79+F80*'Common input data'!$C$7+F81*'Common input data'!$D$7+F82*'Common input data'!$E$7,IF($F$1="GTP100 with fb",F79+F80*'Common input data'!$C$8+F81*'Common input data'!$D$8+F82*'Common input data'!$E$8,F79+F80*'Common input data'!$C$9+F81*'Common input data'!$D$9+F82*'Common input data'!$E$9))))</f>
        <v>0.18043799999999999</v>
      </c>
      <c r="G78" s="347">
        <f>IF($F$1="GWP100 without fb",G79+G80*'Common input data'!$C$5+G81*'Common input data'!$D$5+G82*'Common input data'!$E$5,IF($F$1="GWP100 with fb",G79+G80*'Common input data'!$C$6+G81*'Common input data'!$D$6+G82*'Common input data'!$E$6,IF($F$1="GTP100 without fb",G79+G80*'Common input data'!$C$7+G81*'Common input data'!$D$7+G82*'Common input data'!$E$7,IF($F$1="GTP100 with fb",G79+G80*'Common input data'!$C$8+G81*'Common input data'!$D$8+G82*'Common input data'!$E$8,G79+G80*'Common input data'!$C$9+G81*'Common input data'!$D$9+G82*'Common input data'!$E$9))))</f>
        <v>1.0047627914079109</v>
      </c>
      <c r="H78" s="302"/>
      <c r="I78" s="104"/>
      <c r="J78" s="104"/>
      <c r="K78" s="223"/>
      <c r="L78" s="223"/>
      <c r="M78" s="223"/>
      <c r="N78" s="223"/>
      <c r="O78" s="223"/>
      <c r="P78" s="223"/>
      <c r="Q78" s="223"/>
      <c r="R78" s="223"/>
      <c r="S78" s="223"/>
      <c r="T78" s="331"/>
    </row>
    <row r="79" spans="1:312" x14ac:dyDescent="0.3">
      <c r="A79" s="144"/>
      <c r="C79" s="157"/>
      <c r="D79" s="83" t="s">
        <v>164</v>
      </c>
      <c r="E79" s="334">
        <f>IF(AND($F$2="No",$F$3="No"),SUM(J79),IF(AND($F$2="Yes", $F$3="No"), SUM(J79)+L79, IF(AND($F$2="No", $F$3="Yes"),SUM(J79)+K79, SUM(J79)+L79+K79)))</f>
        <v>0</v>
      </c>
      <c r="F79" s="88">
        <f>IF(AND($F$2="No",$F$3="No"),SUM(H79:J79,M79:P79),IF(AND($F$2="Yes", $F$3="No"), SUM(H79:J79,M79:P79)+L79, IF(AND($F$2="No", $F$3="Yes"),SUM(H79:J79,M79:P79)+K79, SUM(H79:J79,M79:P79)+L79+K79)))</f>
        <v>0.12902365273986516</v>
      </c>
      <c r="G79" s="259">
        <f>SUM(R79:T79)/(1-'Common input data'!B$125)</f>
        <v>0.90573384355836528</v>
      </c>
      <c r="H79" s="85">
        <v>0</v>
      </c>
      <c r="I79" s="85">
        <v>0</v>
      </c>
      <c r="J79" s="85">
        <v>0</v>
      </c>
      <c r="K79" s="85">
        <v>0</v>
      </c>
      <c r="L79" s="85">
        <v>0</v>
      </c>
      <c r="M79" s="85">
        <v>0</v>
      </c>
      <c r="N79" s="85">
        <v>0</v>
      </c>
      <c r="O79" s="213">
        <f>'Input data fish and seafood'!G12*'Input data fish and seafood'!B42</f>
        <v>0.12902365273986516</v>
      </c>
      <c r="P79" s="88">
        <v>0</v>
      </c>
      <c r="Q79" s="211">
        <f>'Input data fish and seafood'!B89*('Input data fish and seafood'!B96*'Common input data'!B63+'Input data fish and seafood'!C96*'Common input data'!C63)</f>
        <v>8.8374800000000003E-2</v>
      </c>
      <c r="R79" s="88">
        <f>(F79+Q79)/'Input data fish and seafood'!$H$12</f>
        <v>0.3563909061309265</v>
      </c>
      <c r="S79" s="211">
        <f>'Common input data'!B93</f>
        <v>0.3</v>
      </c>
      <c r="T79" s="151">
        <f>'Input data fish and seafood'!B110*'Common input data'!B98+'Input data fish and seafood'!C110*'Common input data'!B102+'Common input data'!C98</f>
        <v>0.11450000000000002</v>
      </c>
    </row>
    <row r="80" spans="1:312" x14ac:dyDescent="0.3">
      <c r="A80" s="144"/>
      <c r="C80" s="84"/>
      <c r="D80" s="83" t="s">
        <v>165</v>
      </c>
      <c r="E80" s="258">
        <v>0</v>
      </c>
      <c r="F80" s="88">
        <f>SUM(H80:J80,M80:P80)</f>
        <v>5.7153127524257972E-5</v>
      </c>
      <c r="G80" s="259">
        <f>SUM(R80:T80)/(1-'Common input data'!B$125)</f>
        <v>1.1008238724498271E-4</v>
      </c>
      <c r="H80" s="85">
        <v>0</v>
      </c>
      <c r="I80" s="85">
        <v>0</v>
      </c>
      <c r="J80" s="85">
        <v>0</v>
      </c>
      <c r="K80" s="85">
        <v>0</v>
      </c>
      <c r="L80" s="85">
        <v>0</v>
      </c>
      <c r="M80" s="85">
        <v>0</v>
      </c>
      <c r="N80" s="85">
        <v>0</v>
      </c>
      <c r="O80" s="212">
        <f>'Input data fish and seafood'!G12*'Input data fish and seafood'!B43</f>
        <v>5.7153127524257972E-5</v>
      </c>
      <c r="P80" s="88">
        <v>0</v>
      </c>
      <c r="Q80" s="224">
        <v>0</v>
      </c>
      <c r="R80" s="88">
        <f>(F80+Q80)/'Input data fish and seafood'!$H$12</f>
        <v>9.369365167911143E-5</v>
      </c>
      <c r="S80" s="224">
        <v>0</v>
      </c>
      <c r="T80" s="341">
        <v>0</v>
      </c>
    </row>
    <row r="81" spans="1:312" x14ac:dyDescent="0.3">
      <c r="A81" s="144"/>
      <c r="C81" s="85"/>
      <c r="D81" s="84" t="s">
        <v>166</v>
      </c>
      <c r="E81" s="258">
        <v>0</v>
      </c>
      <c r="F81" s="88">
        <f>SUM(H81:J81,M81:P81)</f>
        <v>3.4669158533894226E-6</v>
      </c>
      <c r="G81" s="259">
        <f>SUM(R81:T81)/(1-'Common input data'!B$125)</f>
        <v>6.6776113583040367E-6</v>
      </c>
      <c r="H81" s="85">
        <v>0</v>
      </c>
      <c r="I81" s="85">
        <v>0</v>
      </c>
      <c r="J81" s="85">
        <v>0</v>
      </c>
      <c r="K81" s="85">
        <v>0</v>
      </c>
      <c r="L81" s="85">
        <v>0</v>
      </c>
      <c r="M81" s="85">
        <v>0</v>
      </c>
      <c r="N81" s="85">
        <v>0</v>
      </c>
      <c r="O81" s="88">
        <f>'Input data fish and seafood'!G12*'Input data fish and seafood'!B44</f>
        <v>3.4669158533894226E-6</v>
      </c>
      <c r="P81" s="85">
        <v>0</v>
      </c>
      <c r="Q81" s="227">
        <v>0</v>
      </c>
      <c r="R81" s="88">
        <f>(F81+Q81)/'Input data fish and seafood'!$H$12</f>
        <v>5.6834686121138073E-6</v>
      </c>
      <c r="S81" s="226">
        <v>0</v>
      </c>
      <c r="T81" s="341">
        <v>0</v>
      </c>
    </row>
    <row r="82" spans="1:312" x14ac:dyDescent="0.3">
      <c r="A82" s="144"/>
      <c r="B82" s="84"/>
      <c r="C82" s="85"/>
      <c r="D82" s="84" t="s">
        <v>414</v>
      </c>
      <c r="E82" s="258">
        <v>0</v>
      </c>
      <c r="F82" s="88">
        <f>SUM(H82:J82,M82:P82)</f>
        <v>2.3E-5</v>
      </c>
      <c r="G82" s="259">
        <f>SUM(R82:T82)/(1-'Common input data'!B$125)</f>
        <v>4.4300198717208771E-5</v>
      </c>
      <c r="H82" s="85">
        <v>0</v>
      </c>
      <c r="I82" s="85">
        <v>0</v>
      </c>
      <c r="J82" s="85">
        <v>0</v>
      </c>
      <c r="K82" s="85">
        <v>0</v>
      </c>
      <c r="L82" s="85">
        <v>0</v>
      </c>
      <c r="M82" s="85">
        <v>0</v>
      </c>
      <c r="N82" s="85">
        <v>0</v>
      </c>
      <c r="O82" s="88">
        <v>0</v>
      </c>
      <c r="P82" s="88">
        <f>'Input data fish and seafood'!B49</f>
        <v>2.3E-5</v>
      </c>
      <c r="Q82" s="225">
        <v>0</v>
      </c>
      <c r="R82" s="88">
        <f>(F82+Q82)/'Input data fish and seafood'!$H$12</f>
        <v>3.7704918032786885E-5</v>
      </c>
      <c r="S82" s="224">
        <v>0</v>
      </c>
      <c r="T82" s="341">
        <v>0</v>
      </c>
    </row>
    <row r="83" spans="1:312" x14ac:dyDescent="0.3">
      <c r="A83" s="219" t="s">
        <v>311</v>
      </c>
      <c r="B83" s="209" t="s">
        <v>586</v>
      </c>
      <c r="C83" s="223">
        <f>'Input data fish and seafood'!E13</f>
        <v>0.09</v>
      </c>
      <c r="D83" s="269" t="s">
        <v>473</v>
      </c>
      <c r="E83" s="345">
        <f>IF($F$1="GWP100 without fb",E84+E85*'Common input data'!$C$5+E86*'Common input data'!$D$5+E87*'Common input data'!$E$5,IF($F$1="GWP100 with fb",E84+E85*'Common input data'!$C$6+E86*'Common input data'!$D$6+E87*'Common input data'!$E$6,IF($F$1="GTP100 without fb",E84+E85*'Common input data'!$C$7+E86*'Common input data'!$D$7+E87*'Common input data'!$E$7,IF($F$1="GTP100 with fb",E84+E85*'Common input data'!$C$8+E86*'Common input data'!$D$8+E87*'Common input data'!$E$8,E84+E85*'Common input data'!$C$9+E86*'Common input data'!$D$9+E87*'Common input data'!$E$9))))</f>
        <v>0</v>
      </c>
      <c r="F83" s="346">
        <f>IF($F$1="GWP100 without fb",F84+F85*'Common input data'!$C$5+F86*'Common input data'!$D$5+F87*'Common input data'!$E$5,IF($F$1="GWP100 with fb",F84+F85*'Common input data'!$C$6+F86*'Common input data'!$D$6+F87*'Common input data'!$E$6,IF($F$1="GTP100 without fb",F84+F85*'Common input data'!$C$7+F86*'Common input data'!$D$7+F87*'Common input data'!$E$7,IF($F$1="GTP100 with fb",F84+F85*'Common input data'!$C$8+F86*'Common input data'!$D$8+F87*'Common input data'!$E$8,F84+F85*'Common input data'!$C$9+F86*'Common input data'!$D$9+F87*'Common input data'!$E$9))))</f>
        <v>0.24643799999999996</v>
      </c>
      <c r="G83" s="347">
        <f>IF($F$1="GWP100 without fb",G84+G85*'Common input data'!$C$5+G86*'Common input data'!$D$5+G87*'Common input data'!$E$5,IF($F$1="GWP100 with fb",G84+G85*'Common input data'!$C$6+G86*'Common input data'!$D$6+G87*'Common input data'!$E$6,IF($F$1="GTP100 without fb",G84+G85*'Common input data'!$C$7+G86*'Common input data'!$D$7+G87*'Common input data'!$E$7,IF($F$1="GTP100 with fb",G84+G85*'Common input data'!$C$8+G86*'Common input data'!$D$8+G87*'Common input data'!$E$8,G84+G85*'Common input data'!$C$9+G86*'Common input data'!$D$9+G87*'Common input data'!$E$9))))</f>
        <v>1.1318851007703357</v>
      </c>
      <c r="H83" s="302"/>
      <c r="I83" s="104"/>
      <c r="J83" s="104"/>
      <c r="K83" s="223"/>
      <c r="L83" s="223"/>
      <c r="M83" s="223"/>
      <c r="N83" s="223"/>
      <c r="O83" s="223"/>
      <c r="P83" s="223"/>
      <c r="Q83" s="223"/>
      <c r="R83" s="223"/>
      <c r="S83" s="223"/>
      <c r="T83" s="331"/>
    </row>
    <row r="84" spans="1:312" x14ac:dyDescent="0.3">
      <c r="A84" s="144"/>
      <c r="B84" s="84"/>
      <c r="C84" s="157"/>
      <c r="D84" s="83" t="s">
        <v>164</v>
      </c>
      <c r="E84" s="334">
        <f>IF(AND($F$2="No",$F$3="No"),SUM(J84),IF(AND($F$2="Yes", $F$3="No"), SUM(J84)+L84, IF(AND($F$2="No", $F$3="Yes"),SUM(J84)+K84, SUM(J84)+L84+K84)))</f>
        <v>0</v>
      </c>
      <c r="F84" s="88">
        <f>IF(AND($F$2="No",$F$3="No"),SUM(H84:J84,M84:P84),IF(AND($F$2="Yes", $F$3="No"), SUM(H84:J84,M84:P84)+L84, IF(AND($F$2="No", $F$3="Yes"),SUM(H84:J84,M84:P84)+K84, SUM(H84:J84,M84:P84)+L84+K84)))</f>
        <v>0.19353547910979774</v>
      </c>
      <c r="G84" s="259">
        <f>SUM(R84:T84)/(1-'Common input data'!B$125)</f>
        <v>1.0299897882452382</v>
      </c>
      <c r="H84" s="85">
        <v>0</v>
      </c>
      <c r="I84" s="85">
        <v>0</v>
      </c>
      <c r="J84" s="85">
        <v>0</v>
      </c>
      <c r="K84" s="85">
        <v>0</v>
      </c>
      <c r="L84" s="85">
        <v>0</v>
      </c>
      <c r="M84" s="85">
        <v>0</v>
      </c>
      <c r="N84" s="85">
        <v>0</v>
      </c>
      <c r="O84" s="88">
        <f>'Input data fish and seafood'!G13*'Input data fish and seafood'!B42</f>
        <v>0.19353547910979774</v>
      </c>
      <c r="P84" s="88">
        <v>0</v>
      </c>
      <c r="Q84" s="88">
        <f>'Input data fish and seafood'!B89*('Input data fish and seafood'!B96*'Common input data'!B63+'Input data fish and seafood'!C96*'Common input data'!C63)</f>
        <v>8.8374800000000003E-2</v>
      </c>
      <c r="R84" s="88">
        <f>(F84+Q84)/'Input data fish and seafood'!$H$13</f>
        <v>0.46214799854065197</v>
      </c>
      <c r="S84" s="88">
        <f>'Common input data'!B93</f>
        <v>0.3</v>
      </c>
      <c r="T84" s="151">
        <f>'Input data fish and seafood'!B110*'Common input data'!B98+'Input data fish and seafood'!C110*'Common input data'!B102+'Common input data'!C98</f>
        <v>0.11450000000000002</v>
      </c>
    </row>
    <row r="85" spans="1:312" x14ac:dyDescent="0.3">
      <c r="A85" s="144"/>
      <c r="B85" s="84"/>
      <c r="C85" s="84"/>
      <c r="D85" s="83" t="s">
        <v>165</v>
      </c>
      <c r="E85" s="258">
        <v>0</v>
      </c>
      <c r="F85" s="88">
        <f>SUM(H85:J85,M85:P85)</f>
        <v>8.5729691286386958E-5</v>
      </c>
      <c r="G85" s="259">
        <f>SUM(R85:T85)/(1-'Common input data'!B$125)</f>
        <v>1.6512358086747406E-4</v>
      </c>
      <c r="H85" s="85">
        <v>0</v>
      </c>
      <c r="I85" s="85">
        <v>0</v>
      </c>
      <c r="J85" s="85">
        <v>0</v>
      </c>
      <c r="K85" s="85">
        <v>0</v>
      </c>
      <c r="L85" s="85">
        <v>0</v>
      </c>
      <c r="M85" s="85">
        <v>0</v>
      </c>
      <c r="N85" s="85">
        <v>0</v>
      </c>
      <c r="O85" s="88">
        <f>'Input data fish and seafood'!G13*'Input data fish and seafood'!B43</f>
        <v>8.5729691286386958E-5</v>
      </c>
      <c r="P85" s="88">
        <v>0</v>
      </c>
      <c r="Q85" s="222">
        <v>0</v>
      </c>
      <c r="R85" s="88">
        <f>(F85+Q85)/'Input data fish and seafood'!$H$13</f>
        <v>1.4054047751866714E-4</v>
      </c>
      <c r="S85" s="157">
        <v>0</v>
      </c>
      <c r="T85" s="283">
        <v>0</v>
      </c>
    </row>
    <row r="86" spans="1:312" x14ac:dyDescent="0.3">
      <c r="A86" s="144"/>
      <c r="B86" s="84"/>
      <c r="C86" s="85"/>
      <c r="D86" s="84" t="s">
        <v>166</v>
      </c>
      <c r="E86" s="258">
        <v>0</v>
      </c>
      <c r="F86" s="88">
        <f>SUM(H86:J86,M86:P86)</f>
        <v>5.2003737800841336E-6</v>
      </c>
      <c r="G86" s="259">
        <f>SUM(R86:T86)/(1-'Common input data'!B$125)</f>
        <v>1.0016417037456055E-5</v>
      </c>
      <c r="H86" s="85">
        <v>0</v>
      </c>
      <c r="I86" s="85">
        <v>0</v>
      </c>
      <c r="J86" s="85">
        <v>0</v>
      </c>
      <c r="K86" s="85">
        <v>0</v>
      </c>
      <c r="L86" s="85">
        <v>0</v>
      </c>
      <c r="M86" s="85">
        <v>0</v>
      </c>
      <c r="N86" s="85">
        <v>0</v>
      </c>
      <c r="O86" s="88">
        <f>'Input data fish and seafood'!G13*'Input data fish and seafood'!B44</f>
        <v>5.2003737800841336E-6</v>
      </c>
      <c r="P86" s="88">
        <v>0</v>
      </c>
      <c r="Q86" s="89">
        <v>0</v>
      </c>
      <c r="R86" s="88">
        <f>(F86+Q86)/'Input data fish and seafood'!$H$13</f>
        <v>8.5252029181707109E-6</v>
      </c>
      <c r="S86" s="89">
        <v>0</v>
      </c>
      <c r="T86" s="283">
        <v>0</v>
      </c>
    </row>
    <row r="87" spans="1:312" x14ac:dyDescent="0.3">
      <c r="A87" s="144"/>
      <c r="B87" s="84"/>
      <c r="C87" s="85"/>
      <c r="D87" s="84" t="s">
        <v>414</v>
      </c>
      <c r="E87" s="771">
        <v>0</v>
      </c>
      <c r="F87" s="105">
        <f>SUM(H87:J87,M87:P87)</f>
        <v>2.3E-5</v>
      </c>
      <c r="G87" s="790">
        <f>SUM(R87:T87)/(1-'Common input data'!B$125)</f>
        <v>4.4300198717208771E-5</v>
      </c>
      <c r="H87" s="85">
        <v>0</v>
      </c>
      <c r="I87" s="85">
        <v>0</v>
      </c>
      <c r="J87" s="85">
        <v>0</v>
      </c>
      <c r="K87" s="85">
        <v>0</v>
      </c>
      <c r="L87" s="85">
        <v>0</v>
      </c>
      <c r="M87" s="85">
        <v>0</v>
      </c>
      <c r="N87" s="85">
        <v>0</v>
      </c>
      <c r="O87" s="88">
        <v>0</v>
      </c>
      <c r="P87" s="88">
        <f>'Input data fish and seafood'!B49</f>
        <v>2.3E-5</v>
      </c>
      <c r="Q87" s="222">
        <v>0</v>
      </c>
      <c r="R87" s="88">
        <f>(F87+Q87)/'Input data fish and seafood'!$H$13</f>
        <v>3.7704918032786885E-5</v>
      </c>
      <c r="S87" s="157">
        <v>0</v>
      </c>
      <c r="T87" s="283">
        <v>0</v>
      </c>
    </row>
    <row r="88" spans="1:312" x14ac:dyDescent="0.3">
      <c r="A88" s="311" t="s">
        <v>588</v>
      </c>
      <c r="B88" s="312"/>
      <c r="C88" s="313"/>
      <c r="D88" s="314"/>
      <c r="E88" s="767" t="s">
        <v>802</v>
      </c>
      <c r="F88" s="768" t="s">
        <v>802</v>
      </c>
      <c r="G88" s="590" t="s">
        <v>790</v>
      </c>
      <c r="H88" s="313"/>
      <c r="I88" s="313"/>
      <c r="J88" s="313"/>
      <c r="K88" s="316"/>
      <c r="L88" s="316"/>
      <c r="M88" s="317"/>
      <c r="N88" s="316"/>
      <c r="O88" s="316"/>
      <c r="P88" s="316"/>
      <c r="Q88" s="316"/>
      <c r="R88" s="316"/>
      <c r="S88" s="316"/>
      <c r="T88" s="318"/>
    </row>
    <row r="89" spans="1:312" s="241" customFormat="1" x14ac:dyDescent="0.3">
      <c r="A89" s="139" t="s">
        <v>260</v>
      </c>
      <c r="B89" s="146"/>
      <c r="C89" s="136">
        <f>SUM(C94:C113)</f>
        <v>1</v>
      </c>
      <c r="D89" s="325" t="s">
        <v>473</v>
      </c>
      <c r="E89" s="784">
        <f>IF($F$1="GWP100 without fb",E90+E91*'Common input data'!$C$5+E92*'Common input data'!$D$5+E93*'Common input data'!$E$5,IF($F$1="GWP100 with fb",E90+E91*'Common input data'!$C$6+E92*'Common input data'!$D$6+E93*'Common input data'!$E$6,IF($F$1="GTP100 without fb",E90+E91*'Common input data'!$C$7+E92*'Common input data'!$D$7+E93*'Common input data'!$E$7,IF($F$1="GTP100 with fb",E90+E91*'Common input data'!$C$8+E92*'Common input data'!$D$8+E93*'Common input data'!$E$8,E90+E91*'Common input data'!$C$9+E92*'Common input data'!$D$9+E93*'Common input data'!$E$9))))</f>
        <v>0</v>
      </c>
      <c r="F89" s="782">
        <f>IF($F$1="GWP100 without fb",F90+F91*'Common input data'!$C$5+F92*'Common input data'!$D$5+F93*'Common input data'!$E$5,IF($F$1="GWP100 with fb",F90+F91*'Common input data'!$C$6+F92*'Common input data'!$D$6+F93*'Common input data'!$E$6,IF($F$1="GTP100 without fb",F90+F91*'Common input data'!$C$7+F92*'Common input data'!$D$7+F93*'Common input data'!$E$7,IF($F$1="GTP100 with fb",F90+F91*'Common input data'!$C$8+F92*'Common input data'!$D$8+F93*'Common input data'!$E$8,F90+F91*'Common input data'!$C$9+F92*'Common input data'!$D$9+F93*'Common input data'!$E$9))))</f>
        <v>1.8155399999999999</v>
      </c>
      <c r="G89" s="785">
        <f>IF($F$1="GWP100 without fb",G90+G91*'Common input data'!$C$5+G92*'Common input data'!$D$5+G93*'Common input data'!$E$5,IF($F$1="GWP100 with fb",G90+G91*'Common input data'!$C$6+G92*'Common input data'!$D$6+G93*'Common input data'!$E$6,IF($F$1="GTP100 without fb",G90+G91*'Common input data'!$C$7+G92*'Common input data'!$D$7+G93*'Common input data'!$E$7,IF($F$1="GTP100 with fb",G90+G91*'Common input data'!$C$8+G92*'Common input data'!$D$8+G93*'Common input data'!$E$8,G90+G91*'Common input data'!$C$9+G92*'Common input data'!$D$9+G93*'Common input data'!$E$9))))</f>
        <v>4.900359302519492</v>
      </c>
      <c r="H89" s="326"/>
      <c r="I89" s="327"/>
      <c r="J89" s="327"/>
      <c r="K89" s="328"/>
      <c r="L89" s="328"/>
      <c r="M89" s="329"/>
      <c r="N89" s="328"/>
      <c r="O89" s="328"/>
      <c r="P89" s="328"/>
      <c r="Q89" s="328"/>
      <c r="R89" s="328"/>
      <c r="S89" s="328"/>
      <c r="T89" s="330"/>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c r="IO89" s="64"/>
      <c r="IP89" s="64"/>
      <c r="IQ89" s="64"/>
      <c r="IR89" s="64"/>
      <c r="IS89" s="64"/>
      <c r="IT89" s="64"/>
      <c r="IU89" s="64"/>
      <c r="IV89" s="64"/>
      <c r="IW89" s="64"/>
      <c r="IX89" s="64"/>
      <c r="IY89" s="64"/>
      <c r="IZ89" s="64"/>
      <c r="JA89" s="64"/>
      <c r="JB89" s="64"/>
      <c r="JC89" s="64"/>
      <c r="JD89" s="64"/>
      <c r="JE89" s="64"/>
      <c r="JF89" s="64"/>
      <c r="JG89" s="64"/>
      <c r="JH89" s="64"/>
      <c r="JI89" s="64"/>
      <c r="JJ89" s="64"/>
      <c r="JK89" s="64"/>
      <c r="JL89" s="64"/>
      <c r="JM89" s="64"/>
      <c r="JN89" s="64"/>
      <c r="JO89" s="64"/>
      <c r="JP89" s="64"/>
      <c r="JQ89" s="64"/>
      <c r="JR89" s="64"/>
      <c r="JS89" s="64"/>
      <c r="JT89" s="64"/>
      <c r="JU89" s="64"/>
      <c r="JV89" s="64"/>
      <c r="JW89" s="64"/>
      <c r="JX89" s="64"/>
      <c r="JY89" s="64"/>
      <c r="JZ89" s="64"/>
      <c r="KA89" s="64"/>
      <c r="KB89" s="64"/>
      <c r="KC89" s="64"/>
      <c r="KD89" s="64"/>
      <c r="KE89" s="64"/>
      <c r="KF89" s="64"/>
      <c r="KG89" s="64"/>
      <c r="KH89" s="64"/>
      <c r="KI89" s="64"/>
      <c r="KJ89" s="64"/>
      <c r="KK89" s="64"/>
      <c r="KL89" s="64"/>
      <c r="KM89" s="64"/>
      <c r="KN89" s="64"/>
      <c r="KO89" s="64"/>
      <c r="KP89" s="64"/>
      <c r="KQ89" s="64"/>
      <c r="KR89" s="64"/>
      <c r="KS89" s="64"/>
      <c r="KT89" s="64"/>
      <c r="KU89" s="64"/>
      <c r="KV89" s="64"/>
      <c r="KW89" s="64"/>
      <c r="KX89" s="64"/>
      <c r="KY89" s="64"/>
      <c r="KZ89" s="64"/>
    </row>
    <row r="90" spans="1:312" x14ac:dyDescent="0.3">
      <c r="A90" s="155"/>
      <c r="B90" s="157"/>
      <c r="C90" s="157"/>
      <c r="D90" s="83" t="s">
        <v>164</v>
      </c>
      <c r="E90" s="258">
        <f>$C$94*E95+$C$99*E100+$C$104*E105+$C$109*E110</f>
        <v>0</v>
      </c>
      <c r="F90" s="85">
        <f>$C$94*F95+$C$99*F100+$C$104*F105+$C$109*F110</f>
        <v>1.2805597534431619</v>
      </c>
      <c r="G90" s="259">
        <f t="shared" ref="G90:T90" si="20">$C$94*G95+$C$99*G100+$C$104*G105+$C$109*G110</f>
        <v>3.5630016659170822</v>
      </c>
      <c r="H90" s="85">
        <f t="shared" si="20"/>
        <v>0</v>
      </c>
      <c r="I90" s="85">
        <f t="shared" si="20"/>
        <v>0</v>
      </c>
      <c r="J90" s="85">
        <f t="shared" si="20"/>
        <v>0</v>
      </c>
      <c r="K90" s="85">
        <f t="shared" si="20"/>
        <v>0</v>
      </c>
      <c r="L90" s="85">
        <f t="shared" si="20"/>
        <v>0</v>
      </c>
      <c r="M90" s="85">
        <f t="shared" si="20"/>
        <v>0</v>
      </c>
      <c r="N90" s="85">
        <f t="shared" si="20"/>
        <v>0</v>
      </c>
      <c r="O90" s="85">
        <f t="shared" si="20"/>
        <v>1.2805597534431619</v>
      </c>
      <c r="P90" s="85">
        <f t="shared" si="20"/>
        <v>0</v>
      </c>
      <c r="Q90" s="85">
        <f t="shared" si="20"/>
        <v>6.0139999999999999E-2</v>
      </c>
      <c r="R90" s="85">
        <f t="shared" si="20"/>
        <v>2.8525526669003449</v>
      </c>
      <c r="S90" s="85">
        <f t="shared" si="20"/>
        <v>0.10000000000000003</v>
      </c>
      <c r="T90" s="207">
        <f t="shared" si="20"/>
        <v>8.0000000000000016E-2</v>
      </c>
    </row>
    <row r="91" spans="1:312" x14ac:dyDescent="0.3">
      <c r="A91" s="141"/>
      <c r="B91" s="243"/>
      <c r="C91" s="142"/>
      <c r="D91" s="83" t="s">
        <v>165</v>
      </c>
      <c r="E91" s="258">
        <f>$C$94*E96+$C$99*E101+$C$104*E106+$C$109*E111</f>
        <v>0</v>
      </c>
      <c r="F91" s="85">
        <f t="shared" ref="F91:T91" si="21">$C$94*F96+$C$99*F101+$C$104*F106+$C$109*F111</f>
        <v>5.6724479067826034E-4</v>
      </c>
      <c r="G91" s="259">
        <f>$C$94*G96+$C$99*G101+$C$104*G106+$C$109*G111</f>
        <v>1.4180133893147589E-3</v>
      </c>
      <c r="H91" s="85">
        <f t="shared" si="21"/>
        <v>0</v>
      </c>
      <c r="I91" s="85">
        <f t="shared" si="21"/>
        <v>0</v>
      </c>
      <c r="J91" s="85">
        <f t="shared" si="21"/>
        <v>0</v>
      </c>
      <c r="K91" s="85">
        <f t="shared" si="21"/>
        <v>0</v>
      </c>
      <c r="L91" s="85">
        <f t="shared" si="21"/>
        <v>0</v>
      </c>
      <c r="M91" s="85">
        <f t="shared" si="21"/>
        <v>0</v>
      </c>
      <c r="N91" s="85">
        <f t="shared" si="21"/>
        <v>0</v>
      </c>
      <c r="O91" s="85">
        <f t="shared" si="21"/>
        <v>5.6724479067826034E-4</v>
      </c>
      <c r="P91" s="85">
        <f t="shared" si="21"/>
        <v>0</v>
      </c>
      <c r="Q91" s="85">
        <f t="shared" si="21"/>
        <v>0</v>
      </c>
      <c r="R91" s="85">
        <f t="shared" si="21"/>
        <v>1.2069038099537456E-3</v>
      </c>
      <c r="S91" s="85">
        <f t="shared" si="21"/>
        <v>0</v>
      </c>
      <c r="T91" s="207">
        <f t="shared" si="21"/>
        <v>0</v>
      </c>
    </row>
    <row r="92" spans="1:312" x14ac:dyDescent="0.3">
      <c r="A92" s="141"/>
      <c r="B92" s="243"/>
      <c r="C92" s="85"/>
      <c r="D92" s="84" t="s">
        <v>166</v>
      </c>
      <c r="E92" s="258">
        <f>$C$94*E97+$C$99*E102+$C$104*E107+$C$109*E112</f>
        <v>0</v>
      </c>
      <c r="F92" s="85">
        <f t="shared" ref="F92:T92" si="22">$C$94*F97+$C$99*F102+$C$104*F107+$C$109*F112</f>
        <v>3.4409139844890017E-5</v>
      </c>
      <c r="G92" s="259">
        <f>$C$94*G97+$C$99*G102+$C$104*G107+$C$109*G112</f>
        <v>8.601686928938769E-5</v>
      </c>
      <c r="H92" s="85">
        <f t="shared" si="22"/>
        <v>0</v>
      </c>
      <c r="I92" s="85">
        <f t="shared" si="22"/>
        <v>0</v>
      </c>
      <c r="J92" s="85">
        <f t="shared" si="22"/>
        <v>0</v>
      </c>
      <c r="K92" s="85">
        <f t="shared" si="22"/>
        <v>0</v>
      </c>
      <c r="L92" s="85">
        <f t="shared" si="22"/>
        <v>0</v>
      </c>
      <c r="M92" s="85">
        <f t="shared" si="22"/>
        <v>0</v>
      </c>
      <c r="N92" s="85">
        <f t="shared" si="22"/>
        <v>0</v>
      </c>
      <c r="O92" s="85">
        <f t="shared" si="22"/>
        <v>3.4409139844890017E-5</v>
      </c>
      <c r="P92" s="85">
        <f t="shared" si="22"/>
        <v>0</v>
      </c>
      <c r="Q92" s="85">
        <f t="shared" si="22"/>
        <v>0</v>
      </c>
      <c r="R92" s="85">
        <f t="shared" si="22"/>
        <v>7.321093584019154E-5</v>
      </c>
      <c r="S92" s="85">
        <f t="shared" si="22"/>
        <v>0</v>
      </c>
      <c r="T92" s="207">
        <f t="shared" si="22"/>
        <v>0</v>
      </c>
    </row>
    <row r="93" spans="1:312" x14ac:dyDescent="0.3">
      <c r="A93" s="141"/>
      <c r="B93" s="243"/>
      <c r="C93" s="85"/>
      <c r="D93" s="84" t="s">
        <v>414</v>
      </c>
      <c r="E93" s="258">
        <f>$C$94*E98+$C$99*E103+$C$104*E108+$C$109*E113</f>
        <v>0</v>
      </c>
      <c r="F93" s="85">
        <f t="shared" ref="F93:T93" si="23">$C$94*F98+$C$99*F103+$C$104*F108+$C$109*F113</f>
        <v>2.3999999999999998E-4</v>
      </c>
      <c r="G93" s="259">
        <f>$C$94*G98+$C$99*G103+$C$104*G108+$C$109*G113</f>
        <v>5.9995828790003383E-4</v>
      </c>
      <c r="H93" s="85">
        <f t="shared" si="23"/>
        <v>0</v>
      </c>
      <c r="I93" s="85">
        <f t="shared" si="23"/>
        <v>0</v>
      </c>
      <c r="J93" s="85">
        <f t="shared" si="23"/>
        <v>0</v>
      </c>
      <c r="K93" s="85">
        <f t="shared" si="23"/>
        <v>0</v>
      </c>
      <c r="L93" s="85">
        <f t="shared" si="23"/>
        <v>0</v>
      </c>
      <c r="M93" s="85">
        <f t="shared" si="23"/>
        <v>0</v>
      </c>
      <c r="N93" s="85">
        <f t="shared" si="23"/>
        <v>0</v>
      </c>
      <c r="O93" s="85">
        <f t="shared" si="23"/>
        <v>0</v>
      </c>
      <c r="P93" s="85">
        <f t="shared" si="23"/>
        <v>2.3999999999999998E-4</v>
      </c>
      <c r="Q93" s="85">
        <f t="shared" si="23"/>
        <v>0</v>
      </c>
      <c r="R93" s="85">
        <f t="shared" si="23"/>
        <v>5.1063829787234051E-4</v>
      </c>
      <c r="S93" s="85">
        <f t="shared" si="23"/>
        <v>0</v>
      </c>
      <c r="T93" s="207">
        <f t="shared" si="23"/>
        <v>0</v>
      </c>
    </row>
    <row r="94" spans="1:312" x14ac:dyDescent="0.3">
      <c r="A94" s="219" t="s">
        <v>309</v>
      </c>
      <c r="B94" s="209" t="s">
        <v>568</v>
      </c>
      <c r="C94" s="209">
        <f>'Input data fish and seafood'!E14</f>
        <v>0.4</v>
      </c>
      <c r="D94" s="269" t="s">
        <v>473</v>
      </c>
      <c r="E94" s="345">
        <f>IF($F$1="GWP100 without fb",E95+E96*'Common input data'!$C$5+E97*'Common input data'!$D$5+E98*'Common input data'!$E$5,IF($F$1="GWP100 with fb",E95+E96*'Common input data'!$C$6+E97*'Common input data'!$D$6+E98*'Common input data'!$E$6,IF($F$1="GTP100 without fb",E95+E96*'Common input data'!$C$7+E97*'Common input data'!$D$7+E98*'Common input data'!$E$7,IF($F$1="GTP100 with fb",E95+E96*'Common input data'!$C$8+E97*'Common input data'!$D$8+E98*'Common input data'!$E$8,E95+E96*'Common input data'!$C$9+E97*'Common input data'!$D$9+E98*'Common input data'!$E$9))))</f>
        <v>0</v>
      </c>
      <c r="F94" s="346">
        <f>IF($F$1="GWP100 without fb",F95+F96*'Common input data'!$C$5+F97*'Common input data'!$D$5+F98*'Common input data'!$E$5,IF($F$1="GWP100 with fb",F95+F96*'Common input data'!$C$6+F97*'Common input data'!$D$6+F98*'Common input data'!$E$6,IF($F$1="GTP100 without fb",F95+F96*'Common input data'!$C$7+F97*'Common input data'!$D$7+F98*'Common input data'!$E$7,IF($F$1="GTP100 with fb",F95+F96*'Common input data'!$C$8+F97*'Common input data'!$D$8+F98*'Common input data'!$E$8,F95+F96*'Common input data'!$C$9+F97*'Common input data'!$D$9+F98*'Common input data'!$E$9))))</f>
        <v>1.99044</v>
      </c>
      <c r="G94" s="347">
        <f>IF($F$1="GWP100 without fb",G95+G96*'Common input data'!$C$5+G97*'Common input data'!$D$5+G98*'Common input data'!$E$5,IF($F$1="GWP100 with fb",G95+G96*'Common input data'!$C$6+G97*'Common input data'!$D$6+G98*'Common input data'!$E$6,IF($F$1="GTP100 without fb",G95+G96*'Common input data'!$C$7+G97*'Common input data'!$D$7+G98*'Common input data'!$E$7,IF($F$1="GTP100 with fb",G95+G96*'Common input data'!$C$8+G97*'Common input data'!$D$8+G98*'Common input data'!$E$8,G95+G96*'Common input data'!$C$9+G97*'Common input data'!$D$9+G98*'Common input data'!$E$9))))</f>
        <v>5.3375789048266418</v>
      </c>
      <c r="H94" s="302"/>
      <c r="I94" s="104"/>
      <c r="J94" s="104"/>
      <c r="K94" s="223"/>
      <c r="L94" s="223"/>
      <c r="M94" s="223"/>
      <c r="N94" s="223"/>
      <c r="O94" s="223"/>
      <c r="P94" s="223"/>
      <c r="Q94" s="223"/>
      <c r="R94" s="223"/>
      <c r="S94" s="223"/>
      <c r="T94" s="331"/>
    </row>
    <row r="95" spans="1:312" x14ac:dyDescent="0.3">
      <c r="A95" s="144"/>
      <c r="B95" s="2"/>
      <c r="C95" s="157"/>
      <c r="D95" s="83" t="s">
        <v>164</v>
      </c>
      <c r="E95" s="334">
        <f>IF(AND($F$2="No",$F$3="No"),SUM(J95),IF(AND($F$2="Yes", $F$3="No"), SUM(J95)+L95, IF(AND($F$2="No", $F$3="Yes"),SUM(J95)+K95, SUM(J95)+L95+K95)))</f>
        <v>0</v>
      </c>
      <c r="F95" s="88">
        <f>IF(AND($F$2="No",$F$3="No"),SUM(H95:J95,M95:P95),IF(AND($F$2="Yes", $F$3="No"), SUM(H95:J95,M95:P95)+L95, IF(AND($F$2="No", $F$3="Yes"),SUM(H95:J95,M95:P95)+K95, SUM(H95:J95,M95:P95)+L95+K95)))</f>
        <v>1.4515160933234832</v>
      </c>
      <c r="G95" s="259">
        <f>SUM(R95:T95)/(1-'Common input data'!B$125)</f>
        <v>3.9903628033348064</v>
      </c>
      <c r="H95" s="85">
        <v>0</v>
      </c>
      <c r="I95" s="85">
        <v>0</v>
      </c>
      <c r="J95" s="85">
        <v>0</v>
      </c>
      <c r="K95" s="85">
        <v>0</v>
      </c>
      <c r="L95" s="85">
        <v>0</v>
      </c>
      <c r="M95" s="85">
        <v>0</v>
      </c>
      <c r="N95" s="85">
        <v>0</v>
      </c>
      <c r="O95" s="85">
        <f>'Input data fish and seafood'!G14*'Input data fish and seafood'!B42</f>
        <v>1.4515160933234832</v>
      </c>
      <c r="P95" s="85">
        <v>0</v>
      </c>
      <c r="Q95" s="90">
        <f>'Input data fish and seafood'!B89*'Input data fish and seafood'!B97*'Common input data'!B63</f>
        <v>6.0139999999999999E-2</v>
      </c>
      <c r="R95" s="85">
        <f>(F95+Q95)/'Input data fish and seafood'!$H$14</f>
        <v>3.2162895602627306</v>
      </c>
      <c r="S95" s="85">
        <f>'Common input data'!B94</f>
        <v>0.1</v>
      </c>
      <c r="T95" s="207">
        <f>'Input data fish and seafood'!B111*'Common input data'!B98+'Common input data'!C98</f>
        <v>0.08</v>
      </c>
    </row>
    <row r="96" spans="1:312" x14ac:dyDescent="0.3">
      <c r="A96" s="322"/>
      <c r="C96" s="45"/>
      <c r="D96" s="83" t="s">
        <v>165</v>
      </c>
      <c r="E96" s="258">
        <v>0</v>
      </c>
      <c r="F96" s="88">
        <f>SUM(H96:J96,M96:P96)</f>
        <v>6.4297268464790218E-4</v>
      </c>
      <c r="G96" s="259">
        <f>SUM(R96:T96)/(1-'Common input data'!B$125)</f>
        <v>1.6073199626993489E-3</v>
      </c>
      <c r="H96" s="85">
        <v>0</v>
      </c>
      <c r="I96" s="85">
        <v>0</v>
      </c>
      <c r="J96" s="85">
        <v>0</v>
      </c>
      <c r="K96" s="85">
        <v>0</v>
      </c>
      <c r="L96" s="85">
        <v>0</v>
      </c>
      <c r="M96" s="85">
        <v>0</v>
      </c>
      <c r="N96" s="85">
        <v>0</v>
      </c>
      <c r="O96" s="85">
        <f>'Input data fish and seafood'!G14*'Input data fish and seafood'!B43</f>
        <v>6.4297268464790218E-4</v>
      </c>
      <c r="P96" s="85">
        <v>0</v>
      </c>
      <c r="Q96" s="90">
        <v>0</v>
      </c>
      <c r="R96" s="85">
        <f>(F96+Q96)/'Input data fish and seafood'!$H$14</f>
        <v>1.368026988612558E-3</v>
      </c>
      <c r="S96" s="85">
        <v>0</v>
      </c>
      <c r="T96" s="207">
        <v>0</v>
      </c>
    </row>
    <row r="97" spans="1:20" x14ac:dyDescent="0.3">
      <c r="A97" s="174"/>
      <c r="C97" s="85"/>
      <c r="D97" s="84" t="s">
        <v>166</v>
      </c>
      <c r="E97" s="258">
        <v>0</v>
      </c>
      <c r="F97" s="88">
        <f>SUM(H97:J97,M97:P97)</f>
        <v>3.9002803350631003E-5</v>
      </c>
      <c r="G97" s="259">
        <f>SUM(R97:T97)/(1-'Common input data'!B$125)</f>
        <v>9.7500229673109481E-5</v>
      </c>
      <c r="H97" s="85">
        <v>0</v>
      </c>
      <c r="I97" s="85">
        <v>0</v>
      </c>
      <c r="J97" s="85">
        <v>0</v>
      </c>
      <c r="K97" s="85">
        <v>0</v>
      </c>
      <c r="L97" s="85">
        <v>0</v>
      </c>
      <c r="M97" s="85">
        <v>0</v>
      </c>
      <c r="N97" s="85">
        <v>0</v>
      </c>
      <c r="O97" s="85">
        <f>'Input data fish and seafood'!G14*'Input data fish and seafood'!B44</f>
        <v>3.9002803350631003E-5</v>
      </c>
      <c r="P97" s="85">
        <v>0</v>
      </c>
      <c r="Q97" s="90">
        <v>0</v>
      </c>
      <c r="R97" s="85">
        <f>(F97+Q97)/'Input data fish and seafood'!$H$14</f>
        <v>8.2984687980065973E-5</v>
      </c>
      <c r="S97" s="85">
        <v>0</v>
      </c>
      <c r="T97" s="207">
        <v>0</v>
      </c>
    </row>
    <row r="98" spans="1:20" x14ac:dyDescent="0.3">
      <c r="A98" s="174"/>
      <c r="C98" s="85"/>
      <c r="D98" s="84" t="s">
        <v>414</v>
      </c>
      <c r="E98" s="258">
        <v>0</v>
      </c>
      <c r="F98" s="88">
        <f>SUM(H98:J98,M98:P98)</f>
        <v>2.4000000000000001E-4</v>
      </c>
      <c r="G98" s="259">
        <f>SUM(R98:T98)/(1-'Common input data'!B$125)</f>
        <v>5.9995828790003383E-4</v>
      </c>
      <c r="H98" s="85">
        <v>0</v>
      </c>
      <c r="I98" s="85">
        <v>0</v>
      </c>
      <c r="J98" s="85">
        <v>0</v>
      </c>
      <c r="K98" s="85">
        <v>0</v>
      </c>
      <c r="L98" s="85">
        <v>0</v>
      </c>
      <c r="M98" s="85">
        <v>0</v>
      </c>
      <c r="N98" s="85">
        <v>0</v>
      </c>
      <c r="O98" s="85">
        <v>0</v>
      </c>
      <c r="P98" s="85">
        <f>'Input data fish and seafood'!C49</f>
        <v>2.4000000000000001E-4</v>
      </c>
      <c r="Q98" s="90">
        <v>0</v>
      </c>
      <c r="R98" s="85">
        <f>(F98+Q98)/'Input data fish and seafood'!$H$14</f>
        <v>5.1063829787234051E-4</v>
      </c>
      <c r="S98" s="85">
        <v>0</v>
      </c>
      <c r="T98" s="207">
        <v>0</v>
      </c>
    </row>
    <row r="99" spans="1:20" x14ac:dyDescent="0.3">
      <c r="A99" s="219" t="s">
        <v>309</v>
      </c>
      <c r="B99" s="209" t="s">
        <v>578</v>
      </c>
      <c r="C99" s="209">
        <f>'Input data fish and seafood'!E15</f>
        <v>0.4</v>
      </c>
      <c r="D99" s="269" t="s">
        <v>473</v>
      </c>
      <c r="E99" s="345">
        <f>IF($F$1="GWP100 without fb",E100+E101*'Common input data'!$C$5+E102*'Common input data'!$D$5+E103*'Common input data'!$E$5,IF($F$1="GWP100 with fb",E100+E101*'Common input data'!$C$6+E102*'Common input data'!$D$6+E103*'Common input data'!$E$6,IF($F$1="GTP100 without fb",E100+E101*'Common input data'!$C$7+E102*'Common input data'!$D$7+E103*'Common input data'!$E$7,IF($F$1="GTP100 with fb",E100+E101*'Common input data'!$C$8+E102*'Common input data'!$D$8+E103*'Common input data'!$E$8,E100+E101*'Common input data'!$C$9+E102*'Common input data'!$D$9+E103*'Common input data'!$E$9))))</f>
        <v>0</v>
      </c>
      <c r="F99" s="346">
        <f>IF($F$1="GWP100 without fb",F100+F101*'Common input data'!$C$5+F102*'Common input data'!$D$5+F103*'Common input data'!$E$5,IF($F$1="GWP100 with fb",F100+F101*'Common input data'!$C$6+F102*'Common input data'!$D$6+F103*'Common input data'!$E$6,IF($F$1="GTP100 without fb",F100+F101*'Common input data'!$C$7+F102*'Common input data'!$D$7+F103*'Common input data'!$E$7,IF($F$1="GTP100 with fb",F100+F101*'Common input data'!$C$8+F102*'Common input data'!$D$8+F103*'Common input data'!$E$8,F100+F101*'Common input data'!$C$9+F102*'Common input data'!$D$9+F103*'Common input data'!$E$9))))</f>
        <v>1.7264399999999998</v>
      </c>
      <c r="G99" s="347">
        <f>IF($F$1="GWP100 without fb",G100+G101*'Common input data'!$C$5+G102*'Common input data'!$D$5+G103*'Common input data'!$E$5,IF($F$1="GWP100 with fb",G100+G101*'Common input data'!$C$6+G102*'Common input data'!$D$6+G103*'Common input data'!$E$6,IF($F$1="GTP100 without fb",G100+G101*'Common input data'!$C$7+G102*'Common input data'!$D$7+G103*'Common input data'!$E$7,IF($F$1="GTP100 with fb",G100+G101*'Common input data'!$C$8+G102*'Common input data'!$D$8+G103*'Common input data'!$E$8,G100+G101*'Common input data'!$C$9+G102*'Common input data'!$D$9+G103*'Common input data'!$E$9))))</f>
        <v>4.6776247881366046</v>
      </c>
      <c r="H99" s="302"/>
      <c r="I99" s="104"/>
      <c r="J99" s="104"/>
      <c r="K99" s="223"/>
      <c r="L99" s="223"/>
      <c r="M99" s="223"/>
      <c r="N99" s="223"/>
      <c r="O99" s="223"/>
      <c r="P99" s="223"/>
      <c r="Q99" s="223"/>
      <c r="R99" s="223"/>
      <c r="S99" s="223"/>
      <c r="T99" s="331"/>
    </row>
    <row r="100" spans="1:20" x14ac:dyDescent="0.3">
      <c r="A100" s="144"/>
      <c r="C100" s="157"/>
      <c r="D100" s="83" t="s">
        <v>164</v>
      </c>
      <c r="E100" s="334">
        <f>IF(AND($F$2="No",$F$3="No"),SUM(J100),IF(AND($F$2="Yes", $F$3="No"), SUM(J100)+L100, IF(AND($F$2="No", $F$3="Yes"),SUM(J100)+K100, SUM(J100)+L100+K100)))</f>
        <v>0</v>
      </c>
      <c r="F100" s="88">
        <f>IF(AND($F$2="No",$F$3="No"),SUM(H100:J100,M100:P100),IF(AND($F$2="Yes", $F$3="No"), SUM(H100:J100,M100:P100)+L100, IF(AND($F$2="No", $F$3="Yes"),SUM(H100:J100,M100:P100)+K100, SUM(H100:J100,M100:P100)+L100+K100)))</f>
        <v>1.1934687878437529</v>
      </c>
      <c r="G100" s="259">
        <f>SUM(R100:T100)/(1-'Common input data'!B$125)</f>
        <v>3.3452893883646566</v>
      </c>
      <c r="H100" s="85">
        <v>0</v>
      </c>
      <c r="I100" s="85">
        <v>0</v>
      </c>
      <c r="J100" s="85">
        <v>0</v>
      </c>
      <c r="K100" s="85">
        <v>0</v>
      </c>
      <c r="L100" s="85">
        <v>0</v>
      </c>
      <c r="M100" s="85">
        <v>0</v>
      </c>
      <c r="N100" s="85">
        <v>0</v>
      </c>
      <c r="O100" s="213">
        <f>'Input data fish and seafood'!G15*'Input data fish and seafood'!B42</f>
        <v>1.1934687878437529</v>
      </c>
      <c r="P100" s="85">
        <v>0</v>
      </c>
      <c r="Q100" s="90">
        <f>'Input data fish and seafood'!B89*'Input data fish and seafood'!B97*'Common input data'!B63</f>
        <v>6.0139999999999999E-2</v>
      </c>
      <c r="R100" s="85">
        <f>(F100+Q100)/'Input data fish and seafood'!$H$15</f>
        <v>2.6672527400930917</v>
      </c>
      <c r="S100" s="90">
        <f>'Common input data'!B94</f>
        <v>0.1</v>
      </c>
      <c r="T100" s="207">
        <f>'Input data fish and seafood'!B111*'Common input data'!B98+'Common input data'!C98</f>
        <v>0.08</v>
      </c>
    </row>
    <row r="101" spans="1:20" x14ac:dyDescent="0.3">
      <c r="A101" s="144"/>
      <c r="C101" s="84"/>
      <c r="D101" s="83" t="s">
        <v>165</v>
      </c>
      <c r="E101" s="258">
        <v>0</v>
      </c>
      <c r="F101" s="88">
        <f>SUM(H101:J101,M101:P101)</f>
        <v>5.2866642959938624E-4</v>
      </c>
      <c r="G101" s="259">
        <f>SUM(R101:T101)/(1-'Common input data'!B$125)</f>
        <v>1.3215741915527978E-3</v>
      </c>
      <c r="H101" s="85">
        <v>0</v>
      </c>
      <c r="I101" s="85">
        <v>0</v>
      </c>
      <c r="J101" s="85">
        <v>0</v>
      </c>
      <c r="K101" s="85">
        <v>0</v>
      </c>
      <c r="L101" s="85">
        <v>0</v>
      </c>
      <c r="M101" s="85">
        <v>0</v>
      </c>
      <c r="N101" s="85">
        <v>0</v>
      </c>
      <c r="O101" s="212">
        <f>'Input data fish and seafood'!G15*'Input data fish and seafood'!B43</f>
        <v>5.2866642959938624E-4</v>
      </c>
      <c r="P101" s="85">
        <v>0</v>
      </c>
      <c r="Q101" s="90">
        <v>0</v>
      </c>
      <c r="R101" s="85">
        <f>(F101+Q101)/'Input data fish and seafood'!$H$15</f>
        <v>1.124822190636992E-3</v>
      </c>
      <c r="S101" s="90">
        <v>0</v>
      </c>
      <c r="T101" s="207">
        <v>0</v>
      </c>
    </row>
    <row r="102" spans="1:20" x14ac:dyDescent="0.3">
      <c r="A102" s="144"/>
      <c r="C102" s="85"/>
      <c r="D102" s="84" t="s">
        <v>166</v>
      </c>
      <c r="E102" s="258">
        <v>0</v>
      </c>
      <c r="F102" s="88">
        <f>SUM(H102:J102,M102:P102)</f>
        <v>3.2068971643852154E-5</v>
      </c>
      <c r="G102" s="259">
        <f>SUM(R102:T102)/(1-'Common input data'!B$125)</f>
        <v>8.0166855509001116E-5</v>
      </c>
      <c r="H102" s="85">
        <v>0</v>
      </c>
      <c r="I102" s="85">
        <v>0</v>
      </c>
      <c r="J102" s="85">
        <v>0</v>
      </c>
      <c r="K102" s="85">
        <v>0</v>
      </c>
      <c r="L102" s="85">
        <v>0</v>
      </c>
      <c r="M102" s="85">
        <v>0</v>
      </c>
      <c r="N102" s="85">
        <v>0</v>
      </c>
      <c r="O102" s="85">
        <f>'Input data fish and seafood'!G15*'Input data fish and seafood'!B44</f>
        <v>3.2068971643852154E-5</v>
      </c>
      <c r="P102" s="85">
        <v>0</v>
      </c>
      <c r="Q102" s="221">
        <v>0</v>
      </c>
      <c r="R102" s="85">
        <f>(F102+Q102)/'Input data fish and seafood'!$H$15</f>
        <v>6.8231854561387559E-5</v>
      </c>
      <c r="S102" s="94">
        <v>0</v>
      </c>
      <c r="T102" s="207">
        <v>0</v>
      </c>
    </row>
    <row r="103" spans="1:20" x14ac:dyDescent="0.3">
      <c r="A103" s="144"/>
      <c r="B103" s="84"/>
      <c r="C103" s="85"/>
      <c r="D103" s="84" t="s">
        <v>414</v>
      </c>
      <c r="E103" s="258">
        <v>0</v>
      </c>
      <c r="F103" s="88">
        <f>SUM(H103:J103,M103:P103)</f>
        <v>2.4000000000000001E-4</v>
      </c>
      <c r="G103" s="259">
        <f>SUM(R103:T103)/(1-'Common input data'!B$125)</f>
        <v>5.9995828790003383E-4</v>
      </c>
      <c r="H103" s="85">
        <v>0</v>
      </c>
      <c r="I103" s="85">
        <v>0</v>
      </c>
      <c r="J103" s="85">
        <v>0</v>
      </c>
      <c r="K103" s="85">
        <v>0</v>
      </c>
      <c r="L103" s="85">
        <v>0</v>
      </c>
      <c r="M103" s="85">
        <v>0</v>
      </c>
      <c r="N103" s="85">
        <v>0</v>
      </c>
      <c r="O103" s="85">
        <v>0</v>
      </c>
      <c r="P103" s="85">
        <f>'Input data fish and seafood'!C49</f>
        <v>2.4000000000000001E-4</v>
      </c>
      <c r="Q103" s="90">
        <v>0</v>
      </c>
      <c r="R103" s="85">
        <f>(F103+Q103)/'Input data fish and seafood'!$H$15</f>
        <v>5.1063829787234051E-4</v>
      </c>
      <c r="S103" s="90">
        <v>0</v>
      </c>
      <c r="T103" s="207">
        <v>0</v>
      </c>
    </row>
    <row r="104" spans="1:20" x14ac:dyDescent="0.3">
      <c r="A104" s="219" t="s">
        <v>309</v>
      </c>
      <c r="B104" s="209" t="s">
        <v>585</v>
      </c>
      <c r="C104" s="209">
        <f>'Input data fish and seafood'!E16</f>
        <v>0.1</v>
      </c>
      <c r="D104" s="269" t="s">
        <v>473</v>
      </c>
      <c r="E104" s="345">
        <f>IF($F$1="GWP100 without fb",E105+E106*'Common input data'!$C$5+E107*'Common input data'!$D$5+E108*'Common input data'!$E$5,IF($F$1="GWP100 with fb",E105+E106*'Common input data'!$C$6+E107*'Common input data'!$D$6+E108*'Common input data'!$E$6,IF($F$1="GTP100 without fb",E105+E106*'Common input data'!$C$7+E107*'Common input data'!$D$7+E108*'Common input data'!$E$7,IF($F$1="GTP100 with fb",E105+E106*'Common input data'!$C$8+E107*'Common input data'!$D$8+E108*'Common input data'!$E$8,E105+E106*'Common input data'!$C$9+E107*'Common input data'!$D$9+E108*'Common input data'!$E$9))))</f>
        <v>0</v>
      </c>
      <c r="F104" s="346">
        <f>IF($F$1="GWP100 without fb",F105+F106*'Common input data'!$C$5+F107*'Common input data'!$D$5+F108*'Common input data'!$E$5,IF($F$1="GWP100 with fb",F105+F106*'Common input data'!$C$6+F107*'Common input data'!$D$6+F108*'Common input data'!$E$6,IF($F$1="GTP100 without fb",F105+F106*'Common input data'!$C$7+F107*'Common input data'!$D$7+F108*'Common input data'!$E$7,IF($F$1="GTP100 with fb",F105+F106*'Common input data'!$C$8+F107*'Common input data'!$D$8+F108*'Common input data'!$E$8,F105+F106*'Common input data'!$C$9+F107*'Common input data'!$D$9+F108*'Common input data'!$E$9))))</f>
        <v>1.4624399999999997</v>
      </c>
      <c r="G104" s="347">
        <f>IF($F$1="GWP100 without fb",G105+G106*'Common input data'!$C$5+G107*'Common input data'!$D$5+G108*'Common input data'!$E$5,IF($F$1="GWP100 with fb",G105+G106*'Common input data'!$C$6+G107*'Common input data'!$D$6+G108*'Common input data'!$E$6,IF($F$1="GTP100 without fb",G105+G106*'Common input data'!$C$7+G107*'Common input data'!$D$7+G108*'Common input data'!$E$7,IF($F$1="GTP100 with fb",G105+G106*'Common input data'!$C$8+G107*'Common input data'!$D$8+G108*'Common input data'!$E$8,G105+G106*'Common input data'!$C$9+G107*'Common input data'!$D$9+G108*'Common input data'!$E$9))))</f>
        <v>4.0176706714465666</v>
      </c>
      <c r="H104" s="302"/>
      <c r="I104" s="104"/>
      <c r="J104" s="104"/>
      <c r="K104" s="223"/>
      <c r="L104" s="223"/>
      <c r="M104" s="223"/>
      <c r="N104" s="223"/>
      <c r="O104" s="223"/>
      <c r="P104" s="223"/>
      <c r="Q104" s="223"/>
      <c r="R104" s="223"/>
      <c r="S104" s="223"/>
      <c r="T104" s="331"/>
    </row>
    <row r="105" spans="1:20" x14ac:dyDescent="0.3">
      <c r="A105" s="144"/>
      <c r="B105" s="84"/>
      <c r="C105" s="157"/>
      <c r="D105" s="83" t="s">
        <v>164</v>
      </c>
      <c r="E105" s="334">
        <f>IF(AND($F$2="No",$F$3="No"),SUM(J105),IF(AND($F$2="Yes", $F$3="No"), SUM(J105)+L105, IF(AND($F$2="No", $F$3="Yes"),SUM(J105)+K105, SUM(J105)+L105+K105)))</f>
        <v>0</v>
      </c>
      <c r="F105" s="88">
        <f>IF(AND($F$2="No",$F$3="No"),SUM(H105:J105,M105:P105),IF(AND($F$2="Yes", $F$3="No"), SUM(H105:J105,M105:P105)+L105, IF(AND($F$2="No", $F$3="Yes"),SUM(H105:J105,M105:P105)+K105, SUM(H105:J105,M105:P105)+L105+K105)))</f>
        <v>0.93542148236402234</v>
      </c>
      <c r="G105" s="259">
        <f>SUM(R105:T105)/(1-'Common input data'!B$125)</f>
        <v>2.7002159733945055</v>
      </c>
      <c r="H105" s="85">
        <v>0</v>
      </c>
      <c r="I105" s="85">
        <v>0</v>
      </c>
      <c r="J105" s="85">
        <v>0</v>
      </c>
      <c r="K105" s="85">
        <v>0</v>
      </c>
      <c r="L105" s="85">
        <v>0</v>
      </c>
      <c r="M105" s="85">
        <v>0</v>
      </c>
      <c r="N105" s="85">
        <v>0</v>
      </c>
      <c r="O105" s="85">
        <f>'Input data fish and seafood'!G16*'Input data fish and seafood'!B42</f>
        <v>0.93542148236402234</v>
      </c>
      <c r="P105" s="85">
        <v>0</v>
      </c>
      <c r="Q105" s="85">
        <f>'Input data fish and seafood'!B89*'Input data fish and seafood'!B97*'Common input data'!B63</f>
        <v>6.0139999999999999E-2</v>
      </c>
      <c r="R105" s="85">
        <f>(F105+Q105)/'Input data fish and seafood'!$H$16</f>
        <v>2.1182159199234518</v>
      </c>
      <c r="S105" s="85">
        <f>'Common input data'!B94</f>
        <v>0.1</v>
      </c>
      <c r="T105" s="207">
        <f>'Input data fish and seafood'!B111*'Common input data'!B98+'Common input data'!C98</f>
        <v>0.08</v>
      </c>
    </row>
    <row r="106" spans="1:20" x14ac:dyDescent="0.3">
      <c r="A106" s="144"/>
      <c r="B106" s="84"/>
      <c r="C106" s="84"/>
      <c r="D106" s="83" t="s">
        <v>165</v>
      </c>
      <c r="E106" s="258">
        <v>0</v>
      </c>
      <c r="F106" s="88">
        <f>SUM(H106:J106,M106:P106)</f>
        <v>4.1436017455087024E-4</v>
      </c>
      <c r="G106" s="259">
        <f>SUM(R106:T106)/(1-'Common input data'!B$125)</f>
        <v>1.0358284204062468E-3</v>
      </c>
      <c r="H106" s="85">
        <v>0</v>
      </c>
      <c r="I106" s="85">
        <v>0</v>
      </c>
      <c r="J106" s="85">
        <v>0</v>
      </c>
      <c r="K106" s="85">
        <v>0</v>
      </c>
      <c r="L106" s="85">
        <v>0</v>
      </c>
      <c r="M106" s="85">
        <v>0</v>
      </c>
      <c r="N106" s="85">
        <v>0</v>
      </c>
      <c r="O106" s="85">
        <f>'Input data fish and seafood'!G16*'Input data fish and seafood'!B43</f>
        <v>4.1436017455087024E-4</v>
      </c>
      <c r="P106" s="85">
        <v>0</v>
      </c>
      <c r="Q106" s="85">
        <v>0</v>
      </c>
      <c r="R106" s="85">
        <f>(F106+Q106)/'Input data fish and seafood'!$H$16</f>
        <v>8.8161739266142606E-4</v>
      </c>
      <c r="S106" s="85">
        <v>0</v>
      </c>
      <c r="T106" s="207">
        <v>0</v>
      </c>
    </row>
    <row r="107" spans="1:20" x14ac:dyDescent="0.3">
      <c r="A107" s="144"/>
      <c r="B107" s="84"/>
      <c r="C107" s="85"/>
      <c r="D107" s="84" t="s">
        <v>166</v>
      </c>
      <c r="E107" s="258">
        <v>0</v>
      </c>
      <c r="F107" s="88">
        <f>SUM(H107:J107,M107:P107)</f>
        <v>2.5135139937073311E-5</v>
      </c>
      <c r="G107" s="259">
        <f>SUM(R107:T107)/(1-'Common input data'!B$125)</f>
        <v>6.2833481344892763E-5</v>
      </c>
      <c r="H107" s="85">
        <v>0</v>
      </c>
      <c r="I107" s="85">
        <v>0</v>
      </c>
      <c r="J107" s="85">
        <v>0</v>
      </c>
      <c r="K107" s="85">
        <v>0</v>
      </c>
      <c r="L107" s="85">
        <v>0</v>
      </c>
      <c r="M107" s="85">
        <v>0</v>
      </c>
      <c r="N107" s="85">
        <v>0</v>
      </c>
      <c r="O107" s="85">
        <f>'Input data fish and seafood'!G16*'Input data fish and seafood'!B44</f>
        <v>2.5135139937073311E-5</v>
      </c>
      <c r="P107" s="85">
        <v>0</v>
      </c>
      <c r="Q107" s="85">
        <v>0</v>
      </c>
      <c r="R107" s="85">
        <f>(F107+Q107)/'Input data fish and seafood'!$H$16</f>
        <v>5.3479021142709173E-5</v>
      </c>
      <c r="S107" s="85">
        <v>0</v>
      </c>
      <c r="T107" s="207">
        <v>0</v>
      </c>
    </row>
    <row r="108" spans="1:20" x14ac:dyDescent="0.3">
      <c r="A108" s="144"/>
      <c r="B108" s="84"/>
      <c r="C108" s="85"/>
      <c r="D108" s="84" t="s">
        <v>414</v>
      </c>
      <c r="E108" s="258">
        <v>0</v>
      </c>
      <c r="F108" s="88">
        <f>SUM(H108:J108,M108:P108)</f>
        <v>2.4000000000000001E-4</v>
      </c>
      <c r="G108" s="259">
        <f>SUM(R108:T108)/(1-'Common input data'!B$125)</f>
        <v>5.9995828790003383E-4</v>
      </c>
      <c r="H108" s="85">
        <v>0</v>
      </c>
      <c r="I108" s="85">
        <v>0</v>
      </c>
      <c r="J108" s="85">
        <v>0</v>
      </c>
      <c r="K108" s="85">
        <v>0</v>
      </c>
      <c r="L108" s="85">
        <v>0</v>
      </c>
      <c r="M108" s="85">
        <v>0</v>
      </c>
      <c r="N108" s="85">
        <v>0</v>
      </c>
      <c r="O108" s="85">
        <v>0</v>
      </c>
      <c r="P108" s="85">
        <f>'Input data fish and seafood'!C49</f>
        <v>2.4000000000000001E-4</v>
      </c>
      <c r="Q108" s="85">
        <v>0</v>
      </c>
      <c r="R108" s="85">
        <f>(F108+Q108)/'Input data fish and seafood'!$H$16</f>
        <v>5.1063829787234051E-4</v>
      </c>
      <c r="S108" s="85">
        <v>0</v>
      </c>
      <c r="T108" s="207">
        <v>0</v>
      </c>
    </row>
    <row r="109" spans="1:20" x14ac:dyDescent="0.3">
      <c r="A109" s="219" t="s">
        <v>309</v>
      </c>
      <c r="B109" s="209" t="s">
        <v>569</v>
      </c>
      <c r="C109" s="209">
        <f>'Input data fish and seafood'!E17</f>
        <v>0.1</v>
      </c>
      <c r="D109" s="269" t="s">
        <v>473</v>
      </c>
      <c r="E109" s="345">
        <f>IF($F$1="GWP100 without fb",E110+E111*'Common input data'!$C$5+E112*'Common input data'!$D$5+E113*'Common input data'!$E$5,IF($F$1="GWP100 with fb",E110+E111*'Common input data'!$C$6+E112*'Common input data'!$D$6+E113*'Common input data'!$E$6,IF($F$1="GTP100 without fb",E110+E111*'Common input data'!$C$7+E112*'Common input data'!$D$7+E113*'Common input data'!$E$7,IF($F$1="GTP100 with fb",E110+E111*'Common input data'!$C$8+E112*'Common input data'!$D$8+E113*'Common input data'!$E$8,E110+E111*'Common input data'!$C$9+E112*'Common input data'!$D$9+E113*'Common input data'!$E$9))))</f>
        <v>0</v>
      </c>
      <c r="F109" s="346">
        <f>IF($F$1="GWP100 without fb",F110+F111*'Common input data'!$C$5+F112*'Common input data'!$D$5+F113*'Common input data'!$E$5,IF($F$1="GWP100 with fb",F110+F111*'Common input data'!$C$6+F112*'Common input data'!$D$6+F113*'Common input data'!$E$6,IF($F$1="GTP100 without fb",F110+F111*'Common input data'!$C$7+F112*'Common input data'!$D$7+F113*'Common input data'!$E$7,IF($F$1="GTP100 with fb",F110+F111*'Common input data'!$C$8+F112*'Common input data'!$D$8+F113*'Common input data'!$E$8,F110+F111*'Common input data'!$C$9+F112*'Common input data'!$D$9+F113*'Common input data'!$E$9))))</f>
        <v>1.82544</v>
      </c>
      <c r="G109" s="347">
        <f>IF($F$1="GWP100 without fb",G110+G111*'Common input data'!$C$5+G112*'Common input data'!$D$5+G113*'Common input data'!$E$5,IF($F$1="GWP100 with fb",G110+G111*'Common input data'!$C$6+G112*'Common input data'!$D$6+G113*'Common input data'!$E$6,IF($F$1="GTP100 without fb",G110+G111*'Common input data'!$C$7+G112*'Common input data'!$D$7+G113*'Common input data'!$E$7,IF($F$1="GTP100 with fb",G110+G111*'Common input data'!$C$8+G112*'Common input data'!$D$8+G113*'Common input data'!$E$8,G110+G111*'Common input data'!$C$9+G112*'Common input data'!$D$9+G113*'Common input data'!$E$9))))</f>
        <v>4.9251075818953689</v>
      </c>
      <c r="H109" s="302"/>
      <c r="I109" s="104"/>
      <c r="J109" s="104"/>
      <c r="K109" s="223"/>
      <c r="L109" s="223"/>
      <c r="M109" s="223"/>
      <c r="N109" s="223"/>
      <c r="O109" s="223"/>
      <c r="P109" s="223"/>
      <c r="Q109" s="223"/>
      <c r="R109" s="223"/>
      <c r="S109" s="223"/>
      <c r="T109" s="331"/>
    </row>
    <row r="110" spans="1:20" x14ac:dyDescent="0.3">
      <c r="A110" s="144"/>
      <c r="B110" s="84"/>
      <c r="C110" s="157"/>
      <c r="D110" s="83" t="s">
        <v>164</v>
      </c>
      <c r="E110" s="334">
        <f>IF(AND($F$2="No",$F$3="No"),SUM(J110),IF(AND($F$2="Yes", $F$3="No"), SUM(J110)+L110, IF(AND($F$2="No", $F$3="Yes"),SUM(J110)+K110, SUM(J110)+L110+K110)))</f>
        <v>0</v>
      </c>
      <c r="F110" s="88">
        <f>IF(AND($F$2="No",$F$3="No"),SUM(H110:J110,M110:P110),IF(AND($F$2="Yes", $F$3="No"), SUM(H110:J110,M110:P110)+L110, IF(AND($F$2="No", $F$3="Yes"),SUM(H110:J110,M110:P110)+K110, SUM(H110:J110,M110:P110)+L110+K110)))</f>
        <v>1.2902365273986518</v>
      </c>
      <c r="G110" s="259">
        <f>SUM(R110:T110)/(1-'Common input data'!B$125)</f>
        <v>3.5871919189784625</v>
      </c>
      <c r="H110" s="85">
        <v>0</v>
      </c>
      <c r="I110" s="85">
        <v>0</v>
      </c>
      <c r="J110" s="85">
        <v>0</v>
      </c>
      <c r="K110" s="85">
        <v>0</v>
      </c>
      <c r="L110" s="85">
        <v>0</v>
      </c>
      <c r="M110" s="85">
        <v>0</v>
      </c>
      <c r="N110" s="85">
        <v>0</v>
      </c>
      <c r="O110" s="85">
        <f>'Input data fish and seafood'!G17*'Input data fish and seafood'!B42</f>
        <v>1.2902365273986518</v>
      </c>
      <c r="P110" s="85">
        <v>0</v>
      </c>
      <c r="Q110" s="85">
        <f>'Input data fish and seafood'!B89*'Input data fish and seafood'!B97*'Common input data'!B63</f>
        <v>6.0139999999999999E-2</v>
      </c>
      <c r="R110" s="85">
        <f>(F110+Q110)/'Input data fish and seafood'!$H$17</f>
        <v>2.8731415476567062</v>
      </c>
      <c r="S110" s="85">
        <f>'Common input data'!B94</f>
        <v>0.1</v>
      </c>
      <c r="T110" s="207">
        <f>'Input data fish and seafood'!B111*'Common input data'!B98+'Common input data'!C98</f>
        <v>0.08</v>
      </c>
    </row>
    <row r="111" spans="1:20" x14ac:dyDescent="0.3">
      <c r="A111" s="144"/>
      <c r="B111" s="84"/>
      <c r="C111" s="84"/>
      <c r="D111" s="83" t="s">
        <v>165</v>
      </c>
      <c r="E111" s="258">
        <v>0</v>
      </c>
      <c r="F111" s="88">
        <f>SUM(H111:J111,M111:P111)</f>
        <v>5.7153127524257972E-4</v>
      </c>
      <c r="G111" s="259">
        <f>SUM(R111:T111)/(1-'Common input data'!B$125)</f>
        <v>1.4287288557327546E-3</v>
      </c>
      <c r="H111" s="85">
        <v>0</v>
      </c>
      <c r="I111" s="85">
        <v>0</v>
      </c>
      <c r="J111" s="85">
        <v>0</v>
      </c>
      <c r="K111" s="85">
        <v>0</v>
      </c>
      <c r="L111" s="85">
        <v>0</v>
      </c>
      <c r="M111" s="85">
        <v>0</v>
      </c>
      <c r="N111" s="85">
        <v>0</v>
      </c>
      <c r="O111" s="85">
        <f>'Input data fish and seafood'!G17*'Input data fish and seafood'!B43</f>
        <v>5.7153127524257972E-4</v>
      </c>
      <c r="P111" s="85">
        <v>0</v>
      </c>
      <c r="Q111" s="85">
        <v>0</v>
      </c>
      <c r="R111" s="85">
        <f>(F111+Q111)/'Input data fish and seafood'!$H$17</f>
        <v>1.2160239898778293E-3</v>
      </c>
      <c r="S111" s="85">
        <v>0</v>
      </c>
      <c r="T111" s="207">
        <v>0</v>
      </c>
    </row>
    <row r="112" spans="1:20" x14ac:dyDescent="0.3">
      <c r="A112" s="144"/>
      <c r="B112" s="84"/>
      <c r="C112" s="85"/>
      <c r="D112" s="84" t="s">
        <v>166</v>
      </c>
      <c r="E112" s="258">
        <v>0</v>
      </c>
      <c r="F112" s="88">
        <f>SUM(H112:J112,M112:P112)</f>
        <v>3.4669158533894227E-5</v>
      </c>
      <c r="G112" s="259">
        <f>SUM(R112:T112)/(1-'Common input data'!B$125)</f>
        <v>8.6666870820541761E-5</v>
      </c>
      <c r="H112" s="85">
        <v>0</v>
      </c>
      <c r="I112" s="85">
        <v>0</v>
      </c>
      <c r="J112" s="85">
        <v>0</v>
      </c>
      <c r="K112" s="85">
        <v>0</v>
      </c>
      <c r="L112" s="85">
        <v>0</v>
      </c>
      <c r="M112" s="85">
        <v>0</v>
      </c>
      <c r="N112" s="85">
        <v>0</v>
      </c>
      <c r="O112" s="85">
        <f>'Input data fish and seafood'!G17*'Input data fish and seafood'!B44</f>
        <v>3.4669158533894227E-5</v>
      </c>
      <c r="P112" s="85">
        <v>0</v>
      </c>
      <c r="Q112" s="85">
        <v>0</v>
      </c>
      <c r="R112" s="85">
        <f>(F112+Q112)/'Input data fish and seafood'!$H$17</f>
        <v>7.3764167093391973E-5</v>
      </c>
      <c r="S112" s="85">
        <v>0</v>
      </c>
      <c r="T112" s="207">
        <v>0</v>
      </c>
    </row>
    <row r="113" spans="1:312" x14ac:dyDescent="0.3">
      <c r="A113" s="145"/>
      <c r="B113" s="100"/>
      <c r="C113" s="101"/>
      <c r="D113" s="100" t="s">
        <v>414</v>
      </c>
      <c r="E113" s="771">
        <v>0</v>
      </c>
      <c r="F113" s="105">
        <f>SUM(H113:J113,M113:P113)</f>
        <v>2.4000000000000001E-4</v>
      </c>
      <c r="G113" s="790">
        <f>SUM(R113:T113)/(1-'Common input data'!B$125)</f>
        <v>5.9995828790003383E-4</v>
      </c>
      <c r="H113" s="101">
        <v>0</v>
      </c>
      <c r="I113" s="101">
        <v>0</v>
      </c>
      <c r="J113" s="101">
        <v>0</v>
      </c>
      <c r="K113" s="101">
        <v>0</v>
      </c>
      <c r="L113" s="101">
        <v>0</v>
      </c>
      <c r="M113" s="101">
        <v>0</v>
      </c>
      <c r="N113" s="101">
        <v>0</v>
      </c>
      <c r="O113" s="101">
        <v>0</v>
      </c>
      <c r="P113" s="101">
        <f>'Input data fish and seafood'!C49</f>
        <v>2.4000000000000001E-4</v>
      </c>
      <c r="Q113" s="101">
        <v>0</v>
      </c>
      <c r="R113" s="101">
        <f>(F113+Q113)/'Input data fish and seafood'!$H$17</f>
        <v>5.1063829787234051E-4</v>
      </c>
      <c r="S113" s="101">
        <v>0</v>
      </c>
      <c r="T113" s="220">
        <v>0</v>
      </c>
    </row>
    <row r="114" spans="1:312" x14ac:dyDescent="0.3">
      <c r="A114" s="311" t="s">
        <v>575</v>
      </c>
      <c r="B114" s="312"/>
      <c r="C114" s="313"/>
      <c r="D114" s="314"/>
      <c r="E114" s="767" t="s">
        <v>802</v>
      </c>
      <c r="F114" s="768" t="s">
        <v>802</v>
      </c>
      <c r="G114" s="590" t="s">
        <v>790</v>
      </c>
      <c r="H114" s="313"/>
      <c r="I114" s="313"/>
      <c r="J114" s="313"/>
      <c r="K114" s="316"/>
      <c r="L114" s="316"/>
      <c r="M114" s="317"/>
      <c r="N114" s="316"/>
      <c r="O114" s="316"/>
      <c r="P114" s="316"/>
      <c r="Q114" s="316"/>
      <c r="R114" s="316"/>
      <c r="S114" s="316"/>
      <c r="T114" s="318"/>
    </row>
    <row r="115" spans="1:312" s="241" customFormat="1" x14ac:dyDescent="0.3">
      <c r="A115" s="139" t="s">
        <v>576</v>
      </c>
      <c r="B115" s="410" t="s">
        <v>568</v>
      </c>
      <c r="C115" s="411">
        <f>'Input data fish and seafood'!E18</f>
        <v>1</v>
      </c>
      <c r="D115" s="325" t="s">
        <v>473</v>
      </c>
      <c r="E115" s="784">
        <f>IF($F$1="GWP100 without fb",E116+E117*'Common input data'!$C$5+E118*'Common input data'!$D$5+E119*'Common input data'!$E$5,IF($F$1="GWP100 with fb",E116+E117*'Common input data'!$C$6+E118*'Common input data'!$D$6+E119*'Common input data'!$E$6,IF($F$1="GTP100 without fb",E116+E117*'Common input data'!$C$7+E118*'Common input data'!$D$7+E119*'Common input data'!$E$7,IF($F$1="GTP100 with fb",E116+E117*'Common input data'!$C$8+E118*'Common input data'!$D$8+E119*'Common input data'!$E$8,E116+E117*'Common input data'!$C$9+E118*'Common input data'!$D$9+E119*'Common input data'!$E$9))))</f>
        <v>0</v>
      </c>
      <c r="F115" s="782">
        <f>IF($F$1="GWP100 without fb",F116+F117*'Common input data'!$C$5+F118*'Common input data'!$D$5+F119*'Common input data'!$E$5,IF($F$1="GWP100 with fb",F116+F117*'Common input data'!$C$6+F118*'Common input data'!$D$6+F119*'Common input data'!$E$6,IF($F$1="GTP100 without fb",F116+F117*'Common input data'!$C$7+F118*'Common input data'!$D$7+F119*'Common input data'!$E$7,IF($F$1="GTP100 with fb",F116+F117*'Common input data'!$C$8+F118*'Common input data'!$D$8+F119*'Common input data'!$E$8,F116+F117*'Common input data'!$C$9+F118*'Common input data'!$D$9+F119*'Common input data'!$E$9))))</f>
        <v>4.3004399999999992</v>
      </c>
      <c r="G115" s="785">
        <f>IF($F$1="GWP100 without fb",G116+G117*'Common input data'!$C$5+G118*'Common input data'!$D$5+G119*'Common input data'!$E$5,IF($F$1="GWP100 with fb",G116+G117*'Common input data'!$C$6+G118*'Common input data'!$D$6+G119*'Common input data'!$E$6,IF($F$1="GTP100 without fb",G116+G117*'Common input data'!$C$7+G118*'Common input data'!$D$7+G119*'Common input data'!$E$7,IF($F$1="GTP100 with fb",G116+G117*'Common input data'!$C$8+G118*'Common input data'!$D$8+G119*'Common input data'!$E$8,G116+G117*'Common input data'!$C$9+G118*'Common input data'!$D$9+G119*'Common input data'!$E$9))))</f>
        <v>14.442944465397151</v>
      </c>
      <c r="H115" s="326"/>
      <c r="I115" s="137"/>
      <c r="J115" s="137"/>
      <c r="K115" s="408"/>
      <c r="L115" s="408"/>
      <c r="M115" s="408"/>
      <c r="N115" s="408"/>
      <c r="O115" s="408"/>
      <c r="P115" s="408"/>
      <c r="Q115" s="408"/>
      <c r="R115" s="408"/>
      <c r="S115" s="408"/>
      <c r="T115" s="409"/>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c r="AV115" s="64"/>
      <c r="AW115" s="64"/>
      <c r="AX115" s="64"/>
      <c r="AY115" s="64"/>
      <c r="AZ115" s="64"/>
      <c r="BA115" s="64"/>
      <c r="BB115" s="64"/>
      <c r="BC115" s="64"/>
      <c r="BD115" s="64"/>
      <c r="BE115" s="64"/>
      <c r="BF115" s="64"/>
      <c r="BG115" s="64"/>
      <c r="BH115" s="64"/>
      <c r="BI115" s="64"/>
      <c r="BJ115" s="64"/>
      <c r="BK115" s="64"/>
      <c r="BL115" s="64"/>
      <c r="BM115" s="64"/>
      <c r="BN115" s="64"/>
      <c r="BO115" s="64"/>
      <c r="BP115" s="64"/>
      <c r="BQ115" s="64"/>
      <c r="BR115" s="64"/>
      <c r="BS115" s="64"/>
      <c r="BT115" s="64"/>
      <c r="BU115" s="64"/>
      <c r="BV115" s="64"/>
      <c r="BW115" s="64"/>
      <c r="BX115" s="64"/>
      <c r="BY115" s="64"/>
      <c r="BZ115" s="64"/>
      <c r="CA115" s="64"/>
      <c r="CB115" s="64"/>
      <c r="CC115" s="64"/>
      <c r="CD115" s="64"/>
      <c r="CE115" s="64"/>
      <c r="CF115" s="64"/>
      <c r="CG115" s="64"/>
      <c r="CH115" s="64"/>
      <c r="CI115" s="64"/>
      <c r="CJ115" s="64"/>
      <c r="CK115" s="64"/>
      <c r="CL115" s="64"/>
      <c r="CM115" s="64"/>
      <c r="CN115" s="64"/>
      <c r="CO115" s="64"/>
      <c r="CP115" s="64"/>
      <c r="CQ115" s="64"/>
      <c r="CR115" s="64"/>
      <c r="CS115" s="64"/>
      <c r="CT115" s="64"/>
      <c r="CU115" s="64"/>
      <c r="CV115" s="64"/>
      <c r="CW115" s="64"/>
      <c r="CX115" s="64"/>
      <c r="CY115" s="64"/>
      <c r="CZ115" s="64"/>
      <c r="DA115" s="64"/>
      <c r="DB115" s="64"/>
      <c r="DC115" s="64"/>
      <c r="DD115" s="64"/>
      <c r="DE115" s="64"/>
      <c r="DF115" s="64"/>
      <c r="DG115" s="64"/>
      <c r="DH115" s="64"/>
      <c r="DI115" s="64"/>
      <c r="DJ115" s="64"/>
      <c r="DK115" s="64"/>
      <c r="DL115" s="64"/>
      <c r="DM115" s="64"/>
      <c r="DN115" s="64"/>
      <c r="DO115" s="64"/>
      <c r="DP115" s="64"/>
      <c r="DQ115" s="64"/>
      <c r="DR115" s="64"/>
      <c r="DS115" s="64"/>
      <c r="DT115" s="64"/>
      <c r="DU115" s="64"/>
      <c r="DV115" s="64"/>
      <c r="DW115" s="64"/>
      <c r="DX115" s="64"/>
      <c r="DY115" s="64"/>
      <c r="DZ115" s="64"/>
      <c r="EA115" s="64"/>
      <c r="EB115" s="64"/>
      <c r="EC115" s="64"/>
      <c r="ED115" s="64"/>
      <c r="EE115" s="64"/>
      <c r="EF115" s="64"/>
      <c r="EG115" s="64"/>
      <c r="EH115" s="64"/>
      <c r="EI115" s="64"/>
      <c r="EJ115" s="64"/>
      <c r="EK115" s="64"/>
      <c r="EL115" s="64"/>
      <c r="EM115" s="64"/>
      <c r="EN115" s="64"/>
      <c r="EO115" s="64"/>
      <c r="EP115" s="64"/>
      <c r="EQ115" s="64"/>
      <c r="ER115" s="64"/>
      <c r="ES115" s="64"/>
      <c r="ET115" s="64"/>
      <c r="EU115" s="64"/>
      <c r="EV115" s="64"/>
      <c r="EW115" s="64"/>
      <c r="EX115" s="64"/>
      <c r="EY115" s="64"/>
      <c r="EZ115" s="64"/>
      <c r="FA115" s="64"/>
      <c r="FB115" s="64"/>
      <c r="FC115" s="64"/>
      <c r="FD115" s="64"/>
      <c r="FE115" s="64"/>
      <c r="FF115" s="64"/>
      <c r="FG115" s="64"/>
      <c r="FH115" s="64"/>
      <c r="FI115" s="64"/>
      <c r="FJ115" s="64"/>
      <c r="FK115" s="64"/>
      <c r="FL115" s="64"/>
      <c r="FM115" s="64"/>
      <c r="FN115" s="64"/>
      <c r="FO115" s="64"/>
      <c r="FP115" s="64"/>
      <c r="FQ115" s="64"/>
      <c r="FR115" s="64"/>
      <c r="FS115" s="64"/>
      <c r="FT115" s="64"/>
      <c r="FU115" s="64"/>
      <c r="FV115" s="64"/>
      <c r="FW115" s="64"/>
      <c r="FX115" s="64"/>
      <c r="FY115" s="64"/>
      <c r="FZ115" s="64"/>
      <c r="GA115" s="64"/>
      <c r="GB115" s="64"/>
      <c r="GC115" s="64"/>
      <c r="GD115" s="64"/>
      <c r="GE115" s="64"/>
      <c r="GF115" s="64"/>
      <c r="GG115" s="64"/>
      <c r="GH115" s="64"/>
      <c r="GI115" s="64"/>
      <c r="GJ115" s="64"/>
      <c r="GK115" s="64"/>
      <c r="GL115" s="64"/>
      <c r="GM115" s="64"/>
      <c r="GN115" s="64"/>
      <c r="GO115" s="64"/>
      <c r="GP115" s="64"/>
      <c r="GQ115" s="64"/>
      <c r="GR115" s="64"/>
      <c r="GS115" s="64"/>
      <c r="GT115" s="64"/>
      <c r="GU115" s="64"/>
      <c r="GV115" s="64"/>
      <c r="GW115" s="64"/>
      <c r="GX115" s="64"/>
      <c r="GY115" s="64"/>
      <c r="GZ115" s="64"/>
      <c r="HA115" s="64"/>
      <c r="HB115" s="64"/>
      <c r="HC115" s="64"/>
      <c r="HD115" s="64"/>
      <c r="HE115" s="64"/>
      <c r="HF115" s="64"/>
      <c r="HG115" s="64"/>
      <c r="HH115" s="64"/>
      <c r="HI115" s="64"/>
      <c r="HJ115" s="64"/>
      <c r="HK115" s="64"/>
      <c r="HL115" s="64"/>
      <c r="HM115" s="64"/>
      <c r="HN115" s="64"/>
      <c r="HO115" s="64"/>
      <c r="HP115" s="64"/>
      <c r="HQ115" s="64"/>
      <c r="HR115" s="64"/>
      <c r="HS115" s="64"/>
      <c r="HT115" s="64"/>
      <c r="HU115" s="64"/>
      <c r="HV115" s="64"/>
      <c r="HW115" s="64"/>
      <c r="HX115" s="64"/>
      <c r="HY115" s="64"/>
      <c r="HZ115" s="64"/>
      <c r="IA115" s="64"/>
      <c r="IB115" s="64"/>
      <c r="IC115" s="64"/>
      <c r="ID115" s="64"/>
      <c r="IE115" s="64"/>
      <c r="IF115" s="64"/>
      <c r="IG115" s="64"/>
      <c r="IH115" s="64"/>
      <c r="II115" s="64"/>
      <c r="IJ115" s="64"/>
      <c r="IK115" s="64"/>
      <c r="IL115" s="64"/>
      <c r="IM115" s="64"/>
      <c r="IN115" s="64"/>
      <c r="IO115" s="64"/>
      <c r="IP115" s="64"/>
      <c r="IQ115" s="64"/>
      <c r="IR115" s="64"/>
      <c r="IS115" s="64"/>
      <c r="IT115" s="64"/>
      <c r="IU115" s="64"/>
      <c r="IV115" s="64"/>
      <c r="IW115" s="64"/>
      <c r="IX115" s="64"/>
      <c r="IY115" s="64"/>
      <c r="IZ115" s="64"/>
      <c r="JA115" s="64"/>
      <c r="JB115" s="64"/>
      <c r="JC115" s="64"/>
      <c r="JD115" s="64"/>
      <c r="JE115" s="64"/>
      <c r="JF115" s="64"/>
      <c r="JG115" s="64"/>
      <c r="JH115" s="64"/>
      <c r="JI115" s="64"/>
      <c r="JJ115" s="64"/>
      <c r="JK115" s="64"/>
      <c r="JL115" s="64"/>
      <c r="JM115" s="64"/>
      <c r="JN115" s="64"/>
      <c r="JO115" s="64"/>
      <c r="JP115" s="64"/>
      <c r="JQ115" s="64"/>
      <c r="JR115" s="64"/>
      <c r="JS115" s="64"/>
      <c r="JT115" s="64"/>
      <c r="JU115" s="64"/>
      <c r="JV115" s="64"/>
      <c r="JW115" s="64"/>
      <c r="JX115" s="64"/>
      <c r="JY115" s="64"/>
      <c r="JZ115" s="64"/>
      <c r="KA115" s="64"/>
      <c r="KB115" s="64"/>
      <c r="KC115" s="64"/>
      <c r="KD115" s="64"/>
      <c r="KE115" s="64"/>
      <c r="KF115" s="64"/>
      <c r="KG115" s="64"/>
      <c r="KH115" s="64"/>
      <c r="KI115" s="64"/>
      <c r="KJ115" s="64"/>
      <c r="KK115" s="64"/>
      <c r="KL115" s="64"/>
      <c r="KM115" s="64"/>
      <c r="KN115" s="64"/>
      <c r="KO115" s="64"/>
      <c r="KP115" s="64"/>
      <c r="KQ115" s="64"/>
      <c r="KR115" s="64"/>
      <c r="KS115" s="64"/>
      <c r="KT115" s="64"/>
      <c r="KU115" s="64"/>
      <c r="KV115" s="64"/>
      <c r="KW115" s="64"/>
      <c r="KX115" s="64"/>
      <c r="KY115" s="64"/>
      <c r="KZ115" s="64"/>
    </row>
    <row r="116" spans="1:312" x14ac:dyDescent="0.3">
      <c r="A116" s="144"/>
      <c r="B116" s="84"/>
      <c r="D116" s="83" t="s">
        <v>164</v>
      </c>
      <c r="E116" s="334">
        <f>IF(AND($F$2="No",$F$3="No"),SUM(J116),IF(AND($F$2="Yes", $F$3="No"), SUM(J116)+L116, IF(AND($F$2="No", $F$3="Yes"),SUM(J116)+K116, SUM(J116)+L116+K116)))</f>
        <v>0</v>
      </c>
      <c r="F116" s="88">
        <f>IF(AND($F$2="No",$F$3="No"),SUM(H116:J116,M116:P116),IF(AND($F$2="Yes", $F$3="No"), SUM(H116:J116,M116:P116)+L116, IF(AND($F$2="No", $F$3="Yes"),SUM(H116:J116,M116:P116)+K116, SUM(H116:J116,M116:P116)+L116+K116)))</f>
        <v>3.7094300162711233</v>
      </c>
      <c r="G116" s="259">
        <f>SUM(R116:T116)/(1-'Common input data'!B125)</f>
        <v>12.514087650052156</v>
      </c>
      <c r="H116" s="85">
        <v>0</v>
      </c>
      <c r="I116" s="85">
        <v>0</v>
      </c>
      <c r="J116" s="85">
        <v>0</v>
      </c>
      <c r="K116" s="85">
        <v>0</v>
      </c>
      <c r="L116" s="85">
        <v>0</v>
      </c>
      <c r="M116" s="85">
        <v>0</v>
      </c>
      <c r="N116" s="85">
        <v>0</v>
      </c>
      <c r="O116" s="85">
        <f>'Input data fish and seafood'!G18*'Input data fish and seafood'!B42</f>
        <v>3.7094300162711233</v>
      </c>
      <c r="P116" s="85">
        <v>0</v>
      </c>
      <c r="Q116" s="90">
        <f>'Input data fish and seafood'!B89*'Input data fish and seafood'!B98*'Common input data'!B63</f>
        <v>6.0139999999999999E-2</v>
      </c>
      <c r="R116" s="85">
        <f>(F116+Q116)/'Input data fish and seafood'!$H$18</f>
        <v>10.471027822975342</v>
      </c>
      <c r="S116" s="85">
        <f>'Common input data'!B94</f>
        <v>0.1</v>
      </c>
      <c r="T116" s="207">
        <f>'Input data fish and seafood'!B112*'Common input data'!B98+'Common input data'!C98</f>
        <v>0.08</v>
      </c>
    </row>
    <row r="117" spans="1:312" x14ac:dyDescent="0.3">
      <c r="A117" s="144"/>
      <c r="B117" s="84"/>
      <c r="C117" s="142"/>
      <c r="D117" s="83" t="s">
        <v>165</v>
      </c>
      <c r="E117" s="258">
        <v>0</v>
      </c>
      <c r="F117" s="88">
        <f>SUM(H117:J117,M117:P117)</f>
        <v>1.6431524163224166E-3</v>
      </c>
      <c r="G117" s="259">
        <f>SUM(R117:T117)/(1-'Common input data'!B125)</f>
        <v>5.362694073080234E-3</v>
      </c>
      <c r="H117" s="85">
        <v>0</v>
      </c>
      <c r="I117" s="85">
        <v>0</v>
      </c>
      <c r="J117" s="85">
        <v>0</v>
      </c>
      <c r="K117" s="85">
        <v>0</v>
      </c>
      <c r="L117" s="85">
        <v>0</v>
      </c>
      <c r="M117" s="85">
        <v>0</v>
      </c>
      <c r="N117" s="85">
        <v>0</v>
      </c>
      <c r="O117" s="85">
        <f>'Input data fish and seafood'!G18*'Input data fish and seafood'!B43</f>
        <v>1.6431524163224166E-3</v>
      </c>
      <c r="P117" s="85">
        <v>0</v>
      </c>
      <c r="Q117" s="90">
        <v>0</v>
      </c>
      <c r="R117" s="85">
        <f>(F117+Q117)/'Input data fish and seafood'!$H$18</f>
        <v>4.5643122675622684E-3</v>
      </c>
      <c r="S117" s="85">
        <v>0</v>
      </c>
      <c r="T117" s="207">
        <v>0</v>
      </c>
    </row>
    <row r="118" spans="1:312" x14ac:dyDescent="0.3">
      <c r="A118" s="174"/>
      <c r="B118" s="206"/>
      <c r="C118" s="85"/>
      <c r="D118" s="84" t="s">
        <v>166</v>
      </c>
      <c r="E118" s="258">
        <v>0</v>
      </c>
      <c r="F118" s="88">
        <f>SUM(H118:J118,M118:P118)</f>
        <v>9.9673830784945889E-5</v>
      </c>
      <c r="G118" s="259">
        <f>SUM(R118:T118)/(1-'Common input data'!B125)</f>
        <v>3.2530169221182509E-4</v>
      </c>
      <c r="H118" s="85">
        <v>0</v>
      </c>
      <c r="I118" s="85">
        <v>0</v>
      </c>
      <c r="J118" s="85">
        <v>0</v>
      </c>
      <c r="K118" s="85">
        <v>0</v>
      </c>
      <c r="L118" s="85">
        <v>0</v>
      </c>
      <c r="M118" s="85">
        <v>0</v>
      </c>
      <c r="N118" s="85">
        <v>0</v>
      </c>
      <c r="O118" s="85">
        <f>'Input data fish and seafood'!G18*'Input data fish and seafood'!B44</f>
        <v>9.9673830784945889E-5</v>
      </c>
      <c r="P118" s="85">
        <v>0</v>
      </c>
      <c r="Q118" s="90">
        <v>0</v>
      </c>
      <c r="R118" s="85">
        <f>(F118+Q118)/'Input data fish and seafood'!$H$18</f>
        <v>2.7687175218040524E-4</v>
      </c>
      <c r="S118" s="85">
        <v>0</v>
      </c>
      <c r="T118" s="207">
        <v>0</v>
      </c>
    </row>
    <row r="119" spans="1:312" x14ac:dyDescent="0.3">
      <c r="A119" s="172"/>
      <c r="B119" s="333"/>
      <c r="C119" s="101"/>
      <c r="D119" s="100" t="s">
        <v>414</v>
      </c>
      <c r="E119" s="771">
        <v>0</v>
      </c>
      <c r="F119" s="105">
        <f>SUM(H119:J119,M119:P119)</f>
        <v>2.4000000000000001E-4</v>
      </c>
      <c r="G119" s="790">
        <f>SUM(R119:T119)/(1-'Common input data'!B125)</f>
        <v>7.8327887586948858E-4</v>
      </c>
      <c r="H119" s="101">
        <v>0</v>
      </c>
      <c r="I119" s="101">
        <v>0</v>
      </c>
      <c r="J119" s="101">
        <v>0</v>
      </c>
      <c r="K119" s="101">
        <v>0</v>
      </c>
      <c r="L119" s="101">
        <v>0</v>
      </c>
      <c r="M119" s="101">
        <v>0</v>
      </c>
      <c r="N119" s="101">
        <v>0</v>
      </c>
      <c r="O119" s="101">
        <v>0</v>
      </c>
      <c r="P119" s="101">
        <f>'Input data fish and seafood'!C49</f>
        <v>2.4000000000000001E-4</v>
      </c>
      <c r="Q119" s="108">
        <v>0</v>
      </c>
      <c r="R119" s="101">
        <f>(F119+Q119)/'Input data fish and seafood'!$H$18</f>
        <v>6.6666666666666675E-4</v>
      </c>
      <c r="S119" s="101">
        <v>0</v>
      </c>
      <c r="T119" s="220">
        <v>0</v>
      </c>
    </row>
    <row r="120" spans="1:312" x14ac:dyDescent="0.3">
      <c r="A120" s="311" t="s">
        <v>577</v>
      </c>
      <c r="B120" s="312"/>
      <c r="C120" s="313"/>
      <c r="D120" s="314"/>
      <c r="E120" s="767" t="s">
        <v>802</v>
      </c>
      <c r="F120" s="768" t="s">
        <v>802</v>
      </c>
      <c r="G120" s="590" t="s">
        <v>790</v>
      </c>
      <c r="H120" s="313"/>
      <c r="I120" s="313"/>
      <c r="J120" s="313"/>
      <c r="K120" s="316"/>
      <c r="L120" s="316"/>
      <c r="M120" s="317"/>
      <c r="N120" s="316"/>
      <c r="O120" s="316"/>
      <c r="P120" s="316"/>
      <c r="Q120" s="316"/>
      <c r="R120" s="316"/>
      <c r="S120" s="316"/>
      <c r="T120" s="318"/>
    </row>
    <row r="121" spans="1:312" s="241" customFormat="1" x14ac:dyDescent="0.3">
      <c r="A121" s="139" t="s">
        <v>11</v>
      </c>
      <c r="B121" s="410" t="s">
        <v>578</v>
      </c>
      <c r="C121" s="411">
        <f>'Input data fish and seafood'!E20</f>
        <v>1</v>
      </c>
      <c r="D121" s="325" t="s">
        <v>473</v>
      </c>
      <c r="E121" s="784">
        <f>IF($F$1="GWP100 without fb",E122+E123*'Common input data'!$C$5+E124*'Common input data'!$D$5+E125*'Common input data'!$E$5,IF($F$1="GWP100 with fb",E122+E123*'Common input data'!$C$6+E124*'Common input data'!$D$6+E125*'Common input data'!$E$6,IF($F$1="GTP100 without fb",E122+E123*'Common input data'!$C$7+E124*'Common input data'!$D$7+E125*'Common input data'!$E$7,IF($F$1="GTP100 with fb",E122+E123*'Common input data'!$C$8+E124*'Common input data'!$D$8+E125*'Common input data'!$E$8,E122+E123*'Common input data'!$C$9+E124*'Common input data'!$D$9+E125*'Common input data'!$E$9))))</f>
        <v>0</v>
      </c>
      <c r="F121" s="782">
        <f>IF($F$1="GWP100 without fb",F122+F123*'Common input data'!$C$5+F124*'Common input data'!$D$5+F125*'Common input data'!$E$5,IF($F$1="GWP100 with fb",F122+F123*'Common input data'!$C$6+F124*'Common input data'!$D$6+F125*'Common input data'!$E$6,IF($F$1="GTP100 without fb",F122+F123*'Common input data'!$C$7+F124*'Common input data'!$D$7+F125*'Common input data'!$E$7,IF($F$1="GTP100 with fb",F122+F123*'Common input data'!$C$8+F124*'Common input data'!$D$8+F125*'Common input data'!$E$8,F122+F123*'Common input data'!$C$9+F124*'Common input data'!$D$9+F125*'Common input data'!$E$9))))</f>
        <v>0.57393899999999998</v>
      </c>
      <c r="G121" s="785">
        <f>IF($F$1="GWP100 without fb",G122+G123*'Common input data'!$C$5+G124*'Common input data'!$D$5+G125*'Common input data'!$E$5,IF($F$1="GWP100 with fb",G122+G123*'Common input data'!$C$6+G124*'Common input data'!$D$6+G125*'Common input data'!$E$6,IF($F$1="GTP100 without fb",G122+G123*'Common input data'!$C$7+G124*'Common input data'!$D$7+G125*'Common input data'!$E$7,IF($F$1="GTP100 with fb",G122+G123*'Common input data'!$C$8+G124*'Common input data'!$D$8+G125*'Common input data'!$E$8,G122+G123*'Common input data'!$C$9+G124*'Common input data'!$D$9+G125*'Common input data'!$E$9))))</f>
        <v>3.3768930878495307</v>
      </c>
      <c r="H121" s="326"/>
      <c r="I121" s="137"/>
      <c r="J121" s="137"/>
      <c r="K121" s="408"/>
      <c r="L121" s="408"/>
      <c r="M121" s="408"/>
      <c r="N121" s="408"/>
      <c r="O121" s="408"/>
      <c r="P121" s="408"/>
      <c r="Q121" s="408"/>
      <c r="R121" s="408"/>
      <c r="S121" s="408"/>
      <c r="T121" s="409"/>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c r="AT121" s="64"/>
      <c r="AU121" s="64"/>
      <c r="AV121" s="64"/>
      <c r="AW121" s="64"/>
      <c r="AX121" s="64"/>
      <c r="AY121" s="64"/>
      <c r="AZ121" s="64"/>
      <c r="BA121" s="64"/>
      <c r="BB121" s="64"/>
      <c r="BC121" s="64"/>
      <c r="BD121" s="64"/>
      <c r="BE121" s="64"/>
      <c r="BF121" s="64"/>
      <c r="BG121" s="64"/>
      <c r="BH121" s="64"/>
      <c r="BI121" s="64"/>
      <c r="BJ121" s="64"/>
      <c r="BK121" s="64"/>
      <c r="BL121" s="64"/>
      <c r="BM121" s="64"/>
      <c r="BN121" s="64"/>
      <c r="BO121" s="64"/>
      <c r="BP121" s="64"/>
      <c r="BQ121" s="64"/>
      <c r="BR121" s="64"/>
      <c r="BS121" s="64"/>
      <c r="BT121" s="64"/>
      <c r="BU121" s="64"/>
      <c r="BV121" s="64"/>
      <c r="BW121" s="64"/>
      <c r="BX121" s="64"/>
      <c r="BY121" s="64"/>
      <c r="BZ121" s="64"/>
      <c r="CA121" s="64"/>
      <c r="CB121" s="64"/>
      <c r="CC121" s="64"/>
      <c r="CD121" s="64"/>
      <c r="CE121" s="64"/>
      <c r="CF121" s="64"/>
      <c r="CG121" s="64"/>
      <c r="CH121" s="64"/>
      <c r="CI121" s="64"/>
      <c r="CJ121" s="64"/>
      <c r="CK121" s="64"/>
      <c r="CL121" s="64"/>
      <c r="CM121" s="64"/>
      <c r="CN121" s="64"/>
      <c r="CO121" s="64"/>
      <c r="CP121" s="64"/>
      <c r="CQ121" s="64"/>
      <c r="CR121" s="64"/>
      <c r="CS121" s="64"/>
      <c r="CT121" s="64"/>
      <c r="CU121" s="64"/>
      <c r="CV121" s="64"/>
      <c r="CW121" s="64"/>
      <c r="CX121" s="64"/>
      <c r="CY121" s="64"/>
      <c r="CZ121" s="64"/>
      <c r="DA121" s="64"/>
      <c r="DB121" s="64"/>
      <c r="DC121" s="64"/>
      <c r="DD121" s="64"/>
      <c r="DE121" s="64"/>
      <c r="DF121" s="64"/>
      <c r="DG121" s="64"/>
      <c r="DH121" s="64"/>
      <c r="DI121" s="64"/>
      <c r="DJ121" s="64"/>
      <c r="DK121" s="64"/>
      <c r="DL121" s="64"/>
      <c r="DM121" s="64"/>
      <c r="DN121" s="64"/>
      <c r="DO121" s="64"/>
      <c r="DP121" s="64"/>
      <c r="DQ121" s="64"/>
      <c r="DR121" s="64"/>
      <c r="DS121" s="64"/>
      <c r="DT121" s="64"/>
      <c r="DU121" s="64"/>
      <c r="DV121" s="64"/>
      <c r="DW121" s="64"/>
      <c r="DX121" s="64"/>
      <c r="DY121" s="64"/>
      <c r="DZ121" s="64"/>
      <c r="EA121" s="64"/>
      <c r="EB121" s="64"/>
      <c r="EC121" s="64"/>
      <c r="ED121" s="64"/>
      <c r="EE121" s="64"/>
      <c r="EF121" s="64"/>
      <c r="EG121" s="64"/>
      <c r="EH121" s="64"/>
      <c r="EI121" s="64"/>
      <c r="EJ121" s="64"/>
      <c r="EK121" s="64"/>
      <c r="EL121" s="64"/>
      <c r="EM121" s="64"/>
      <c r="EN121" s="64"/>
      <c r="EO121" s="64"/>
      <c r="EP121" s="64"/>
      <c r="EQ121" s="64"/>
      <c r="ER121" s="64"/>
      <c r="ES121" s="64"/>
      <c r="ET121" s="64"/>
      <c r="EU121" s="64"/>
      <c r="EV121" s="64"/>
      <c r="EW121" s="64"/>
      <c r="EX121" s="64"/>
      <c r="EY121" s="64"/>
      <c r="EZ121" s="64"/>
      <c r="FA121" s="64"/>
      <c r="FB121" s="64"/>
      <c r="FC121" s="64"/>
      <c r="FD121" s="64"/>
      <c r="FE121" s="64"/>
      <c r="FF121" s="64"/>
      <c r="FG121" s="64"/>
      <c r="FH121" s="64"/>
      <c r="FI121" s="64"/>
      <c r="FJ121" s="64"/>
      <c r="FK121" s="64"/>
      <c r="FL121" s="64"/>
      <c r="FM121" s="64"/>
      <c r="FN121" s="64"/>
      <c r="FO121" s="64"/>
      <c r="FP121" s="64"/>
      <c r="FQ121" s="64"/>
      <c r="FR121" s="64"/>
      <c r="FS121" s="64"/>
      <c r="FT121" s="64"/>
      <c r="FU121" s="64"/>
      <c r="FV121" s="64"/>
      <c r="FW121" s="64"/>
      <c r="FX121" s="64"/>
      <c r="FY121" s="64"/>
      <c r="FZ121" s="64"/>
      <c r="GA121" s="64"/>
      <c r="GB121" s="64"/>
      <c r="GC121" s="64"/>
      <c r="GD121" s="64"/>
      <c r="GE121" s="64"/>
      <c r="GF121" s="64"/>
      <c r="GG121" s="64"/>
      <c r="GH121" s="64"/>
      <c r="GI121" s="64"/>
      <c r="GJ121" s="64"/>
      <c r="GK121" s="64"/>
      <c r="GL121" s="64"/>
      <c r="GM121" s="64"/>
      <c r="GN121" s="64"/>
      <c r="GO121" s="64"/>
      <c r="GP121" s="64"/>
      <c r="GQ121" s="64"/>
      <c r="GR121" s="64"/>
      <c r="GS121" s="64"/>
      <c r="GT121" s="64"/>
      <c r="GU121" s="64"/>
      <c r="GV121" s="64"/>
      <c r="GW121" s="64"/>
      <c r="GX121" s="64"/>
      <c r="GY121" s="64"/>
      <c r="GZ121" s="64"/>
      <c r="HA121" s="64"/>
      <c r="HB121" s="64"/>
      <c r="HC121" s="64"/>
      <c r="HD121" s="64"/>
      <c r="HE121" s="64"/>
      <c r="HF121" s="64"/>
      <c r="HG121" s="64"/>
      <c r="HH121" s="64"/>
      <c r="HI121" s="64"/>
      <c r="HJ121" s="64"/>
      <c r="HK121" s="64"/>
      <c r="HL121" s="64"/>
      <c r="HM121" s="64"/>
      <c r="HN121" s="64"/>
      <c r="HO121" s="64"/>
      <c r="HP121" s="64"/>
      <c r="HQ121" s="64"/>
      <c r="HR121" s="64"/>
      <c r="HS121" s="64"/>
      <c r="HT121" s="64"/>
      <c r="HU121" s="64"/>
      <c r="HV121" s="64"/>
      <c r="HW121" s="64"/>
      <c r="HX121" s="64"/>
      <c r="HY121" s="64"/>
      <c r="HZ121" s="64"/>
      <c r="IA121" s="64"/>
      <c r="IB121" s="64"/>
      <c r="IC121" s="64"/>
      <c r="ID121" s="64"/>
      <c r="IE121" s="64"/>
      <c r="IF121" s="64"/>
      <c r="IG121" s="64"/>
      <c r="IH121" s="64"/>
      <c r="II121" s="64"/>
      <c r="IJ121" s="64"/>
      <c r="IK121" s="64"/>
      <c r="IL121" s="64"/>
      <c r="IM121" s="64"/>
      <c r="IN121" s="64"/>
      <c r="IO121" s="64"/>
      <c r="IP121" s="64"/>
      <c r="IQ121" s="64"/>
      <c r="IR121" s="64"/>
      <c r="IS121" s="64"/>
      <c r="IT121" s="64"/>
      <c r="IU121" s="64"/>
      <c r="IV121" s="64"/>
      <c r="IW121" s="64"/>
      <c r="IX121" s="64"/>
      <c r="IY121" s="64"/>
      <c r="IZ121" s="64"/>
      <c r="JA121" s="64"/>
      <c r="JB121" s="64"/>
      <c r="JC121" s="64"/>
      <c r="JD121" s="64"/>
      <c r="JE121" s="64"/>
      <c r="JF121" s="64"/>
      <c r="JG121" s="64"/>
      <c r="JH121" s="64"/>
      <c r="JI121" s="64"/>
      <c r="JJ121" s="64"/>
      <c r="JK121" s="64"/>
      <c r="JL121" s="64"/>
      <c r="JM121" s="64"/>
      <c r="JN121" s="64"/>
      <c r="JO121" s="64"/>
      <c r="JP121" s="64"/>
      <c r="JQ121" s="64"/>
      <c r="JR121" s="64"/>
      <c r="JS121" s="64"/>
      <c r="JT121" s="64"/>
      <c r="JU121" s="64"/>
      <c r="JV121" s="64"/>
      <c r="JW121" s="64"/>
      <c r="JX121" s="64"/>
      <c r="JY121" s="64"/>
      <c r="JZ121" s="64"/>
      <c r="KA121" s="64"/>
      <c r="KB121" s="64"/>
      <c r="KC121" s="64"/>
      <c r="KD121" s="64"/>
      <c r="KE121" s="64"/>
      <c r="KF121" s="64"/>
      <c r="KG121" s="64"/>
      <c r="KH121" s="64"/>
      <c r="KI121" s="64"/>
      <c r="KJ121" s="64"/>
      <c r="KK121" s="64"/>
      <c r="KL121" s="64"/>
      <c r="KM121" s="64"/>
      <c r="KN121" s="64"/>
      <c r="KO121" s="64"/>
      <c r="KP121" s="64"/>
      <c r="KQ121" s="64"/>
      <c r="KR121" s="64"/>
      <c r="KS121" s="64"/>
      <c r="KT121" s="64"/>
      <c r="KU121" s="64"/>
      <c r="KV121" s="64"/>
      <c r="KW121" s="64"/>
      <c r="KX121" s="64"/>
      <c r="KY121" s="64"/>
      <c r="KZ121" s="64"/>
    </row>
    <row r="122" spans="1:312" x14ac:dyDescent="0.3">
      <c r="A122" s="144"/>
      <c r="B122" s="84"/>
      <c r="D122" s="83" t="s">
        <v>164</v>
      </c>
      <c r="E122" s="334">
        <f>IF(AND($F$2="No",$F$3="No"),SUM(J122),IF(AND($F$2="Yes", $F$3="No"), SUM(J122)+L122, IF(AND($F$2="No", $F$3="Yes"),SUM(J122)+K122, SUM(J122)+L122+K122)))</f>
        <v>0</v>
      </c>
      <c r="F122" s="88">
        <f>IF(AND($F$2="No",$F$3="No"),SUM(H122:J122,M122:P122),IF(AND($F$2="Yes", $F$3="No"), SUM(H122:J122,M122:P122)+L122, IF(AND($F$2="No", $F$3="Yes"),SUM(H122:J122,M122:P122)+K122, SUM(H122:J122,M122:P122)+L122+K122)))</f>
        <v>0.29030321866469661</v>
      </c>
      <c r="G122" s="474">
        <f>SUM(R122:T122)/(1-'Common input data'!$C$125)</f>
        <v>2.5640909562860656</v>
      </c>
      <c r="H122" s="85">
        <v>0</v>
      </c>
      <c r="I122" s="85">
        <v>0</v>
      </c>
      <c r="J122" s="85">
        <v>0</v>
      </c>
      <c r="K122" s="85">
        <v>0</v>
      </c>
      <c r="L122" s="85">
        <v>0</v>
      </c>
      <c r="M122" s="85">
        <v>0</v>
      </c>
      <c r="N122" s="85">
        <v>0</v>
      </c>
      <c r="O122" s="85">
        <f>'Input data fish and seafood'!G20*'Input data fish and seafood'!B42</f>
        <v>0.29030321866469661</v>
      </c>
      <c r="P122" s="85">
        <v>0</v>
      </c>
      <c r="Q122" s="90">
        <f>'Input data fish and seafood'!B89*('Input data fish and seafood'!B99*'Common input data'!B63+'Input data fish and seafood'!C99*'Common input data'!C63+'Input data fish and seafood'!D99*'Common input data'!E63+'Input data fish and seafood'!F99*'Common input data'!I63+'Input data fish and seafood'!H99*'Common input data'!K63)</f>
        <v>0.39372306399999996</v>
      </c>
      <c r="R122" s="88">
        <f>(F122+Q122)/'Input data fish and seafood'!$H$20</f>
        <v>1.6683567869870648</v>
      </c>
      <c r="S122" s="85">
        <f>'Common input data'!B94</f>
        <v>0.1</v>
      </c>
      <c r="T122" s="207">
        <f>'Input data fish and seafood'!D113*'Common input data'!B106+'Input data fish and seafood'!F113*'Common input data'!B104+'Common input data'!C98</f>
        <v>0.41400000000000003</v>
      </c>
    </row>
    <row r="123" spans="1:312" x14ac:dyDescent="0.3">
      <c r="A123" s="144"/>
      <c r="B123" s="84"/>
      <c r="C123" s="142"/>
      <c r="D123" s="83" t="s">
        <v>165</v>
      </c>
      <c r="E123" s="258">
        <v>0</v>
      </c>
      <c r="F123" s="88">
        <f>SUM(H123:J123,M123:P123)</f>
        <v>1.2859453692958044E-4</v>
      </c>
      <c r="G123" s="474">
        <f>SUM(R123:T123)/(1-'Common input data'!$C$125)</f>
        <v>3.685075036432654E-4</v>
      </c>
      <c r="H123" s="85">
        <v>0</v>
      </c>
      <c r="I123" s="85">
        <v>0</v>
      </c>
      <c r="J123" s="85">
        <v>0</v>
      </c>
      <c r="K123" s="85">
        <v>0</v>
      </c>
      <c r="L123" s="85">
        <v>0</v>
      </c>
      <c r="M123" s="85">
        <v>0</v>
      </c>
      <c r="N123" s="85">
        <v>0</v>
      </c>
      <c r="O123" s="85">
        <f>'Input data fish and seafood'!G20*'Input data fish and seafood'!B43</f>
        <v>1.2859453692958044E-4</v>
      </c>
      <c r="P123" s="85">
        <v>0</v>
      </c>
      <c r="Q123" s="90">
        <v>0</v>
      </c>
      <c r="R123" s="88">
        <f>(F123+Q123)/'Input data fish and seafood'!$H$20</f>
        <v>3.1364521202336695E-4</v>
      </c>
      <c r="S123" s="85">
        <v>0</v>
      </c>
      <c r="T123" s="207">
        <v>0</v>
      </c>
    </row>
    <row r="124" spans="1:312" x14ac:dyDescent="0.3">
      <c r="A124" s="174"/>
      <c r="B124" s="206"/>
      <c r="C124" s="85"/>
      <c r="D124" s="84" t="s">
        <v>166</v>
      </c>
      <c r="E124" s="258">
        <v>0</v>
      </c>
      <c r="F124" s="88">
        <f>SUM(H124:J124,M124:P124)</f>
        <v>7.8005606701261996E-6</v>
      </c>
      <c r="G124" s="474">
        <f>SUM(R124:T124)/(1-'Common input data'!$C$125)</f>
        <v>2.235371119334705E-5</v>
      </c>
      <c r="H124" s="85">
        <v>0</v>
      </c>
      <c r="I124" s="85">
        <v>0</v>
      </c>
      <c r="J124" s="85">
        <v>0</v>
      </c>
      <c r="K124" s="85">
        <v>0</v>
      </c>
      <c r="L124" s="85">
        <v>0</v>
      </c>
      <c r="M124" s="85">
        <v>0</v>
      </c>
      <c r="N124" s="85">
        <v>0</v>
      </c>
      <c r="O124" s="85">
        <f>'Input data fish and seafood'!G20*'Input data fish and seafood'!B44</f>
        <v>7.8005606701261996E-6</v>
      </c>
      <c r="P124" s="85">
        <v>0</v>
      </c>
      <c r="Q124" s="90">
        <v>0</v>
      </c>
      <c r="R124" s="88">
        <f>(F124+Q124)/'Input data fish and seafood'!$H$20</f>
        <v>1.9025757732015122E-5</v>
      </c>
      <c r="S124" s="85">
        <v>0</v>
      </c>
      <c r="T124" s="207">
        <v>0</v>
      </c>
    </row>
    <row r="125" spans="1:312" x14ac:dyDescent="0.3">
      <c r="A125" s="174"/>
      <c r="B125" s="206"/>
      <c r="C125" s="85"/>
      <c r="D125" s="84" t="s">
        <v>414</v>
      </c>
      <c r="E125" s="771">
        <v>0</v>
      </c>
      <c r="F125" s="105">
        <f>SUM(H125:J125,M125:P125)</f>
        <v>1.315E-4</v>
      </c>
      <c r="G125" s="789">
        <f>SUM(R125:T125)/(1-'Common input data'!$C$125)</f>
        <v>3.7683355674452833E-4</v>
      </c>
      <c r="H125" s="85">
        <v>0</v>
      </c>
      <c r="I125" s="85">
        <v>0</v>
      </c>
      <c r="J125" s="85">
        <v>0</v>
      </c>
      <c r="K125" s="85">
        <v>0</v>
      </c>
      <c r="L125" s="85">
        <v>0</v>
      </c>
      <c r="M125" s="85">
        <v>0</v>
      </c>
      <c r="N125" s="85">
        <v>0</v>
      </c>
      <c r="O125" s="85">
        <v>0</v>
      </c>
      <c r="P125" s="85">
        <f>AVERAGE('Input data fish and seafood'!B49,'Input data fish and seafood'!C49)</f>
        <v>1.315E-4</v>
      </c>
      <c r="Q125" s="90">
        <v>0</v>
      </c>
      <c r="R125" s="88">
        <f>(F125+Q125)/'Input data fish and seafood'!$H$20</f>
        <v>3.2073170731707317E-4</v>
      </c>
      <c r="S125" s="85">
        <v>0</v>
      </c>
      <c r="T125" s="207">
        <v>0</v>
      </c>
    </row>
    <row r="126" spans="1:312" x14ac:dyDescent="0.3">
      <c r="A126" s="311" t="s">
        <v>579</v>
      </c>
      <c r="B126" s="312"/>
      <c r="C126" s="313"/>
      <c r="D126" s="314"/>
      <c r="E126" s="767" t="s">
        <v>802</v>
      </c>
      <c r="F126" s="768" t="s">
        <v>802</v>
      </c>
      <c r="G126" s="590" t="s">
        <v>790</v>
      </c>
      <c r="H126" s="313"/>
      <c r="I126" s="313"/>
      <c r="J126" s="313"/>
      <c r="K126" s="339"/>
      <c r="L126" s="339"/>
      <c r="M126" s="317"/>
      <c r="N126" s="339"/>
      <c r="O126" s="339"/>
      <c r="P126" s="339"/>
      <c r="Q126" s="339"/>
      <c r="R126" s="339"/>
      <c r="S126" s="339"/>
      <c r="T126" s="340"/>
    </row>
    <row r="127" spans="1:312" s="241" customFormat="1" x14ac:dyDescent="0.3">
      <c r="A127" s="139" t="s">
        <v>1</v>
      </c>
      <c r="B127" s="146" t="s">
        <v>306</v>
      </c>
      <c r="C127" s="136">
        <f>'Input data fish and seafood'!E22</f>
        <v>1</v>
      </c>
      <c r="D127" s="325" t="s">
        <v>473</v>
      </c>
      <c r="E127" s="784">
        <f>IF($F$1="GWP100 without fb",E128+E129*'Common input data'!$C$5+E130*'Common input data'!$D$5+E131*'Common input data'!$E$5,IF($F$1="GWP100 with fb",E128+E129*'Common input data'!$C$6+E130*'Common input data'!$D$6+E131*'Common input data'!$E$6,IF($F$1="GTP100 without fb",E128+E129*'Common input data'!$C$7+E130*'Common input data'!$D$7+E131*'Common input data'!$E$7,IF($F$1="GTP100 with fb",E128+E129*'Common input data'!$C$8+E130*'Common input data'!$D$8+E131*'Common input data'!$E$8,E128+E129*'Common input data'!$C$9+E130*'Common input data'!$D$9+E131*'Common input data'!$E$9))))</f>
        <v>1.2560196007123046</v>
      </c>
      <c r="F127" s="782">
        <f>IF($F$1="GWP100 without fb",F128+F129*'Common input data'!$C$5+F130*'Common input data'!$D$5+F131*'Common input data'!$E$5,IF($F$1="GWP100 with fb",F128+F129*'Common input data'!$C$6+F130*'Common input data'!$D$6+F131*'Common input data'!$E$6,IF($F$1="GTP100 without fb",F128+F129*'Common input data'!$C$7+F130*'Common input data'!$D$7+F131*'Common input data'!$E$7,IF($F$1="GTP100 with fb",F128+F129*'Common input data'!$C$8+F130*'Common input data'!$D$8+F131*'Common input data'!$E$8,F128+F129*'Common input data'!$C$9+F130*'Common input data'!$D$9+F131*'Common input data'!$E$9))))</f>
        <v>3.0292592801976479</v>
      </c>
      <c r="G127" s="785">
        <f>IF($F$1="GWP100 without fb",G128+G129*'Common input data'!$C$5+G130*'Common input data'!$D$5+G131*'Common input data'!$E$5,IF($F$1="GWP100 with fb",G128+G129*'Common input data'!$C$6+G130*'Common input data'!$D$6+G131*'Common input data'!$E$6,IF($F$1="GTP100 without fb",G128+G129*'Common input data'!$C$7+G130*'Common input data'!$D$7+G131*'Common input data'!$E$7,IF($F$1="GTP100 with fb",G128+G129*'Common input data'!$C$8+G130*'Common input data'!$D$8+G131*'Common input data'!$E$8,G128+G129*'Common input data'!$C$9+G130*'Common input data'!$D$9+G131*'Common input data'!$E$9))))</f>
        <v>6.1032177299057482</v>
      </c>
      <c r="H127" s="326"/>
      <c r="I127" s="137"/>
      <c r="J127" s="137"/>
      <c r="K127" s="328"/>
      <c r="L127" s="328"/>
      <c r="M127" s="328"/>
      <c r="N127" s="328"/>
      <c r="O127" s="328"/>
      <c r="P127" s="328"/>
      <c r="Q127" s="328"/>
      <c r="R127" s="328"/>
      <c r="S127" s="328"/>
      <c r="T127" s="330"/>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c r="BP127" s="64"/>
      <c r="BQ127" s="64"/>
      <c r="BR127" s="64"/>
      <c r="BS127" s="64"/>
      <c r="BT127" s="64"/>
      <c r="BU127" s="64"/>
      <c r="BV127" s="64"/>
      <c r="BW127" s="64"/>
      <c r="BX127" s="64"/>
      <c r="BY127" s="64"/>
      <c r="BZ127" s="64"/>
      <c r="CA127" s="64"/>
      <c r="CB127" s="64"/>
      <c r="CC127" s="64"/>
      <c r="CD127" s="64"/>
      <c r="CE127" s="64"/>
      <c r="CF127" s="64"/>
      <c r="CG127" s="64"/>
      <c r="CH127" s="64"/>
      <c r="CI127" s="64"/>
      <c r="CJ127" s="64"/>
      <c r="CK127" s="64"/>
      <c r="CL127" s="64"/>
      <c r="CM127" s="64"/>
      <c r="CN127" s="64"/>
      <c r="CO127" s="64"/>
      <c r="CP127" s="64"/>
      <c r="CQ127" s="64"/>
      <c r="CR127" s="64"/>
      <c r="CS127" s="64"/>
      <c r="CT127" s="64"/>
      <c r="CU127" s="64"/>
      <c r="CV127" s="64"/>
      <c r="CW127" s="64"/>
      <c r="CX127" s="64"/>
      <c r="CY127" s="64"/>
      <c r="CZ127" s="64"/>
      <c r="DA127" s="64"/>
      <c r="DB127" s="64"/>
      <c r="DC127" s="64"/>
      <c r="DD127" s="64"/>
      <c r="DE127" s="64"/>
      <c r="DF127" s="64"/>
      <c r="DG127" s="64"/>
      <c r="DH127" s="64"/>
      <c r="DI127" s="64"/>
      <c r="DJ127" s="64"/>
      <c r="DK127" s="64"/>
      <c r="DL127" s="64"/>
      <c r="DM127" s="64"/>
      <c r="DN127" s="64"/>
      <c r="DO127" s="64"/>
      <c r="DP127" s="64"/>
      <c r="DQ127" s="64"/>
      <c r="DR127" s="64"/>
      <c r="DS127" s="64"/>
      <c r="DT127" s="64"/>
      <c r="DU127" s="64"/>
      <c r="DV127" s="64"/>
      <c r="DW127" s="64"/>
      <c r="DX127" s="64"/>
      <c r="DY127" s="64"/>
      <c r="DZ127" s="64"/>
      <c r="EA127" s="64"/>
      <c r="EB127" s="64"/>
      <c r="EC127" s="64"/>
      <c r="ED127" s="64"/>
      <c r="EE127" s="64"/>
      <c r="EF127" s="64"/>
      <c r="EG127" s="64"/>
      <c r="EH127" s="64"/>
      <c r="EI127" s="64"/>
      <c r="EJ127" s="64"/>
      <c r="EK127" s="64"/>
      <c r="EL127" s="64"/>
      <c r="EM127" s="64"/>
      <c r="EN127" s="64"/>
      <c r="EO127" s="64"/>
      <c r="EP127" s="64"/>
      <c r="EQ127" s="64"/>
      <c r="ER127" s="64"/>
      <c r="ES127" s="64"/>
      <c r="ET127" s="64"/>
      <c r="EU127" s="64"/>
      <c r="EV127" s="64"/>
      <c r="EW127" s="64"/>
      <c r="EX127" s="64"/>
      <c r="EY127" s="64"/>
      <c r="EZ127" s="64"/>
      <c r="FA127" s="64"/>
      <c r="FB127" s="64"/>
      <c r="FC127" s="64"/>
      <c r="FD127" s="64"/>
      <c r="FE127" s="64"/>
      <c r="FF127" s="64"/>
      <c r="FG127" s="64"/>
      <c r="FH127" s="64"/>
      <c r="FI127" s="64"/>
      <c r="FJ127" s="64"/>
      <c r="FK127" s="64"/>
      <c r="FL127" s="64"/>
      <c r="FM127" s="64"/>
      <c r="FN127" s="64"/>
      <c r="FO127" s="64"/>
      <c r="FP127" s="64"/>
      <c r="FQ127" s="64"/>
      <c r="FR127" s="64"/>
      <c r="FS127" s="64"/>
      <c r="FT127" s="64"/>
      <c r="FU127" s="64"/>
      <c r="FV127" s="64"/>
      <c r="FW127" s="64"/>
      <c r="FX127" s="64"/>
      <c r="FY127" s="64"/>
      <c r="FZ127" s="64"/>
      <c r="GA127" s="64"/>
      <c r="GB127" s="64"/>
      <c r="GC127" s="64"/>
      <c r="GD127" s="64"/>
      <c r="GE127" s="64"/>
      <c r="GF127" s="64"/>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c r="HO127" s="64"/>
      <c r="HP127" s="64"/>
      <c r="HQ127" s="64"/>
      <c r="HR127" s="64"/>
      <c r="HS127" s="64"/>
      <c r="HT127" s="64"/>
      <c r="HU127" s="64"/>
      <c r="HV127" s="64"/>
      <c r="HW127" s="64"/>
      <c r="HX127" s="64"/>
      <c r="HY127" s="64"/>
      <c r="HZ127" s="64"/>
      <c r="IA127" s="64"/>
      <c r="IB127" s="64"/>
      <c r="IC127" s="64"/>
      <c r="ID127" s="64"/>
      <c r="IE127" s="64"/>
      <c r="IF127" s="64"/>
      <c r="IG127" s="64"/>
      <c r="IH127" s="64"/>
      <c r="II127" s="64"/>
      <c r="IJ127" s="64"/>
      <c r="IK127" s="64"/>
      <c r="IL127" s="64"/>
      <c r="IM127" s="64"/>
      <c r="IN127" s="64"/>
      <c r="IO127" s="64"/>
      <c r="IP127" s="64"/>
      <c r="IQ127" s="64"/>
      <c r="IR127" s="64"/>
      <c r="IS127" s="64"/>
      <c r="IT127" s="64"/>
      <c r="IU127" s="64"/>
      <c r="IV127" s="64"/>
      <c r="IW127" s="64"/>
      <c r="IX127" s="64"/>
      <c r="IY127" s="64"/>
      <c r="IZ127" s="64"/>
      <c r="JA127" s="64"/>
      <c r="JB127" s="64"/>
      <c r="JC127" s="64"/>
      <c r="JD127" s="64"/>
      <c r="JE127" s="64"/>
      <c r="JF127" s="64"/>
      <c r="JG127" s="64"/>
      <c r="JH127" s="64"/>
      <c r="JI127" s="64"/>
      <c r="JJ127" s="64"/>
      <c r="JK127" s="64"/>
      <c r="JL127" s="64"/>
      <c r="JM127" s="64"/>
      <c r="JN127" s="64"/>
      <c r="JO127" s="64"/>
      <c r="JP127" s="64"/>
      <c r="JQ127" s="64"/>
      <c r="JR127" s="64"/>
      <c r="JS127" s="64"/>
      <c r="JT127" s="64"/>
      <c r="JU127" s="64"/>
      <c r="JV127" s="64"/>
      <c r="JW127" s="64"/>
      <c r="JX127" s="64"/>
      <c r="JY127" s="64"/>
      <c r="JZ127" s="64"/>
      <c r="KA127" s="64"/>
      <c r="KB127" s="64"/>
      <c r="KC127" s="64"/>
      <c r="KD127" s="64"/>
      <c r="KE127" s="64"/>
      <c r="KF127" s="64"/>
      <c r="KG127" s="64"/>
      <c r="KH127" s="64"/>
      <c r="KI127" s="64"/>
      <c r="KJ127" s="64"/>
      <c r="KK127" s="64"/>
      <c r="KL127" s="64"/>
      <c r="KM127" s="64"/>
      <c r="KN127" s="64"/>
      <c r="KO127" s="64"/>
      <c r="KP127" s="64"/>
      <c r="KQ127" s="64"/>
      <c r="KR127" s="64"/>
      <c r="KS127" s="64"/>
      <c r="KT127" s="64"/>
      <c r="KU127" s="64"/>
      <c r="KV127" s="64"/>
      <c r="KW127" s="64"/>
      <c r="KX127" s="64"/>
      <c r="KY127" s="64"/>
      <c r="KZ127" s="64"/>
    </row>
    <row r="128" spans="1:312" x14ac:dyDescent="0.3">
      <c r="A128" s="144"/>
      <c r="B128" s="84"/>
      <c r="C128" s="157"/>
      <c r="D128" s="83" t="s">
        <v>164</v>
      </c>
      <c r="E128" s="334">
        <f>IF(AND($F$2="No",$F$3="No"),SUM(J128),IF(AND($F$2="Yes", $F$3="No"), SUM(J128)+L128, IF(AND($F$2="No", $F$3="Yes"),SUM(J128)+K128, SUM(J128)+L128+K128)))</f>
        <v>0.39325928019764711</v>
      </c>
      <c r="F128" s="88">
        <f>IF(AND($F$2="No",$F$3="No"),SUM(H128:J128,M128:P128),IF(AND($F$2="Yes", $F$3="No"), SUM(H128:J128,M128:P128)+L128, IF(AND($F$2="No", $F$3="Yes"),SUM(H128:J128,M128:P128)+K128, SUM(H128:J128,M128:P128)+L128+K128)))</f>
        <v>1.8159287985942449</v>
      </c>
      <c r="G128" s="474">
        <f>SUM(R128:T128)/(1-'Common input data'!B125)</f>
        <v>3.7662272323110799</v>
      </c>
      <c r="H128" s="85">
        <f>'Input data fish and seafood'!C56</f>
        <v>0.09</v>
      </c>
      <c r="I128" s="85">
        <f>'Input data fish and seafood'!C63*'Input data fish and seafood'!I22</f>
        <v>1.1866695183965978</v>
      </c>
      <c r="J128" s="85">
        <f>'Input data fish and seafood'!C67*'Input data fish and seafood'!I22</f>
        <v>0</v>
      </c>
      <c r="K128" s="85">
        <f>'Input data fish and seafood'!I22*('Input data fish and seafood'!C75*'Common input data'!C13*'Common input data'!G30+'Input data fish and seafood'!C76*'Common input data'!B13*'Common input data'!G28+'Input data fish and seafood'!C77*'Common input data'!D13*'Common input data'!G26+'Input data fish and seafood'!C78*'Common input data'!C13+'Input data fish and seafood'!C79*'Common input data'!D13*'Input data plant-based products'!B130)</f>
        <v>0.13996529110760891</v>
      </c>
      <c r="L128" s="85">
        <f>'Common input data'!B21*'Input data fish and seafood'!C75*'Input data fish and seafood'!I22*'Common input data'!G30/'Common input data'!F30</f>
        <v>0.2532939890900382</v>
      </c>
      <c r="M128" s="85">
        <f>'Input data fish and seafood'!I22*'Common input data'!B81</f>
        <v>3.5999999999999997E-2</v>
      </c>
      <c r="N128" s="85">
        <f>'Input data fish and seafood'!C57</f>
        <v>0.11</v>
      </c>
      <c r="O128" s="85">
        <v>0</v>
      </c>
      <c r="P128" s="85">
        <v>0</v>
      </c>
      <c r="Q128" s="85">
        <f>'Input data fish and seafood'!B89*'Input data fish and seafood'!B100*'Common input data'!B63</f>
        <v>6.0139999999999999E-2</v>
      </c>
      <c r="R128" s="88">
        <f>(F128+Q128)/'Input data fish and seafood'!$H$22</f>
        <v>3.0755226206463036</v>
      </c>
      <c r="S128" s="85">
        <f>'Common input data'!B94</f>
        <v>0.1</v>
      </c>
      <c r="T128" s="207">
        <f>'Common input data'!C98</f>
        <v>0.03</v>
      </c>
    </row>
    <row r="129" spans="1:312" x14ac:dyDescent="0.3">
      <c r="A129" s="144"/>
      <c r="B129" s="84"/>
      <c r="C129" s="142"/>
      <c r="D129" s="83" t="s">
        <v>165</v>
      </c>
      <c r="E129" s="258">
        <f>J129</f>
        <v>0</v>
      </c>
      <c r="F129" s="88">
        <f>SUM(H129:J129,M129:P129)</f>
        <v>2.7158723558227976E-4</v>
      </c>
      <c r="G129" s="474">
        <f>SUM(R129:T129)/(1-'Common input data'!B125)</f>
        <v>5.2310297849358207E-4</v>
      </c>
      <c r="H129" s="85">
        <v>0</v>
      </c>
      <c r="I129" s="85">
        <f>'Input data fish and seafood'!C64*'Input data fish and seafood'!I22</f>
        <v>2.7158723558227976E-4</v>
      </c>
      <c r="J129" s="85">
        <f>'Input data fish and seafood'!C68*'Input data fish and seafood'!I22</f>
        <v>0</v>
      </c>
      <c r="K129" s="85">
        <v>0</v>
      </c>
      <c r="L129" s="85">
        <v>0</v>
      </c>
      <c r="M129" s="85">
        <v>0</v>
      </c>
      <c r="N129" s="85">
        <v>0</v>
      </c>
      <c r="O129" s="85">
        <v>0</v>
      </c>
      <c r="P129" s="85">
        <v>0</v>
      </c>
      <c r="Q129" s="85">
        <v>0</v>
      </c>
      <c r="R129" s="88">
        <f>(F129+Q129)/'Input data fish and seafood'!$H$22</f>
        <v>4.4522497636439307E-4</v>
      </c>
      <c r="S129" s="85">
        <v>0</v>
      </c>
      <c r="T129" s="207">
        <v>0</v>
      </c>
    </row>
    <row r="130" spans="1:312" x14ac:dyDescent="0.3">
      <c r="A130" s="174"/>
      <c r="B130" s="206"/>
      <c r="C130" s="85"/>
      <c r="D130" s="84" t="s">
        <v>166</v>
      </c>
      <c r="E130" s="258">
        <f>J130</f>
        <v>2.8951688607874414E-3</v>
      </c>
      <c r="F130" s="88">
        <f>SUM(H130:J130,M130:P130)</f>
        <v>4.0405923342067291E-3</v>
      </c>
      <c r="G130" s="474">
        <f>SUM(R130:T130)/(1-'Common input data'!B125)</f>
        <v>7.7825671017647197E-3</v>
      </c>
      <c r="H130" s="85">
        <v>0</v>
      </c>
      <c r="I130" s="85">
        <f>'Input data fish and seafood'!C65*'Input data fish and seafood'!I22</f>
        <v>1.1454234734192882E-3</v>
      </c>
      <c r="J130" s="85">
        <f>'Input data fish and seafood'!C69*'Input data fish and seafood'!I22</f>
        <v>2.8951688607874414E-3</v>
      </c>
      <c r="K130" s="85">
        <v>0</v>
      </c>
      <c r="L130" s="85">
        <v>0</v>
      </c>
      <c r="M130" s="85">
        <v>0</v>
      </c>
      <c r="N130" s="85">
        <v>0</v>
      </c>
      <c r="O130" s="85">
        <v>0</v>
      </c>
      <c r="P130" s="85">
        <v>0</v>
      </c>
      <c r="Q130" s="85">
        <v>0</v>
      </c>
      <c r="R130" s="88">
        <f>(F130+Q130)/'Input data fish and seafood'!$H$22</f>
        <v>6.623921859355294E-3</v>
      </c>
      <c r="S130" s="85">
        <v>0</v>
      </c>
      <c r="T130" s="207">
        <v>0</v>
      </c>
    </row>
    <row r="131" spans="1:312" x14ac:dyDescent="0.3">
      <c r="A131" s="172"/>
      <c r="B131" s="333"/>
      <c r="C131" s="101"/>
      <c r="D131" s="100" t="s">
        <v>414</v>
      </c>
      <c r="E131" s="771">
        <f>J131</f>
        <v>0</v>
      </c>
      <c r="F131" s="105">
        <f>SUM(H131:J131,M131:P131)</f>
        <v>0</v>
      </c>
      <c r="G131" s="789">
        <v>0</v>
      </c>
      <c r="H131" s="88">
        <v>0</v>
      </c>
      <c r="I131" s="88">
        <v>0</v>
      </c>
      <c r="J131" s="88">
        <v>0</v>
      </c>
      <c r="K131" s="88">
        <v>0</v>
      </c>
      <c r="L131" s="88">
        <v>0</v>
      </c>
      <c r="M131" s="88">
        <v>0</v>
      </c>
      <c r="N131" s="88">
        <v>0</v>
      </c>
      <c r="O131" s="85">
        <v>0</v>
      </c>
      <c r="P131" s="85">
        <v>0</v>
      </c>
      <c r="Q131" s="88">
        <v>0</v>
      </c>
      <c r="R131" s="88">
        <v>0</v>
      </c>
      <c r="S131" s="88">
        <v>0</v>
      </c>
      <c r="T131" s="151">
        <v>0</v>
      </c>
    </row>
    <row r="132" spans="1:312" x14ac:dyDescent="0.3">
      <c r="A132" s="311" t="s">
        <v>580</v>
      </c>
      <c r="B132" s="312"/>
      <c r="C132" s="313"/>
      <c r="D132" s="314"/>
      <c r="E132" s="767" t="s">
        <v>802</v>
      </c>
      <c r="F132" s="768" t="s">
        <v>802</v>
      </c>
      <c r="G132" s="590" t="s">
        <v>790</v>
      </c>
      <c r="H132" s="313"/>
      <c r="I132" s="313"/>
      <c r="J132" s="313"/>
      <c r="K132" s="339"/>
      <c r="L132" s="339"/>
      <c r="M132" s="317"/>
      <c r="N132" s="339"/>
      <c r="O132" s="339"/>
      <c r="P132" s="339"/>
      <c r="Q132" s="339"/>
      <c r="R132" s="339"/>
      <c r="S132" s="339"/>
      <c r="T132" s="340"/>
    </row>
    <row r="133" spans="1:312" s="241" customFormat="1" x14ac:dyDescent="0.3">
      <c r="A133" s="139" t="s">
        <v>7</v>
      </c>
      <c r="B133" s="146" t="s">
        <v>306</v>
      </c>
      <c r="C133" s="136">
        <f>'Input data fish and seafood'!E26</f>
        <v>1</v>
      </c>
      <c r="D133" s="325" t="s">
        <v>473</v>
      </c>
      <c r="E133" s="784">
        <f>IF($F$1="GWP100 without fb",E134+E135*'Common input data'!$C$5+E136*'Common input data'!$D$5+E137*'Common input data'!$E$5,IF($F$1="GWP100 with fb",E134+E135*'Common input data'!$C$6+E136*'Common input data'!$D$6+E137*'Common input data'!$E$6,IF($F$1="GTP100 without fb",E134+E135*'Common input data'!$C$7+E136*'Common input data'!$D$7+E137*'Common input data'!$E$7,IF($F$1="GTP100 with fb",E134+E135*'Common input data'!$C$8+E136*'Common input data'!$D$8+E137*'Common input data'!$E$8,E134+E135*'Common input data'!$C$9+E136*'Common input data'!$D$9+E137*'Common input data'!$E$9))))</f>
        <v>1.5660450091692555</v>
      </c>
      <c r="F133" s="782">
        <f>IF($F$1="GWP100 without fb",F134+F135*'Common input data'!$C$5+F136*'Common input data'!$D$5+F137*'Common input data'!$E$5,IF($F$1="GWP100 with fb",F134+F135*'Common input data'!$C$6+F136*'Common input data'!$D$6+F137*'Common input data'!$E$6,IF($F$1="GTP100 without fb",F134+F135*'Common input data'!$C$7+F136*'Common input data'!$D$7+F137*'Common input data'!$E$7,IF($F$1="GTP100 with fb",F134+F135*'Common input data'!$C$8+F136*'Common input data'!$D$8+F137*'Common input data'!$E$8,F134+F135*'Common input data'!$C$9+F136*'Common input data'!$D$9+F137*'Common input data'!$E$9))))</f>
        <v>3.2188536966674652</v>
      </c>
      <c r="G133" s="785">
        <f>IF($F$1="GWP100 without fb",G134+G135*'Common input data'!$C$5+G136*'Common input data'!$D$5+G137*'Common input data'!$E$5,IF($F$1="GWP100 with fb",G134+G135*'Common input data'!$C$6+G136*'Common input data'!$D$6+G137*'Common input data'!$E$6,IF($F$1="GTP100 without fb",G134+G135*'Common input data'!$C$7+G136*'Common input data'!$D$7+G137*'Common input data'!$E$7,IF($F$1="GTP100 with fb",G134+G135*'Common input data'!$C$8+G136*'Common input data'!$D$8+G137*'Common input data'!$E$8,G134+G135*'Common input data'!$C$9+G136*'Common input data'!$D$9+G137*'Common input data'!$E$9))))</f>
        <v>13.866128460703676</v>
      </c>
      <c r="H133" s="326"/>
      <c r="I133" s="137"/>
      <c r="J133" s="137"/>
      <c r="K133" s="328"/>
      <c r="L133" s="328"/>
      <c r="M133" s="328"/>
      <c r="N133" s="328"/>
      <c r="O133" s="328"/>
      <c r="P133" s="328"/>
      <c r="Q133" s="328"/>
      <c r="R133" s="328"/>
      <c r="S133" s="328"/>
      <c r="T133" s="330"/>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4"/>
      <c r="CA133" s="64"/>
      <c r="CB133" s="64"/>
      <c r="CC133" s="64"/>
      <c r="CD133" s="64"/>
      <c r="CE133" s="64"/>
      <c r="CF133" s="64"/>
      <c r="CG133" s="64"/>
      <c r="CH133" s="64"/>
      <c r="CI133" s="64"/>
      <c r="CJ133" s="64"/>
      <c r="CK133" s="64"/>
      <c r="CL133" s="64"/>
      <c r="CM133" s="64"/>
      <c r="CN133" s="64"/>
      <c r="CO133" s="64"/>
      <c r="CP133" s="64"/>
      <c r="CQ133" s="64"/>
      <c r="CR133" s="64"/>
      <c r="CS133" s="64"/>
      <c r="CT133" s="64"/>
      <c r="CU133" s="64"/>
      <c r="CV133" s="64"/>
      <c r="CW133" s="64"/>
      <c r="CX133" s="64"/>
      <c r="CY133" s="64"/>
      <c r="CZ133" s="64"/>
      <c r="DA133" s="64"/>
      <c r="DB133" s="64"/>
      <c r="DC133" s="64"/>
      <c r="DD133" s="64"/>
      <c r="DE133" s="64"/>
      <c r="DF133" s="64"/>
      <c r="DG133" s="64"/>
      <c r="DH133" s="64"/>
      <c r="DI133" s="64"/>
      <c r="DJ133" s="64"/>
      <c r="DK133" s="64"/>
      <c r="DL133" s="64"/>
      <c r="DM133" s="64"/>
      <c r="DN133" s="64"/>
      <c r="DO133" s="64"/>
      <c r="DP133" s="64"/>
      <c r="DQ133" s="64"/>
      <c r="DR133" s="64"/>
      <c r="DS133" s="64"/>
      <c r="DT133" s="64"/>
      <c r="DU133" s="64"/>
      <c r="DV133" s="64"/>
      <c r="DW133" s="64"/>
      <c r="DX133" s="64"/>
      <c r="DY133" s="64"/>
      <c r="DZ133" s="64"/>
      <c r="EA133" s="64"/>
      <c r="EB133" s="64"/>
      <c r="EC133" s="64"/>
      <c r="ED133" s="64"/>
      <c r="EE133" s="64"/>
      <c r="EF133" s="64"/>
      <c r="EG133" s="64"/>
      <c r="EH133" s="64"/>
      <c r="EI133" s="64"/>
      <c r="EJ133" s="64"/>
      <c r="EK133" s="64"/>
      <c r="EL133" s="64"/>
      <c r="EM133" s="64"/>
      <c r="EN133" s="64"/>
      <c r="EO133" s="64"/>
      <c r="EP133" s="64"/>
      <c r="EQ133" s="64"/>
      <c r="ER133" s="64"/>
      <c r="ES133" s="64"/>
      <c r="ET133" s="64"/>
      <c r="EU133" s="64"/>
      <c r="EV133" s="64"/>
      <c r="EW133" s="64"/>
      <c r="EX133" s="64"/>
      <c r="EY133" s="64"/>
      <c r="EZ133" s="64"/>
      <c r="FA133" s="64"/>
      <c r="FB133" s="64"/>
      <c r="FC133" s="64"/>
      <c r="FD133" s="64"/>
      <c r="FE133" s="64"/>
      <c r="FF133" s="64"/>
      <c r="FG133" s="64"/>
      <c r="FH133" s="64"/>
      <c r="FI133" s="64"/>
      <c r="FJ133" s="64"/>
      <c r="FK133" s="64"/>
      <c r="FL133" s="64"/>
      <c r="FM133" s="64"/>
      <c r="FN133" s="64"/>
      <c r="FO133" s="64"/>
      <c r="FP133" s="64"/>
      <c r="FQ133" s="64"/>
      <c r="FR133" s="64"/>
      <c r="FS133" s="64"/>
      <c r="FT133" s="64"/>
      <c r="FU133" s="64"/>
      <c r="FV133" s="64"/>
      <c r="FW133" s="64"/>
      <c r="FX133" s="64"/>
      <c r="FY133" s="64"/>
      <c r="FZ133" s="64"/>
      <c r="GA133" s="64"/>
      <c r="GB133" s="64"/>
      <c r="GC133" s="64"/>
      <c r="GD133" s="64"/>
      <c r="GE133" s="64"/>
      <c r="GF133" s="64"/>
      <c r="GG133" s="64"/>
      <c r="GH133" s="64"/>
      <c r="GI133" s="64"/>
      <c r="GJ133" s="64"/>
      <c r="GK133" s="64"/>
      <c r="GL133" s="64"/>
      <c r="GM133" s="64"/>
      <c r="GN133" s="64"/>
      <c r="GO133" s="64"/>
      <c r="GP133" s="64"/>
      <c r="GQ133" s="64"/>
      <c r="GR133" s="64"/>
      <c r="GS133" s="64"/>
      <c r="GT133" s="64"/>
      <c r="GU133" s="64"/>
      <c r="GV133" s="64"/>
      <c r="GW133" s="64"/>
      <c r="GX133" s="64"/>
      <c r="GY133" s="64"/>
      <c r="GZ133" s="64"/>
      <c r="HA133" s="64"/>
      <c r="HB133" s="64"/>
      <c r="HC133" s="64"/>
      <c r="HD133" s="64"/>
      <c r="HE133" s="64"/>
      <c r="HF133" s="64"/>
      <c r="HG133" s="64"/>
      <c r="HH133" s="64"/>
      <c r="HI133" s="64"/>
      <c r="HJ133" s="64"/>
      <c r="HK133" s="64"/>
      <c r="HL133" s="64"/>
      <c r="HM133" s="64"/>
      <c r="HN133" s="64"/>
      <c r="HO133" s="64"/>
      <c r="HP133" s="64"/>
      <c r="HQ133" s="64"/>
      <c r="HR133" s="64"/>
      <c r="HS133" s="64"/>
      <c r="HT133" s="64"/>
      <c r="HU133" s="64"/>
      <c r="HV133" s="64"/>
      <c r="HW133" s="64"/>
      <c r="HX133" s="64"/>
      <c r="HY133" s="64"/>
      <c r="HZ133" s="64"/>
      <c r="IA133" s="64"/>
      <c r="IB133" s="64"/>
      <c r="IC133" s="64"/>
      <c r="ID133" s="64"/>
      <c r="IE133" s="64"/>
      <c r="IF133" s="64"/>
      <c r="IG133" s="64"/>
      <c r="IH133" s="64"/>
      <c r="II133" s="64"/>
      <c r="IJ133" s="64"/>
      <c r="IK133" s="64"/>
      <c r="IL133" s="64"/>
      <c r="IM133" s="64"/>
      <c r="IN133" s="64"/>
      <c r="IO133" s="64"/>
      <c r="IP133" s="64"/>
      <c r="IQ133" s="64"/>
      <c r="IR133" s="64"/>
      <c r="IS133" s="64"/>
      <c r="IT133" s="64"/>
      <c r="IU133" s="64"/>
      <c r="IV133" s="64"/>
      <c r="IW133" s="64"/>
      <c r="IX133" s="64"/>
      <c r="IY133" s="64"/>
      <c r="IZ133" s="64"/>
      <c r="JA133" s="64"/>
      <c r="JB133" s="64"/>
      <c r="JC133" s="64"/>
      <c r="JD133" s="64"/>
      <c r="JE133" s="64"/>
      <c r="JF133" s="64"/>
      <c r="JG133" s="64"/>
      <c r="JH133" s="64"/>
      <c r="JI133" s="64"/>
      <c r="JJ133" s="64"/>
      <c r="JK133" s="64"/>
      <c r="JL133" s="64"/>
      <c r="JM133" s="64"/>
      <c r="JN133" s="64"/>
      <c r="JO133" s="64"/>
      <c r="JP133" s="64"/>
      <c r="JQ133" s="64"/>
      <c r="JR133" s="64"/>
      <c r="JS133" s="64"/>
      <c r="JT133" s="64"/>
      <c r="JU133" s="64"/>
      <c r="JV133" s="64"/>
      <c r="JW133" s="64"/>
      <c r="JX133" s="64"/>
      <c r="JY133" s="64"/>
      <c r="JZ133" s="64"/>
      <c r="KA133" s="64"/>
      <c r="KB133" s="64"/>
      <c r="KC133" s="64"/>
      <c r="KD133" s="64"/>
      <c r="KE133" s="64"/>
      <c r="KF133" s="64"/>
      <c r="KG133" s="64"/>
      <c r="KH133" s="64"/>
      <c r="KI133" s="64"/>
      <c r="KJ133" s="64"/>
      <c r="KK133" s="64"/>
      <c r="KL133" s="64"/>
      <c r="KM133" s="64"/>
      <c r="KN133" s="64"/>
      <c r="KO133" s="64"/>
      <c r="KP133" s="64"/>
      <c r="KQ133" s="64"/>
      <c r="KR133" s="64"/>
      <c r="KS133" s="64"/>
      <c r="KT133" s="64"/>
      <c r="KU133" s="64"/>
      <c r="KV133" s="64"/>
      <c r="KW133" s="64"/>
      <c r="KX133" s="64"/>
      <c r="KY133" s="64"/>
      <c r="KZ133" s="64"/>
    </row>
    <row r="134" spans="1:312" x14ac:dyDescent="0.3">
      <c r="A134" s="144"/>
      <c r="B134" s="84"/>
      <c r="C134" s="157"/>
      <c r="D134" s="83" t="s">
        <v>164</v>
      </c>
      <c r="E134" s="334">
        <f>IF(AND($F$2="No",$F$3="No"),SUM(J134),IF(AND($F$2="Yes", $F$3="No"), SUM(J134)+L134, IF(AND($F$2="No", $F$3="Yes"),SUM(J134)+K134, SUM(J134)+L134+K134)))</f>
        <v>0.72485369666746435</v>
      </c>
      <c r="F134" s="88">
        <f>IF(AND($F$2="No",$F$3="No"),SUM(H134:J134,M134:P134),IF(AND($F$2="Yes", $F$3="No"), SUM(H134:J134,M134:P134)+L134, IF(AND($F$2="No", $F$3="Yes"),SUM(H134:J134,M134:P134)+K134, SUM(H134:J134,M134:P134)+L134+K134)))</f>
        <v>2.0358564771041472</v>
      </c>
      <c r="G134" s="474">
        <f>SUM(R134:T134)/(1-'Common input data'!D125)</f>
        <v>9.3962659107611834</v>
      </c>
      <c r="H134" s="85">
        <f>'Input data fish and seafood'!D56</f>
        <v>0.05</v>
      </c>
      <c r="I134" s="85">
        <f>'Input data fish and seafood'!D63*'Input data fish and seafood'!I26</f>
        <v>1.1570027804366829</v>
      </c>
      <c r="J134" s="85">
        <f>'Input data fish and seafood'!D67*'Input data fish and seafood'!I26</f>
        <v>0</v>
      </c>
      <c r="K134" s="85">
        <f>'Input data fish and seafood'!I26*('Input data fish and seafood'!D75*'Common input data'!C13*'Common input data'!G30+'Input data fish and seafood'!D81*'Common input data'!B13*'Common input data'!G27/'Common input data'!F27+'Input data fish and seafood'!D82*'Common input data'!E13+'Input data fish and seafood'!D83*'Common input data'!B13)</f>
        <v>0.14186732906549368</v>
      </c>
      <c r="L134" s="85">
        <f>'Common input data'!B21*'Input data fish and seafood'!D75*'Input data fish and seafood'!I26*'Common input data'!G30/'Common input data'!F30</f>
        <v>0.58298636760197065</v>
      </c>
      <c r="M134" s="85">
        <f>'Input data fish and seafood'!I26*'Common input data'!B81</f>
        <v>5.3999999999999999E-2</v>
      </c>
      <c r="N134" s="85">
        <f>'Input data fish and seafood'!D57</f>
        <v>0.05</v>
      </c>
      <c r="O134" s="85">
        <v>0</v>
      </c>
      <c r="P134" s="85">
        <v>0</v>
      </c>
      <c r="Q134" s="85">
        <f>'Input data fish and seafood'!B89*('Input data fish and seafood'!B102*'Common input data'!B63+'Input data fish and seafood'!C102*'Common input data'!C63+'Input data fish and seafood'!G102*'Common input data'!J63)</f>
        <v>0.27076640000000002</v>
      </c>
      <c r="R134" s="88">
        <f>(F134+Q134)/'Input data fish and seafood'!$H$26</f>
        <v>6.7841849326592554</v>
      </c>
      <c r="S134" s="85">
        <f>'Common input data'!B94</f>
        <v>0.1</v>
      </c>
      <c r="T134" s="207">
        <f>'Input data fish and seafood'!G116*'Common input data'!B105+'Common input data'!C105</f>
        <v>0.43000000000000005</v>
      </c>
    </row>
    <row r="135" spans="1:312" x14ac:dyDescent="0.3">
      <c r="A135" s="144"/>
      <c r="B135" s="84"/>
      <c r="C135" s="142"/>
      <c r="D135" s="83" t="s">
        <v>165</v>
      </c>
      <c r="E135" s="258">
        <f>J135</f>
        <v>0</v>
      </c>
      <c r="F135" s="88">
        <f>SUM(H135:J135,M135:P135)</f>
        <v>2.6479755469272274E-4</v>
      </c>
      <c r="G135" s="474">
        <f>SUM(R135:T135)/(1-'Common input data'!D125)</f>
        <v>1.0005168680567633E-3</v>
      </c>
      <c r="H135" s="85">
        <v>0</v>
      </c>
      <c r="I135" s="85">
        <f>'Input data fish and seafood'!D64*'Input data fish and seafood'!I26</f>
        <v>2.6479755469272274E-4</v>
      </c>
      <c r="J135" s="85">
        <f>'Input data fish and seafood'!D68*'Input data fish and seafood'!I26</f>
        <v>0</v>
      </c>
      <c r="K135" s="85">
        <v>0</v>
      </c>
      <c r="L135" s="85">
        <v>0</v>
      </c>
      <c r="M135" s="85">
        <v>0</v>
      </c>
      <c r="N135" s="85">
        <v>0</v>
      </c>
      <c r="O135" s="85">
        <v>0</v>
      </c>
      <c r="P135" s="85">
        <v>0</v>
      </c>
      <c r="Q135" s="85">
        <v>0</v>
      </c>
      <c r="R135" s="88">
        <f>(F135+Q135)/'Input data fish and seafood'!$H$26</f>
        <v>7.7881633733153737E-4</v>
      </c>
      <c r="S135" s="85">
        <v>0</v>
      </c>
      <c r="T135" s="207">
        <v>0</v>
      </c>
    </row>
    <row r="136" spans="1:312" x14ac:dyDescent="0.3">
      <c r="A136" s="174"/>
      <c r="B136" s="206"/>
      <c r="C136" s="85"/>
      <c r="D136" s="84" t="s">
        <v>166</v>
      </c>
      <c r="E136" s="258">
        <f>J136</f>
        <v>2.8227896392677559E-3</v>
      </c>
      <c r="F136" s="88">
        <f>SUM(H136:J136,M136:P136)</f>
        <v>3.9395775258515616E-3</v>
      </c>
      <c r="G136" s="474">
        <f>SUM(R136:T136)/(1-'Common input data'!D125)</f>
        <v>1.4885385826941485E-2</v>
      </c>
      <c r="H136" s="85">
        <v>0</v>
      </c>
      <c r="I136" s="85">
        <f>'Input data fish and seafood'!D65*'Input data fish and seafood'!I26</f>
        <v>1.1167878865838061E-3</v>
      </c>
      <c r="J136" s="85">
        <f>'Input data fish and seafood'!D69*'Input data fish and seafood'!I26</f>
        <v>2.8227896392677559E-3</v>
      </c>
      <c r="K136" s="85">
        <v>0</v>
      </c>
      <c r="L136" s="85">
        <v>0</v>
      </c>
      <c r="M136" s="85">
        <v>0</v>
      </c>
      <c r="N136" s="85">
        <v>0</v>
      </c>
      <c r="O136" s="85">
        <v>0</v>
      </c>
      <c r="P136" s="85">
        <v>0</v>
      </c>
      <c r="Q136" s="85">
        <v>0</v>
      </c>
      <c r="R136" s="88">
        <f>(F136+Q136)/'Input data fish and seafood'!$H$26</f>
        <v>1.1586992723092828E-2</v>
      </c>
      <c r="S136" s="85">
        <v>0</v>
      </c>
      <c r="T136" s="207">
        <v>0</v>
      </c>
    </row>
    <row r="137" spans="1:312" x14ac:dyDescent="0.3">
      <c r="A137" s="174"/>
      <c r="B137" s="206"/>
      <c r="C137" s="85"/>
      <c r="D137" s="84" t="s">
        <v>414</v>
      </c>
      <c r="E137" s="771">
        <f>J137</f>
        <v>0</v>
      </c>
      <c r="F137" s="105">
        <f>SUM(H137:J137,M137:P137)</f>
        <v>0</v>
      </c>
      <c r="G137" s="789">
        <v>0</v>
      </c>
      <c r="H137" s="88">
        <v>0</v>
      </c>
      <c r="I137" s="88">
        <v>0</v>
      </c>
      <c r="J137" s="88">
        <v>0</v>
      </c>
      <c r="K137" s="88">
        <v>0</v>
      </c>
      <c r="L137" s="88">
        <v>0</v>
      </c>
      <c r="M137" s="88">
        <v>0</v>
      </c>
      <c r="N137" s="88">
        <v>0</v>
      </c>
      <c r="O137" s="85">
        <v>0</v>
      </c>
      <c r="P137" s="85">
        <v>0</v>
      </c>
      <c r="Q137" s="88">
        <v>0</v>
      </c>
      <c r="R137" s="88">
        <v>0</v>
      </c>
      <c r="S137" s="88">
        <v>0</v>
      </c>
      <c r="T137" s="151">
        <v>0</v>
      </c>
    </row>
    <row r="138" spans="1:312" s="282" customFormat="1" x14ac:dyDescent="0.3">
      <c r="A138" s="311" t="s">
        <v>581</v>
      </c>
      <c r="B138" s="312"/>
      <c r="C138" s="313"/>
      <c r="D138" s="314"/>
      <c r="E138" s="767" t="s">
        <v>802</v>
      </c>
      <c r="F138" s="768" t="s">
        <v>802</v>
      </c>
      <c r="G138" s="590" t="s">
        <v>790</v>
      </c>
      <c r="H138" s="313"/>
      <c r="I138" s="313"/>
      <c r="J138" s="313"/>
      <c r="K138" s="316"/>
      <c r="L138" s="316"/>
      <c r="M138" s="317"/>
      <c r="N138" s="316"/>
      <c r="O138" s="316"/>
      <c r="P138" s="316"/>
      <c r="Q138" s="316"/>
      <c r="R138" s="316"/>
      <c r="S138" s="316"/>
      <c r="T138" s="318"/>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64"/>
      <c r="BE138" s="64"/>
      <c r="BF138" s="64"/>
      <c r="BG138" s="64"/>
      <c r="BH138" s="64"/>
      <c r="BI138" s="64"/>
      <c r="BJ138" s="64"/>
      <c r="BK138" s="64"/>
      <c r="BL138" s="64"/>
      <c r="BM138" s="64"/>
      <c r="BN138" s="64"/>
      <c r="BO138" s="64"/>
      <c r="BP138" s="64"/>
      <c r="BQ138" s="64"/>
      <c r="BR138" s="64"/>
      <c r="BS138" s="64"/>
      <c r="BT138" s="64"/>
      <c r="BU138" s="64"/>
      <c r="BV138" s="64"/>
      <c r="BW138" s="64"/>
      <c r="BX138" s="64"/>
      <c r="BY138" s="64"/>
      <c r="BZ138" s="64"/>
      <c r="CA138" s="64"/>
      <c r="CB138" s="64"/>
      <c r="CC138" s="64"/>
      <c r="CD138" s="64"/>
      <c r="CE138" s="64"/>
      <c r="CF138" s="64"/>
      <c r="CG138" s="64"/>
      <c r="CH138" s="64"/>
      <c r="CI138" s="64"/>
      <c r="CJ138" s="64"/>
      <c r="CK138" s="64"/>
      <c r="CL138" s="64"/>
      <c r="CM138" s="64"/>
      <c r="CN138" s="64"/>
      <c r="CO138" s="64"/>
      <c r="CP138" s="64"/>
      <c r="CQ138" s="64"/>
      <c r="CR138" s="64"/>
      <c r="CS138" s="64"/>
      <c r="CT138" s="64"/>
      <c r="CU138" s="64"/>
      <c r="CV138" s="64"/>
      <c r="CW138" s="64"/>
      <c r="CX138" s="64"/>
      <c r="CY138" s="64"/>
      <c r="CZ138" s="64"/>
      <c r="DA138" s="64"/>
      <c r="DB138" s="64"/>
      <c r="DC138" s="64"/>
      <c r="DD138" s="64"/>
      <c r="DE138" s="64"/>
      <c r="DF138" s="64"/>
      <c r="DG138" s="64"/>
      <c r="DH138" s="64"/>
      <c r="DI138" s="64"/>
      <c r="DJ138" s="64"/>
      <c r="DK138" s="64"/>
      <c r="DL138" s="64"/>
      <c r="DM138" s="64"/>
      <c r="DN138" s="64"/>
      <c r="DO138" s="64"/>
      <c r="DP138" s="64"/>
      <c r="DQ138" s="64"/>
      <c r="DR138" s="64"/>
      <c r="DS138" s="64"/>
      <c r="DT138" s="64"/>
      <c r="DU138" s="64"/>
      <c r="DV138" s="64"/>
      <c r="DW138" s="64"/>
      <c r="DX138" s="64"/>
      <c r="DY138" s="64"/>
      <c r="DZ138" s="64"/>
      <c r="EA138" s="64"/>
      <c r="EB138" s="64"/>
      <c r="EC138" s="64"/>
      <c r="ED138" s="64"/>
      <c r="EE138" s="64"/>
      <c r="EF138" s="64"/>
      <c r="EG138" s="64"/>
      <c r="EH138" s="64"/>
      <c r="EI138" s="64"/>
      <c r="EJ138" s="64"/>
      <c r="EK138" s="64"/>
      <c r="EL138" s="64"/>
      <c r="EM138" s="64"/>
      <c r="EN138" s="64"/>
      <c r="EO138" s="64"/>
      <c r="EP138" s="64"/>
      <c r="EQ138" s="64"/>
      <c r="ER138" s="64"/>
      <c r="ES138" s="64"/>
      <c r="ET138" s="64"/>
      <c r="EU138" s="64"/>
      <c r="EV138" s="64"/>
      <c r="EW138" s="64"/>
      <c r="EX138" s="64"/>
      <c r="EY138" s="64"/>
      <c r="EZ138" s="64"/>
      <c r="FA138" s="64"/>
      <c r="FB138" s="64"/>
      <c r="FC138" s="64"/>
      <c r="FD138" s="64"/>
      <c r="FE138" s="64"/>
      <c r="FF138" s="64"/>
      <c r="FG138" s="64"/>
      <c r="FH138" s="64"/>
      <c r="FI138" s="64"/>
      <c r="FJ138" s="64"/>
      <c r="FK138" s="64"/>
      <c r="FL138" s="64"/>
      <c r="FM138" s="64"/>
      <c r="FN138" s="64"/>
      <c r="FO138" s="64"/>
      <c r="FP138" s="64"/>
      <c r="FQ138" s="64"/>
      <c r="FR138" s="64"/>
      <c r="FS138" s="64"/>
      <c r="FT138" s="64"/>
      <c r="FU138" s="64"/>
      <c r="FV138" s="64"/>
      <c r="FW138" s="64"/>
      <c r="FX138" s="64"/>
      <c r="FY138" s="64"/>
      <c r="FZ138" s="64"/>
      <c r="GA138" s="64"/>
      <c r="GB138" s="64"/>
      <c r="GC138" s="64"/>
      <c r="GD138" s="64"/>
      <c r="GE138" s="64"/>
      <c r="GF138" s="64"/>
      <c r="GG138" s="64"/>
      <c r="GH138" s="64"/>
      <c r="GI138" s="64"/>
      <c r="GJ138" s="64"/>
      <c r="GK138" s="64"/>
      <c r="GL138" s="64"/>
      <c r="GM138" s="64"/>
      <c r="GN138" s="64"/>
      <c r="GO138" s="64"/>
      <c r="GP138" s="64"/>
      <c r="GQ138" s="64"/>
      <c r="GR138" s="64"/>
      <c r="GS138" s="64"/>
      <c r="GT138" s="64"/>
      <c r="GU138" s="64"/>
      <c r="GV138" s="64"/>
      <c r="GW138" s="64"/>
      <c r="GX138" s="64"/>
      <c r="GY138" s="64"/>
      <c r="GZ138" s="64"/>
      <c r="HA138" s="64"/>
      <c r="HB138" s="64"/>
      <c r="HC138" s="64"/>
      <c r="HD138" s="64"/>
      <c r="HE138" s="64"/>
      <c r="HF138" s="64"/>
      <c r="HG138" s="64"/>
      <c r="HH138" s="64"/>
      <c r="HI138" s="64"/>
      <c r="HJ138" s="64"/>
      <c r="HK138" s="64"/>
      <c r="HL138" s="64"/>
      <c r="HM138" s="64"/>
      <c r="HN138" s="64"/>
      <c r="HO138" s="64"/>
      <c r="HP138" s="64"/>
      <c r="HQ138" s="64"/>
      <c r="HR138" s="64"/>
      <c r="HS138" s="64"/>
      <c r="HT138" s="64"/>
      <c r="HU138" s="64"/>
      <c r="HV138" s="64"/>
      <c r="HW138" s="64"/>
      <c r="HX138" s="64"/>
      <c r="HY138" s="64"/>
      <c r="HZ138" s="64"/>
      <c r="IA138" s="64"/>
      <c r="IB138" s="64"/>
      <c r="IC138" s="64"/>
      <c r="ID138" s="64"/>
      <c r="IE138" s="64"/>
      <c r="IF138" s="64"/>
      <c r="IG138" s="64"/>
      <c r="IH138" s="64"/>
      <c r="II138" s="64"/>
      <c r="IJ138" s="64"/>
      <c r="IK138" s="64"/>
      <c r="IL138" s="64"/>
      <c r="IM138" s="64"/>
      <c r="IN138" s="64"/>
      <c r="IO138" s="64"/>
      <c r="IP138" s="64"/>
      <c r="IQ138" s="64"/>
      <c r="IR138" s="64"/>
      <c r="IS138" s="64"/>
      <c r="IT138" s="64"/>
      <c r="IU138" s="64"/>
      <c r="IV138" s="64"/>
      <c r="IW138" s="64"/>
      <c r="IX138" s="64"/>
      <c r="IY138" s="64"/>
      <c r="IZ138" s="64"/>
      <c r="JA138" s="64"/>
      <c r="JB138" s="64"/>
      <c r="JC138" s="64"/>
      <c r="JD138" s="64"/>
      <c r="JE138" s="64"/>
      <c r="JF138" s="64"/>
      <c r="JG138" s="64"/>
      <c r="JH138" s="64"/>
      <c r="JI138" s="64"/>
      <c r="JJ138" s="64"/>
      <c r="JK138" s="64"/>
      <c r="JL138" s="64"/>
      <c r="JM138" s="64"/>
      <c r="JN138" s="64"/>
      <c r="JO138" s="64"/>
      <c r="JP138" s="64"/>
      <c r="JQ138" s="64"/>
      <c r="JR138" s="64"/>
      <c r="JS138" s="64"/>
      <c r="JT138" s="64"/>
      <c r="JU138" s="64"/>
      <c r="JV138" s="64"/>
      <c r="JW138" s="64"/>
      <c r="JX138" s="64"/>
      <c r="JY138" s="64"/>
      <c r="JZ138" s="64"/>
      <c r="KA138" s="64"/>
      <c r="KB138" s="64"/>
      <c r="KC138" s="64"/>
      <c r="KD138" s="64"/>
      <c r="KE138" s="64"/>
      <c r="KF138" s="64"/>
      <c r="KG138" s="64"/>
      <c r="KH138" s="64"/>
      <c r="KI138" s="64"/>
      <c r="KJ138" s="64"/>
      <c r="KK138" s="64"/>
      <c r="KL138" s="64"/>
      <c r="KM138" s="64"/>
      <c r="KN138" s="64"/>
      <c r="KO138" s="64"/>
      <c r="KP138" s="64"/>
      <c r="KQ138" s="64"/>
      <c r="KR138" s="64"/>
      <c r="KS138" s="64"/>
      <c r="KT138" s="64"/>
      <c r="KU138" s="64"/>
      <c r="KV138" s="64"/>
      <c r="KW138" s="64"/>
      <c r="KX138" s="64"/>
      <c r="KY138" s="64"/>
      <c r="KZ138" s="64"/>
    </row>
    <row r="139" spans="1:312" s="408" customFormat="1" x14ac:dyDescent="0.3">
      <c r="A139" s="139" t="s">
        <v>260</v>
      </c>
      <c r="B139" s="146"/>
      <c r="C139" s="136">
        <f>SUM(C144:C153)</f>
        <v>1</v>
      </c>
      <c r="D139" s="325" t="s">
        <v>473</v>
      </c>
      <c r="E139" s="784">
        <f>IF($F$1="GWP100 without fb",E140+E141*'Common input data'!$C$5+E142*'Common input data'!$D$5+E143*'Common input data'!$E$5,IF($F$1="GWP100 with fb",E140+E141*'Common input data'!$C$6+E142*'Common input data'!$D$6+E143*'Common input data'!$E$6,IF($F$1="GTP100 without fb",E140+E141*'Common input data'!$C$7+E142*'Common input data'!$D$7+E143*'Common input data'!$E$7,IF($F$1="GTP100 with fb",E140+E141*'Common input data'!$C$8+E142*'Common input data'!$D$8+E143*'Common input data'!$E$8,E140+E141*'Common input data'!$C$9+E142*'Common input data'!$D$9+E143*'Common input data'!$E$9))))</f>
        <v>0</v>
      </c>
      <c r="F139" s="782">
        <f>IF($F$1="GWP100 without fb",F140+F141*'Common input data'!$C$5+F142*'Common input data'!$D$5+F143*'Common input data'!$E$5,IF($F$1="GWP100 with fb",F140+F141*'Common input data'!$C$6+F142*'Common input data'!$D$6+F143*'Common input data'!$E$6,IF($F$1="GTP100 without fb",F140+F141*'Common input data'!$C$7+F142*'Common input data'!$D$7+F143*'Common input data'!$E$7,IF($F$1="GTP100 with fb",F140+F141*'Common input data'!$C$8+F142*'Common input data'!$D$8+F143*'Common input data'!$E$8,F140+F141*'Common input data'!$C$9+F142*'Common input data'!$D$9+F143*'Common input data'!$E$9))))</f>
        <v>9.448439999999998</v>
      </c>
      <c r="G139" s="785">
        <f>IF($F$1="GWP100 without fb",G140+G141*'Common input data'!$C$5+G142*'Common input data'!$D$5+G143*'Common input data'!$E$5,IF($F$1="GWP100 with fb",G140+G141*'Common input data'!$C$6+G142*'Common input data'!$D$6+G143*'Common input data'!$E$6,IF($F$1="GTP100 without fb",G140+G141*'Common input data'!$C$7+G142*'Common input data'!$D$7+G143*'Common input data'!$E$7,IF($F$1="GTP100 with fb",G140+G141*'Common input data'!$C$8+G142*'Common input data'!$D$8+G143*'Common input data'!$E$8,G140+G141*'Common input data'!$C$9+G142*'Common input data'!$D$9+G143*'Common input data'!$E$9))))</f>
        <v>23.280467364282003</v>
      </c>
      <c r="H139" s="326"/>
      <c r="I139" s="327"/>
      <c r="J139" s="327"/>
      <c r="K139" s="328"/>
      <c r="L139" s="328"/>
      <c r="M139" s="329"/>
      <c r="N139" s="328"/>
      <c r="O139" s="328"/>
      <c r="P139" s="328"/>
      <c r="Q139" s="328"/>
      <c r="R139" s="328"/>
      <c r="S139" s="328"/>
      <c r="T139" s="330"/>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64"/>
      <c r="AZ139" s="64"/>
      <c r="BA139" s="64"/>
      <c r="BB139" s="64"/>
      <c r="BC139" s="64"/>
      <c r="BD139" s="64"/>
      <c r="BE139" s="64"/>
      <c r="BF139" s="64"/>
      <c r="BG139" s="64"/>
      <c r="BH139" s="64"/>
      <c r="BI139" s="64"/>
      <c r="BJ139" s="64"/>
      <c r="BK139" s="64"/>
      <c r="BL139" s="64"/>
      <c r="BM139" s="64"/>
      <c r="BN139" s="64"/>
      <c r="BO139" s="64"/>
      <c r="BP139" s="64"/>
      <c r="BQ139" s="64"/>
      <c r="BR139" s="64"/>
      <c r="BS139" s="64"/>
      <c r="BT139" s="64"/>
      <c r="BU139" s="64"/>
      <c r="BV139" s="64"/>
      <c r="BW139" s="64"/>
      <c r="BX139" s="64"/>
      <c r="BY139" s="64"/>
      <c r="BZ139" s="64"/>
      <c r="CA139" s="64"/>
      <c r="CB139" s="64"/>
      <c r="CC139" s="64"/>
      <c r="CD139" s="64"/>
      <c r="CE139" s="64"/>
      <c r="CF139" s="64"/>
      <c r="CG139" s="64"/>
      <c r="CH139" s="64"/>
      <c r="CI139" s="64"/>
      <c r="CJ139" s="64"/>
      <c r="CK139" s="64"/>
      <c r="CL139" s="64"/>
      <c r="CM139" s="64"/>
      <c r="CN139" s="64"/>
      <c r="CO139" s="64"/>
      <c r="CP139" s="64"/>
      <c r="CQ139" s="64"/>
      <c r="CR139" s="64"/>
      <c r="CS139" s="64"/>
      <c r="CT139" s="64"/>
      <c r="CU139" s="64"/>
      <c r="CV139" s="64"/>
      <c r="CW139" s="64"/>
      <c r="CX139" s="64"/>
      <c r="CY139" s="64"/>
      <c r="CZ139" s="64"/>
      <c r="DA139" s="64"/>
      <c r="DB139" s="64"/>
      <c r="DC139" s="64"/>
      <c r="DD139" s="64"/>
      <c r="DE139" s="64"/>
      <c r="DF139" s="64"/>
      <c r="DG139" s="64"/>
      <c r="DH139" s="64"/>
      <c r="DI139" s="64"/>
      <c r="DJ139" s="64"/>
      <c r="DK139" s="64"/>
      <c r="DL139" s="64"/>
      <c r="DM139" s="64"/>
      <c r="DN139" s="64"/>
      <c r="DO139" s="64"/>
      <c r="DP139" s="64"/>
      <c r="DQ139" s="64"/>
      <c r="DR139" s="64"/>
      <c r="DS139" s="64"/>
      <c r="DT139" s="64"/>
      <c r="DU139" s="64"/>
      <c r="DV139" s="64"/>
      <c r="DW139" s="64"/>
      <c r="DX139" s="64"/>
      <c r="DY139" s="64"/>
      <c r="DZ139" s="64"/>
      <c r="EA139" s="64"/>
      <c r="EB139" s="64"/>
      <c r="EC139" s="64"/>
      <c r="ED139" s="64"/>
      <c r="EE139" s="64"/>
      <c r="EF139" s="64"/>
      <c r="EG139" s="64"/>
      <c r="EH139" s="64"/>
      <c r="EI139" s="64"/>
      <c r="EJ139" s="64"/>
      <c r="EK139" s="64"/>
      <c r="EL139" s="64"/>
      <c r="EM139" s="64"/>
      <c r="EN139" s="64"/>
      <c r="EO139" s="64"/>
      <c r="EP139" s="64"/>
      <c r="EQ139" s="64"/>
      <c r="ER139" s="64"/>
      <c r="ES139" s="64"/>
      <c r="ET139" s="64"/>
      <c r="EU139" s="64"/>
      <c r="EV139" s="64"/>
      <c r="EW139" s="64"/>
      <c r="EX139" s="64"/>
      <c r="EY139" s="64"/>
      <c r="EZ139" s="64"/>
      <c r="FA139" s="64"/>
      <c r="FB139" s="64"/>
      <c r="FC139" s="64"/>
      <c r="FD139" s="64"/>
      <c r="FE139" s="64"/>
      <c r="FF139" s="64"/>
      <c r="FG139" s="64"/>
      <c r="FH139" s="64"/>
      <c r="FI139" s="64"/>
      <c r="FJ139" s="64"/>
      <c r="FK139" s="64"/>
      <c r="FL139" s="64"/>
      <c r="FM139" s="64"/>
      <c r="FN139" s="64"/>
      <c r="FO139" s="64"/>
      <c r="FP139" s="64"/>
      <c r="FQ139" s="64"/>
      <c r="FR139" s="64"/>
      <c r="FS139" s="64"/>
      <c r="FT139" s="64"/>
      <c r="FU139" s="64"/>
      <c r="FV139" s="64"/>
      <c r="FW139" s="64"/>
      <c r="FX139" s="64"/>
      <c r="FY139" s="64"/>
      <c r="FZ139" s="64"/>
      <c r="GA139" s="64"/>
      <c r="GB139" s="64"/>
      <c r="GC139" s="64"/>
      <c r="GD139" s="64"/>
      <c r="GE139" s="64"/>
      <c r="GF139" s="64"/>
      <c r="GG139" s="64"/>
      <c r="GH139" s="64"/>
      <c r="GI139" s="64"/>
      <c r="GJ139" s="64"/>
      <c r="GK139" s="64"/>
      <c r="GL139" s="64"/>
      <c r="GM139" s="64"/>
      <c r="GN139" s="64"/>
      <c r="GO139" s="64"/>
      <c r="GP139" s="64"/>
      <c r="GQ139" s="64"/>
      <c r="GR139" s="64"/>
      <c r="GS139" s="64"/>
      <c r="GT139" s="64"/>
      <c r="GU139" s="64"/>
      <c r="GV139" s="64"/>
      <c r="GW139" s="64"/>
      <c r="GX139" s="64"/>
      <c r="GY139" s="64"/>
      <c r="GZ139" s="64"/>
      <c r="HA139" s="64"/>
      <c r="HB139" s="64"/>
      <c r="HC139" s="64"/>
      <c r="HD139" s="64"/>
      <c r="HE139" s="64"/>
      <c r="HF139" s="64"/>
      <c r="HG139" s="64"/>
      <c r="HH139" s="64"/>
      <c r="HI139" s="64"/>
      <c r="HJ139" s="64"/>
      <c r="HK139" s="64"/>
      <c r="HL139" s="64"/>
      <c r="HM139" s="64"/>
      <c r="HN139" s="64"/>
      <c r="HO139" s="64"/>
      <c r="HP139" s="64"/>
      <c r="HQ139" s="64"/>
      <c r="HR139" s="64"/>
      <c r="HS139" s="64"/>
      <c r="HT139" s="64"/>
      <c r="HU139" s="64"/>
      <c r="HV139" s="64"/>
      <c r="HW139" s="64"/>
      <c r="HX139" s="64"/>
      <c r="HY139" s="64"/>
      <c r="HZ139" s="64"/>
      <c r="IA139" s="64"/>
      <c r="IB139" s="64"/>
      <c r="IC139" s="64"/>
      <c r="ID139" s="64"/>
      <c r="IE139" s="64"/>
      <c r="IF139" s="64"/>
      <c r="IG139" s="64"/>
      <c r="IH139" s="64"/>
      <c r="II139" s="64"/>
      <c r="IJ139" s="64"/>
      <c r="IK139" s="64"/>
      <c r="IL139" s="64"/>
      <c r="IM139" s="64"/>
      <c r="IN139" s="64"/>
      <c r="IO139" s="64"/>
      <c r="IP139" s="64"/>
      <c r="IQ139" s="64"/>
      <c r="IR139" s="64"/>
      <c r="IS139" s="64"/>
      <c r="IT139" s="64"/>
      <c r="IU139" s="64"/>
      <c r="IV139" s="64"/>
      <c r="IW139" s="64"/>
      <c r="IX139" s="64"/>
      <c r="IY139" s="64"/>
      <c r="IZ139" s="64"/>
      <c r="JA139" s="64"/>
      <c r="JB139" s="64"/>
      <c r="JC139" s="64"/>
      <c r="JD139" s="64"/>
      <c r="JE139" s="64"/>
      <c r="JF139" s="64"/>
      <c r="JG139" s="64"/>
      <c r="JH139" s="64"/>
      <c r="JI139" s="64"/>
      <c r="JJ139" s="64"/>
      <c r="JK139" s="64"/>
      <c r="JL139" s="64"/>
      <c r="JM139" s="64"/>
      <c r="JN139" s="64"/>
      <c r="JO139" s="64"/>
      <c r="JP139" s="64"/>
      <c r="JQ139" s="64"/>
      <c r="JR139" s="64"/>
      <c r="JS139" s="64"/>
      <c r="JT139" s="64"/>
      <c r="JU139" s="64"/>
      <c r="JV139" s="64"/>
      <c r="JW139" s="64"/>
      <c r="JX139" s="64"/>
      <c r="JY139" s="64"/>
      <c r="JZ139" s="64"/>
      <c r="KA139" s="64"/>
      <c r="KB139" s="64"/>
      <c r="KC139" s="64"/>
      <c r="KD139" s="64"/>
      <c r="KE139" s="64"/>
      <c r="KF139" s="64"/>
      <c r="KG139" s="64"/>
      <c r="KH139" s="64"/>
      <c r="KI139" s="64"/>
      <c r="KJ139" s="64"/>
      <c r="KK139" s="64"/>
      <c r="KL139" s="64"/>
      <c r="KM139" s="64"/>
      <c r="KN139" s="64"/>
      <c r="KO139" s="64"/>
      <c r="KP139" s="64"/>
      <c r="KQ139" s="64"/>
      <c r="KR139" s="64"/>
      <c r="KS139" s="64"/>
      <c r="KT139" s="64"/>
      <c r="KU139" s="64"/>
      <c r="KV139" s="64"/>
      <c r="KW139" s="64"/>
      <c r="KX139" s="64"/>
      <c r="KY139" s="64"/>
      <c r="KZ139" s="64"/>
    </row>
    <row r="140" spans="1:312" ht="13.2" customHeight="1" x14ac:dyDescent="0.3">
      <c r="A140" s="155"/>
      <c r="B140" s="157"/>
      <c r="C140" s="157"/>
      <c r="D140" s="83" t="s">
        <v>164</v>
      </c>
      <c r="E140" s="258">
        <f>$C$144*E145+$C$149*E150</f>
        <v>0</v>
      </c>
      <c r="F140" s="85">
        <f t="shared" ref="F140:G143" si="24">$C$144*F145+$C$149*F150</f>
        <v>8.7413524731258647</v>
      </c>
      <c r="G140" s="259">
        <f t="shared" si="24"/>
        <v>21.585018211655548</v>
      </c>
      <c r="H140" s="85">
        <f t="shared" ref="H140" si="25">$C$144*H145+$C$149*H150</f>
        <v>0</v>
      </c>
      <c r="I140" s="85">
        <f t="shared" ref="I140:T140" si="26">$C$144*I145+$C$149*I150</f>
        <v>0</v>
      </c>
      <c r="J140" s="85">
        <f t="shared" si="26"/>
        <v>0</v>
      </c>
      <c r="K140" s="85">
        <f t="shared" si="26"/>
        <v>0</v>
      </c>
      <c r="L140" s="85">
        <f t="shared" si="26"/>
        <v>0</v>
      </c>
      <c r="M140" s="85">
        <f t="shared" si="26"/>
        <v>0</v>
      </c>
      <c r="N140" s="85">
        <f t="shared" si="26"/>
        <v>0</v>
      </c>
      <c r="O140" s="85">
        <f t="shared" si="26"/>
        <v>8.7413524731258647</v>
      </c>
      <c r="P140" s="85">
        <f t="shared" si="26"/>
        <v>0</v>
      </c>
      <c r="Q140" s="85">
        <f t="shared" si="26"/>
        <v>0.12397519999999999</v>
      </c>
      <c r="R140" s="85">
        <f t="shared" si="26"/>
        <v>18.092505455358907</v>
      </c>
      <c r="S140" s="85">
        <f t="shared" si="26"/>
        <v>0.1</v>
      </c>
      <c r="T140" s="207">
        <f t="shared" si="26"/>
        <v>0.17900000000000002</v>
      </c>
    </row>
    <row r="141" spans="1:312" x14ac:dyDescent="0.3">
      <c r="A141" s="141"/>
      <c r="B141" s="243"/>
      <c r="C141" s="142"/>
      <c r="D141" s="83" t="s">
        <v>165</v>
      </c>
      <c r="E141" s="258">
        <f>$C$144*E146+$C$149*E151</f>
        <v>0</v>
      </c>
      <c r="F141" s="85">
        <f t="shared" si="24"/>
        <v>3.8721243897684777E-3</v>
      </c>
      <c r="G141" s="259">
        <f t="shared" si="24"/>
        <v>9.2845507323816804E-3</v>
      </c>
      <c r="H141" s="85">
        <f t="shared" ref="H141" si="27">$C$144*H146+$C$149*H151</f>
        <v>0</v>
      </c>
      <c r="I141" s="85">
        <f t="shared" ref="I141:T141" si="28">$C$144*I146+$C$149*I151</f>
        <v>0</v>
      </c>
      <c r="J141" s="85">
        <f t="shared" si="28"/>
        <v>0</v>
      </c>
      <c r="K141" s="85">
        <f t="shared" si="28"/>
        <v>0</v>
      </c>
      <c r="L141" s="85">
        <f t="shared" si="28"/>
        <v>0</v>
      </c>
      <c r="M141" s="85">
        <f t="shared" si="28"/>
        <v>0</v>
      </c>
      <c r="N141" s="85">
        <f t="shared" si="28"/>
        <v>0</v>
      </c>
      <c r="O141" s="85">
        <f t="shared" si="28"/>
        <v>3.8721243897684777E-3</v>
      </c>
      <c r="P141" s="85">
        <f t="shared" si="28"/>
        <v>0</v>
      </c>
      <c r="Q141" s="85">
        <f t="shared" si="28"/>
        <v>0</v>
      </c>
      <c r="R141" s="85">
        <f t="shared" si="28"/>
        <v>7.9022946729968933E-3</v>
      </c>
      <c r="S141" s="85">
        <f t="shared" si="28"/>
        <v>0</v>
      </c>
      <c r="T141" s="207">
        <f t="shared" si="28"/>
        <v>0</v>
      </c>
    </row>
    <row r="142" spans="1:312" x14ac:dyDescent="0.3">
      <c r="A142" s="141"/>
      <c r="B142" s="243"/>
      <c r="C142" s="85"/>
      <c r="D142" s="84" t="s">
        <v>166</v>
      </c>
      <c r="E142" s="258">
        <f>$C$144*E147+$C$149*E152</f>
        <v>0</v>
      </c>
      <c r="F142" s="85">
        <f t="shared" si="24"/>
        <v>2.3488354906713336E-4</v>
      </c>
      <c r="G142" s="259">
        <f t="shared" si="24"/>
        <v>5.6320200695981646E-4</v>
      </c>
      <c r="H142" s="85">
        <f t="shared" ref="H142:I142" si="29">$C$144*H147+$C$149*H152</f>
        <v>0</v>
      </c>
      <c r="I142" s="85">
        <f t="shared" si="29"/>
        <v>0</v>
      </c>
      <c r="J142" s="85">
        <f t="shared" ref="J142:T142" si="30">$C$144*J147+$C$149*J152</f>
        <v>0</v>
      </c>
      <c r="K142" s="85">
        <f t="shared" si="30"/>
        <v>0</v>
      </c>
      <c r="L142" s="85">
        <f t="shared" si="30"/>
        <v>0</v>
      </c>
      <c r="M142" s="85">
        <f t="shared" si="30"/>
        <v>0</v>
      </c>
      <c r="N142" s="85">
        <f t="shared" si="30"/>
        <v>0</v>
      </c>
      <c r="O142" s="85">
        <f t="shared" si="30"/>
        <v>2.3488354906713336E-4</v>
      </c>
      <c r="P142" s="85">
        <f t="shared" si="30"/>
        <v>0</v>
      </c>
      <c r="Q142" s="85">
        <f t="shared" si="30"/>
        <v>0</v>
      </c>
      <c r="R142" s="85">
        <f t="shared" si="30"/>
        <v>4.793541817696599E-4</v>
      </c>
      <c r="S142" s="85">
        <f t="shared" si="30"/>
        <v>0</v>
      </c>
      <c r="T142" s="207">
        <f t="shared" si="30"/>
        <v>0</v>
      </c>
    </row>
    <row r="143" spans="1:312" x14ac:dyDescent="0.3">
      <c r="A143" s="141"/>
      <c r="B143" s="243"/>
      <c r="C143" s="85"/>
      <c r="D143" s="84" t="s">
        <v>414</v>
      </c>
      <c r="E143" s="258">
        <f>$C$144*E148+$C$149*E153</f>
        <v>0</v>
      </c>
      <c r="F143" s="85">
        <f t="shared" si="24"/>
        <v>2.4000000000000001E-4</v>
      </c>
      <c r="G143" s="259">
        <f t="shared" si="24"/>
        <v>5.7547019451635888E-4</v>
      </c>
      <c r="H143" s="85">
        <f t="shared" ref="H143" si="31">$C$144*H148+$C$149*H153</f>
        <v>0</v>
      </c>
      <c r="I143" s="85">
        <f t="shared" ref="I143:T143" si="32">$C$144*I148+$C$149*I153</f>
        <v>0</v>
      </c>
      <c r="J143" s="85">
        <f t="shared" si="32"/>
        <v>0</v>
      </c>
      <c r="K143" s="85">
        <f t="shared" si="32"/>
        <v>0</v>
      </c>
      <c r="L143" s="85">
        <f t="shared" si="32"/>
        <v>0</v>
      </c>
      <c r="M143" s="85">
        <f t="shared" si="32"/>
        <v>0</v>
      </c>
      <c r="N143" s="85">
        <f t="shared" si="32"/>
        <v>0</v>
      </c>
      <c r="O143" s="85">
        <f t="shared" si="32"/>
        <v>0</v>
      </c>
      <c r="P143" s="85">
        <f t="shared" si="32"/>
        <v>2.4000000000000001E-4</v>
      </c>
      <c r="Q143" s="85">
        <f t="shared" si="32"/>
        <v>0</v>
      </c>
      <c r="R143" s="85">
        <f t="shared" si="32"/>
        <v>4.8979591836734691E-4</v>
      </c>
      <c r="S143" s="85">
        <f t="shared" si="32"/>
        <v>0</v>
      </c>
      <c r="T143" s="207">
        <f t="shared" si="32"/>
        <v>0</v>
      </c>
    </row>
    <row r="144" spans="1:312" s="102" customFormat="1" x14ac:dyDescent="0.3">
      <c r="A144" s="219" t="s">
        <v>304</v>
      </c>
      <c r="B144" s="210" t="s">
        <v>568</v>
      </c>
      <c r="C144" s="209">
        <f>'Input data fish and seafood'!E28</f>
        <v>0.5</v>
      </c>
      <c r="D144" s="269" t="s">
        <v>473</v>
      </c>
      <c r="E144" s="345">
        <f>IF($F$1="GWP100 without fb",E145+E146*'Common input data'!$C$5+E147*'Common input data'!$D$5+E148*'Common input data'!$E$5,IF($F$1="GWP100 with fb",E145+E146*'Common input data'!$C$6+E147*'Common input data'!$D$6+E148*'Common input data'!$E$6,IF($F$1="GTP100 without fb",E145+E146*'Common input data'!$C$7+E147*'Common input data'!$D$7+E148*'Common input data'!$E$7,IF($F$1="GTP100 with fb",E145+E146*'Common input data'!$C$8+E147*'Common input data'!$D$8+E148*'Common input data'!$E$8,E145+E146*'Common input data'!$C$9+E147*'Common input data'!$D$9+E148*'Common input data'!$E$9))))</f>
        <v>0</v>
      </c>
      <c r="F144" s="346">
        <f>IF($F$1="GWP100 without fb",F145+F146*'Common input data'!$C$5+F147*'Common input data'!$D$5+F148*'Common input data'!$E$5,IF($F$1="GWP100 with fb",F145+F146*'Common input data'!$C$6+F147*'Common input data'!$D$6+F148*'Common input data'!$E$6,IF($F$1="GTP100 without fb",F145+F146*'Common input data'!$C$7+F147*'Common input data'!$D$7+F148*'Common input data'!$E$7,IF($F$1="GTP100 with fb",F145+F146*'Common input data'!$C$8+F147*'Common input data'!$D$8+F148*'Common input data'!$E$8,F145+F146*'Common input data'!$C$9+F147*'Common input data'!$D$9+F148*'Common input data'!$E$9))))</f>
        <v>9.448439999999998</v>
      </c>
      <c r="G144" s="347">
        <f>IF($F$1="GWP100 without fb",G145+G146*'Common input data'!$C$5+G147*'Common input data'!$D$5+G148*'Common input data'!$E$5,IF($F$1="GWP100 with fb",G145+G146*'Common input data'!$C$6+G147*'Common input data'!$D$6+G148*'Common input data'!$E$6,IF($F$1="GTP100 without fb",G145+G146*'Common input data'!$C$7+G147*'Common input data'!$D$7+G148*'Common input data'!$E$7,IF($F$1="GTP100 with fb",G145+G146*'Common input data'!$C$8+G147*'Common input data'!$D$8+G148*'Common input data'!$E$8,G145+G146*'Common input data'!$C$9+G147*'Common input data'!$D$9+G148*'Common input data'!$E$9))))</f>
        <v>23.280467364282003</v>
      </c>
      <c r="H144" s="302"/>
      <c r="I144" s="104"/>
      <c r="J144" s="104"/>
      <c r="K144" s="223"/>
      <c r="L144" s="223"/>
      <c r="M144" s="223"/>
      <c r="N144" s="223"/>
      <c r="O144" s="223"/>
      <c r="P144" s="223"/>
      <c r="Q144" s="223"/>
      <c r="R144" s="223"/>
      <c r="S144" s="223"/>
      <c r="T144" s="331"/>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4"/>
      <c r="CA144" s="64"/>
      <c r="CB144" s="64"/>
      <c r="CC144" s="64"/>
      <c r="CD144" s="64"/>
      <c r="CE144" s="64"/>
      <c r="CF144" s="64"/>
      <c r="CG144" s="64"/>
      <c r="CH144" s="64"/>
      <c r="CI144" s="64"/>
      <c r="CJ144" s="64"/>
      <c r="CK144" s="64"/>
      <c r="CL144" s="64"/>
      <c r="CM144" s="64"/>
      <c r="CN144" s="64"/>
      <c r="CO144" s="64"/>
      <c r="CP144" s="64"/>
      <c r="CQ144" s="64"/>
      <c r="CR144" s="64"/>
      <c r="CS144" s="64"/>
      <c r="CT144" s="64"/>
      <c r="CU144" s="64"/>
      <c r="CV144" s="64"/>
      <c r="CW144" s="64"/>
      <c r="CX144" s="64"/>
      <c r="CY144" s="64"/>
      <c r="CZ144" s="64"/>
      <c r="DA144" s="64"/>
      <c r="DB144" s="64"/>
      <c r="DC144" s="64"/>
      <c r="DD144" s="64"/>
      <c r="DE144" s="64"/>
      <c r="DF144" s="64"/>
      <c r="DG144" s="64"/>
      <c r="DH144" s="64"/>
      <c r="DI144" s="64"/>
      <c r="DJ144" s="64"/>
      <c r="DK144" s="64"/>
      <c r="DL144" s="64"/>
      <c r="DM144" s="64"/>
      <c r="DN144" s="64"/>
      <c r="DO144" s="64"/>
      <c r="DP144" s="64"/>
      <c r="DQ144" s="64"/>
      <c r="DR144" s="64"/>
      <c r="DS144" s="64"/>
      <c r="DT144" s="64"/>
      <c r="DU144" s="64"/>
      <c r="DV144" s="64"/>
      <c r="DW144" s="64"/>
      <c r="DX144" s="64"/>
      <c r="DY144" s="64"/>
      <c r="DZ144" s="64"/>
      <c r="EA144" s="64"/>
      <c r="EB144" s="64"/>
      <c r="EC144" s="64"/>
      <c r="ED144" s="64"/>
      <c r="EE144" s="64"/>
      <c r="EF144" s="64"/>
      <c r="EG144" s="64"/>
      <c r="EH144" s="64"/>
      <c r="EI144" s="64"/>
      <c r="EJ144" s="64"/>
      <c r="EK144" s="64"/>
      <c r="EL144" s="64"/>
      <c r="EM144" s="64"/>
      <c r="EN144" s="64"/>
      <c r="EO144" s="64"/>
      <c r="EP144" s="64"/>
      <c r="EQ144" s="64"/>
      <c r="ER144" s="64"/>
      <c r="ES144" s="64"/>
      <c r="ET144" s="64"/>
      <c r="EU144" s="64"/>
      <c r="EV144" s="64"/>
      <c r="EW144" s="64"/>
      <c r="EX144" s="64"/>
      <c r="EY144" s="64"/>
      <c r="EZ144" s="64"/>
      <c r="FA144" s="64"/>
      <c r="FB144" s="64"/>
      <c r="FC144" s="64"/>
      <c r="FD144" s="64"/>
      <c r="FE144" s="64"/>
      <c r="FF144" s="64"/>
      <c r="FG144" s="64"/>
      <c r="FH144" s="64"/>
      <c r="FI144" s="64"/>
      <c r="FJ144" s="64"/>
      <c r="FK144" s="64"/>
      <c r="FL144" s="64"/>
      <c r="FM144" s="64"/>
      <c r="FN144" s="64"/>
      <c r="FO144" s="64"/>
      <c r="FP144" s="64"/>
      <c r="FQ144" s="64"/>
      <c r="FR144" s="64"/>
      <c r="FS144" s="64"/>
      <c r="FT144" s="64"/>
      <c r="FU144" s="64"/>
      <c r="FV144" s="64"/>
      <c r="FW144" s="64"/>
      <c r="FX144" s="64"/>
      <c r="FY144" s="64"/>
      <c r="FZ144" s="64"/>
      <c r="GA144" s="64"/>
      <c r="GB144" s="64"/>
      <c r="GC144" s="64"/>
      <c r="GD144" s="64"/>
      <c r="GE144" s="64"/>
      <c r="GF144" s="64"/>
      <c r="GG144" s="64"/>
      <c r="GH144" s="64"/>
      <c r="GI144" s="64"/>
      <c r="GJ144" s="64"/>
      <c r="GK144" s="64"/>
      <c r="GL144" s="64"/>
      <c r="GM144" s="64"/>
      <c r="GN144" s="64"/>
      <c r="GO144" s="64"/>
      <c r="GP144" s="64"/>
      <c r="GQ144" s="64"/>
      <c r="GR144" s="64"/>
      <c r="GS144" s="64"/>
      <c r="GT144" s="64"/>
      <c r="GU144" s="64"/>
      <c r="GV144" s="64"/>
      <c r="GW144" s="64"/>
      <c r="GX144" s="64"/>
      <c r="GY144" s="64"/>
      <c r="GZ144" s="64"/>
      <c r="HA144" s="64"/>
      <c r="HB144" s="64"/>
      <c r="HC144" s="64"/>
      <c r="HD144" s="64"/>
      <c r="HE144" s="64"/>
      <c r="HF144" s="64"/>
      <c r="HG144" s="64"/>
      <c r="HH144" s="64"/>
      <c r="HI144" s="64"/>
      <c r="HJ144" s="64"/>
      <c r="HK144" s="64"/>
      <c r="HL144" s="64"/>
      <c r="HM144" s="64"/>
      <c r="HN144" s="64"/>
      <c r="HO144" s="64"/>
      <c r="HP144" s="64"/>
      <c r="HQ144" s="64"/>
      <c r="HR144" s="64"/>
      <c r="HS144" s="64"/>
      <c r="HT144" s="64"/>
      <c r="HU144" s="64"/>
      <c r="HV144" s="64"/>
      <c r="HW144" s="64"/>
      <c r="HX144" s="64"/>
      <c r="HY144" s="64"/>
      <c r="HZ144" s="64"/>
      <c r="IA144" s="64"/>
      <c r="IB144" s="64"/>
      <c r="IC144" s="64"/>
      <c r="ID144" s="64"/>
      <c r="IE144" s="64"/>
      <c r="IF144" s="64"/>
      <c r="IG144" s="64"/>
      <c r="IH144" s="64"/>
      <c r="II144" s="64"/>
      <c r="IJ144" s="64"/>
      <c r="IK144" s="64"/>
      <c r="IL144" s="64"/>
      <c r="IM144" s="64"/>
      <c r="IN144" s="64"/>
      <c r="IO144" s="64"/>
      <c r="IP144" s="64"/>
      <c r="IQ144" s="64"/>
      <c r="IR144" s="64"/>
      <c r="IS144" s="64"/>
      <c r="IT144" s="64"/>
      <c r="IU144" s="64"/>
      <c r="IV144" s="64"/>
      <c r="IW144" s="64"/>
      <c r="IX144" s="64"/>
      <c r="IY144" s="64"/>
      <c r="IZ144" s="64"/>
      <c r="JA144" s="64"/>
      <c r="JB144" s="64"/>
      <c r="JC144" s="64"/>
      <c r="JD144" s="64"/>
      <c r="JE144" s="64"/>
      <c r="JF144" s="64"/>
      <c r="JG144" s="64"/>
      <c r="JH144" s="64"/>
      <c r="JI144" s="64"/>
      <c r="JJ144" s="64"/>
      <c r="JK144" s="64"/>
      <c r="JL144" s="64"/>
      <c r="JM144" s="64"/>
      <c r="JN144" s="64"/>
      <c r="JO144" s="64"/>
      <c r="JP144" s="64"/>
      <c r="JQ144" s="64"/>
      <c r="JR144" s="64"/>
      <c r="JS144" s="64"/>
      <c r="JT144" s="64"/>
      <c r="JU144" s="64"/>
      <c r="JV144" s="64"/>
      <c r="JW144" s="64"/>
      <c r="JX144" s="64"/>
      <c r="JY144" s="64"/>
      <c r="JZ144" s="64"/>
      <c r="KA144" s="64"/>
      <c r="KB144" s="64"/>
      <c r="KC144" s="64"/>
      <c r="KD144" s="64"/>
      <c r="KE144" s="64"/>
      <c r="KF144" s="64"/>
      <c r="KG144" s="64"/>
      <c r="KH144" s="64"/>
      <c r="KI144" s="64"/>
      <c r="KJ144" s="64"/>
      <c r="KK144" s="64"/>
      <c r="KL144" s="64"/>
      <c r="KM144" s="64"/>
      <c r="KN144" s="64"/>
      <c r="KO144" s="64"/>
      <c r="KP144" s="64"/>
      <c r="KQ144" s="64"/>
      <c r="KR144" s="64"/>
      <c r="KS144" s="64"/>
      <c r="KT144" s="64"/>
      <c r="KU144" s="64"/>
      <c r="KV144" s="64"/>
      <c r="KW144" s="64"/>
      <c r="KX144" s="64"/>
      <c r="KY144" s="64"/>
      <c r="KZ144" s="64"/>
    </row>
    <row r="145" spans="1:312" x14ac:dyDescent="0.3">
      <c r="A145" s="144"/>
      <c r="B145" s="84"/>
      <c r="C145" s="157"/>
      <c r="D145" s="83" t="s">
        <v>164</v>
      </c>
      <c r="E145" s="334">
        <f>IF(AND($F$2="No",$F$3="No"),SUM(J145),IF(AND($F$2="Yes", $F$3="No"), SUM(J145)+L145, IF(AND($F$2="No", $F$3="Yes"),SUM(J145)+K145, SUM(J145)+L145+K145)))</f>
        <v>0</v>
      </c>
      <c r="F145" s="88">
        <f>IF(AND($F$2="No",$F$3="No"),SUM(H145:J145,M145:P145),IF(AND($F$2="Yes", $F$3="No"), SUM(H145:J145,M145:P145)+L145, IF(AND($F$2="No", $F$3="Yes"),SUM(H145:J145,M145:P145)+K145, SUM(H145:J145,M145:P145)+L145+K145)))</f>
        <v>8.7413524731258647</v>
      </c>
      <c r="G145" s="259">
        <f>SUM(R145:T145)/(1-'Common input data'!B$125)</f>
        <v>21.585018211655548</v>
      </c>
      <c r="H145" s="85">
        <v>0</v>
      </c>
      <c r="I145" s="85">
        <v>0</v>
      </c>
      <c r="J145" s="85">
        <v>0</v>
      </c>
      <c r="K145" s="85">
        <v>0</v>
      </c>
      <c r="L145" s="85">
        <v>0</v>
      </c>
      <c r="M145" s="85">
        <v>0</v>
      </c>
      <c r="N145" s="85">
        <v>0</v>
      </c>
      <c r="O145" s="88">
        <f>'Input data fish and seafood'!G28*'Input data fish and seafood'!B42</f>
        <v>8.7413524731258647</v>
      </c>
      <c r="P145" s="88">
        <v>0</v>
      </c>
      <c r="Q145" s="211">
        <f>'Input data fish and seafood'!B89*('Input data fish and seafood'!B103*'Common input data'!B63+'Input data fish and seafood'!C103*'Common input data'!C63)</f>
        <v>0.12397519999999999</v>
      </c>
      <c r="R145" s="88">
        <f>(F145+Q145)/'Input data fish and seafood'!$H$28</f>
        <v>18.092505455358907</v>
      </c>
      <c r="S145" s="88">
        <f>'Common input data'!B94</f>
        <v>0.1</v>
      </c>
      <c r="T145" s="151">
        <f>'Input data fish and seafood'!B117*'Common input data'!B98+'Input data fish and seafood'!C117*'Common input data'!B102+'Common input data'!C98</f>
        <v>0.17900000000000002</v>
      </c>
    </row>
    <row r="146" spans="1:312" x14ac:dyDescent="0.3">
      <c r="A146" s="322"/>
      <c r="B146" s="38"/>
      <c r="C146" s="45"/>
      <c r="D146" s="83" t="s">
        <v>165</v>
      </c>
      <c r="E146" s="258">
        <v>0</v>
      </c>
      <c r="F146" s="88">
        <f>SUM(H146:J146,M146:P146)</f>
        <v>3.8721243897684777E-3</v>
      </c>
      <c r="G146" s="259">
        <f>SUM(R146:T146)/(1-'Common input data'!B$125)</f>
        <v>9.2845507323816804E-3</v>
      </c>
      <c r="H146" s="85">
        <v>0</v>
      </c>
      <c r="I146" s="85">
        <v>0</v>
      </c>
      <c r="J146" s="85">
        <v>0</v>
      </c>
      <c r="K146" s="85">
        <v>0</v>
      </c>
      <c r="L146" s="85">
        <v>0</v>
      </c>
      <c r="M146" s="85">
        <v>0</v>
      </c>
      <c r="N146" s="85">
        <v>0</v>
      </c>
      <c r="O146" s="88">
        <f>'Input data fish and seafood'!G28*'Input data fish and seafood'!B43</f>
        <v>3.8721243897684777E-3</v>
      </c>
      <c r="P146" s="88">
        <v>0</v>
      </c>
      <c r="Q146" s="211">
        <v>0</v>
      </c>
      <c r="R146" s="88">
        <f>(F146+Q146)/'Input data fish and seafood'!$H$28</f>
        <v>7.9022946729968933E-3</v>
      </c>
      <c r="S146" s="88">
        <v>0</v>
      </c>
      <c r="T146" s="151">
        <v>0</v>
      </c>
    </row>
    <row r="147" spans="1:312" x14ac:dyDescent="0.3">
      <c r="A147" s="174"/>
      <c r="B147" s="206"/>
      <c r="C147" s="85"/>
      <c r="D147" s="84" t="s">
        <v>166</v>
      </c>
      <c r="E147" s="258">
        <v>0</v>
      </c>
      <c r="F147" s="88">
        <f>SUM(H147:J147,M147:P147)</f>
        <v>2.3488354906713336E-4</v>
      </c>
      <c r="G147" s="259">
        <f>SUM(R147:T147)/(1-'Common input data'!B$125)</f>
        <v>5.6320200695981646E-4</v>
      </c>
      <c r="H147" s="85">
        <v>0</v>
      </c>
      <c r="I147" s="85">
        <v>0</v>
      </c>
      <c r="J147" s="85">
        <v>0</v>
      </c>
      <c r="K147" s="85">
        <v>0</v>
      </c>
      <c r="L147" s="85">
        <v>0</v>
      </c>
      <c r="M147" s="85">
        <v>0</v>
      </c>
      <c r="N147" s="85">
        <v>0</v>
      </c>
      <c r="O147" s="88">
        <f>'Input data fish and seafood'!G28*'Input data fish and seafood'!B44</f>
        <v>2.3488354906713336E-4</v>
      </c>
      <c r="P147" s="88">
        <v>0</v>
      </c>
      <c r="Q147" s="211">
        <v>0</v>
      </c>
      <c r="R147" s="88">
        <f>(F147+Q147)/'Input data fish and seafood'!$H$28</f>
        <v>4.793541817696599E-4</v>
      </c>
      <c r="S147" s="88">
        <v>0</v>
      </c>
      <c r="T147" s="151">
        <v>0</v>
      </c>
    </row>
    <row r="148" spans="1:312" x14ac:dyDescent="0.3">
      <c r="A148" s="174"/>
      <c r="B148" s="206"/>
      <c r="C148" s="85"/>
      <c r="D148" s="84" t="s">
        <v>414</v>
      </c>
      <c r="E148" s="258">
        <v>0</v>
      </c>
      <c r="F148" s="88">
        <f>SUM(H148:J148,M148:P148)</f>
        <v>2.4000000000000001E-4</v>
      </c>
      <c r="G148" s="259">
        <f>SUM(R148:T148)/(1-'Common input data'!B$125)</f>
        <v>5.7547019451635888E-4</v>
      </c>
      <c r="H148" s="85">
        <v>0</v>
      </c>
      <c r="I148" s="85">
        <v>0</v>
      </c>
      <c r="J148" s="85">
        <v>0</v>
      </c>
      <c r="K148" s="85">
        <v>0</v>
      </c>
      <c r="L148" s="85">
        <v>0</v>
      </c>
      <c r="M148" s="85">
        <v>0</v>
      </c>
      <c r="N148" s="85">
        <v>0</v>
      </c>
      <c r="O148" s="88">
        <v>0</v>
      </c>
      <c r="P148" s="88">
        <f>'Input data fish and seafood'!C49</f>
        <v>2.4000000000000001E-4</v>
      </c>
      <c r="Q148" s="211">
        <v>0</v>
      </c>
      <c r="R148" s="88">
        <f>(F148+Q148)/'Input data fish and seafood'!$H$28</f>
        <v>4.8979591836734691E-4</v>
      </c>
      <c r="S148" s="88">
        <v>0</v>
      </c>
      <c r="T148" s="151">
        <v>0</v>
      </c>
    </row>
    <row r="149" spans="1:312" s="102" customFormat="1" x14ac:dyDescent="0.3">
      <c r="A149" s="219" t="s">
        <v>304</v>
      </c>
      <c r="B149" s="210" t="s">
        <v>582</v>
      </c>
      <c r="C149" s="209">
        <f>'Input data fish and seafood'!E29</f>
        <v>0.5</v>
      </c>
      <c r="D149" s="269" t="s">
        <v>473</v>
      </c>
      <c r="E149" s="345">
        <f>IF($F$1="GWP100 without fb",E150+E151*'Common input data'!$C$5+E152*'Common input data'!$D$5+E153*'Common input data'!$E$5,IF($F$1="GWP100 with fb",E150+E151*'Common input data'!$C$6+E152*'Common input data'!$D$6+E153*'Common input data'!$E$6,IF($F$1="GTP100 without fb",E150+E151*'Common input data'!$C$7+E152*'Common input data'!$D$7+E153*'Common input data'!$E$7,IF($F$1="GTP100 with fb",E150+E151*'Common input data'!$C$8+E152*'Common input data'!$D$8+E153*'Common input data'!$E$8,E150+E151*'Common input data'!$C$9+E152*'Common input data'!$D$9+E153*'Common input data'!$E$9))))</f>
        <v>0</v>
      </c>
      <c r="F149" s="346">
        <f>IF($F$1="GWP100 without fb",F150+F151*'Common input data'!$C$5+F152*'Common input data'!$D$5+F153*'Common input data'!$E$5,IF($F$1="GWP100 with fb",F150+F151*'Common input data'!$C$6+F152*'Common input data'!$D$6+F153*'Common input data'!$E$6,IF($F$1="GTP100 without fb",F150+F151*'Common input data'!$C$7+F152*'Common input data'!$D$7+F153*'Common input data'!$E$7,IF($F$1="GTP100 with fb",F150+F151*'Common input data'!$C$8+F152*'Common input data'!$D$8+F153*'Common input data'!$E$8,F150+F151*'Common input data'!$C$9+F152*'Common input data'!$D$9+F153*'Common input data'!$E$9))))</f>
        <v>9.448439999999998</v>
      </c>
      <c r="G149" s="347">
        <f>IF($F$1="GWP100 without fb",G150+G151*'Common input data'!$C$5+G152*'Common input data'!$D$5+G153*'Common input data'!$E$5,IF($F$1="GWP100 with fb",G150+G151*'Common input data'!$C$6+G152*'Common input data'!$D$6+G153*'Common input data'!$E$6,IF($F$1="GTP100 without fb",G150+G151*'Common input data'!$C$7+G152*'Common input data'!$D$7+G153*'Common input data'!$E$7,IF($F$1="GTP100 with fb",G150+G151*'Common input data'!$C$8+G152*'Common input data'!$D$8+G153*'Common input data'!$E$8,G150+G151*'Common input data'!$C$9+G152*'Common input data'!$D$9+G153*'Common input data'!$E$9))))</f>
        <v>23.280467364282003</v>
      </c>
      <c r="H149" s="302"/>
      <c r="I149" s="104"/>
      <c r="J149" s="104"/>
      <c r="K149" s="223"/>
      <c r="L149" s="223"/>
      <c r="M149" s="223"/>
      <c r="N149" s="223"/>
      <c r="O149" s="223"/>
      <c r="P149" s="223"/>
      <c r="Q149" s="223"/>
      <c r="R149" s="223"/>
      <c r="S149" s="223"/>
      <c r="T149" s="331"/>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c r="AT149" s="64"/>
      <c r="AU149" s="64"/>
      <c r="AV149" s="64"/>
      <c r="AW149" s="64"/>
      <c r="AX149" s="64"/>
      <c r="AY149" s="64"/>
      <c r="AZ149" s="64"/>
      <c r="BA149" s="64"/>
      <c r="BB149" s="64"/>
      <c r="BC149" s="64"/>
      <c r="BD149" s="64"/>
      <c r="BE149" s="64"/>
      <c r="BF149" s="64"/>
      <c r="BG149" s="64"/>
      <c r="BH149" s="64"/>
      <c r="BI149" s="64"/>
      <c r="BJ149" s="64"/>
      <c r="BK149" s="64"/>
      <c r="BL149" s="64"/>
      <c r="BM149" s="64"/>
      <c r="BN149" s="64"/>
      <c r="BO149" s="64"/>
      <c r="BP149" s="64"/>
      <c r="BQ149" s="64"/>
      <c r="BR149" s="64"/>
      <c r="BS149" s="64"/>
      <c r="BT149" s="64"/>
      <c r="BU149" s="64"/>
      <c r="BV149" s="64"/>
      <c r="BW149" s="64"/>
      <c r="BX149" s="64"/>
      <c r="BY149" s="64"/>
      <c r="BZ149" s="64"/>
      <c r="CA149" s="64"/>
      <c r="CB149" s="64"/>
      <c r="CC149" s="64"/>
      <c r="CD149" s="64"/>
      <c r="CE149" s="64"/>
      <c r="CF149" s="64"/>
      <c r="CG149" s="64"/>
      <c r="CH149" s="64"/>
      <c r="CI149" s="64"/>
      <c r="CJ149" s="64"/>
      <c r="CK149" s="64"/>
      <c r="CL149" s="64"/>
      <c r="CM149" s="64"/>
      <c r="CN149" s="64"/>
      <c r="CO149" s="64"/>
      <c r="CP149" s="64"/>
      <c r="CQ149" s="64"/>
      <c r="CR149" s="64"/>
      <c r="CS149" s="64"/>
      <c r="CT149" s="64"/>
      <c r="CU149" s="64"/>
      <c r="CV149" s="64"/>
      <c r="CW149" s="64"/>
      <c r="CX149" s="64"/>
      <c r="CY149" s="64"/>
      <c r="CZ149" s="64"/>
      <c r="DA149" s="64"/>
      <c r="DB149" s="64"/>
      <c r="DC149" s="64"/>
      <c r="DD149" s="64"/>
      <c r="DE149" s="64"/>
      <c r="DF149" s="64"/>
      <c r="DG149" s="64"/>
      <c r="DH149" s="64"/>
      <c r="DI149" s="64"/>
      <c r="DJ149" s="64"/>
      <c r="DK149" s="64"/>
      <c r="DL149" s="64"/>
      <c r="DM149" s="64"/>
      <c r="DN149" s="64"/>
      <c r="DO149" s="64"/>
      <c r="DP149" s="64"/>
      <c r="DQ149" s="64"/>
      <c r="DR149" s="64"/>
      <c r="DS149" s="64"/>
      <c r="DT149" s="64"/>
      <c r="DU149" s="64"/>
      <c r="DV149" s="64"/>
      <c r="DW149" s="64"/>
      <c r="DX149" s="64"/>
      <c r="DY149" s="64"/>
      <c r="DZ149" s="64"/>
      <c r="EA149" s="64"/>
      <c r="EB149" s="64"/>
      <c r="EC149" s="64"/>
      <c r="ED149" s="64"/>
      <c r="EE149" s="64"/>
      <c r="EF149" s="64"/>
      <c r="EG149" s="64"/>
      <c r="EH149" s="64"/>
      <c r="EI149" s="64"/>
      <c r="EJ149" s="64"/>
      <c r="EK149" s="64"/>
      <c r="EL149" s="64"/>
      <c r="EM149" s="64"/>
      <c r="EN149" s="64"/>
      <c r="EO149" s="64"/>
      <c r="EP149" s="64"/>
      <c r="EQ149" s="64"/>
      <c r="ER149" s="64"/>
      <c r="ES149" s="64"/>
      <c r="ET149" s="64"/>
      <c r="EU149" s="64"/>
      <c r="EV149" s="64"/>
      <c r="EW149" s="64"/>
      <c r="EX149" s="64"/>
      <c r="EY149" s="64"/>
      <c r="EZ149" s="64"/>
      <c r="FA149" s="64"/>
      <c r="FB149" s="64"/>
      <c r="FC149" s="64"/>
      <c r="FD149" s="64"/>
      <c r="FE149" s="64"/>
      <c r="FF149" s="64"/>
      <c r="FG149" s="64"/>
      <c r="FH149" s="64"/>
      <c r="FI149" s="64"/>
      <c r="FJ149" s="64"/>
      <c r="FK149" s="64"/>
      <c r="FL149" s="64"/>
      <c r="FM149" s="64"/>
      <c r="FN149" s="64"/>
      <c r="FO149" s="64"/>
      <c r="FP149" s="64"/>
      <c r="FQ149" s="64"/>
      <c r="FR149" s="64"/>
      <c r="FS149" s="64"/>
      <c r="FT149" s="64"/>
      <c r="FU149" s="64"/>
      <c r="FV149" s="64"/>
      <c r="FW149" s="64"/>
      <c r="FX149" s="64"/>
      <c r="FY149" s="64"/>
      <c r="FZ149" s="64"/>
      <c r="GA149" s="64"/>
      <c r="GB149" s="64"/>
      <c r="GC149" s="64"/>
      <c r="GD149" s="64"/>
      <c r="GE149" s="64"/>
      <c r="GF149" s="64"/>
      <c r="GG149" s="64"/>
      <c r="GH149" s="64"/>
      <c r="GI149" s="64"/>
      <c r="GJ149" s="64"/>
      <c r="GK149" s="64"/>
      <c r="GL149" s="64"/>
      <c r="GM149" s="64"/>
      <c r="GN149" s="64"/>
      <c r="GO149" s="64"/>
      <c r="GP149" s="64"/>
      <c r="GQ149" s="64"/>
      <c r="GR149" s="64"/>
      <c r="GS149" s="64"/>
      <c r="GT149" s="64"/>
      <c r="GU149" s="64"/>
      <c r="GV149" s="64"/>
      <c r="GW149" s="64"/>
      <c r="GX149" s="64"/>
      <c r="GY149" s="64"/>
      <c r="GZ149" s="64"/>
      <c r="HA149" s="64"/>
      <c r="HB149" s="64"/>
      <c r="HC149" s="64"/>
      <c r="HD149" s="64"/>
      <c r="HE149" s="64"/>
      <c r="HF149" s="64"/>
      <c r="HG149" s="64"/>
      <c r="HH149" s="64"/>
      <c r="HI149" s="64"/>
      <c r="HJ149" s="64"/>
      <c r="HK149" s="64"/>
      <c r="HL149" s="64"/>
      <c r="HM149" s="64"/>
      <c r="HN149" s="64"/>
      <c r="HO149" s="64"/>
      <c r="HP149" s="64"/>
      <c r="HQ149" s="64"/>
      <c r="HR149" s="64"/>
      <c r="HS149" s="64"/>
      <c r="HT149" s="64"/>
      <c r="HU149" s="64"/>
      <c r="HV149" s="64"/>
      <c r="HW149" s="64"/>
      <c r="HX149" s="64"/>
      <c r="HY149" s="64"/>
      <c r="HZ149" s="64"/>
      <c r="IA149" s="64"/>
      <c r="IB149" s="64"/>
      <c r="IC149" s="64"/>
      <c r="ID149" s="64"/>
      <c r="IE149" s="64"/>
      <c r="IF149" s="64"/>
      <c r="IG149" s="64"/>
      <c r="IH149" s="64"/>
      <c r="II149" s="64"/>
      <c r="IJ149" s="64"/>
      <c r="IK149" s="64"/>
      <c r="IL149" s="64"/>
      <c r="IM149" s="64"/>
      <c r="IN149" s="64"/>
      <c r="IO149" s="64"/>
      <c r="IP149" s="64"/>
      <c r="IQ149" s="64"/>
      <c r="IR149" s="64"/>
      <c r="IS149" s="64"/>
      <c r="IT149" s="64"/>
      <c r="IU149" s="64"/>
      <c r="IV149" s="64"/>
      <c r="IW149" s="64"/>
      <c r="IX149" s="64"/>
      <c r="IY149" s="64"/>
      <c r="IZ149" s="64"/>
      <c r="JA149" s="64"/>
      <c r="JB149" s="64"/>
      <c r="JC149" s="64"/>
      <c r="JD149" s="64"/>
      <c r="JE149" s="64"/>
      <c r="JF149" s="64"/>
      <c r="JG149" s="64"/>
      <c r="JH149" s="64"/>
      <c r="JI149" s="64"/>
      <c r="JJ149" s="64"/>
      <c r="JK149" s="64"/>
      <c r="JL149" s="64"/>
      <c r="JM149" s="64"/>
      <c r="JN149" s="64"/>
      <c r="JO149" s="64"/>
      <c r="JP149" s="64"/>
      <c r="JQ149" s="64"/>
      <c r="JR149" s="64"/>
      <c r="JS149" s="64"/>
      <c r="JT149" s="64"/>
      <c r="JU149" s="64"/>
      <c r="JV149" s="64"/>
      <c r="JW149" s="64"/>
      <c r="JX149" s="64"/>
      <c r="JY149" s="64"/>
      <c r="JZ149" s="64"/>
      <c r="KA149" s="64"/>
      <c r="KB149" s="64"/>
      <c r="KC149" s="64"/>
      <c r="KD149" s="64"/>
      <c r="KE149" s="64"/>
      <c r="KF149" s="64"/>
      <c r="KG149" s="64"/>
      <c r="KH149" s="64"/>
      <c r="KI149" s="64"/>
      <c r="KJ149" s="64"/>
      <c r="KK149" s="64"/>
      <c r="KL149" s="64"/>
      <c r="KM149" s="64"/>
      <c r="KN149" s="64"/>
      <c r="KO149" s="64"/>
      <c r="KP149" s="64"/>
      <c r="KQ149" s="64"/>
      <c r="KR149" s="64"/>
      <c r="KS149" s="64"/>
      <c r="KT149" s="64"/>
      <c r="KU149" s="64"/>
      <c r="KV149" s="64"/>
      <c r="KW149" s="64"/>
      <c r="KX149" s="64"/>
      <c r="KY149" s="64"/>
      <c r="KZ149" s="64"/>
    </row>
    <row r="150" spans="1:312" x14ac:dyDescent="0.3">
      <c r="A150" s="144"/>
      <c r="B150" s="84"/>
      <c r="C150" s="157"/>
      <c r="D150" s="83" t="s">
        <v>164</v>
      </c>
      <c r="E150" s="334">
        <f>IF(AND($F$2="No",$F$3="No"),SUM(J150),IF(AND($F$2="Yes", $F$3="No"), SUM(J150)+L150, IF(AND($F$2="No", $F$3="Yes"),SUM(J150)+K150, SUM(J150)+L150+K150)))</f>
        <v>0</v>
      </c>
      <c r="F150" s="88">
        <f>IF(AND($F$2="No",$F$3="No"),SUM(H150:J150,M150:P150),IF(AND($F$2="Yes", $F$3="No"), SUM(H150:J150,M150:P150)+L150, IF(AND($F$2="No", $F$3="Yes"),SUM(H150:J150,M150:P150)+K150, SUM(H150:J150,M150:P150)+L150+K150)))</f>
        <v>8.7413524731258647</v>
      </c>
      <c r="G150" s="259">
        <f>SUM(R150:T150)/(1-'Common input data'!B$125)</f>
        <v>21.585018211655548</v>
      </c>
      <c r="H150" s="85">
        <v>0</v>
      </c>
      <c r="I150" s="85">
        <v>0</v>
      </c>
      <c r="J150" s="85">
        <v>0</v>
      </c>
      <c r="K150" s="85">
        <v>0</v>
      </c>
      <c r="L150" s="85">
        <v>0</v>
      </c>
      <c r="M150" s="85">
        <v>0</v>
      </c>
      <c r="N150" s="85">
        <v>0</v>
      </c>
      <c r="O150" s="323">
        <f>'Input data fish and seafood'!G29*'Input data fish and seafood'!B42</f>
        <v>8.7413524731258647</v>
      </c>
      <c r="P150" s="88">
        <v>0</v>
      </c>
      <c r="Q150" s="211">
        <f>'Input data fish and seafood'!B89*('Input data fish and seafood'!B103*'Common input data'!B63+'Input data fish and seafood'!C103*'Common input data'!C63)</f>
        <v>0.12397519999999999</v>
      </c>
      <c r="R150" s="88">
        <f>(F150+Q150)/'Input data fish and seafood'!$H$29</f>
        <v>18.092505455358907</v>
      </c>
      <c r="S150" s="211">
        <f>'Common input data'!B94</f>
        <v>0.1</v>
      </c>
      <c r="T150" s="151">
        <f>'Input data fish and seafood'!B117*'Common input data'!B98+'Input data fish and seafood'!C117*'Common input data'!B102+'Common input data'!C98</f>
        <v>0.17900000000000002</v>
      </c>
    </row>
    <row r="151" spans="1:312" x14ac:dyDescent="0.3">
      <c r="A151" s="144"/>
      <c r="B151" s="84"/>
      <c r="C151" s="84"/>
      <c r="D151" s="83" t="s">
        <v>165</v>
      </c>
      <c r="E151" s="258">
        <v>0</v>
      </c>
      <c r="F151" s="88">
        <f>SUM(H151:J151,M151:P151)</f>
        <v>3.8721243897684777E-3</v>
      </c>
      <c r="G151" s="259">
        <f>SUM(R151:T151)/(1-'Common input data'!B$125)</f>
        <v>9.2845507323816804E-3</v>
      </c>
      <c r="H151" s="85">
        <v>0</v>
      </c>
      <c r="I151" s="85">
        <v>0</v>
      </c>
      <c r="J151" s="85">
        <v>0</v>
      </c>
      <c r="K151" s="85">
        <v>0</v>
      </c>
      <c r="L151" s="85">
        <v>0</v>
      </c>
      <c r="M151" s="85">
        <v>0</v>
      </c>
      <c r="N151" s="85">
        <v>0</v>
      </c>
      <c r="O151" s="218">
        <f>'Input data fish and seafood'!G29*'Input data fish and seafood'!B43</f>
        <v>3.8721243897684777E-3</v>
      </c>
      <c r="P151" s="88">
        <v>0</v>
      </c>
      <c r="Q151" s="211">
        <v>0</v>
      </c>
      <c r="R151" s="88">
        <f>(F151+Q151)/'Input data fish and seafood'!$H$29</f>
        <v>7.9022946729968933E-3</v>
      </c>
      <c r="S151" s="211">
        <v>0</v>
      </c>
      <c r="T151" s="151">
        <v>0</v>
      </c>
    </row>
    <row r="152" spans="1:312" x14ac:dyDescent="0.3">
      <c r="A152" s="144"/>
      <c r="B152" s="84"/>
      <c r="C152" s="85"/>
      <c r="D152" s="84" t="s">
        <v>166</v>
      </c>
      <c r="E152" s="258">
        <v>0</v>
      </c>
      <c r="F152" s="88">
        <f>SUM(H152:J152,M152:P152)</f>
        <v>2.3488354906713336E-4</v>
      </c>
      <c r="G152" s="259">
        <f>SUM(R152:T152)/(1-'Common input data'!B$125)</f>
        <v>5.6320200695981646E-4</v>
      </c>
      <c r="H152" s="85">
        <v>0</v>
      </c>
      <c r="I152" s="85">
        <v>0</v>
      </c>
      <c r="J152" s="85">
        <v>0</v>
      </c>
      <c r="K152" s="85">
        <v>0</v>
      </c>
      <c r="L152" s="85">
        <v>0</v>
      </c>
      <c r="M152" s="85">
        <v>0</v>
      </c>
      <c r="N152" s="85">
        <v>0</v>
      </c>
      <c r="O152" s="88">
        <f>'Input data fish and seafood'!G29*'Input data fish and seafood'!B44</f>
        <v>2.3488354906713336E-4</v>
      </c>
      <c r="P152" s="88">
        <v>0</v>
      </c>
      <c r="Q152" s="217">
        <v>0</v>
      </c>
      <c r="R152" s="88">
        <f>(F152+Q152)/'Input data fish and seafood'!$H$29</f>
        <v>4.793541817696599E-4</v>
      </c>
      <c r="S152" s="216">
        <v>0</v>
      </c>
      <c r="T152" s="151">
        <v>0</v>
      </c>
    </row>
    <row r="153" spans="1:312" x14ac:dyDescent="0.3">
      <c r="A153" s="144"/>
      <c r="B153" s="84"/>
      <c r="C153" s="85"/>
      <c r="D153" s="84" t="s">
        <v>414</v>
      </c>
      <c r="E153" s="771">
        <v>0</v>
      </c>
      <c r="F153" s="105">
        <f>SUM(H153:J153,M153:P153)</f>
        <v>2.4000000000000001E-4</v>
      </c>
      <c r="G153" s="790">
        <f>SUM(R153:T153)/(1-'Common input data'!B$125)</f>
        <v>5.7547019451635888E-4</v>
      </c>
      <c r="H153" s="85">
        <v>0</v>
      </c>
      <c r="I153" s="85">
        <v>0</v>
      </c>
      <c r="J153" s="85">
        <v>0</v>
      </c>
      <c r="K153" s="85">
        <v>0</v>
      </c>
      <c r="L153" s="85">
        <v>0</v>
      </c>
      <c r="M153" s="85">
        <v>0</v>
      </c>
      <c r="N153" s="85">
        <v>0</v>
      </c>
      <c r="O153" s="88">
        <v>0</v>
      </c>
      <c r="P153" s="88">
        <f>'Input data fish and seafood'!C49</f>
        <v>2.4000000000000001E-4</v>
      </c>
      <c r="Q153" s="211">
        <v>0</v>
      </c>
      <c r="R153" s="88">
        <f>(F153+Q153)/'Input data fish and seafood'!$H$29</f>
        <v>4.8979591836734691E-4</v>
      </c>
      <c r="S153" s="211">
        <v>0</v>
      </c>
      <c r="T153" s="151">
        <v>0</v>
      </c>
    </row>
    <row r="154" spans="1:312" x14ac:dyDescent="0.3">
      <c r="A154" s="311" t="s">
        <v>584</v>
      </c>
      <c r="B154" s="312"/>
      <c r="C154" s="313"/>
      <c r="D154" s="314"/>
      <c r="E154" s="767" t="s">
        <v>802</v>
      </c>
      <c r="F154" s="768" t="s">
        <v>802</v>
      </c>
      <c r="G154" s="590" t="s">
        <v>790</v>
      </c>
      <c r="H154" s="313"/>
      <c r="I154" s="313"/>
      <c r="J154" s="313"/>
      <c r="K154" s="316"/>
      <c r="L154" s="316"/>
      <c r="M154" s="317"/>
      <c r="N154" s="316"/>
      <c r="O154" s="316"/>
      <c r="P154" s="316"/>
      <c r="Q154" s="316"/>
      <c r="R154" s="316"/>
      <c r="S154" s="316"/>
      <c r="T154" s="318"/>
    </row>
    <row r="155" spans="1:312" s="241" customFormat="1" x14ac:dyDescent="0.3">
      <c r="A155" s="139" t="s">
        <v>260</v>
      </c>
      <c r="B155" s="146"/>
      <c r="C155" s="136">
        <f>SUM(C160:C169)</f>
        <v>1</v>
      </c>
      <c r="D155" s="325" t="s">
        <v>473</v>
      </c>
      <c r="E155" s="784">
        <f>IF($F$1="GWP100 without fb",E156+E157*'Common input data'!$C$5+E158*'Common input data'!$D$5+E159*'Common input data'!$E$5,IF($F$1="GWP100 with fb",E156+E157*'Common input data'!$C$6+E158*'Common input data'!$D$6+E159*'Common input data'!$E$6,IF($F$1="GTP100 without fb",E156+E157*'Common input data'!$C$7+E158*'Common input data'!$D$7+E159*'Common input data'!$E$7,IF($F$1="GTP100 with fb",E156+E157*'Common input data'!$C$8+E158*'Common input data'!$D$8+E159*'Common input data'!$E$8,E156+E157*'Common input data'!$C$9+E158*'Common input data'!$D$9+E159*'Common input data'!$E$9))))</f>
        <v>0</v>
      </c>
      <c r="F155" s="782">
        <f>IF($F$1="GWP100 without fb",F156+F157*'Common input data'!$C$5+F158*'Common input data'!$D$5+F159*'Common input data'!$E$5,IF($F$1="GWP100 with fb",F156+F157*'Common input data'!$C$6+F158*'Common input data'!$D$6+F159*'Common input data'!$E$6,IF($F$1="GTP100 without fb",F156+F157*'Common input data'!$C$7+F158*'Common input data'!$D$7+F159*'Common input data'!$E$7,IF($F$1="GTP100 with fb",F156+F157*'Common input data'!$C$8+F158*'Common input data'!$D$8+F159*'Common input data'!$E$8,F156+F157*'Common input data'!$C$9+F158*'Common input data'!$D$9+F159*'Common input data'!$E$9))))</f>
        <v>2.5044390000000001</v>
      </c>
      <c r="G155" s="785">
        <f>IF($F$1="GWP100 without fb",G156+G157*'Common input data'!$C$5+G158*'Common input data'!$D$5+G159*'Common input data'!$E$5,IF($F$1="GWP100 with fb",G156+G157*'Common input data'!$C$6+G158*'Common input data'!$D$6+G159*'Common input data'!$E$6,IF($F$1="GTP100 without fb",G156+G157*'Common input data'!$C$7+G158*'Common input data'!$D$7+G159*'Common input data'!$E$7,IF($F$1="GTP100 with fb",G156+G157*'Common input data'!$C$8+G158*'Common input data'!$D$8+G159*'Common input data'!$E$8,G156+G157*'Common input data'!$C$9+G158*'Common input data'!$D$9+G159*'Common input data'!$E$9))))</f>
        <v>7.1489325966876303</v>
      </c>
      <c r="H155" s="326"/>
      <c r="I155" s="327"/>
      <c r="J155" s="327"/>
      <c r="K155" s="328"/>
      <c r="L155" s="328"/>
      <c r="M155" s="329"/>
      <c r="N155" s="328"/>
      <c r="O155" s="328"/>
      <c r="P155" s="328"/>
      <c r="Q155" s="328"/>
      <c r="R155" s="328"/>
      <c r="S155" s="328"/>
      <c r="T155" s="330"/>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4"/>
      <c r="CA155" s="64"/>
      <c r="CB155" s="64"/>
      <c r="CC155" s="64"/>
      <c r="CD155" s="64"/>
      <c r="CE155" s="64"/>
      <c r="CF155" s="64"/>
      <c r="CG155" s="64"/>
      <c r="CH155" s="64"/>
      <c r="CI155" s="64"/>
      <c r="CJ155" s="64"/>
      <c r="CK155" s="64"/>
      <c r="CL155" s="64"/>
      <c r="CM155" s="64"/>
      <c r="CN155" s="64"/>
      <c r="CO155" s="64"/>
      <c r="CP155" s="64"/>
      <c r="CQ155" s="64"/>
      <c r="CR155" s="64"/>
      <c r="CS155" s="64"/>
      <c r="CT155" s="64"/>
      <c r="CU155" s="64"/>
      <c r="CV155" s="64"/>
      <c r="CW155" s="64"/>
      <c r="CX155" s="64"/>
      <c r="CY155" s="64"/>
      <c r="CZ155" s="64"/>
      <c r="DA155" s="64"/>
      <c r="DB155" s="64"/>
      <c r="DC155" s="64"/>
      <c r="DD155" s="64"/>
      <c r="DE155" s="64"/>
      <c r="DF155" s="64"/>
      <c r="DG155" s="64"/>
      <c r="DH155" s="64"/>
      <c r="DI155" s="64"/>
      <c r="DJ155" s="64"/>
      <c r="DK155" s="64"/>
      <c r="DL155" s="64"/>
      <c r="DM155" s="64"/>
      <c r="DN155" s="64"/>
      <c r="DO155" s="64"/>
      <c r="DP155" s="64"/>
      <c r="DQ155" s="64"/>
      <c r="DR155" s="64"/>
      <c r="DS155" s="64"/>
      <c r="DT155" s="64"/>
      <c r="DU155" s="64"/>
      <c r="DV155" s="64"/>
      <c r="DW155" s="64"/>
      <c r="DX155" s="64"/>
      <c r="DY155" s="64"/>
      <c r="DZ155" s="64"/>
      <c r="EA155" s="64"/>
      <c r="EB155" s="64"/>
      <c r="EC155" s="64"/>
      <c r="ED155" s="64"/>
      <c r="EE155" s="64"/>
      <c r="EF155" s="64"/>
      <c r="EG155" s="64"/>
      <c r="EH155" s="64"/>
      <c r="EI155" s="64"/>
      <c r="EJ155" s="64"/>
      <c r="EK155" s="64"/>
      <c r="EL155" s="64"/>
      <c r="EM155" s="64"/>
      <c r="EN155" s="64"/>
      <c r="EO155" s="64"/>
      <c r="EP155" s="64"/>
      <c r="EQ155" s="64"/>
      <c r="ER155" s="64"/>
      <c r="ES155" s="64"/>
      <c r="ET155" s="64"/>
      <c r="EU155" s="64"/>
      <c r="EV155" s="64"/>
      <c r="EW155" s="64"/>
      <c r="EX155" s="64"/>
      <c r="EY155" s="64"/>
      <c r="EZ155" s="64"/>
      <c r="FA155" s="64"/>
      <c r="FB155" s="64"/>
      <c r="FC155" s="64"/>
      <c r="FD155" s="64"/>
      <c r="FE155" s="64"/>
      <c r="FF155" s="64"/>
      <c r="FG155" s="64"/>
      <c r="FH155" s="64"/>
      <c r="FI155" s="64"/>
      <c r="FJ155" s="64"/>
      <c r="FK155" s="64"/>
      <c r="FL155" s="64"/>
      <c r="FM155" s="64"/>
      <c r="FN155" s="64"/>
      <c r="FO155" s="64"/>
      <c r="FP155" s="64"/>
      <c r="FQ155" s="64"/>
      <c r="FR155" s="64"/>
      <c r="FS155" s="64"/>
      <c r="FT155" s="64"/>
      <c r="FU155" s="64"/>
      <c r="FV155" s="64"/>
      <c r="FW155" s="64"/>
      <c r="FX155" s="64"/>
      <c r="FY155" s="64"/>
      <c r="FZ155" s="64"/>
      <c r="GA155" s="64"/>
      <c r="GB155" s="64"/>
      <c r="GC155" s="64"/>
      <c r="GD155" s="64"/>
      <c r="GE155" s="64"/>
      <c r="GF155" s="64"/>
      <c r="GG155" s="64"/>
      <c r="GH155" s="64"/>
      <c r="GI155" s="64"/>
      <c r="GJ155" s="64"/>
      <c r="GK155" s="64"/>
      <c r="GL155" s="64"/>
      <c r="GM155" s="64"/>
      <c r="GN155" s="64"/>
      <c r="GO155" s="64"/>
      <c r="GP155" s="64"/>
      <c r="GQ155" s="64"/>
      <c r="GR155" s="64"/>
      <c r="GS155" s="64"/>
      <c r="GT155" s="64"/>
      <c r="GU155" s="64"/>
      <c r="GV155" s="64"/>
      <c r="GW155" s="64"/>
      <c r="GX155" s="64"/>
      <c r="GY155" s="64"/>
      <c r="GZ155" s="64"/>
      <c r="HA155" s="64"/>
      <c r="HB155" s="64"/>
      <c r="HC155" s="64"/>
      <c r="HD155" s="64"/>
      <c r="HE155" s="64"/>
      <c r="HF155" s="64"/>
      <c r="HG155" s="64"/>
      <c r="HH155" s="64"/>
      <c r="HI155" s="64"/>
      <c r="HJ155" s="64"/>
      <c r="HK155" s="64"/>
      <c r="HL155" s="64"/>
      <c r="HM155" s="64"/>
      <c r="HN155" s="64"/>
      <c r="HO155" s="64"/>
      <c r="HP155" s="64"/>
      <c r="HQ155" s="64"/>
      <c r="HR155" s="64"/>
      <c r="HS155" s="64"/>
      <c r="HT155" s="64"/>
      <c r="HU155" s="64"/>
      <c r="HV155" s="64"/>
      <c r="HW155" s="64"/>
      <c r="HX155" s="64"/>
      <c r="HY155" s="64"/>
      <c r="HZ155" s="64"/>
      <c r="IA155" s="64"/>
      <c r="IB155" s="64"/>
      <c r="IC155" s="64"/>
      <c r="ID155" s="64"/>
      <c r="IE155" s="64"/>
      <c r="IF155" s="64"/>
      <c r="IG155" s="64"/>
      <c r="IH155" s="64"/>
      <c r="II155" s="64"/>
      <c r="IJ155" s="64"/>
      <c r="IK155" s="64"/>
      <c r="IL155" s="64"/>
      <c r="IM155" s="64"/>
      <c r="IN155" s="64"/>
      <c r="IO155" s="64"/>
      <c r="IP155" s="64"/>
      <c r="IQ155" s="64"/>
      <c r="IR155" s="64"/>
      <c r="IS155" s="64"/>
      <c r="IT155" s="64"/>
      <c r="IU155" s="64"/>
      <c r="IV155" s="64"/>
      <c r="IW155" s="64"/>
      <c r="IX155" s="64"/>
      <c r="IY155" s="64"/>
      <c r="IZ155" s="64"/>
      <c r="JA155" s="64"/>
      <c r="JB155" s="64"/>
      <c r="JC155" s="64"/>
      <c r="JD155" s="64"/>
      <c r="JE155" s="64"/>
      <c r="JF155" s="64"/>
      <c r="JG155" s="64"/>
      <c r="JH155" s="64"/>
      <c r="JI155" s="64"/>
      <c r="JJ155" s="64"/>
      <c r="JK155" s="64"/>
      <c r="JL155" s="64"/>
      <c r="JM155" s="64"/>
      <c r="JN155" s="64"/>
      <c r="JO155" s="64"/>
      <c r="JP155" s="64"/>
      <c r="JQ155" s="64"/>
      <c r="JR155" s="64"/>
      <c r="JS155" s="64"/>
      <c r="JT155" s="64"/>
      <c r="JU155" s="64"/>
      <c r="JV155" s="64"/>
      <c r="JW155" s="64"/>
      <c r="JX155" s="64"/>
      <c r="JY155" s="64"/>
      <c r="JZ155" s="64"/>
      <c r="KA155" s="64"/>
      <c r="KB155" s="64"/>
      <c r="KC155" s="64"/>
      <c r="KD155" s="64"/>
      <c r="KE155" s="64"/>
      <c r="KF155" s="64"/>
      <c r="KG155" s="64"/>
      <c r="KH155" s="64"/>
      <c r="KI155" s="64"/>
      <c r="KJ155" s="64"/>
      <c r="KK155" s="64"/>
      <c r="KL155" s="64"/>
      <c r="KM155" s="64"/>
      <c r="KN155" s="64"/>
      <c r="KO155" s="64"/>
      <c r="KP155" s="64"/>
      <c r="KQ155" s="64"/>
      <c r="KR155" s="64"/>
      <c r="KS155" s="64"/>
      <c r="KT155" s="64"/>
      <c r="KU155" s="64"/>
      <c r="KV155" s="64"/>
      <c r="KW155" s="64"/>
      <c r="KX155" s="64"/>
      <c r="KY155" s="64"/>
      <c r="KZ155" s="64"/>
    </row>
    <row r="156" spans="1:312" x14ac:dyDescent="0.3">
      <c r="A156" s="155"/>
      <c r="B156" s="157"/>
      <c r="C156" s="157"/>
      <c r="D156" s="83" t="s">
        <v>164</v>
      </c>
      <c r="E156" s="258">
        <f>$C$160*E161+$C$165*E166</f>
        <v>0</v>
      </c>
      <c r="F156" s="85">
        <f t="shared" ref="F156:G159" si="33">$C$160*F161+$C$165*F166</f>
        <v>2.1772741399852249</v>
      </c>
      <c r="G156" s="259">
        <f t="shared" si="33"/>
        <v>6.4236646992073325</v>
      </c>
      <c r="H156" s="85">
        <f>$C$160*H161+$C$165*H166</f>
        <v>0</v>
      </c>
      <c r="I156" s="85">
        <f t="shared" ref="I156:T156" si="34">$C$160*I161+$C$165*I166</f>
        <v>0</v>
      </c>
      <c r="J156" s="85">
        <f t="shared" si="34"/>
        <v>0</v>
      </c>
      <c r="K156" s="85">
        <f t="shared" si="34"/>
        <v>0</v>
      </c>
      <c r="L156" s="85">
        <f t="shared" si="34"/>
        <v>0</v>
      </c>
      <c r="M156" s="85">
        <f t="shared" si="34"/>
        <v>0</v>
      </c>
      <c r="N156" s="85">
        <f t="shared" si="34"/>
        <v>0</v>
      </c>
      <c r="O156" s="85">
        <f t="shared" si="34"/>
        <v>2.1772741399852249</v>
      </c>
      <c r="P156" s="85">
        <f t="shared" si="34"/>
        <v>0</v>
      </c>
      <c r="Q156" s="85">
        <f t="shared" si="34"/>
        <v>0.38651010800000007</v>
      </c>
      <c r="R156" s="85">
        <f t="shared" si="34"/>
        <v>4.8373287697834426</v>
      </c>
      <c r="S156" s="85">
        <f t="shared" si="34"/>
        <v>0.1</v>
      </c>
      <c r="T156" s="207">
        <f t="shared" si="34"/>
        <v>0.53</v>
      </c>
    </row>
    <row r="157" spans="1:312" x14ac:dyDescent="0.3">
      <c r="A157" s="141"/>
      <c r="B157" s="243"/>
      <c r="C157" s="142"/>
      <c r="D157" s="83" t="s">
        <v>165</v>
      </c>
      <c r="E157" s="258">
        <f>$C$160*E162+$C$165*E167</f>
        <v>0</v>
      </c>
      <c r="F157" s="85">
        <f t="shared" si="33"/>
        <v>9.6445902697185333E-4</v>
      </c>
      <c r="G157" s="259">
        <f t="shared" si="33"/>
        <v>2.1380388183076249E-3</v>
      </c>
      <c r="H157" s="85">
        <f t="shared" ref="H157:T157" si="35">$C$160*H162+$C$165*H167</f>
        <v>0</v>
      </c>
      <c r="I157" s="85">
        <f t="shared" si="35"/>
        <v>0</v>
      </c>
      <c r="J157" s="85">
        <f t="shared" si="35"/>
        <v>0</v>
      </c>
      <c r="K157" s="85">
        <f t="shared" si="35"/>
        <v>0</v>
      </c>
      <c r="L157" s="85">
        <f t="shared" si="35"/>
        <v>0</v>
      </c>
      <c r="M157" s="85">
        <f t="shared" si="35"/>
        <v>0</v>
      </c>
      <c r="N157" s="85">
        <f t="shared" si="35"/>
        <v>0</v>
      </c>
      <c r="O157" s="85">
        <f t="shared" si="35"/>
        <v>9.6445902697185333E-4</v>
      </c>
      <c r="P157" s="85">
        <f t="shared" si="35"/>
        <v>0</v>
      </c>
      <c r="Q157" s="85">
        <f t="shared" si="35"/>
        <v>0</v>
      </c>
      <c r="R157" s="85">
        <f t="shared" si="35"/>
        <v>1.8197340131544401E-3</v>
      </c>
      <c r="S157" s="85">
        <f t="shared" si="35"/>
        <v>0</v>
      </c>
      <c r="T157" s="207">
        <f t="shared" si="35"/>
        <v>0</v>
      </c>
    </row>
    <row r="158" spans="1:312" x14ac:dyDescent="0.3">
      <c r="A158" s="141"/>
      <c r="B158" s="243"/>
      <c r="C158" s="85"/>
      <c r="D158" s="84" t="s">
        <v>166</v>
      </c>
      <c r="E158" s="258">
        <f>$C$160*E163+$C$165*E168</f>
        <v>0</v>
      </c>
      <c r="F158" s="85">
        <f t="shared" si="33"/>
        <v>5.8504205025946505E-5</v>
      </c>
      <c r="G158" s="259">
        <f t="shared" si="33"/>
        <v>1.2969370173498526E-4</v>
      </c>
      <c r="H158" s="85">
        <f t="shared" ref="H158:T158" si="36">$C$160*H163+$C$165*H168</f>
        <v>0</v>
      </c>
      <c r="I158" s="85">
        <f t="shared" si="36"/>
        <v>0</v>
      </c>
      <c r="J158" s="85">
        <f t="shared" si="36"/>
        <v>0</v>
      </c>
      <c r="K158" s="85">
        <f t="shared" si="36"/>
        <v>0</v>
      </c>
      <c r="L158" s="85">
        <f t="shared" si="36"/>
        <v>0</v>
      </c>
      <c r="M158" s="85">
        <f t="shared" si="36"/>
        <v>0</v>
      </c>
      <c r="N158" s="85">
        <f t="shared" si="36"/>
        <v>0</v>
      </c>
      <c r="O158" s="85">
        <f t="shared" si="36"/>
        <v>5.8504205025946505E-5</v>
      </c>
      <c r="P158" s="85">
        <f t="shared" si="36"/>
        <v>0</v>
      </c>
      <c r="Q158" s="85">
        <f t="shared" si="36"/>
        <v>0</v>
      </c>
      <c r="R158" s="85">
        <f>$C$160*R163+$C$165*R168</f>
        <v>1.1038529250178585E-4</v>
      </c>
      <c r="S158" s="85">
        <f t="shared" si="36"/>
        <v>0</v>
      </c>
      <c r="T158" s="207">
        <f t="shared" si="36"/>
        <v>0</v>
      </c>
    </row>
    <row r="159" spans="1:312" x14ac:dyDescent="0.3">
      <c r="A159" s="141"/>
      <c r="B159" s="243"/>
      <c r="C159" s="85"/>
      <c r="D159" s="84" t="s">
        <v>414</v>
      </c>
      <c r="E159" s="258">
        <f>$C$160*E164+$C$165*E169</f>
        <v>0</v>
      </c>
      <c r="F159" s="85">
        <f t="shared" si="33"/>
        <v>1.315E-4</v>
      </c>
      <c r="G159" s="259">
        <f t="shared" si="33"/>
        <v>2.9151275144388038E-4</v>
      </c>
      <c r="H159" s="85">
        <f t="shared" ref="H159:T159" si="37">$C$160*H164+$C$165*H169</f>
        <v>0</v>
      </c>
      <c r="I159" s="85">
        <f t="shared" si="37"/>
        <v>0</v>
      </c>
      <c r="J159" s="85">
        <f t="shared" si="37"/>
        <v>0</v>
      </c>
      <c r="K159" s="85">
        <f t="shared" si="37"/>
        <v>0</v>
      </c>
      <c r="L159" s="85">
        <f t="shared" si="37"/>
        <v>0</v>
      </c>
      <c r="M159" s="85">
        <f t="shared" si="37"/>
        <v>0</v>
      </c>
      <c r="N159" s="85">
        <f t="shared" si="37"/>
        <v>0</v>
      </c>
      <c r="O159" s="85">
        <f t="shared" si="37"/>
        <v>0</v>
      </c>
      <c r="P159" s="85">
        <f t="shared" si="37"/>
        <v>1.315E-4</v>
      </c>
      <c r="Q159" s="85">
        <f t="shared" si="37"/>
        <v>0</v>
      </c>
      <c r="R159" s="85">
        <f t="shared" si="37"/>
        <v>2.4811320754716977E-4</v>
      </c>
      <c r="S159" s="85">
        <f t="shared" si="37"/>
        <v>0</v>
      </c>
      <c r="T159" s="207">
        <f t="shared" si="37"/>
        <v>0</v>
      </c>
    </row>
    <row r="160" spans="1:312" x14ac:dyDescent="0.3">
      <c r="A160" s="219" t="s">
        <v>265</v>
      </c>
      <c r="B160" s="210" t="s">
        <v>568</v>
      </c>
      <c r="C160" s="209">
        <f>'Input data fish and seafood'!E30</f>
        <v>0.5</v>
      </c>
      <c r="D160" s="269" t="s">
        <v>473</v>
      </c>
      <c r="E160" s="345">
        <f>IF($F$1="GWP100 without fb",E161+E162*'Common input data'!$C$5+E163*'Common input data'!$D$5+E164*'Common input data'!$E$5,IF($F$1="GWP100 with fb",E161+E162*'Common input data'!$C$6+E163*'Common input data'!$D$6+E164*'Common input data'!$E$6,IF($F$1="GTP100 without fb",E161+E162*'Common input data'!$C$7+E163*'Common input data'!$D$7+E164*'Common input data'!$E$7,IF($F$1="GTP100 with fb",E161+E162*'Common input data'!$C$8+E163*'Common input data'!$D$8+E164*'Common input data'!$E$8,E161+E162*'Common input data'!$C$9+E163*'Common input data'!$D$9+E164*'Common input data'!$E$9))))</f>
        <v>0</v>
      </c>
      <c r="F160" s="346">
        <f>IF($F$1="GWP100 without fb",F161+F162*'Common input data'!$C$5+F163*'Common input data'!$D$5+F164*'Common input data'!$E$5,IF($F$1="GWP100 with fb",F161+F162*'Common input data'!$C$6+F163*'Common input data'!$D$6+F164*'Common input data'!$E$6,IF($F$1="GTP100 without fb",F161+F162*'Common input data'!$C$7+F163*'Common input data'!$D$7+F164*'Common input data'!$E$7,IF($F$1="GTP100 with fb",F161+F162*'Common input data'!$C$8+F163*'Common input data'!$D$8+F164*'Common input data'!$E$8,F161+F162*'Common input data'!$C$9+F163*'Common input data'!$D$9+F164*'Common input data'!$E$9))))</f>
        <v>2.4879390000000003</v>
      </c>
      <c r="G160" s="347">
        <f>IF($F$1="GWP100 without fb",G161+G162*'Common input data'!$C$5+G163*'Common input data'!$D$5+G164*'Common input data'!$E$5,IF($F$1="GWP100 with fb",G161+G162*'Common input data'!$C$6+G163*'Common input data'!$D$6+G164*'Common input data'!$E$6,IF($F$1="GTP100 without fb",G161+G162*'Common input data'!$C$7+G163*'Common input data'!$D$7+G164*'Common input data'!$E$7,IF($F$1="GTP100 with fb",G161+G162*'Common input data'!$C$8+G163*'Common input data'!$D$8+G164*'Common input data'!$E$8,G161+G162*'Common input data'!$C$9+G163*'Common input data'!$D$9+G164*'Common input data'!$E$9))))</f>
        <v>7.1123549510691966</v>
      </c>
      <c r="H160" s="302"/>
      <c r="I160" s="104"/>
      <c r="J160" s="104"/>
      <c r="K160" s="223"/>
      <c r="L160" s="223"/>
      <c r="M160" s="223"/>
      <c r="N160" s="223"/>
      <c r="O160" s="223"/>
      <c r="P160" s="223"/>
      <c r="Q160" s="223"/>
      <c r="R160" s="223"/>
      <c r="S160" s="223"/>
      <c r="T160" s="331"/>
    </row>
    <row r="161" spans="1:20" x14ac:dyDescent="0.3">
      <c r="A161" s="144"/>
      <c r="B161" s="84"/>
      <c r="C161" s="157"/>
      <c r="D161" s="83" t="s">
        <v>164</v>
      </c>
      <c r="E161" s="334">
        <f>IF(AND($F$2="No",$F$3="No"),SUM(J161),IF(AND($F$2="Yes", $F$3="No"), SUM(J161)+L161, IF(AND($F$2="No", $F$3="Yes"),SUM(J161)+K161, SUM(J161)+L161+K161)))</f>
        <v>0</v>
      </c>
      <c r="F161" s="88">
        <f>IF(AND($F$2="No",$F$3="No"),SUM(H161:J161,M161:P161),IF(AND($F$2="Yes", $F$3="No"), SUM(H161:J161,M161:P161)+L161, IF(AND($F$2="No", $F$3="Yes"),SUM(H161:J161,M161:P161)+K161, SUM(H161:J161,M161:P161)+L161+K161)))</f>
        <v>2.1611461833927419</v>
      </c>
      <c r="G161" s="259">
        <f>SUM(R161:T161)/(1-'Common input data'!C$125)</f>
        <v>6.3879118094625253</v>
      </c>
      <c r="H161" s="85">
        <v>0</v>
      </c>
      <c r="I161" s="85">
        <v>0</v>
      </c>
      <c r="J161" s="85">
        <v>0</v>
      </c>
      <c r="K161" s="85">
        <v>0</v>
      </c>
      <c r="L161" s="85">
        <v>0</v>
      </c>
      <c r="M161" s="85">
        <v>0</v>
      </c>
      <c r="N161" s="85">
        <v>0</v>
      </c>
      <c r="O161" s="85">
        <f>'Input data fish and seafood'!G30*'Input data fish and seafood'!B42</f>
        <v>2.1611461833927419</v>
      </c>
      <c r="P161" s="85">
        <v>0</v>
      </c>
      <c r="Q161" s="90">
        <f>'Input data fish and seafood'!B89*('Input data fish and seafood'!B104*'Common input data'!B63+'Input data fish and seafood'!C104*'Common input data'!C63+'Input data fish and seafood'!D104*'Common input data'!E63+'Input data fish and seafood'!E104*'Common input data'!F63+'Input data fish and seafood'!H104*'Common input data'!K63)</f>
        <v>0.38651010800000007</v>
      </c>
      <c r="R161" s="85">
        <f>(F161+Q161)/'Input data fish and seafood'!$H$30</f>
        <v>4.8068986630051729</v>
      </c>
      <c r="S161" s="85">
        <f>'Common input data'!B94</f>
        <v>0.1</v>
      </c>
      <c r="T161" s="207">
        <f>'Input data fish and seafood'!E118*'Common input data'!B107+'Common input data'!C107</f>
        <v>0.53</v>
      </c>
    </row>
    <row r="162" spans="1:20" x14ac:dyDescent="0.3">
      <c r="A162" s="322"/>
      <c r="B162" s="38"/>
      <c r="C162" s="45"/>
      <c r="D162" s="83" t="s">
        <v>165</v>
      </c>
      <c r="E162" s="258">
        <v>0</v>
      </c>
      <c r="F162" s="88">
        <f>SUM(H162:J162,M162:P162)</f>
        <v>9.5731488603132114E-4</v>
      </c>
      <c r="G162" s="259">
        <f>SUM(R162:T162)/(1-'Common input data'!C$125)</f>
        <v>2.1222014937275682E-3</v>
      </c>
      <c r="H162" s="85">
        <v>0</v>
      </c>
      <c r="I162" s="85">
        <v>0</v>
      </c>
      <c r="J162" s="85">
        <v>0</v>
      </c>
      <c r="K162" s="85">
        <v>0</v>
      </c>
      <c r="L162" s="85">
        <v>0</v>
      </c>
      <c r="M162" s="85">
        <v>0</v>
      </c>
      <c r="N162" s="85">
        <v>0</v>
      </c>
      <c r="O162" s="85">
        <f>'Input data fish and seafood'!G30*'Input data fish and seafood'!B43</f>
        <v>9.5731488603132114E-4</v>
      </c>
      <c r="P162" s="85">
        <v>0</v>
      </c>
      <c r="Q162" s="90">
        <v>0</v>
      </c>
      <c r="R162" s="85">
        <f>(F162+Q162)/'Input data fish and seafood'!$H$30</f>
        <v>1.8062545019458889E-3</v>
      </c>
      <c r="S162" s="85">
        <v>0</v>
      </c>
      <c r="T162" s="207">
        <v>0</v>
      </c>
    </row>
    <row r="163" spans="1:20" x14ac:dyDescent="0.3">
      <c r="A163" s="174"/>
      <c r="B163" s="206"/>
      <c r="C163" s="85"/>
      <c r="D163" s="84" t="s">
        <v>166</v>
      </c>
      <c r="E163" s="258">
        <v>0</v>
      </c>
      <c r="F163" s="88">
        <f>SUM(H163:J163,M163:P163)</f>
        <v>5.8070840544272827E-5</v>
      </c>
      <c r="G163" s="259">
        <f>SUM(R163:T163)/(1-'Common input data'!C$125)</f>
        <v>1.2873300764805945E-4</v>
      </c>
      <c r="H163" s="85">
        <v>0</v>
      </c>
      <c r="I163" s="85">
        <v>0</v>
      </c>
      <c r="J163" s="85">
        <v>0</v>
      </c>
      <c r="K163" s="85">
        <v>0</v>
      </c>
      <c r="L163" s="85">
        <v>0</v>
      </c>
      <c r="M163" s="85">
        <v>0</v>
      </c>
      <c r="N163" s="85">
        <v>0</v>
      </c>
      <c r="O163" s="85">
        <f>'Input data fish and seafood'!G30*'Input data fish and seafood'!B44</f>
        <v>5.8070840544272827E-5</v>
      </c>
      <c r="P163" s="85">
        <v>0</v>
      </c>
      <c r="Q163" s="90">
        <v>0</v>
      </c>
      <c r="R163" s="85">
        <f>(F163+Q163)/'Input data fish and seafood'!$H$30</f>
        <v>1.095676236684393E-4</v>
      </c>
      <c r="S163" s="85">
        <v>0</v>
      </c>
      <c r="T163" s="207">
        <v>0</v>
      </c>
    </row>
    <row r="164" spans="1:20" x14ac:dyDescent="0.3">
      <c r="A164" s="174"/>
      <c r="B164" s="206"/>
      <c r="C164" s="85"/>
      <c r="D164" s="84" t="s">
        <v>414</v>
      </c>
      <c r="E164" s="258">
        <v>0</v>
      </c>
      <c r="F164" s="88">
        <f>SUM(H164:J164,M164:P164)</f>
        <v>1.315E-4</v>
      </c>
      <c r="G164" s="259">
        <f>SUM(R164:T164)/(1-'Common input data'!C$125)</f>
        <v>2.9151275144388038E-4</v>
      </c>
      <c r="H164" s="85">
        <v>0</v>
      </c>
      <c r="I164" s="85">
        <v>0</v>
      </c>
      <c r="J164" s="85">
        <v>0</v>
      </c>
      <c r="K164" s="85">
        <v>0</v>
      </c>
      <c r="L164" s="85">
        <v>0</v>
      </c>
      <c r="M164" s="85">
        <v>0</v>
      </c>
      <c r="N164" s="85">
        <v>0</v>
      </c>
      <c r="O164" s="85">
        <v>0</v>
      </c>
      <c r="P164" s="85">
        <f>AVERAGE('Input data fish and seafood'!B49,'Input data fish and seafood'!C49)</f>
        <v>1.315E-4</v>
      </c>
      <c r="Q164" s="90">
        <v>0</v>
      </c>
      <c r="R164" s="85">
        <f>(F164+Q164)/'Input data fish and seafood'!$H$30</f>
        <v>2.4811320754716977E-4</v>
      </c>
      <c r="S164" s="85">
        <v>0</v>
      </c>
      <c r="T164" s="207">
        <v>0</v>
      </c>
    </row>
    <row r="165" spans="1:20" x14ac:dyDescent="0.3">
      <c r="A165" s="219" t="s">
        <v>265</v>
      </c>
      <c r="B165" s="210" t="s">
        <v>578</v>
      </c>
      <c r="C165" s="209">
        <f>'Input data fish and seafood'!E31</f>
        <v>0.5</v>
      </c>
      <c r="D165" s="269" t="s">
        <v>473</v>
      </c>
      <c r="E165" s="345">
        <f>IF($F$1="GWP100 without fb",E166+E167*'Common input data'!$C$5+E168*'Common input data'!$D$5+E169*'Common input data'!$E$5,IF($F$1="GWP100 with fb",E166+E167*'Common input data'!$C$6+E168*'Common input data'!$D$6+E169*'Common input data'!$E$6,IF($F$1="GTP100 without fb",E166+E167*'Common input data'!$C$7+E168*'Common input data'!$D$7+E169*'Common input data'!$E$7,IF($F$1="GTP100 with fb",E166+E167*'Common input data'!$C$8+E168*'Common input data'!$D$8+E169*'Common input data'!$E$8,E166+E167*'Common input data'!$C$9+E168*'Common input data'!$D$9+E169*'Common input data'!$E$9))))</f>
        <v>0</v>
      </c>
      <c r="F165" s="346">
        <f>IF($F$1="GWP100 without fb",F166+F167*'Common input data'!$C$5+F168*'Common input data'!$D$5+F169*'Common input data'!$E$5,IF($F$1="GWP100 with fb",F166+F167*'Common input data'!$C$6+F168*'Common input data'!$D$6+F169*'Common input data'!$E$6,IF($F$1="GTP100 without fb",F166+F167*'Common input data'!$C$7+F168*'Common input data'!$D$7+F169*'Common input data'!$E$7,IF($F$1="GTP100 with fb",F166+F167*'Common input data'!$C$8+F168*'Common input data'!$D$8+F169*'Common input data'!$E$8,F166+F167*'Common input data'!$C$9+F168*'Common input data'!$D$9+F169*'Common input data'!$E$9))))</f>
        <v>2.5209389999999998</v>
      </c>
      <c r="G165" s="347">
        <f>IF($F$1="GWP100 without fb",G166+G167*'Common input data'!$C$5+G168*'Common input data'!$D$5+G169*'Common input data'!$E$5,IF($F$1="GWP100 with fb",G166+G167*'Common input data'!$C$6+G168*'Common input data'!$D$6+G169*'Common input data'!$E$6,IF($F$1="GTP100 without fb",G166+G167*'Common input data'!$C$7+G168*'Common input data'!$D$7+G169*'Common input data'!$E$7,IF($F$1="GTP100 with fb",G166+G167*'Common input data'!$C$8+G168*'Common input data'!$D$8+G169*'Common input data'!$E$8,G166+G167*'Common input data'!$C$9+G168*'Common input data'!$D$9+G169*'Common input data'!$E$9))))</f>
        <v>7.1855102423060639</v>
      </c>
      <c r="H165" s="302"/>
      <c r="I165" s="104"/>
      <c r="J165" s="104"/>
      <c r="K165" s="223"/>
      <c r="L165" s="223"/>
      <c r="M165" s="223"/>
      <c r="N165" s="223"/>
      <c r="O165" s="223"/>
      <c r="P165" s="223"/>
      <c r="Q165" s="223"/>
      <c r="R165" s="223"/>
      <c r="S165" s="223"/>
      <c r="T165" s="331"/>
    </row>
    <row r="166" spans="1:20" x14ac:dyDescent="0.3">
      <c r="A166" s="144"/>
      <c r="B166" s="84"/>
      <c r="C166" s="157"/>
      <c r="D166" s="83" t="s">
        <v>164</v>
      </c>
      <c r="E166" s="334">
        <f>IF(AND($F$2="No",$F$3="No"),SUM(J166),IF(AND($F$2="Yes", $F$3="No"), SUM(J166)+L166, IF(AND($F$2="No", $F$3="Yes"),SUM(J166)+K166, SUM(J166)+L166+K166)))</f>
        <v>0</v>
      </c>
      <c r="F166" s="88">
        <f>IF(AND($F$2="No",$F$3="No"),SUM(H166:J166,M166:P166),IF(AND($F$2="Yes", $F$3="No"), SUM(H166:J166,M166:P166)+L166, IF(AND($F$2="No", $F$3="Yes"),SUM(H166:J166,M166:P166)+K166, SUM(H166:J166,M166:P166)+L166+K166)))</f>
        <v>2.1934020965777079</v>
      </c>
      <c r="G166" s="259">
        <f>SUM(R166:T166)/(1-'Common input data'!C$125)</f>
        <v>6.4594175889521406</v>
      </c>
      <c r="H166" s="85">
        <v>0</v>
      </c>
      <c r="I166" s="85">
        <v>0</v>
      </c>
      <c r="J166" s="85">
        <v>0</v>
      </c>
      <c r="K166" s="85">
        <v>0</v>
      </c>
      <c r="L166" s="85">
        <v>0</v>
      </c>
      <c r="M166" s="85">
        <v>0</v>
      </c>
      <c r="N166" s="85">
        <v>0</v>
      </c>
      <c r="O166" s="213">
        <f>'Input data fish and seafood'!G31*'Input data fish and seafood'!B42</f>
        <v>2.1934020965777079</v>
      </c>
      <c r="P166" s="85">
        <v>0</v>
      </c>
      <c r="Q166" s="90">
        <f>'Input data fish and seafood'!B89*('Input data fish and seafood'!B104*'Common input data'!B63+'Input data fish and seafood'!C104*'Common input data'!C63+'Input data fish and seafood'!D104*'Common input data'!E63+'Input data fish and seafood'!E104*'Common input data'!F63+'Input data fish and seafood'!H104*'Common input data'!K63)</f>
        <v>0.38651010800000007</v>
      </c>
      <c r="R166" s="85">
        <f>(F166+Q166)/'Input data fish and seafood'!$H$31</f>
        <v>4.8677588765617124</v>
      </c>
      <c r="S166" s="90">
        <f>'Common input data'!B94</f>
        <v>0.1</v>
      </c>
      <c r="T166" s="207">
        <f>'Input data fish and seafood'!E118*'Common input data'!B107+'Common input data'!C107</f>
        <v>0.53</v>
      </c>
    </row>
    <row r="167" spans="1:20" x14ac:dyDescent="0.3">
      <c r="A167" s="144"/>
      <c r="B167" s="84"/>
      <c r="C167" s="84"/>
      <c r="D167" s="83" t="s">
        <v>165</v>
      </c>
      <c r="E167" s="258">
        <v>0</v>
      </c>
      <c r="F167" s="88">
        <f>SUM(H167:J167,M167:P167)</f>
        <v>9.7160316791238563E-4</v>
      </c>
      <c r="G167" s="259">
        <f>SUM(R167:T167)/(1-'Common input data'!C$125)</f>
        <v>2.1538761428876812E-3</v>
      </c>
      <c r="H167" s="85">
        <v>0</v>
      </c>
      <c r="I167" s="85">
        <v>0</v>
      </c>
      <c r="J167" s="85">
        <v>0</v>
      </c>
      <c r="K167" s="85">
        <v>0</v>
      </c>
      <c r="L167" s="85">
        <v>0</v>
      </c>
      <c r="M167" s="85">
        <v>0</v>
      </c>
      <c r="N167" s="85">
        <v>0</v>
      </c>
      <c r="O167" s="212">
        <f>'Input data fish and seafood'!G31*'Input data fish and seafood'!B43</f>
        <v>9.7160316791238563E-4</v>
      </c>
      <c r="P167" s="85">
        <v>0</v>
      </c>
      <c r="Q167" s="90">
        <v>0</v>
      </c>
      <c r="R167" s="85">
        <f>(F167+Q167)/'Input data fish and seafood'!$H$31</f>
        <v>1.8332135243629916E-3</v>
      </c>
      <c r="S167" s="90">
        <v>0</v>
      </c>
      <c r="T167" s="207">
        <v>0</v>
      </c>
    </row>
    <row r="168" spans="1:20" x14ac:dyDescent="0.3">
      <c r="A168" s="144"/>
      <c r="B168" s="84"/>
      <c r="C168" s="85"/>
      <c r="D168" s="84" t="s">
        <v>166</v>
      </c>
      <c r="E168" s="258">
        <v>0</v>
      </c>
      <c r="F168" s="88">
        <f>SUM(H168:J168,M168:P168)</f>
        <v>5.8937569507620182E-5</v>
      </c>
      <c r="G168" s="259">
        <f>SUM(R168:T168)/(1-'Common input data'!C$125)</f>
        <v>1.3065439582191107E-4</v>
      </c>
      <c r="H168" s="85">
        <v>0</v>
      </c>
      <c r="I168" s="85">
        <v>0</v>
      </c>
      <c r="J168" s="85">
        <v>0</v>
      </c>
      <c r="K168" s="85">
        <v>0</v>
      </c>
      <c r="L168" s="85">
        <v>0</v>
      </c>
      <c r="M168" s="85">
        <v>0</v>
      </c>
      <c r="N168" s="85">
        <v>0</v>
      </c>
      <c r="O168" s="85">
        <f>'Input data fish and seafood'!G31*'Input data fish and seafood'!B44</f>
        <v>5.8937569507620182E-5</v>
      </c>
      <c r="P168" s="85">
        <v>0</v>
      </c>
      <c r="Q168" s="221">
        <v>0</v>
      </c>
      <c r="R168" s="85">
        <f>(F168+Q168)/'Input data fish and seafood'!$H$31</f>
        <v>1.1120296133513241E-4</v>
      </c>
      <c r="S168" s="94">
        <v>0</v>
      </c>
      <c r="T168" s="207">
        <v>0</v>
      </c>
    </row>
    <row r="169" spans="1:20" ht="15" thickBot="1" x14ac:dyDescent="0.35">
      <c r="A169" s="145"/>
      <c r="B169" s="100"/>
      <c r="C169" s="101"/>
      <c r="D169" s="100" t="s">
        <v>414</v>
      </c>
      <c r="E169" s="263">
        <v>0</v>
      </c>
      <c r="F169" s="526">
        <f>SUM(H169:J169,M169:P169)</f>
        <v>1.315E-4</v>
      </c>
      <c r="G169" s="266">
        <f>SUM(R169:T169)/(1-'Common input data'!C$125)</f>
        <v>2.9151275144388038E-4</v>
      </c>
      <c r="H169" s="101">
        <v>0</v>
      </c>
      <c r="I169" s="101">
        <v>0</v>
      </c>
      <c r="J169" s="101">
        <v>0</v>
      </c>
      <c r="K169" s="101">
        <v>0</v>
      </c>
      <c r="L169" s="101">
        <v>0</v>
      </c>
      <c r="M169" s="101">
        <v>0</v>
      </c>
      <c r="N169" s="101">
        <v>0</v>
      </c>
      <c r="O169" s="101">
        <v>0</v>
      </c>
      <c r="P169" s="101">
        <f>AVERAGE('Input data fish and seafood'!B49,'Input data fish and seafood'!C49)</f>
        <v>1.315E-4</v>
      </c>
      <c r="Q169" s="108">
        <v>0</v>
      </c>
      <c r="R169" s="101">
        <f>(F169+Q169)/'Input data fish and seafood'!$H$31</f>
        <v>2.4811320754716977E-4</v>
      </c>
      <c r="S169" s="108">
        <v>0</v>
      </c>
      <c r="T169" s="220">
        <v>0</v>
      </c>
    </row>
  </sheetData>
  <mergeCells count="1">
    <mergeCell ref="I4:J4"/>
  </mergeCells>
  <dataValidations count="2">
    <dataValidation type="list" allowBlank="1" showInputMessage="1" showErrorMessage="1" sqref="F2:F3">
      <formula1>"Yes, No"</formula1>
    </dataValidation>
    <dataValidation type="list" allowBlank="1" showInputMessage="1" showErrorMessage="1" sqref="F1">
      <formula1>"GWP100 without fb, GWP100 with fb, GTP100 without fb, GTP100 with fb, GTP climate goal"</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X114"/>
  <sheetViews>
    <sheetView zoomScale="50" zoomScaleNormal="50" workbookViewId="0"/>
  </sheetViews>
  <sheetFormatPr defaultColWidth="8.88671875" defaultRowHeight="14.4" x14ac:dyDescent="0.3"/>
  <cols>
    <col min="1" max="1" width="52.88671875" style="64" bestFit="1" customWidth="1"/>
    <col min="2" max="2" width="37.6640625" style="64" customWidth="1"/>
    <col min="3" max="3" width="19.88671875" style="64" bestFit="1" customWidth="1"/>
    <col min="4" max="4" width="28" style="64" customWidth="1"/>
    <col min="5" max="7" width="38.88671875" style="64" customWidth="1"/>
    <col min="8" max="8" width="34.44140625" style="64" bestFit="1" customWidth="1"/>
    <col min="9" max="9" width="35.44140625" style="64" bestFit="1" customWidth="1"/>
    <col min="10" max="10" width="18.44140625" style="64" bestFit="1" customWidth="1"/>
    <col min="11" max="11" width="23.109375" style="64" bestFit="1" customWidth="1"/>
    <col min="12" max="12" width="19" style="64" bestFit="1" customWidth="1"/>
    <col min="13" max="13" width="29.33203125" style="64" bestFit="1" customWidth="1"/>
    <col min="14" max="14" width="28.6640625" style="64" bestFit="1" customWidth="1"/>
    <col min="15" max="17" width="28.6640625" style="64" customWidth="1"/>
    <col min="18" max="18" width="27.6640625" style="64" bestFit="1" customWidth="1"/>
    <col min="19" max="19" width="27.109375" style="64" bestFit="1" customWidth="1"/>
    <col min="20" max="20" width="19" style="64" bestFit="1" customWidth="1"/>
    <col min="21" max="21" width="22.33203125" style="64" bestFit="1" customWidth="1"/>
    <col min="22" max="26" width="8.88671875" style="64"/>
    <col min="27" max="27" width="39.6640625" style="64" bestFit="1" customWidth="1"/>
    <col min="28" max="31" width="8.88671875" style="64"/>
    <col min="32" max="32" width="33.88671875" style="64" bestFit="1" customWidth="1"/>
    <col min="33" max="33" width="27.6640625" style="64" bestFit="1" customWidth="1"/>
    <col min="34" max="34" width="19" style="64" bestFit="1" customWidth="1"/>
    <col min="35" max="35" width="17.6640625" style="64" bestFit="1" customWidth="1"/>
    <col min="36" max="36" width="8.88671875" style="64"/>
    <col min="37" max="37" width="28.6640625" style="64" bestFit="1" customWidth="1"/>
    <col min="38" max="38" width="27.6640625" style="64" bestFit="1" customWidth="1"/>
    <col min="39" max="16384" width="8.88671875" style="64"/>
  </cols>
  <sheetData>
    <row r="1" spans="1:258" ht="31.2" x14ac:dyDescent="0.6">
      <c r="A1" s="362" t="s">
        <v>660</v>
      </c>
      <c r="E1" s="291" t="s">
        <v>550</v>
      </c>
      <c r="F1" s="292" t="s">
        <v>1243</v>
      </c>
    </row>
    <row r="2" spans="1:258" ht="17.399999999999999" x14ac:dyDescent="0.35">
      <c r="E2" s="291" t="s">
        <v>551</v>
      </c>
      <c r="F2" s="292" t="s">
        <v>1339</v>
      </c>
      <c r="G2" s="291"/>
      <c r="H2" s="76"/>
      <c r="I2" s="243"/>
      <c r="J2" s="242"/>
      <c r="K2" s="243"/>
      <c r="L2" s="243"/>
      <c r="M2" s="243"/>
      <c r="N2" s="243"/>
      <c r="O2" s="243"/>
      <c r="P2" s="243"/>
      <c r="Q2" s="243"/>
      <c r="R2" s="243"/>
      <c r="S2" s="243"/>
      <c r="T2" s="243"/>
      <c r="U2" s="243"/>
      <c r="V2" s="65"/>
    </row>
    <row r="3" spans="1:258" ht="69.599999999999994" x14ac:dyDescent="0.35">
      <c r="E3" s="763" t="s">
        <v>1251</v>
      </c>
      <c r="F3" s="292" t="s">
        <v>1339</v>
      </c>
      <c r="G3" s="291"/>
    </row>
    <row r="4" spans="1:258" ht="18" thickBot="1" x14ac:dyDescent="0.4">
      <c r="G4" s="291"/>
    </row>
    <row r="5" spans="1:258" ht="17.399999999999999" x14ac:dyDescent="0.35">
      <c r="A5" s="487"/>
      <c r="B5" s="297"/>
      <c r="C5" s="297"/>
      <c r="D5" s="297"/>
      <c r="E5" s="298" t="s">
        <v>531</v>
      </c>
      <c r="F5" s="304"/>
      <c r="G5" s="472"/>
      <c r="H5" s="332"/>
      <c r="I5" s="299"/>
      <c r="J5" s="446" t="s">
        <v>286</v>
      </c>
      <c r="K5" s="534"/>
      <c r="L5" s="533"/>
      <c r="M5" s="533"/>
      <c r="N5" s="533"/>
      <c r="O5" s="533"/>
      <c r="P5" s="533"/>
      <c r="Q5" s="533"/>
      <c r="R5" s="533"/>
      <c r="S5" s="533"/>
      <c r="T5" s="533"/>
      <c r="U5" s="533"/>
      <c r="V5" s="107"/>
    </row>
    <row r="6" spans="1:258" s="404" customFormat="1" ht="34.799999999999997" x14ac:dyDescent="0.3">
      <c r="A6" s="344"/>
      <c r="B6" s="343" t="s">
        <v>17</v>
      </c>
      <c r="C6" s="310" t="s">
        <v>621</v>
      </c>
      <c r="D6" s="310" t="s">
        <v>178</v>
      </c>
      <c r="E6" s="294" t="s">
        <v>554</v>
      </c>
      <c r="F6" s="293" t="s">
        <v>532</v>
      </c>
      <c r="G6" s="473" t="s">
        <v>533</v>
      </c>
      <c r="H6" s="310" t="s">
        <v>590</v>
      </c>
      <c r="I6" s="343" t="s">
        <v>5</v>
      </c>
      <c r="J6" s="344" t="s">
        <v>246</v>
      </c>
      <c r="K6" s="535" t="s">
        <v>247</v>
      </c>
      <c r="L6" s="310" t="s">
        <v>459</v>
      </c>
      <c r="M6" s="310" t="s">
        <v>224</v>
      </c>
      <c r="N6" s="310" t="s">
        <v>223</v>
      </c>
      <c r="O6" s="310" t="s">
        <v>222</v>
      </c>
      <c r="P6" s="343" t="s">
        <v>177</v>
      </c>
      <c r="Q6" s="343" t="s">
        <v>176</v>
      </c>
      <c r="R6" s="310" t="s">
        <v>488</v>
      </c>
      <c r="S6" s="343" t="s">
        <v>175</v>
      </c>
      <c r="T6" s="343" t="s">
        <v>3</v>
      </c>
      <c r="U6" s="343" t="s">
        <v>4</v>
      </c>
      <c r="V6" s="430"/>
      <c r="W6" s="243"/>
      <c r="X6" s="308"/>
      <c r="Y6" s="308"/>
      <c r="Z6" s="64"/>
      <c r="AA6" s="308"/>
      <c r="AB6" s="308"/>
      <c r="AC6" s="308"/>
      <c r="AD6" s="308"/>
      <c r="AE6" s="308"/>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c r="BD6" s="308"/>
      <c r="BE6" s="308"/>
      <c r="BF6" s="308"/>
      <c r="BG6" s="308"/>
      <c r="BH6" s="308"/>
      <c r="BI6" s="308"/>
      <c r="BJ6" s="308"/>
      <c r="BK6" s="308"/>
      <c r="BL6" s="308"/>
      <c r="BM6" s="308"/>
      <c r="BN6" s="308"/>
      <c r="BO6" s="308"/>
      <c r="BP6" s="308"/>
      <c r="BQ6" s="308"/>
      <c r="BR6" s="308"/>
      <c r="BS6" s="308"/>
      <c r="BT6" s="308"/>
      <c r="BU6" s="308"/>
      <c r="BV6" s="308"/>
      <c r="BW6" s="308"/>
      <c r="BX6" s="308"/>
      <c r="BY6" s="308"/>
      <c r="BZ6" s="308"/>
      <c r="CA6" s="308"/>
      <c r="CB6" s="308"/>
      <c r="CC6" s="308"/>
      <c r="CD6" s="308"/>
      <c r="CE6" s="308"/>
      <c r="CF6" s="308"/>
      <c r="CG6" s="308"/>
      <c r="CH6" s="308"/>
      <c r="CI6" s="308"/>
      <c r="CJ6" s="308"/>
      <c r="CK6" s="308"/>
      <c r="CL6" s="308"/>
      <c r="CM6" s="308"/>
      <c r="CN6" s="308"/>
      <c r="CO6" s="308"/>
      <c r="CP6" s="308"/>
      <c r="CQ6" s="308"/>
      <c r="CR6" s="308"/>
      <c r="CS6" s="308"/>
      <c r="CT6" s="308"/>
      <c r="CU6" s="308"/>
      <c r="CV6" s="308"/>
      <c r="CW6" s="308"/>
      <c r="CX6" s="308"/>
      <c r="CY6" s="308"/>
      <c r="CZ6" s="308"/>
      <c r="DA6" s="308"/>
      <c r="DB6" s="308"/>
      <c r="DC6" s="308"/>
      <c r="DD6" s="308"/>
      <c r="DE6" s="308"/>
      <c r="DF6" s="308"/>
      <c r="DG6" s="308"/>
      <c r="DH6" s="308"/>
      <c r="DI6" s="308"/>
      <c r="DJ6" s="308"/>
      <c r="DK6" s="308"/>
      <c r="DL6" s="308"/>
      <c r="DM6" s="308"/>
      <c r="DN6" s="308"/>
      <c r="DO6" s="308"/>
      <c r="DP6" s="308"/>
      <c r="DQ6" s="308"/>
      <c r="DR6" s="308"/>
      <c r="DS6" s="308"/>
      <c r="DT6" s="308"/>
      <c r="DU6" s="308"/>
      <c r="DV6" s="308"/>
      <c r="DW6" s="308"/>
      <c r="DX6" s="308"/>
      <c r="DY6" s="308"/>
      <c r="DZ6" s="308"/>
      <c r="EA6" s="308"/>
      <c r="EB6" s="308"/>
      <c r="EC6" s="308"/>
      <c r="ED6" s="308"/>
      <c r="EE6" s="308"/>
      <c r="EF6" s="308"/>
      <c r="EG6" s="308"/>
      <c r="EH6" s="308"/>
      <c r="EI6" s="308"/>
      <c r="EJ6" s="308"/>
      <c r="EK6" s="308"/>
      <c r="EL6" s="308"/>
      <c r="EM6" s="308"/>
      <c r="EN6" s="308"/>
      <c r="EO6" s="308"/>
      <c r="EP6" s="308"/>
      <c r="EQ6" s="308"/>
      <c r="ER6" s="308"/>
      <c r="ES6" s="308"/>
      <c r="ET6" s="308"/>
      <c r="EU6" s="308"/>
      <c r="EV6" s="308"/>
      <c r="EW6" s="308"/>
      <c r="EX6" s="308"/>
      <c r="EY6" s="308"/>
      <c r="EZ6" s="308"/>
      <c r="FA6" s="308"/>
      <c r="FB6" s="308"/>
      <c r="FC6" s="308"/>
      <c r="FD6" s="308"/>
      <c r="FE6" s="308"/>
      <c r="FF6" s="308"/>
      <c r="FG6" s="308"/>
      <c r="FH6" s="308"/>
      <c r="FI6" s="308"/>
      <c r="FJ6" s="308"/>
      <c r="FK6" s="308"/>
      <c r="FL6" s="308"/>
      <c r="FM6" s="308"/>
      <c r="FN6" s="308"/>
      <c r="FO6" s="308"/>
      <c r="FP6" s="308"/>
      <c r="FQ6" s="308"/>
      <c r="FR6" s="308"/>
      <c r="FS6" s="308"/>
      <c r="FT6" s="308"/>
      <c r="FU6" s="308"/>
      <c r="FV6" s="308"/>
      <c r="FW6" s="308"/>
      <c r="FX6" s="308"/>
      <c r="FY6" s="308"/>
      <c r="FZ6" s="308"/>
      <c r="GA6" s="308"/>
      <c r="GB6" s="308"/>
      <c r="GC6" s="308"/>
      <c r="GD6" s="308"/>
      <c r="GE6" s="308"/>
      <c r="GF6" s="308"/>
      <c r="GG6" s="308"/>
      <c r="GH6" s="308"/>
      <c r="GI6" s="308"/>
      <c r="GJ6" s="308"/>
      <c r="GK6" s="308"/>
      <c r="GL6" s="308"/>
      <c r="GM6" s="308"/>
      <c r="GN6" s="308"/>
      <c r="GO6" s="308"/>
      <c r="GP6" s="308"/>
      <c r="GQ6" s="308"/>
      <c r="GR6" s="308"/>
      <c r="GS6" s="308"/>
      <c r="GT6" s="308"/>
      <c r="GU6" s="308"/>
      <c r="GV6" s="308"/>
      <c r="GW6" s="308"/>
      <c r="GX6" s="308"/>
      <c r="GY6" s="308"/>
      <c r="GZ6" s="308"/>
      <c r="HA6" s="308"/>
      <c r="HB6" s="308"/>
      <c r="HC6" s="308"/>
      <c r="HD6" s="308"/>
      <c r="HE6" s="308"/>
      <c r="HF6" s="308"/>
      <c r="HG6" s="308"/>
      <c r="HH6" s="308"/>
      <c r="HI6" s="308"/>
      <c r="HJ6" s="308"/>
      <c r="HK6" s="308"/>
      <c r="HL6" s="308"/>
      <c r="HM6" s="308"/>
      <c r="HN6" s="308"/>
      <c r="HO6" s="308"/>
      <c r="HP6" s="308"/>
      <c r="HQ6" s="308"/>
      <c r="HR6" s="308"/>
      <c r="HS6" s="308"/>
      <c r="HT6" s="308"/>
      <c r="HU6" s="308"/>
      <c r="HV6" s="308"/>
      <c r="HW6" s="308"/>
      <c r="HX6" s="308"/>
      <c r="HY6" s="308"/>
      <c r="HZ6" s="308"/>
      <c r="IA6" s="308"/>
      <c r="IB6" s="308"/>
      <c r="IC6" s="308"/>
      <c r="ID6" s="308"/>
      <c r="IE6" s="308"/>
      <c r="IF6" s="308"/>
      <c r="IG6" s="308"/>
      <c r="IH6" s="308"/>
      <c r="II6" s="308"/>
      <c r="IJ6" s="308"/>
      <c r="IK6" s="308"/>
      <c r="IL6" s="308"/>
      <c r="IM6" s="308"/>
      <c r="IN6" s="308"/>
      <c r="IO6" s="308"/>
      <c r="IP6" s="308"/>
      <c r="IQ6" s="308"/>
      <c r="IR6" s="308"/>
      <c r="IS6" s="308"/>
      <c r="IT6" s="308"/>
      <c r="IU6" s="308"/>
      <c r="IV6" s="308"/>
      <c r="IW6" s="308"/>
      <c r="IX6" s="308"/>
    </row>
    <row r="7" spans="1:258" s="423" customFormat="1" ht="17.399999999999999" x14ac:dyDescent="0.3">
      <c r="A7" s="255" t="s">
        <v>636</v>
      </c>
      <c r="B7" s="256"/>
      <c r="C7" s="277"/>
      <c r="D7" s="281"/>
      <c r="E7" s="764" t="s">
        <v>1456</v>
      </c>
      <c r="F7" s="765" t="s">
        <v>1456</v>
      </c>
      <c r="G7" s="766" t="s">
        <v>1457</v>
      </c>
      <c r="H7" s="277"/>
      <c r="I7" s="277"/>
      <c r="J7" s="277"/>
      <c r="K7" s="282"/>
      <c r="L7" s="282"/>
      <c r="M7" s="303"/>
      <c r="N7" s="282"/>
      <c r="O7" s="282"/>
      <c r="P7" s="282"/>
      <c r="Q7" s="282"/>
      <c r="R7" s="282"/>
      <c r="S7" s="282"/>
      <c r="T7" s="282"/>
      <c r="U7" s="282"/>
      <c r="V7" s="430"/>
      <c r="W7" s="243"/>
      <c r="X7" s="308"/>
      <c r="Y7" s="308"/>
      <c r="Z7" s="64"/>
      <c r="AA7" s="308"/>
      <c r="AB7" s="308"/>
      <c r="AC7" s="308"/>
      <c r="AD7" s="308"/>
      <c r="AE7" s="308"/>
      <c r="AF7" s="308"/>
      <c r="AG7" s="308"/>
      <c r="AH7" s="308"/>
      <c r="AI7" s="308"/>
      <c r="AJ7" s="308"/>
      <c r="AK7" s="308"/>
      <c r="AL7" s="308"/>
      <c r="AM7" s="308"/>
      <c r="AN7" s="308"/>
      <c r="AO7" s="308"/>
      <c r="AP7" s="308"/>
      <c r="AQ7" s="308"/>
      <c r="AR7" s="308"/>
      <c r="AS7" s="308"/>
      <c r="AT7" s="308"/>
      <c r="AU7" s="308"/>
      <c r="AV7" s="308"/>
      <c r="AW7" s="308"/>
      <c r="AX7" s="308"/>
      <c r="AY7" s="308"/>
      <c r="AZ7" s="308"/>
      <c r="BA7" s="308"/>
      <c r="BB7" s="308"/>
      <c r="BC7" s="308"/>
      <c r="BD7" s="308"/>
      <c r="BE7" s="308"/>
      <c r="BF7" s="308"/>
      <c r="BG7" s="308"/>
      <c r="BH7" s="308"/>
      <c r="BI7" s="308"/>
      <c r="BJ7" s="308"/>
      <c r="BK7" s="308"/>
      <c r="BL7" s="308"/>
      <c r="BM7" s="308"/>
      <c r="BN7" s="308"/>
      <c r="BO7" s="308"/>
      <c r="BP7" s="308"/>
      <c r="BQ7" s="308"/>
      <c r="BR7" s="308"/>
      <c r="BS7" s="308"/>
      <c r="BT7" s="308"/>
      <c r="BU7" s="308"/>
      <c r="BV7" s="308"/>
      <c r="BW7" s="308"/>
      <c r="BX7" s="308"/>
      <c r="BY7" s="308"/>
      <c r="BZ7" s="308"/>
      <c r="CA7" s="308"/>
      <c r="CB7" s="308"/>
      <c r="CC7" s="308"/>
      <c r="CD7" s="308"/>
      <c r="CE7" s="308"/>
      <c r="CF7" s="308"/>
      <c r="CG7" s="308"/>
      <c r="CH7" s="308"/>
      <c r="CI7" s="308"/>
      <c r="CJ7" s="308"/>
      <c r="CK7" s="308"/>
      <c r="CL7" s="308"/>
      <c r="CM7" s="308"/>
      <c r="CN7" s="308"/>
      <c r="CO7" s="308"/>
      <c r="CP7" s="308"/>
      <c r="CQ7" s="308"/>
      <c r="CR7" s="308"/>
      <c r="CS7" s="308"/>
      <c r="CT7" s="308"/>
      <c r="CU7" s="308"/>
      <c r="CV7" s="308"/>
      <c r="CW7" s="308"/>
      <c r="CX7" s="308"/>
      <c r="CY7" s="308"/>
      <c r="CZ7" s="308"/>
      <c r="DA7" s="308"/>
      <c r="DB7" s="308"/>
      <c r="DC7" s="308"/>
      <c r="DD7" s="308"/>
      <c r="DE7" s="308"/>
      <c r="DF7" s="308"/>
      <c r="DG7" s="308"/>
      <c r="DH7" s="308"/>
      <c r="DI7" s="308"/>
      <c r="DJ7" s="308"/>
      <c r="DK7" s="308"/>
      <c r="DL7" s="308"/>
      <c r="DM7" s="308"/>
      <c r="DN7" s="308"/>
      <c r="DO7" s="308"/>
      <c r="DP7" s="308"/>
      <c r="DQ7" s="308"/>
      <c r="DR7" s="308"/>
      <c r="DS7" s="308"/>
      <c r="DT7" s="308"/>
      <c r="DU7" s="308"/>
      <c r="DV7" s="308"/>
      <c r="DW7" s="308"/>
      <c r="DX7" s="308"/>
      <c r="DY7" s="308"/>
      <c r="DZ7" s="308"/>
      <c r="EA7" s="308"/>
      <c r="EB7" s="308"/>
      <c r="EC7" s="308"/>
      <c r="ED7" s="308"/>
      <c r="EE7" s="308"/>
      <c r="EF7" s="308"/>
      <c r="EG7" s="308"/>
      <c r="EH7" s="308"/>
      <c r="EI7" s="308"/>
      <c r="EJ7" s="308"/>
      <c r="EK7" s="308"/>
      <c r="EL7" s="308"/>
      <c r="EM7" s="308"/>
      <c r="EN7" s="308"/>
      <c r="EO7" s="308"/>
      <c r="EP7" s="308"/>
      <c r="EQ7" s="308"/>
      <c r="ER7" s="308"/>
      <c r="ES7" s="308"/>
      <c r="ET7" s="308"/>
      <c r="EU7" s="308"/>
      <c r="EV7" s="308"/>
      <c r="EW7" s="308"/>
      <c r="EX7" s="308"/>
      <c r="EY7" s="308"/>
      <c r="EZ7" s="308"/>
      <c r="FA7" s="308"/>
      <c r="FB7" s="308"/>
      <c r="FC7" s="308"/>
      <c r="FD7" s="308"/>
      <c r="FE7" s="308"/>
      <c r="FF7" s="308"/>
      <c r="FG7" s="308"/>
      <c r="FH7" s="308"/>
      <c r="FI7" s="308"/>
      <c r="FJ7" s="308"/>
      <c r="FK7" s="308"/>
      <c r="FL7" s="308"/>
      <c r="FM7" s="308"/>
      <c r="FN7" s="308"/>
      <c r="FO7" s="308"/>
      <c r="FP7" s="308"/>
      <c r="FQ7" s="308"/>
      <c r="FR7" s="308"/>
      <c r="FS7" s="308"/>
      <c r="FT7" s="308"/>
      <c r="FU7" s="308"/>
      <c r="FV7" s="308"/>
      <c r="FW7" s="308"/>
      <c r="FX7" s="308"/>
      <c r="FY7" s="308"/>
      <c r="FZ7" s="308"/>
      <c r="GA7" s="308"/>
      <c r="GB7" s="308"/>
      <c r="GC7" s="308"/>
      <c r="GD7" s="308"/>
      <c r="GE7" s="308"/>
      <c r="GF7" s="308"/>
      <c r="GG7" s="308"/>
      <c r="GH7" s="308"/>
      <c r="GI7" s="308"/>
      <c r="GJ7" s="308"/>
      <c r="GK7" s="308"/>
      <c r="GL7" s="308"/>
      <c r="GM7" s="308"/>
      <c r="GN7" s="308"/>
      <c r="GO7" s="308"/>
      <c r="GP7" s="308"/>
      <c r="GQ7" s="308"/>
      <c r="GR7" s="308"/>
      <c r="GS7" s="308"/>
      <c r="GT7" s="308"/>
      <c r="GU7" s="308"/>
      <c r="GV7" s="308"/>
      <c r="GW7" s="308"/>
      <c r="GX7" s="308"/>
      <c r="GY7" s="308"/>
      <c r="GZ7" s="308"/>
      <c r="HA7" s="308"/>
      <c r="HB7" s="308"/>
      <c r="HC7" s="308"/>
      <c r="HD7" s="308"/>
      <c r="HE7" s="308"/>
      <c r="HF7" s="308"/>
      <c r="HG7" s="308"/>
      <c r="HH7" s="308"/>
      <c r="HI7" s="308"/>
      <c r="HJ7" s="308"/>
      <c r="HK7" s="308"/>
      <c r="HL7" s="308"/>
      <c r="HM7" s="308"/>
      <c r="HN7" s="308"/>
      <c r="HO7" s="308"/>
      <c r="HP7" s="308"/>
      <c r="HQ7" s="308"/>
      <c r="HR7" s="308"/>
      <c r="HS7" s="308"/>
      <c r="HT7" s="308"/>
      <c r="HU7" s="308"/>
      <c r="HV7" s="308"/>
      <c r="HW7" s="308"/>
      <c r="HX7" s="308"/>
      <c r="HY7" s="308"/>
      <c r="HZ7" s="308"/>
      <c r="IA7" s="308"/>
      <c r="IB7" s="308"/>
      <c r="IC7" s="308"/>
      <c r="ID7" s="308"/>
      <c r="IE7" s="308"/>
      <c r="IF7" s="308"/>
      <c r="IG7" s="308"/>
      <c r="IH7" s="308"/>
      <c r="II7" s="308"/>
      <c r="IJ7" s="308"/>
      <c r="IK7" s="308"/>
      <c r="IL7" s="308"/>
      <c r="IM7" s="308"/>
      <c r="IN7" s="308"/>
      <c r="IO7" s="308"/>
      <c r="IP7" s="308"/>
      <c r="IQ7" s="308"/>
      <c r="IR7" s="308"/>
      <c r="IS7" s="308"/>
      <c r="IT7" s="308"/>
      <c r="IU7" s="308"/>
      <c r="IV7" s="308"/>
      <c r="IW7" s="308"/>
      <c r="IX7" s="308"/>
    </row>
    <row r="8" spans="1:258" s="424" customFormat="1" ht="17.399999999999999" x14ac:dyDescent="0.3">
      <c r="A8" s="135" t="s">
        <v>729</v>
      </c>
      <c r="B8" s="146"/>
      <c r="C8" s="140">
        <f>SUM(C18:C51)</f>
        <v>0.99999999999999978</v>
      </c>
      <c r="D8" s="325" t="s">
        <v>473</v>
      </c>
      <c r="E8" s="769">
        <f>IF($F$1="GWP100 without fb",E9+E10*'Common input data'!$C$5+E11*'Common input data'!$D$5,IF($F$1="GWP100 with fb",E9+E10*'Common input data'!$C$6+E11*'Common input data'!$D$6,IF($F$1="GTP100 without fb",E9+E10*'Common input data'!$C$7+E11*'Common input data'!$D$7,IF($F$1="GTP100 with fb",E9+E10*'Common input data'!$C$8+E11*'Common input data'!$D$8,E9+E10*'Common input data'!$C$9+E11*'Common input data'!$D$9))))</f>
        <v>0.37765142434325649</v>
      </c>
      <c r="F8" s="326">
        <f>IF($F$1="GWP100 without fb",F9+F10*'Common input data'!$C$5+F11*'Common input data'!$D$5,IF($F$1="GWP100 with fb",F9+F10*'Common input data'!$C$6+F11*'Common input data'!$D$6,IF($F$1="GTP100 without fb",F9+F10*'Common input data'!$C$7+F11*'Common input data'!$D$7,IF($F$1="GTP100 with fb",F9+F10*'Common input data'!$C$8+F11*'Common input data'!$D$8,F9+F10*'Common input data'!$C$9+F11*'Common input data'!$D$9))))</f>
        <v>0.62992695007393273</v>
      </c>
      <c r="G8" s="770">
        <f>IF($F$1="GWP100 without fb",G9+G10*'Common input data'!$C$5+G11*'Common input data'!$D$5,IF($F$1="GWP100 with fb",G9+G10*'Common input data'!$C$6+G11*'Common input data'!$D$6,IF($F$1="GTP100 without fb",G9+G10*'Common input data'!$C$7+G11*'Common input data'!$D$7,IF($F$1="GTP100 with fb",G9+G10*'Common input data'!$C$8+G11*'Common input data'!$D$8,G9+G10*'Common input data'!$C$9+G11*'Common input data'!$D$9))))</f>
        <v>1.1626988858472207</v>
      </c>
      <c r="H8" s="326"/>
      <c r="I8" s="137"/>
      <c r="J8" s="137"/>
      <c r="K8" s="408"/>
      <c r="L8" s="408"/>
      <c r="M8" s="408"/>
      <c r="N8" s="408"/>
      <c r="O8" s="408"/>
      <c r="P8" s="408"/>
      <c r="Q8" s="408"/>
      <c r="R8" s="408"/>
      <c r="S8" s="408"/>
      <c r="T8" s="408"/>
      <c r="U8" s="408"/>
      <c r="V8" s="430"/>
      <c r="W8" s="243"/>
      <c r="X8" s="308"/>
      <c r="Y8" s="308"/>
      <c r="Z8" s="64"/>
      <c r="AA8" s="308"/>
      <c r="AB8" s="308"/>
      <c r="AC8" s="308"/>
      <c r="AD8" s="308"/>
      <c r="AE8" s="308"/>
      <c r="AF8" s="308"/>
      <c r="AG8" s="308"/>
      <c r="AH8" s="308"/>
      <c r="AI8" s="308"/>
      <c r="AJ8" s="308"/>
      <c r="AK8" s="308"/>
      <c r="AL8" s="308"/>
      <c r="AM8" s="308"/>
      <c r="AN8" s="308"/>
      <c r="AO8" s="308"/>
      <c r="AP8" s="308"/>
      <c r="AQ8" s="308"/>
      <c r="AR8" s="308"/>
      <c r="AS8" s="308"/>
      <c r="AT8" s="308"/>
      <c r="AU8" s="308"/>
      <c r="AV8" s="308"/>
      <c r="AW8" s="308"/>
      <c r="AX8" s="308"/>
      <c r="AY8" s="308"/>
      <c r="AZ8" s="308"/>
      <c r="BA8" s="308"/>
      <c r="BB8" s="308"/>
      <c r="BC8" s="308"/>
      <c r="BD8" s="308"/>
      <c r="BE8" s="308"/>
      <c r="BF8" s="308"/>
      <c r="BG8" s="308"/>
      <c r="BH8" s="308"/>
      <c r="BI8" s="308"/>
      <c r="BJ8" s="308"/>
      <c r="BK8" s="308"/>
      <c r="BL8" s="308"/>
      <c r="BM8" s="308"/>
      <c r="BN8" s="308"/>
      <c r="BO8" s="308"/>
      <c r="BP8" s="308"/>
      <c r="BQ8" s="308"/>
      <c r="BR8" s="308"/>
      <c r="BS8" s="308"/>
      <c r="BT8" s="308"/>
      <c r="BU8" s="308"/>
      <c r="BV8" s="308"/>
      <c r="BW8" s="308"/>
      <c r="BX8" s="308"/>
      <c r="BY8" s="308"/>
      <c r="BZ8" s="308"/>
      <c r="CA8" s="308"/>
      <c r="CB8" s="308"/>
      <c r="CC8" s="308"/>
      <c r="CD8" s="308"/>
      <c r="CE8" s="308"/>
      <c r="CF8" s="308"/>
      <c r="CG8" s="308"/>
      <c r="CH8" s="308"/>
      <c r="CI8" s="308"/>
      <c r="CJ8" s="308"/>
      <c r="CK8" s="308"/>
      <c r="CL8" s="308"/>
      <c r="CM8" s="308"/>
      <c r="CN8" s="308"/>
      <c r="CO8" s="308"/>
      <c r="CP8" s="308"/>
      <c r="CQ8" s="308"/>
      <c r="CR8" s="308"/>
      <c r="CS8" s="308"/>
      <c r="CT8" s="308"/>
      <c r="CU8" s="308"/>
      <c r="CV8" s="308"/>
      <c r="CW8" s="308"/>
      <c r="CX8" s="308"/>
      <c r="CY8" s="308"/>
      <c r="CZ8" s="308"/>
      <c r="DA8" s="308"/>
      <c r="DB8" s="308"/>
      <c r="DC8" s="308"/>
      <c r="DD8" s="308"/>
      <c r="DE8" s="308"/>
      <c r="DF8" s="308"/>
      <c r="DG8" s="308"/>
      <c r="DH8" s="308"/>
      <c r="DI8" s="308"/>
      <c r="DJ8" s="308"/>
      <c r="DK8" s="308"/>
      <c r="DL8" s="308"/>
      <c r="DM8" s="308"/>
      <c r="DN8" s="308"/>
      <c r="DO8" s="308"/>
      <c r="DP8" s="308"/>
      <c r="DQ8" s="308"/>
      <c r="DR8" s="308"/>
      <c r="DS8" s="308"/>
      <c r="DT8" s="308"/>
      <c r="DU8" s="308"/>
      <c r="DV8" s="308"/>
      <c r="DW8" s="308"/>
      <c r="DX8" s="308"/>
      <c r="DY8" s="308"/>
      <c r="DZ8" s="308"/>
      <c r="EA8" s="308"/>
      <c r="EB8" s="308"/>
      <c r="EC8" s="308"/>
      <c r="ED8" s="308"/>
      <c r="EE8" s="308"/>
      <c r="EF8" s="308"/>
      <c r="EG8" s="308"/>
      <c r="EH8" s="308"/>
      <c r="EI8" s="308"/>
      <c r="EJ8" s="308"/>
      <c r="EK8" s="308"/>
      <c r="EL8" s="308"/>
      <c r="EM8" s="308"/>
      <c r="EN8" s="308"/>
      <c r="EO8" s="308"/>
      <c r="EP8" s="308"/>
      <c r="EQ8" s="308"/>
      <c r="ER8" s="308"/>
      <c r="ES8" s="308"/>
      <c r="ET8" s="308"/>
      <c r="EU8" s="308"/>
      <c r="EV8" s="308"/>
      <c r="EW8" s="308"/>
      <c r="EX8" s="308"/>
      <c r="EY8" s="308"/>
      <c r="EZ8" s="308"/>
      <c r="FA8" s="308"/>
      <c r="FB8" s="308"/>
      <c r="FC8" s="308"/>
      <c r="FD8" s="308"/>
      <c r="FE8" s="308"/>
      <c r="FF8" s="308"/>
      <c r="FG8" s="308"/>
      <c r="FH8" s="308"/>
      <c r="FI8" s="308"/>
      <c r="FJ8" s="308"/>
      <c r="FK8" s="308"/>
      <c r="FL8" s="308"/>
      <c r="FM8" s="308"/>
      <c r="FN8" s="308"/>
      <c r="FO8" s="308"/>
      <c r="FP8" s="308"/>
      <c r="FQ8" s="308"/>
      <c r="FR8" s="308"/>
      <c r="FS8" s="308"/>
      <c r="FT8" s="308"/>
      <c r="FU8" s="308"/>
      <c r="FV8" s="308"/>
      <c r="FW8" s="308"/>
      <c r="FX8" s="308"/>
      <c r="FY8" s="308"/>
      <c r="FZ8" s="308"/>
      <c r="GA8" s="308"/>
      <c r="GB8" s="308"/>
      <c r="GC8" s="308"/>
      <c r="GD8" s="308"/>
      <c r="GE8" s="308"/>
      <c r="GF8" s="308"/>
      <c r="GG8" s="308"/>
      <c r="GH8" s="308"/>
      <c r="GI8" s="308"/>
      <c r="GJ8" s="308"/>
      <c r="GK8" s="308"/>
      <c r="GL8" s="308"/>
      <c r="GM8" s="308"/>
      <c r="GN8" s="308"/>
      <c r="GO8" s="308"/>
      <c r="GP8" s="308"/>
      <c r="GQ8" s="308"/>
      <c r="GR8" s="308"/>
      <c r="GS8" s="308"/>
      <c r="GT8" s="308"/>
      <c r="GU8" s="308"/>
      <c r="GV8" s="308"/>
      <c r="GW8" s="308"/>
      <c r="GX8" s="308"/>
      <c r="GY8" s="308"/>
      <c r="GZ8" s="308"/>
      <c r="HA8" s="308"/>
      <c r="HB8" s="308"/>
      <c r="HC8" s="308"/>
      <c r="HD8" s="308"/>
      <c r="HE8" s="308"/>
      <c r="HF8" s="308"/>
      <c r="HG8" s="308"/>
      <c r="HH8" s="308"/>
      <c r="HI8" s="308"/>
      <c r="HJ8" s="308"/>
      <c r="HK8" s="308"/>
      <c r="HL8" s="308"/>
      <c r="HM8" s="308"/>
      <c r="HN8" s="308"/>
      <c r="HO8" s="308"/>
      <c r="HP8" s="308"/>
      <c r="HQ8" s="308"/>
      <c r="HR8" s="308"/>
      <c r="HS8" s="308"/>
      <c r="HT8" s="308"/>
      <c r="HU8" s="308"/>
      <c r="HV8" s="308"/>
      <c r="HW8" s="308"/>
      <c r="HX8" s="308"/>
      <c r="HY8" s="308"/>
      <c r="HZ8" s="308"/>
      <c r="IA8" s="308"/>
      <c r="IB8" s="308"/>
      <c r="IC8" s="308"/>
      <c r="ID8" s="308"/>
      <c r="IE8" s="308"/>
      <c r="IF8" s="308"/>
      <c r="IG8" s="308"/>
      <c r="IH8" s="308"/>
      <c r="II8" s="308"/>
      <c r="IJ8" s="308"/>
      <c r="IK8" s="308"/>
      <c r="IL8" s="308"/>
      <c r="IM8" s="308"/>
      <c r="IN8" s="308"/>
      <c r="IO8" s="308"/>
      <c r="IP8" s="308"/>
      <c r="IQ8" s="308"/>
      <c r="IR8" s="308"/>
      <c r="IS8" s="308"/>
      <c r="IT8" s="308"/>
      <c r="IU8" s="308"/>
      <c r="IV8" s="308"/>
      <c r="IW8" s="308"/>
      <c r="IX8" s="308"/>
    </row>
    <row r="9" spans="1:258" s="308" customFormat="1" ht="17.399999999999999" x14ac:dyDescent="0.3">
      <c r="A9" s="103"/>
      <c r="B9" s="84"/>
      <c r="C9" s="64"/>
      <c r="D9" s="83" t="s">
        <v>164</v>
      </c>
      <c r="E9" s="270">
        <f>E19*$C$18+E24*$C$23+$C$28*E29+$C$38*E39+$C$43*E44+$C$48*E49</f>
        <v>0.11639215058330094</v>
      </c>
      <c r="F9" s="90">
        <f t="shared" ref="F9:G11" si="0">F19*$C$18+F24*$C$23+$C$28*F29+$C$38*F39+$C$43*F44+$C$48*F49</f>
        <v>0.29946913589944618</v>
      </c>
      <c r="G9" s="278">
        <f t="shared" si="0"/>
        <v>0.69837364107954936</v>
      </c>
      <c r="H9" s="90">
        <f t="shared" ref="H9:U9" si="1">H19*$C$18+H24*$C$23+$C$28*H29+$C$38*H39+$C$43*H44+$C$48*H49</f>
        <v>5.1900758512156184E-2</v>
      </c>
      <c r="I9" s="90">
        <f t="shared" si="1"/>
        <v>2.9999999999999992E-2</v>
      </c>
      <c r="J9" s="90">
        <f t="shared" si="1"/>
        <v>0</v>
      </c>
      <c r="K9" s="90">
        <f t="shared" si="1"/>
        <v>0</v>
      </c>
      <c r="L9" s="90">
        <f t="shared" si="1"/>
        <v>2.9256365874955708E-2</v>
      </c>
      <c r="M9" s="90">
        <f t="shared" si="1"/>
        <v>0</v>
      </c>
      <c r="N9" s="90">
        <f t="shared" si="1"/>
        <v>1.9999999999999997E-2</v>
      </c>
      <c r="O9" s="90">
        <f t="shared" si="1"/>
        <v>3.914704799999999E-2</v>
      </c>
      <c r="P9" s="90">
        <f t="shared" si="1"/>
        <v>0.10827176798446597</v>
      </c>
      <c r="Q9" s="90">
        <f t="shared" si="1"/>
        <v>0</v>
      </c>
      <c r="R9" s="90">
        <f t="shared" si="1"/>
        <v>0.13069034425501672</v>
      </c>
      <c r="S9" s="90">
        <f t="shared" si="1"/>
        <v>0.50837029472800166</v>
      </c>
      <c r="T9" s="90">
        <f t="shared" si="1"/>
        <v>4.9999999999999989E-2</v>
      </c>
      <c r="U9" s="90">
        <f t="shared" si="1"/>
        <v>2.9999999999999992E-2</v>
      </c>
      <c r="V9" s="430"/>
      <c r="W9" s="243"/>
      <c r="Z9" s="64"/>
    </row>
    <row r="10" spans="1:258" s="308" customFormat="1" ht="17.399999999999999" x14ac:dyDescent="0.3">
      <c r="A10" s="103"/>
      <c r="B10" s="84"/>
      <c r="C10" s="142"/>
      <c r="D10" s="83" t="s">
        <v>165</v>
      </c>
      <c r="E10" s="270">
        <f>E20*$C$18+E25*$C$23+$C$28*E30+$C$38*E40+$C$43*E45+$C$48*E50</f>
        <v>0</v>
      </c>
      <c r="F10" s="90">
        <f t="shared" si="0"/>
        <v>2.9171955205813717E-5</v>
      </c>
      <c r="G10" s="278">
        <f t="shared" si="0"/>
        <v>5.3345551467790146E-5</v>
      </c>
      <c r="H10" s="90">
        <f t="shared" ref="H10:U10" si="2">H20*$C$18+H25*$C$23+$C$28*H30+$C$38*H40+$C$43*H45+$C$48*H50</f>
        <v>1.3895045593018014E-10</v>
      </c>
      <c r="I10" s="90">
        <f t="shared" si="2"/>
        <v>0</v>
      </c>
      <c r="J10" s="90">
        <f t="shared" si="2"/>
        <v>0</v>
      </c>
      <c r="K10" s="90">
        <f t="shared" si="2"/>
        <v>0</v>
      </c>
      <c r="L10" s="90">
        <f t="shared" si="2"/>
        <v>1.295958356658009E-5</v>
      </c>
      <c r="M10" s="90">
        <f t="shared" si="2"/>
        <v>0</v>
      </c>
      <c r="N10" s="90">
        <f t="shared" si="2"/>
        <v>0</v>
      </c>
      <c r="O10" s="90">
        <f t="shared" si="2"/>
        <v>1.417698E-5</v>
      </c>
      <c r="P10" s="90">
        <f t="shared" si="2"/>
        <v>0</v>
      </c>
      <c r="Q10" s="90">
        <f t="shared" si="2"/>
        <v>0</v>
      </c>
      <c r="R10" s="90">
        <f t="shared" si="2"/>
        <v>8.8566538505897801E-6</v>
      </c>
      <c r="S10" s="90">
        <f t="shared" si="2"/>
        <v>4.4942901612113227E-5</v>
      </c>
      <c r="T10" s="90">
        <f t="shared" si="2"/>
        <v>0</v>
      </c>
      <c r="U10" s="90">
        <f t="shared" si="2"/>
        <v>0</v>
      </c>
      <c r="V10" s="430"/>
      <c r="W10" s="243"/>
      <c r="Z10" s="64"/>
    </row>
    <row r="11" spans="1:258" s="308" customFormat="1" ht="17.399999999999999" x14ac:dyDescent="0.3">
      <c r="A11" s="107"/>
      <c r="B11" s="206"/>
      <c r="C11" s="85"/>
      <c r="D11" s="84" t="s">
        <v>166</v>
      </c>
      <c r="E11" s="780">
        <f>E21*$C$18+E26*$C$23+$C$28*E31+$C$38*E41+$C$43*E46+$C$48*E51</f>
        <v>8.7670897234884415E-4</v>
      </c>
      <c r="F11" s="108">
        <f t="shared" si="0"/>
        <v>1.1055904956291573E-3</v>
      </c>
      <c r="G11" s="521">
        <f t="shared" si="0"/>
        <v>1.5520520000596189E-3</v>
      </c>
      <c r="H11" s="90">
        <f t="shared" ref="H11:U11" si="3">H21*$C$18+H26*$C$23+$C$28*H31+$C$38*H41+$C$43*H46+$C$48*H51</f>
        <v>2.1080530537426729E-4</v>
      </c>
      <c r="I11" s="90">
        <f t="shared" si="3"/>
        <v>0</v>
      </c>
      <c r="J11" s="90">
        <f t="shared" si="3"/>
        <v>7.414029364472257E-4</v>
      </c>
      <c r="K11" s="90">
        <f t="shared" si="3"/>
        <v>7.414029364472257E-5</v>
      </c>
      <c r="L11" s="90">
        <f t="shared" si="3"/>
        <v>7.8612995765160224E-7</v>
      </c>
      <c r="M11" s="90">
        <f t="shared" si="3"/>
        <v>0</v>
      </c>
      <c r="N11" s="90">
        <f t="shared" si="3"/>
        <v>0</v>
      </c>
      <c r="O11" s="90">
        <f t="shared" si="3"/>
        <v>1.3216095799999994E-6</v>
      </c>
      <c r="P11" s="90">
        <f t="shared" si="3"/>
        <v>0</v>
      </c>
      <c r="Q11" s="90">
        <f t="shared" si="3"/>
        <v>0</v>
      </c>
      <c r="R11" s="90">
        <f t="shared" si="3"/>
        <v>8.2563695340498031E-7</v>
      </c>
      <c r="S11" s="90">
        <f t="shared" si="3"/>
        <v>1.3075827021430278E-3</v>
      </c>
      <c r="T11" s="90">
        <f t="shared" si="3"/>
        <v>0</v>
      </c>
      <c r="U11" s="90">
        <f t="shared" si="3"/>
        <v>0</v>
      </c>
      <c r="V11" s="430"/>
      <c r="W11" s="243"/>
      <c r="Z11" s="64"/>
    </row>
    <row r="12" spans="1:258" s="361" customFormat="1" ht="17.399999999999999" x14ac:dyDescent="0.3">
      <c r="A12" s="311" t="s">
        <v>625</v>
      </c>
      <c r="B12" s="312"/>
      <c r="C12" s="313"/>
      <c r="D12" s="314"/>
      <c r="E12" s="767" t="s">
        <v>1455</v>
      </c>
      <c r="F12" s="768" t="s">
        <v>1455</v>
      </c>
      <c r="G12" s="590" t="s">
        <v>1454</v>
      </c>
      <c r="H12" s="313"/>
      <c r="I12" s="313"/>
      <c r="J12" s="313"/>
      <c r="K12" s="316"/>
      <c r="L12" s="316"/>
      <c r="M12" s="317"/>
      <c r="N12" s="316"/>
      <c r="O12" s="316"/>
      <c r="P12" s="316"/>
      <c r="Q12" s="316"/>
      <c r="R12" s="316"/>
      <c r="S12" s="316"/>
      <c r="T12" s="316"/>
      <c r="U12" s="316"/>
      <c r="V12" s="430"/>
      <c r="W12" s="243"/>
      <c r="X12" s="308"/>
      <c r="Y12" s="308"/>
      <c r="Z12" s="64"/>
      <c r="AA12" s="308"/>
      <c r="AB12" s="308"/>
      <c r="AC12" s="308"/>
      <c r="AD12" s="308"/>
      <c r="AE12" s="308"/>
      <c r="AF12" s="308"/>
      <c r="AG12" s="308"/>
      <c r="AH12" s="308"/>
      <c r="AI12" s="308"/>
      <c r="AJ12" s="308"/>
      <c r="AK12" s="308"/>
      <c r="AL12" s="308"/>
      <c r="AM12" s="308"/>
      <c r="AN12" s="308"/>
      <c r="AO12" s="308"/>
      <c r="AP12" s="308"/>
      <c r="AQ12" s="308"/>
      <c r="AR12" s="308"/>
      <c r="AS12" s="308"/>
      <c r="AT12" s="308"/>
      <c r="AU12" s="308"/>
      <c r="AV12" s="308"/>
      <c r="AW12" s="308"/>
      <c r="AX12" s="308"/>
      <c r="AY12" s="308"/>
      <c r="AZ12" s="308"/>
      <c r="BA12" s="308"/>
      <c r="BB12" s="308"/>
      <c r="BC12" s="308"/>
      <c r="BD12" s="308"/>
      <c r="BE12" s="308"/>
      <c r="BF12" s="308"/>
      <c r="BG12" s="308"/>
      <c r="BH12" s="308"/>
      <c r="BI12" s="308"/>
      <c r="BJ12" s="308"/>
      <c r="BK12" s="308"/>
      <c r="BL12" s="308"/>
      <c r="BM12" s="308"/>
      <c r="BN12" s="308"/>
      <c r="BO12" s="308"/>
      <c r="BP12" s="308"/>
      <c r="BQ12" s="308"/>
      <c r="BR12" s="308"/>
      <c r="BS12" s="308"/>
      <c r="BT12" s="308"/>
      <c r="BU12" s="308"/>
      <c r="BV12" s="308"/>
      <c r="BW12" s="308"/>
      <c r="BX12" s="308"/>
      <c r="BY12" s="308"/>
      <c r="BZ12" s="308"/>
      <c r="CA12" s="308"/>
      <c r="CB12" s="308"/>
      <c r="CC12" s="308"/>
      <c r="CD12" s="308"/>
      <c r="CE12" s="308"/>
      <c r="CF12" s="308"/>
      <c r="CG12" s="308"/>
      <c r="CH12" s="308"/>
      <c r="CI12" s="308"/>
      <c r="CJ12" s="308"/>
      <c r="CK12" s="308"/>
      <c r="CL12" s="308"/>
      <c r="CM12" s="308"/>
      <c r="CN12" s="308"/>
      <c r="CO12" s="308"/>
      <c r="CP12" s="308"/>
      <c r="CQ12" s="308"/>
      <c r="CR12" s="308"/>
      <c r="CS12" s="308"/>
      <c r="CT12" s="308"/>
      <c r="CU12" s="308"/>
      <c r="CV12" s="308"/>
      <c r="CW12" s="308"/>
      <c r="CX12" s="308"/>
      <c r="CY12" s="308"/>
      <c r="CZ12" s="308"/>
      <c r="DA12" s="308"/>
      <c r="DB12" s="308"/>
      <c r="DC12" s="308"/>
      <c r="DD12" s="308"/>
      <c r="DE12" s="308"/>
      <c r="DF12" s="308"/>
      <c r="DG12" s="308"/>
      <c r="DH12" s="308"/>
      <c r="DI12" s="308"/>
      <c r="DJ12" s="308"/>
      <c r="DK12" s="308"/>
      <c r="DL12" s="308"/>
      <c r="DM12" s="308"/>
      <c r="DN12" s="308"/>
      <c r="DO12" s="308"/>
      <c r="DP12" s="308"/>
      <c r="DQ12" s="308"/>
      <c r="DR12" s="308"/>
      <c r="DS12" s="308"/>
      <c r="DT12" s="308"/>
      <c r="DU12" s="308"/>
      <c r="DV12" s="308"/>
      <c r="DW12" s="308"/>
      <c r="DX12" s="308"/>
      <c r="DY12" s="308"/>
      <c r="DZ12" s="308"/>
      <c r="EA12" s="308"/>
      <c r="EB12" s="308"/>
      <c r="EC12" s="308"/>
      <c r="ED12" s="308"/>
      <c r="EE12" s="308"/>
      <c r="EF12" s="308"/>
      <c r="EG12" s="308"/>
      <c r="EH12" s="308"/>
      <c r="EI12" s="308"/>
      <c r="EJ12" s="308"/>
      <c r="EK12" s="308"/>
      <c r="EL12" s="308"/>
      <c r="EM12" s="308"/>
      <c r="EN12" s="308"/>
      <c r="EO12" s="308"/>
      <c r="EP12" s="308"/>
      <c r="EQ12" s="308"/>
      <c r="ER12" s="308"/>
      <c r="ES12" s="308"/>
      <c r="ET12" s="308"/>
      <c r="EU12" s="308"/>
      <c r="EV12" s="308"/>
      <c r="EW12" s="308"/>
      <c r="EX12" s="308"/>
      <c r="EY12" s="308"/>
      <c r="EZ12" s="308"/>
      <c r="FA12" s="308"/>
      <c r="FB12" s="308"/>
      <c r="FC12" s="308"/>
      <c r="FD12" s="308"/>
      <c r="FE12" s="308"/>
      <c r="FF12" s="308"/>
      <c r="FG12" s="308"/>
      <c r="FH12" s="308"/>
      <c r="FI12" s="308"/>
      <c r="FJ12" s="308"/>
      <c r="FK12" s="308"/>
      <c r="FL12" s="308"/>
      <c r="FM12" s="308"/>
      <c r="FN12" s="308"/>
      <c r="FO12" s="308"/>
      <c r="FP12" s="308"/>
      <c r="FQ12" s="308"/>
      <c r="FR12" s="308"/>
      <c r="FS12" s="308"/>
      <c r="FT12" s="308"/>
      <c r="FU12" s="308"/>
      <c r="FV12" s="308"/>
      <c r="FW12" s="308"/>
      <c r="FX12" s="308"/>
      <c r="FY12" s="308"/>
      <c r="FZ12" s="308"/>
      <c r="GA12" s="308"/>
      <c r="GB12" s="308"/>
      <c r="GC12" s="308"/>
      <c r="GD12" s="308"/>
      <c r="GE12" s="308"/>
      <c r="GF12" s="308"/>
      <c r="GG12" s="308"/>
      <c r="GH12" s="308"/>
      <c r="GI12" s="308"/>
      <c r="GJ12" s="308"/>
      <c r="GK12" s="308"/>
      <c r="GL12" s="308"/>
      <c r="GM12" s="308"/>
      <c r="GN12" s="308"/>
      <c r="GO12" s="308"/>
      <c r="GP12" s="308"/>
      <c r="GQ12" s="308"/>
      <c r="GR12" s="308"/>
      <c r="GS12" s="308"/>
      <c r="GT12" s="308"/>
      <c r="GU12" s="308"/>
      <c r="GV12" s="308"/>
      <c r="GW12" s="308"/>
      <c r="GX12" s="308"/>
      <c r="GY12" s="308"/>
      <c r="GZ12" s="308"/>
      <c r="HA12" s="308"/>
      <c r="HB12" s="308"/>
      <c r="HC12" s="308"/>
      <c r="HD12" s="308"/>
      <c r="HE12" s="308"/>
      <c r="HF12" s="308"/>
      <c r="HG12" s="308"/>
      <c r="HH12" s="308"/>
      <c r="HI12" s="308"/>
      <c r="HJ12" s="308"/>
      <c r="HK12" s="308"/>
      <c r="HL12" s="308"/>
      <c r="HM12" s="308"/>
      <c r="HN12" s="308"/>
      <c r="HO12" s="308"/>
      <c r="HP12" s="308"/>
      <c r="HQ12" s="308"/>
      <c r="HR12" s="308"/>
      <c r="HS12" s="308"/>
      <c r="HT12" s="308"/>
      <c r="HU12" s="308"/>
      <c r="HV12" s="308"/>
      <c r="HW12" s="308"/>
      <c r="HX12" s="308"/>
      <c r="HY12" s="308"/>
      <c r="HZ12" s="308"/>
      <c r="IA12" s="308"/>
      <c r="IB12" s="308"/>
      <c r="IC12" s="308"/>
      <c r="ID12" s="308"/>
      <c r="IE12" s="308"/>
      <c r="IF12" s="308"/>
      <c r="IG12" s="308"/>
      <c r="IH12" s="308"/>
      <c r="II12" s="308"/>
      <c r="IJ12" s="308"/>
      <c r="IK12" s="308"/>
      <c r="IL12" s="308"/>
      <c r="IM12" s="308"/>
      <c r="IN12" s="308"/>
      <c r="IO12" s="308"/>
      <c r="IP12" s="308"/>
      <c r="IQ12" s="308"/>
      <c r="IR12" s="308"/>
      <c r="IS12" s="308"/>
      <c r="IT12" s="308"/>
      <c r="IU12" s="308"/>
      <c r="IV12" s="308"/>
      <c r="IW12" s="308"/>
      <c r="IX12" s="308"/>
    </row>
    <row r="13" spans="1:258" s="424" customFormat="1" ht="17.399999999999999" x14ac:dyDescent="0.3">
      <c r="A13" s="425" t="s">
        <v>728</v>
      </c>
      <c r="B13" s="425" t="s">
        <v>225</v>
      </c>
      <c r="C13" s="425"/>
      <c r="D13" s="325" t="s">
        <v>473</v>
      </c>
      <c r="E13" s="769">
        <f>IF($F$1="GWP100 without fb",E14+E15*'Common input data'!$C$5+E16*'Common input data'!$D$5,IF($F$1="GWP100 with fb",E14+E15*'Common input data'!$C$6+E16*'Common input data'!$D$6,IF($F$1="GTP100 without fb",E14+E15*'Common input data'!$C$7+E16*'Common input data'!$D$7,IF($F$1="GTP100 with fb",E14+E15*'Common input data'!$C$8+E16*'Common input data'!$D$8,E14+E15*'Common input data'!$C$9+E16*'Common input data'!$D$9))))</f>
        <v>0.38334570445810945</v>
      </c>
      <c r="F13" s="326">
        <f>IF($F$1="GWP100 without fb",F14+F15*'Common input data'!$C$5+F16*'Common input data'!$D$5,IF($F$1="GWP100 with fb",F14+F15*'Common input data'!$C$6+F16*'Common input data'!$D$6,IF($F$1="GTP100 without fb",F14+F15*'Common input data'!$C$7+F16*'Common input data'!$D$7,IF($F$1="GTP100 with fb",F14+F15*'Common input data'!$C$8+F16*'Common input data'!$D$8,F14+F15*'Common input data'!$C$9+F16*'Common input data'!$D$9))))</f>
        <v>0.64001888150273967</v>
      </c>
      <c r="G13" s="770">
        <f>IF($F$1="GWP100 without fb",G14+G15*'Common input data'!$C$5+G16*'Common input data'!$D$5,IF($F$1="GWP100 with fb",G14+G15*'Common input data'!$C$6+G16*'Common input data'!$D$6,IF($F$1="GTP100 without fb",G14+G15*'Common input data'!$C$7+G16*'Common input data'!$D$7,IF($F$1="GTP100 with fb",G14+G15*'Common input data'!$C$8+G16*'Common input data'!$D$8,G14+G15*'Common input data'!$C$9+G16*'Common input data'!$D$9))))</f>
        <v>1.1768555868363719</v>
      </c>
      <c r="H13" s="408"/>
      <c r="I13" s="408"/>
      <c r="J13" s="408"/>
      <c r="K13" s="408"/>
      <c r="L13" s="408"/>
      <c r="M13" s="408"/>
      <c r="N13" s="408"/>
      <c r="O13" s="408"/>
      <c r="P13" s="408"/>
      <c r="Q13" s="408"/>
      <c r="R13" s="408"/>
      <c r="S13" s="408"/>
      <c r="T13" s="408"/>
      <c r="U13" s="408"/>
      <c r="V13" s="430"/>
      <c r="W13" s="243"/>
      <c r="X13" s="308"/>
      <c r="Y13" s="308"/>
      <c r="Z13" s="64"/>
      <c r="AA13" s="308"/>
      <c r="AB13" s="308"/>
      <c r="AC13" s="308"/>
      <c r="AD13" s="308"/>
      <c r="AE13" s="308"/>
      <c r="AF13" s="308"/>
      <c r="AG13" s="308"/>
      <c r="AH13" s="308"/>
      <c r="AI13" s="308"/>
      <c r="AJ13" s="308"/>
      <c r="AK13" s="308"/>
      <c r="AL13" s="308"/>
      <c r="AM13" s="308"/>
      <c r="AN13" s="308"/>
      <c r="AO13" s="308"/>
      <c r="AP13" s="308"/>
      <c r="AQ13" s="308"/>
      <c r="AR13" s="308"/>
      <c r="AS13" s="308"/>
      <c r="AT13" s="308"/>
      <c r="AU13" s="308"/>
      <c r="AV13" s="308"/>
      <c r="AW13" s="308"/>
      <c r="AX13" s="308"/>
      <c r="AY13" s="308"/>
      <c r="AZ13" s="308"/>
      <c r="BA13" s="308"/>
      <c r="BB13" s="308"/>
      <c r="BC13" s="308"/>
      <c r="BD13" s="308"/>
      <c r="BE13" s="308"/>
      <c r="BF13" s="308"/>
      <c r="BG13" s="308"/>
      <c r="BH13" s="308"/>
      <c r="BI13" s="308"/>
      <c r="BJ13" s="308"/>
      <c r="BK13" s="308"/>
      <c r="BL13" s="308"/>
      <c r="BM13" s="308"/>
      <c r="BN13" s="308"/>
      <c r="BO13" s="308"/>
      <c r="BP13" s="308"/>
      <c r="BQ13" s="308"/>
      <c r="BR13" s="308"/>
      <c r="BS13" s="308"/>
      <c r="BT13" s="308"/>
      <c r="BU13" s="308"/>
      <c r="BV13" s="308"/>
      <c r="BW13" s="308"/>
      <c r="BX13" s="308"/>
      <c r="BY13" s="308"/>
      <c r="BZ13" s="308"/>
      <c r="CA13" s="308"/>
      <c r="CB13" s="308"/>
      <c r="CC13" s="308"/>
      <c r="CD13" s="308"/>
      <c r="CE13" s="308"/>
      <c r="CF13" s="308"/>
      <c r="CG13" s="308"/>
      <c r="CH13" s="308"/>
      <c r="CI13" s="308"/>
      <c r="CJ13" s="308"/>
      <c r="CK13" s="308"/>
      <c r="CL13" s="308"/>
      <c r="CM13" s="308"/>
      <c r="CN13" s="308"/>
      <c r="CO13" s="308"/>
      <c r="CP13" s="308"/>
      <c r="CQ13" s="308"/>
      <c r="CR13" s="308"/>
      <c r="CS13" s="308"/>
      <c r="CT13" s="308"/>
      <c r="CU13" s="308"/>
      <c r="CV13" s="308"/>
      <c r="CW13" s="308"/>
      <c r="CX13" s="308"/>
      <c r="CY13" s="308"/>
      <c r="CZ13" s="308"/>
      <c r="DA13" s="308"/>
      <c r="DB13" s="308"/>
      <c r="DC13" s="308"/>
      <c r="DD13" s="308"/>
      <c r="DE13" s="308"/>
      <c r="DF13" s="308"/>
      <c r="DG13" s="308"/>
      <c r="DH13" s="308"/>
      <c r="DI13" s="308"/>
      <c r="DJ13" s="308"/>
      <c r="DK13" s="308"/>
      <c r="DL13" s="308"/>
      <c r="DM13" s="308"/>
      <c r="DN13" s="308"/>
      <c r="DO13" s="308"/>
      <c r="DP13" s="308"/>
      <c r="DQ13" s="308"/>
      <c r="DR13" s="308"/>
      <c r="DS13" s="308"/>
      <c r="DT13" s="308"/>
      <c r="DU13" s="308"/>
      <c r="DV13" s="308"/>
      <c r="DW13" s="308"/>
      <c r="DX13" s="308"/>
      <c r="DY13" s="308"/>
      <c r="DZ13" s="308"/>
      <c r="EA13" s="308"/>
      <c r="EB13" s="308"/>
      <c r="EC13" s="308"/>
      <c r="ED13" s="308"/>
      <c r="EE13" s="308"/>
      <c r="EF13" s="308"/>
      <c r="EG13" s="308"/>
      <c r="EH13" s="308"/>
      <c r="EI13" s="308"/>
      <c r="EJ13" s="308"/>
      <c r="EK13" s="308"/>
      <c r="EL13" s="308"/>
      <c r="EM13" s="308"/>
      <c r="EN13" s="308"/>
      <c r="EO13" s="308"/>
      <c r="EP13" s="308"/>
      <c r="EQ13" s="308"/>
      <c r="ER13" s="308"/>
      <c r="ES13" s="308"/>
      <c r="ET13" s="308"/>
      <c r="EU13" s="308"/>
      <c r="EV13" s="308"/>
      <c r="EW13" s="308"/>
      <c r="EX13" s="308"/>
      <c r="EY13" s="308"/>
      <c r="EZ13" s="308"/>
      <c r="FA13" s="308"/>
      <c r="FB13" s="308"/>
      <c r="FC13" s="308"/>
      <c r="FD13" s="308"/>
      <c r="FE13" s="308"/>
      <c r="FF13" s="308"/>
      <c r="FG13" s="308"/>
      <c r="FH13" s="308"/>
      <c r="FI13" s="308"/>
      <c r="FJ13" s="308"/>
      <c r="FK13" s="308"/>
      <c r="FL13" s="308"/>
      <c r="FM13" s="308"/>
      <c r="FN13" s="308"/>
      <c r="FO13" s="308"/>
      <c r="FP13" s="308"/>
      <c r="FQ13" s="308"/>
      <c r="FR13" s="308"/>
      <c r="FS13" s="308"/>
      <c r="FT13" s="308"/>
      <c r="FU13" s="308"/>
      <c r="FV13" s="308"/>
      <c r="FW13" s="308"/>
      <c r="FX13" s="308"/>
      <c r="FY13" s="308"/>
      <c r="FZ13" s="308"/>
      <c r="GA13" s="308"/>
      <c r="GB13" s="308"/>
      <c r="GC13" s="308"/>
      <c r="GD13" s="308"/>
      <c r="GE13" s="308"/>
      <c r="GF13" s="308"/>
      <c r="GG13" s="308"/>
      <c r="GH13" s="308"/>
      <c r="GI13" s="308"/>
      <c r="GJ13" s="308"/>
      <c r="GK13" s="308"/>
      <c r="GL13" s="308"/>
      <c r="GM13" s="308"/>
      <c r="GN13" s="308"/>
      <c r="GO13" s="308"/>
      <c r="GP13" s="308"/>
      <c r="GQ13" s="308"/>
      <c r="GR13" s="308"/>
      <c r="GS13" s="308"/>
      <c r="GT13" s="308"/>
      <c r="GU13" s="308"/>
      <c r="GV13" s="308"/>
      <c r="GW13" s="308"/>
      <c r="GX13" s="308"/>
      <c r="GY13" s="308"/>
      <c r="GZ13" s="308"/>
      <c r="HA13" s="308"/>
      <c r="HB13" s="308"/>
      <c r="HC13" s="308"/>
      <c r="HD13" s="308"/>
      <c r="HE13" s="308"/>
      <c r="HF13" s="308"/>
      <c r="HG13" s="308"/>
      <c r="HH13" s="308"/>
      <c r="HI13" s="308"/>
      <c r="HJ13" s="308"/>
      <c r="HK13" s="308"/>
      <c r="HL13" s="308"/>
      <c r="HM13" s="308"/>
      <c r="HN13" s="308"/>
      <c r="HO13" s="308"/>
      <c r="HP13" s="308"/>
      <c r="HQ13" s="308"/>
      <c r="HR13" s="308"/>
      <c r="HS13" s="308"/>
      <c r="HT13" s="308"/>
      <c r="HU13" s="308"/>
      <c r="HV13" s="308"/>
      <c r="HW13" s="308"/>
      <c r="HX13" s="308"/>
      <c r="HY13" s="308"/>
      <c r="HZ13" s="308"/>
      <c r="IA13" s="308"/>
      <c r="IB13" s="308"/>
      <c r="IC13" s="308"/>
      <c r="ID13" s="308"/>
      <c r="IE13" s="308"/>
      <c r="IF13" s="308"/>
      <c r="IG13" s="308"/>
      <c r="IH13" s="308"/>
      <c r="II13" s="308"/>
      <c r="IJ13" s="308"/>
      <c r="IK13" s="308"/>
      <c r="IL13" s="308"/>
      <c r="IM13" s="308"/>
      <c r="IN13" s="308"/>
      <c r="IO13" s="308"/>
      <c r="IP13" s="308"/>
      <c r="IQ13" s="308"/>
      <c r="IR13" s="308"/>
      <c r="IS13" s="308"/>
      <c r="IT13" s="308"/>
      <c r="IU13" s="308"/>
      <c r="IV13" s="308"/>
      <c r="IW13" s="308"/>
      <c r="IX13" s="308"/>
    </row>
    <row r="14" spans="1:258" s="308" customFormat="1" ht="17.399999999999999" x14ac:dyDescent="0.3">
      <c r="A14" s="103"/>
      <c r="B14" s="64"/>
      <c r="C14" s="64"/>
      <c r="D14" s="83" t="s">
        <v>164</v>
      </c>
      <c r="E14" s="270">
        <f>($C$18/($C$18+$C$23))*E19+($C$23/($C$18+$C$23))*E24</f>
        <v>0.11639215058330095</v>
      </c>
      <c r="F14" s="90">
        <f>($C$18/($C$18+$C$23))*F19+($C$23/($C$18+$C$23))*F24</f>
        <v>0.30075393314648236</v>
      </c>
      <c r="G14" s="278">
        <f>($C$18/($C$18+$C$23))*G19+($C$23/($C$18+$C$23))*G24</f>
        <v>0.70017592150389507</v>
      </c>
      <c r="H14" s="90">
        <f>($C$18/($C$18+$C$23))*H19+($C$23/($C$18+$C$23))*H24</f>
        <v>5.431637668069856E-2</v>
      </c>
      <c r="I14" s="90">
        <f t="shared" ref="I14:U14" si="4">($C$18/($C$18+$C$23))*I19+($C$23/($C$18+$C$23))*I24</f>
        <v>0.03</v>
      </c>
      <c r="J14" s="90">
        <f t="shared" si="4"/>
        <v>0</v>
      </c>
      <c r="K14" s="90">
        <f t="shared" si="4"/>
        <v>0</v>
      </c>
      <c r="L14" s="90">
        <f t="shared" si="4"/>
        <v>2.8035907936214396E-2</v>
      </c>
      <c r="M14" s="90">
        <f t="shared" si="4"/>
        <v>0</v>
      </c>
      <c r="N14" s="90">
        <f t="shared" si="4"/>
        <v>0.02</v>
      </c>
      <c r="O14" s="90">
        <f t="shared" si="4"/>
        <v>3.9147048000000004E-2</v>
      </c>
      <c r="P14" s="90">
        <f t="shared" si="4"/>
        <v>0.108271767984466</v>
      </c>
      <c r="Q14" s="90">
        <f t="shared" si="4"/>
        <v>0</v>
      </c>
      <c r="R14" s="90">
        <f t="shared" si="4"/>
        <v>0.13069034425501674</v>
      </c>
      <c r="S14" s="90">
        <f>($C$18/($C$18+$C$23))*S19+($C$23/($C$18+$C$23))*S24</f>
        <v>0.509888691474499</v>
      </c>
      <c r="T14" s="90">
        <f t="shared" si="4"/>
        <v>0.05</v>
      </c>
      <c r="U14" s="109">
        <f t="shared" si="4"/>
        <v>0.03</v>
      </c>
      <c r="W14" s="243"/>
      <c r="Z14" s="64"/>
    </row>
    <row r="15" spans="1:258" s="308" customFormat="1" ht="17.399999999999999" x14ac:dyDescent="0.3">
      <c r="A15" s="103"/>
      <c r="B15" s="64"/>
      <c r="C15" s="142"/>
      <c r="D15" s="83" t="s">
        <v>165</v>
      </c>
      <c r="E15" s="270">
        <f t="shared" ref="E15:F16" si="5">($C$18/($C$18+$C$23))*E20+($C$23/($C$18+$C$23))*E25</f>
        <v>0</v>
      </c>
      <c r="F15" s="90">
        <f t="shared" si="5"/>
        <v>2.859079381614162E-5</v>
      </c>
      <c r="G15" s="278">
        <f t="shared" ref="G15:U15" si="6">($C$18/($C$18+$C$23))*G20+($C$23/($C$18+$C$23))*G25</f>
        <v>5.2530313267048614E-5</v>
      </c>
      <c r="H15" s="90">
        <f t="shared" si="6"/>
        <v>1.4541763011981304E-10</v>
      </c>
      <c r="I15" s="90">
        <f t="shared" si="6"/>
        <v>0</v>
      </c>
      <c r="J15" s="90">
        <f t="shared" si="6"/>
        <v>0</v>
      </c>
      <c r="K15" s="90">
        <f t="shared" si="6"/>
        <v>0</v>
      </c>
      <c r="L15" s="90">
        <f t="shared" si="6"/>
        <v>1.2418961853199294E-5</v>
      </c>
      <c r="M15" s="90">
        <f t="shared" si="6"/>
        <v>0</v>
      </c>
      <c r="N15" s="90">
        <f t="shared" si="6"/>
        <v>0</v>
      </c>
      <c r="O15" s="90">
        <f t="shared" si="6"/>
        <v>1.4176980000000002E-5</v>
      </c>
      <c r="P15" s="90">
        <f t="shared" si="6"/>
        <v>0</v>
      </c>
      <c r="Q15" s="90">
        <f t="shared" si="6"/>
        <v>0</v>
      </c>
      <c r="R15" s="90">
        <f t="shared" si="6"/>
        <v>8.8566538505897801E-6</v>
      </c>
      <c r="S15" s="90">
        <f>($C$18/($C$18+$C$23))*S20+($C$23/($C$18+$C$23))*S25</f>
        <v>4.4256074515228018E-5</v>
      </c>
      <c r="T15" s="90">
        <f t="shared" si="6"/>
        <v>0</v>
      </c>
      <c r="U15" s="109">
        <f t="shared" si="6"/>
        <v>0</v>
      </c>
      <c r="W15" s="243"/>
      <c r="Z15" s="64"/>
    </row>
    <row r="16" spans="1:258" s="308" customFormat="1" ht="17.399999999999999" x14ac:dyDescent="0.3">
      <c r="A16" s="107"/>
      <c r="B16" s="64"/>
      <c r="C16" s="85"/>
      <c r="D16" s="84" t="s">
        <v>166</v>
      </c>
      <c r="E16" s="270">
        <f t="shared" si="5"/>
        <v>8.9581729488190777E-4</v>
      </c>
      <c r="F16" s="90">
        <f t="shared" si="5"/>
        <v>1.1352109441829144E-3</v>
      </c>
      <c r="G16" s="278">
        <f t="shared" ref="G16:U16" si="7">($C$18/($C$18+$C$23))*G21+($C$23/($C$18+$C$23))*G26</f>
        <v>1.5936028009442861E-3</v>
      </c>
      <c r="H16" s="90">
        <f t="shared" si="7"/>
        <v>2.2061682143463337E-4</v>
      </c>
      <c r="I16" s="90">
        <f t="shared" si="7"/>
        <v>0</v>
      </c>
      <c r="J16" s="90">
        <f t="shared" si="7"/>
        <v>7.5756219440330469E-4</v>
      </c>
      <c r="K16" s="90">
        <f t="shared" si="7"/>
        <v>7.5756219440330474E-5</v>
      </c>
      <c r="L16" s="90">
        <f t="shared" si="7"/>
        <v>7.5333577700049237E-7</v>
      </c>
      <c r="M16" s="90">
        <f t="shared" si="7"/>
        <v>0</v>
      </c>
      <c r="N16" s="90">
        <f t="shared" si="7"/>
        <v>0</v>
      </c>
      <c r="O16" s="90">
        <f t="shared" si="7"/>
        <v>1.32160958E-6</v>
      </c>
      <c r="P16" s="90">
        <f t="shared" si="7"/>
        <v>0</v>
      </c>
      <c r="Q16" s="90">
        <f t="shared" si="7"/>
        <v>0</v>
      </c>
      <c r="R16" s="90">
        <f t="shared" si="7"/>
        <v>8.2563695340498041E-7</v>
      </c>
      <c r="S16" s="90">
        <f t="shared" si="7"/>
        <v>1.3425886867974681E-3</v>
      </c>
      <c r="T16" s="90">
        <f t="shared" si="7"/>
        <v>0</v>
      </c>
      <c r="U16" s="109">
        <f t="shared" si="7"/>
        <v>0</v>
      </c>
      <c r="W16" s="243"/>
      <c r="Z16" s="64"/>
    </row>
    <row r="17" spans="1:258" s="422" customFormat="1" ht="17.399999999999999" x14ac:dyDescent="0.3">
      <c r="A17" s="279" t="s">
        <v>60</v>
      </c>
      <c r="B17" s="260"/>
      <c r="C17" s="261"/>
      <c r="D17" s="359"/>
      <c r="E17" s="421"/>
      <c r="F17" s="262"/>
      <c r="G17" s="479"/>
      <c r="H17" s="261"/>
      <c r="I17" s="261"/>
      <c r="J17" s="261"/>
      <c r="K17" s="391"/>
      <c r="L17" s="391"/>
      <c r="M17" s="390"/>
      <c r="N17" s="391"/>
      <c r="O17" s="391"/>
      <c r="P17" s="391"/>
      <c r="Q17" s="391"/>
      <c r="R17" s="391"/>
      <c r="S17" s="391"/>
      <c r="T17" s="391"/>
      <c r="U17" s="517"/>
      <c r="V17" s="308"/>
      <c r="W17" s="243"/>
      <c r="X17" s="308"/>
      <c r="Y17" s="308"/>
      <c r="Z17" s="64"/>
      <c r="AA17" s="308"/>
      <c r="AB17" s="308"/>
      <c r="AC17" s="308"/>
      <c r="AD17" s="308"/>
      <c r="AE17" s="308"/>
      <c r="AF17" s="308"/>
      <c r="AG17" s="308"/>
      <c r="AH17" s="308"/>
      <c r="AI17" s="308"/>
      <c r="AJ17" s="308"/>
      <c r="AK17" s="308"/>
      <c r="AL17" s="308"/>
      <c r="AM17" s="308"/>
      <c r="AN17" s="308"/>
      <c r="AO17" s="308"/>
      <c r="AP17" s="308"/>
      <c r="AQ17" s="308"/>
      <c r="AR17" s="308"/>
      <c r="AS17" s="308"/>
      <c r="AT17" s="308"/>
      <c r="AU17" s="308"/>
      <c r="AV17" s="308"/>
      <c r="AW17" s="308"/>
      <c r="AX17" s="308"/>
      <c r="AY17" s="308"/>
      <c r="AZ17" s="308"/>
      <c r="BA17" s="308"/>
      <c r="BB17" s="308"/>
      <c r="BC17" s="308"/>
      <c r="BD17" s="308"/>
      <c r="BE17" s="308"/>
      <c r="BF17" s="308"/>
      <c r="BG17" s="308"/>
      <c r="BH17" s="308"/>
      <c r="BI17" s="308"/>
      <c r="BJ17" s="308"/>
      <c r="BK17" s="308"/>
      <c r="BL17" s="308"/>
      <c r="BM17" s="308"/>
      <c r="BN17" s="308"/>
      <c r="BO17" s="308"/>
      <c r="BP17" s="308"/>
      <c r="BQ17" s="308"/>
      <c r="BR17" s="308"/>
      <c r="BS17" s="308"/>
      <c r="BT17" s="308"/>
      <c r="BU17" s="308"/>
      <c r="BV17" s="308"/>
      <c r="BW17" s="308"/>
      <c r="BX17" s="308"/>
      <c r="BY17" s="308"/>
      <c r="BZ17" s="308"/>
      <c r="CA17" s="308"/>
      <c r="CB17" s="308"/>
      <c r="CC17" s="308"/>
      <c r="CD17" s="308"/>
      <c r="CE17" s="308"/>
      <c r="CF17" s="308"/>
      <c r="CG17" s="308"/>
      <c r="CH17" s="308"/>
      <c r="CI17" s="308"/>
      <c r="CJ17" s="308"/>
      <c r="CK17" s="308"/>
      <c r="CL17" s="308"/>
      <c r="CM17" s="308"/>
      <c r="CN17" s="308"/>
      <c r="CO17" s="308"/>
      <c r="CP17" s="308"/>
      <c r="CQ17" s="308"/>
      <c r="CR17" s="308"/>
      <c r="CS17" s="308"/>
      <c r="CT17" s="308"/>
      <c r="CU17" s="308"/>
      <c r="CV17" s="308"/>
      <c r="CW17" s="308"/>
      <c r="CX17" s="308"/>
      <c r="CY17" s="308"/>
      <c r="CZ17" s="308"/>
      <c r="DA17" s="308"/>
      <c r="DB17" s="308"/>
      <c r="DC17" s="308"/>
      <c r="DD17" s="308"/>
      <c r="DE17" s="308"/>
      <c r="DF17" s="308"/>
      <c r="DG17" s="308"/>
      <c r="DH17" s="308"/>
      <c r="DI17" s="308"/>
      <c r="DJ17" s="308"/>
      <c r="DK17" s="308"/>
      <c r="DL17" s="308"/>
      <c r="DM17" s="308"/>
      <c r="DN17" s="308"/>
      <c r="DO17" s="308"/>
      <c r="DP17" s="308"/>
      <c r="DQ17" s="308"/>
      <c r="DR17" s="308"/>
      <c r="DS17" s="308"/>
      <c r="DT17" s="308"/>
      <c r="DU17" s="308"/>
      <c r="DV17" s="308"/>
      <c r="DW17" s="308"/>
      <c r="DX17" s="308"/>
      <c r="DY17" s="308"/>
      <c r="DZ17" s="308"/>
      <c r="EA17" s="308"/>
      <c r="EB17" s="308"/>
      <c r="EC17" s="308"/>
      <c r="ED17" s="308"/>
      <c r="EE17" s="308"/>
      <c r="EF17" s="308"/>
      <c r="EG17" s="308"/>
      <c r="EH17" s="308"/>
      <c r="EI17" s="308"/>
      <c r="EJ17" s="308"/>
      <c r="EK17" s="308"/>
      <c r="EL17" s="308"/>
      <c r="EM17" s="308"/>
      <c r="EN17" s="308"/>
      <c r="EO17" s="308"/>
      <c r="EP17" s="308"/>
      <c r="EQ17" s="308"/>
      <c r="ER17" s="308"/>
      <c r="ES17" s="308"/>
      <c r="ET17" s="308"/>
      <c r="EU17" s="308"/>
      <c r="EV17" s="308"/>
      <c r="EW17" s="308"/>
      <c r="EX17" s="308"/>
      <c r="EY17" s="308"/>
      <c r="EZ17" s="308"/>
      <c r="FA17" s="308"/>
      <c r="FB17" s="308"/>
      <c r="FC17" s="308"/>
      <c r="FD17" s="308"/>
      <c r="FE17" s="308"/>
      <c r="FF17" s="308"/>
      <c r="FG17" s="308"/>
      <c r="FH17" s="308"/>
      <c r="FI17" s="308"/>
      <c r="FJ17" s="308"/>
      <c r="FK17" s="308"/>
      <c r="FL17" s="308"/>
      <c r="FM17" s="308"/>
      <c r="FN17" s="308"/>
      <c r="FO17" s="308"/>
      <c r="FP17" s="308"/>
      <c r="FQ17" s="308"/>
      <c r="FR17" s="308"/>
      <c r="FS17" s="308"/>
      <c r="FT17" s="308"/>
      <c r="FU17" s="308"/>
      <c r="FV17" s="308"/>
      <c r="FW17" s="308"/>
      <c r="FX17" s="308"/>
      <c r="FY17" s="308"/>
      <c r="FZ17" s="308"/>
      <c r="GA17" s="308"/>
      <c r="GB17" s="308"/>
      <c r="GC17" s="308"/>
      <c r="GD17" s="308"/>
      <c r="GE17" s="308"/>
      <c r="GF17" s="308"/>
      <c r="GG17" s="308"/>
      <c r="GH17" s="308"/>
      <c r="GI17" s="308"/>
      <c r="GJ17" s="308"/>
      <c r="GK17" s="308"/>
      <c r="GL17" s="308"/>
      <c r="GM17" s="308"/>
      <c r="GN17" s="308"/>
      <c r="GO17" s="308"/>
      <c r="GP17" s="308"/>
      <c r="GQ17" s="308"/>
      <c r="GR17" s="308"/>
      <c r="GS17" s="308"/>
      <c r="GT17" s="308"/>
      <c r="GU17" s="308"/>
      <c r="GV17" s="308"/>
      <c r="GW17" s="308"/>
      <c r="GX17" s="308"/>
      <c r="GY17" s="308"/>
      <c r="GZ17" s="308"/>
      <c r="HA17" s="308"/>
      <c r="HB17" s="308"/>
      <c r="HC17" s="308"/>
      <c r="HD17" s="308"/>
      <c r="HE17" s="308"/>
      <c r="HF17" s="308"/>
      <c r="HG17" s="308"/>
      <c r="HH17" s="308"/>
      <c r="HI17" s="308"/>
      <c r="HJ17" s="308"/>
      <c r="HK17" s="308"/>
      <c r="HL17" s="308"/>
      <c r="HM17" s="308"/>
      <c r="HN17" s="308"/>
      <c r="HO17" s="308"/>
      <c r="HP17" s="308"/>
      <c r="HQ17" s="308"/>
      <c r="HR17" s="308"/>
      <c r="HS17" s="308"/>
      <c r="HT17" s="308"/>
      <c r="HU17" s="308"/>
      <c r="HV17" s="308"/>
      <c r="HW17" s="308"/>
      <c r="HX17" s="308"/>
      <c r="HY17" s="308"/>
      <c r="HZ17" s="308"/>
      <c r="IA17" s="308"/>
      <c r="IB17" s="308"/>
      <c r="IC17" s="308"/>
      <c r="ID17" s="308"/>
      <c r="IE17" s="308"/>
      <c r="IF17" s="308"/>
      <c r="IG17" s="308"/>
      <c r="IH17" s="308"/>
      <c r="II17" s="308"/>
      <c r="IJ17" s="308"/>
      <c r="IK17" s="308"/>
      <c r="IL17" s="308"/>
      <c r="IM17" s="308"/>
      <c r="IN17" s="308"/>
      <c r="IO17" s="308"/>
      <c r="IP17" s="308"/>
      <c r="IQ17" s="308"/>
      <c r="IR17" s="308"/>
      <c r="IS17" s="308"/>
      <c r="IT17" s="308"/>
      <c r="IU17" s="308"/>
      <c r="IV17" s="308"/>
      <c r="IW17" s="308"/>
      <c r="IX17" s="308"/>
    </row>
    <row r="18" spans="1:258" s="420" customFormat="1" ht="17.399999999999999" x14ac:dyDescent="0.3">
      <c r="A18" s="122" t="s">
        <v>1</v>
      </c>
      <c r="B18" s="132" t="s">
        <v>225</v>
      </c>
      <c r="C18" s="104">
        <f>'Input data plant-based products'!D5</f>
        <v>0.64998250344785002</v>
      </c>
      <c r="D18" s="269" t="s">
        <v>473</v>
      </c>
      <c r="E18" s="320">
        <f>IF($F$1="GWP100 without fb",E19+E20*'Common input data'!$C$5+E21*'Common input data'!$D$5,IF($F$1="GWP100 with fb",E19+E20*'Common input data'!$C$6+E21*'Common input data'!$D$6,IF($F$1="GTP100 without fb",E19+E20*'Common input data'!$C$7+E21*'Common input data'!$D$7,IF($F$1="GTP100 with fb",E19+E20*'Common input data'!$C$8+E21*'Common input data'!$D$8,E19+E20*'Common input data'!$C$9+E21*'Common input data'!$D$9))))</f>
        <v>0.37631814891403742</v>
      </c>
      <c r="F18" s="302">
        <f>IF($F$1="GWP100 without fb",F19+F20*'Common input data'!$C$5+F21*'Common input data'!$D$5,IF($F$1="GWP100 with fb",F19+F20*'Common input data'!$C$6+F21*'Common input data'!$D$6,IF($F$1="GTP100 without fb",F19+F20*'Common input data'!$C$7+F21*'Common input data'!$D$7,IF($F$1="GTP100 with fb",F19+F20*'Common input data'!$C$8+F21*'Common input data'!$D$8,F19+F20*'Common input data'!$C$9+F21*'Common input data'!$D$9))))</f>
        <v>0.62795474277541552</v>
      </c>
      <c r="G18" s="321">
        <f>IF($F$1="GWP100 without fb",G19+G20*'Common input data'!$C$5+G21*'Common input data'!$D$5,IF($F$1="GWP100 with fb",G19+G20*'Common input data'!$C$6+G21*'Common input data'!$D$6,IF($F$1="GTP100 without fb",G19+G20*'Common input data'!$C$7+G21*'Common input data'!$D$7,IF($F$1="GTP100 with fb",G19+G20*'Common input data'!$C$8+G21*'Common input data'!$D$8,G19+G20*'Common input data'!$C$9+G21*'Common input data'!$D$9))))</f>
        <v>1.1599323243410624</v>
      </c>
      <c r="H18" s="102"/>
      <c r="I18" s="102"/>
      <c r="J18" s="102"/>
      <c r="K18" s="102"/>
      <c r="L18" s="102"/>
      <c r="M18" s="102"/>
      <c r="N18" s="102"/>
      <c r="O18" s="102"/>
      <c r="P18" s="102"/>
      <c r="Q18" s="102"/>
      <c r="R18" s="102"/>
      <c r="S18" s="102"/>
      <c r="T18" s="102"/>
      <c r="U18" s="102"/>
      <c r="V18" s="430"/>
      <c r="W18" s="243"/>
      <c r="X18" s="308"/>
      <c r="Y18" s="308"/>
      <c r="Z18" s="64"/>
      <c r="AA18" s="308"/>
      <c r="AB18" s="308"/>
      <c r="AC18" s="308"/>
      <c r="AD18" s="308"/>
      <c r="AE18" s="308"/>
      <c r="AF18" s="308"/>
      <c r="AG18" s="308"/>
      <c r="AH18" s="308"/>
      <c r="AI18" s="308"/>
      <c r="AJ18" s="308"/>
      <c r="AK18" s="308"/>
      <c r="AL18" s="308"/>
      <c r="AM18" s="308"/>
      <c r="AN18" s="308"/>
      <c r="AO18" s="308"/>
      <c r="AP18" s="308"/>
      <c r="AQ18" s="308"/>
      <c r="AR18" s="308"/>
      <c r="AS18" s="308"/>
      <c r="AT18" s="308"/>
      <c r="AU18" s="308"/>
      <c r="AV18" s="308"/>
      <c r="AW18" s="308"/>
      <c r="AX18" s="308"/>
      <c r="AY18" s="308"/>
      <c r="AZ18" s="308"/>
      <c r="BA18" s="308"/>
      <c r="BB18" s="308"/>
      <c r="BC18" s="308"/>
      <c r="BD18" s="308"/>
      <c r="BE18" s="308"/>
      <c r="BF18" s="308"/>
      <c r="BG18" s="308"/>
      <c r="BH18" s="308"/>
      <c r="BI18" s="308"/>
      <c r="BJ18" s="308"/>
      <c r="BK18" s="308"/>
      <c r="BL18" s="308"/>
      <c r="BM18" s="308"/>
      <c r="BN18" s="308"/>
      <c r="BO18" s="308"/>
      <c r="BP18" s="308"/>
      <c r="BQ18" s="308"/>
      <c r="BR18" s="308"/>
      <c r="BS18" s="308"/>
      <c r="BT18" s="308"/>
      <c r="BU18" s="308"/>
      <c r="BV18" s="308"/>
      <c r="BW18" s="308"/>
      <c r="BX18" s="308"/>
      <c r="BY18" s="308"/>
      <c r="BZ18" s="308"/>
      <c r="CA18" s="308"/>
      <c r="CB18" s="308"/>
      <c r="CC18" s="308"/>
      <c r="CD18" s="308"/>
      <c r="CE18" s="308"/>
      <c r="CF18" s="308"/>
      <c r="CG18" s="308"/>
      <c r="CH18" s="308"/>
      <c r="CI18" s="308"/>
      <c r="CJ18" s="308"/>
      <c r="CK18" s="308"/>
      <c r="CL18" s="308"/>
      <c r="CM18" s="308"/>
      <c r="CN18" s="308"/>
      <c r="CO18" s="308"/>
      <c r="CP18" s="308"/>
      <c r="CQ18" s="308"/>
      <c r="CR18" s="308"/>
      <c r="CS18" s="308"/>
      <c r="CT18" s="308"/>
      <c r="CU18" s="308"/>
      <c r="CV18" s="308"/>
      <c r="CW18" s="308"/>
      <c r="CX18" s="308"/>
      <c r="CY18" s="308"/>
      <c r="CZ18" s="308"/>
      <c r="DA18" s="308"/>
      <c r="DB18" s="308"/>
      <c r="DC18" s="308"/>
      <c r="DD18" s="308"/>
      <c r="DE18" s="308"/>
      <c r="DF18" s="308"/>
      <c r="DG18" s="308"/>
      <c r="DH18" s="308"/>
      <c r="DI18" s="308"/>
      <c r="DJ18" s="308"/>
      <c r="DK18" s="308"/>
      <c r="DL18" s="308"/>
      <c r="DM18" s="308"/>
      <c r="DN18" s="308"/>
      <c r="DO18" s="308"/>
      <c r="DP18" s="308"/>
      <c r="DQ18" s="308"/>
      <c r="DR18" s="308"/>
      <c r="DS18" s="308"/>
      <c r="DT18" s="308"/>
      <c r="DU18" s="308"/>
      <c r="DV18" s="308"/>
      <c r="DW18" s="308"/>
      <c r="DX18" s="308"/>
      <c r="DY18" s="308"/>
      <c r="DZ18" s="308"/>
      <c r="EA18" s="308"/>
      <c r="EB18" s="308"/>
      <c r="EC18" s="308"/>
      <c r="ED18" s="308"/>
      <c r="EE18" s="308"/>
      <c r="EF18" s="308"/>
      <c r="EG18" s="308"/>
      <c r="EH18" s="308"/>
      <c r="EI18" s="308"/>
      <c r="EJ18" s="308"/>
      <c r="EK18" s="308"/>
      <c r="EL18" s="308"/>
      <c r="EM18" s="308"/>
      <c r="EN18" s="308"/>
      <c r="EO18" s="308"/>
      <c r="EP18" s="308"/>
      <c r="EQ18" s="308"/>
      <c r="ER18" s="308"/>
      <c r="ES18" s="308"/>
      <c r="ET18" s="308"/>
      <c r="EU18" s="308"/>
      <c r="EV18" s="308"/>
      <c r="EW18" s="308"/>
      <c r="EX18" s="308"/>
      <c r="EY18" s="308"/>
      <c r="EZ18" s="308"/>
      <c r="FA18" s="308"/>
      <c r="FB18" s="308"/>
      <c r="FC18" s="308"/>
      <c r="FD18" s="308"/>
      <c r="FE18" s="308"/>
      <c r="FF18" s="308"/>
      <c r="FG18" s="308"/>
      <c r="FH18" s="308"/>
      <c r="FI18" s="308"/>
      <c r="FJ18" s="308"/>
      <c r="FK18" s="308"/>
      <c r="FL18" s="308"/>
      <c r="FM18" s="308"/>
      <c r="FN18" s="308"/>
      <c r="FO18" s="308"/>
      <c r="FP18" s="308"/>
      <c r="FQ18" s="308"/>
      <c r="FR18" s="308"/>
      <c r="FS18" s="308"/>
      <c r="FT18" s="308"/>
      <c r="FU18" s="308"/>
      <c r="FV18" s="308"/>
      <c r="FW18" s="308"/>
      <c r="FX18" s="308"/>
      <c r="FY18" s="308"/>
      <c r="FZ18" s="308"/>
      <c r="GA18" s="308"/>
      <c r="GB18" s="308"/>
      <c r="GC18" s="308"/>
      <c r="GD18" s="308"/>
      <c r="GE18" s="308"/>
      <c r="GF18" s="308"/>
      <c r="GG18" s="308"/>
      <c r="GH18" s="308"/>
      <c r="GI18" s="308"/>
      <c r="GJ18" s="308"/>
      <c r="GK18" s="308"/>
      <c r="GL18" s="308"/>
      <c r="GM18" s="308"/>
      <c r="GN18" s="308"/>
      <c r="GO18" s="308"/>
      <c r="GP18" s="308"/>
      <c r="GQ18" s="308"/>
      <c r="GR18" s="308"/>
      <c r="GS18" s="308"/>
      <c r="GT18" s="308"/>
      <c r="GU18" s="308"/>
      <c r="GV18" s="308"/>
      <c r="GW18" s="308"/>
      <c r="GX18" s="308"/>
      <c r="GY18" s="308"/>
      <c r="GZ18" s="308"/>
      <c r="HA18" s="308"/>
      <c r="HB18" s="308"/>
      <c r="HC18" s="308"/>
      <c r="HD18" s="308"/>
      <c r="HE18" s="308"/>
      <c r="HF18" s="308"/>
      <c r="HG18" s="308"/>
      <c r="HH18" s="308"/>
      <c r="HI18" s="308"/>
      <c r="HJ18" s="308"/>
      <c r="HK18" s="308"/>
      <c r="HL18" s="308"/>
      <c r="HM18" s="308"/>
      <c r="HN18" s="308"/>
      <c r="HO18" s="308"/>
      <c r="HP18" s="308"/>
      <c r="HQ18" s="308"/>
      <c r="HR18" s="308"/>
      <c r="HS18" s="308"/>
      <c r="HT18" s="308"/>
      <c r="HU18" s="308"/>
      <c r="HV18" s="308"/>
      <c r="HW18" s="308"/>
      <c r="HX18" s="308"/>
      <c r="HY18" s="308"/>
      <c r="HZ18" s="308"/>
      <c r="IA18" s="308"/>
      <c r="IB18" s="308"/>
      <c r="IC18" s="308"/>
      <c r="ID18" s="308"/>
      <c r="IE18" s="308"/>
      <c r="IF18" s="308"/>
      <c r="IG18" s="308"/>
      <c r="IH18" s="308"/>
      <c r="II18" s="308"/>
      <c r="IJ18" s="308"/>
      <c r="IK18" s="308"/>
      <c r="IL18" s="308"/>
      <c r="IM18" s="308"/>
      <c r="IN18" s="308"/>
      <c r="IO18" s="308"/>
      <c r="IP18" s="308"/>
      <c r="IQ18" s="308"/>
      <c r="IR18" s="308"/>
      <c r="IS18" s="308"/>
      <c r="IT18" s="308"/>
      <c r="IU18" s="308"/>
      <c r="IV18" s="308"/>
      <c r="IW18" s="308"/>
      <c r="IX18" s="308"/>
    </row>
    <row r="19" spans="1:258" s="308" customFormat="1" ht="17.399999999999999" x14ac:dyDescent="0.3">
      <c r="A19" s="103"/>
      <c r="B19" s="64"/>
      <c r="C19" s="64"/>
      <c r="D19" s="83" t="s">
        <v>164</v>
      </c>
      <c r="E19" s="270">
        <f>IF(AND($F$2="No",$F$3="No"),SUM(J19:K19)*'Input data plant-based products'!O$120,IF(AND($F$2="Yes", $F$3="No"), (SUM(J19:K19)+Q19)*'Input data plant-based products'!O$120, IF(AND($F$2="No", $F$3="Yes"),(SUM(J19:K19)+P19)*'Input data plant-based products'!O$120, (SUM(J19:K19)+Q19+P19)*'Input data plant-based products'!O$120)))</f>
        <v>0.11639215058330095</v>
      </c>
      <c r="F19" s="90">
        <f>IF(AND($F$2="No",$F$3="No"),SUM(H19:O19)*'Input data plant-based products'!O$120,IF(AND($F$2="Yes", $F$3="No"), (SUM(H19:O19)+Q19)*'Input data plant-based products'!O$120, IF(AND($F$2="No", $F$3="Yes"),(SUM(H19:O19)+P19)*'Input data plant-based products'!O$120, (SUM(H19:O19)+Q19+P19)*'Input data plant-based products'!O$120)))</f>
        <v>0.29724810519360512</v>
      </c>
      <c r="G19" s="278">
        <f>SUM(S19:U19)/(1-'Common input data'!$B$122)</f>
        <v>0.69525803651840834</v>
      </c>
      <c r="H19" s="90">
        <f>('Input data plant-based products'!$F$5*('Common input data'!$B$76*'Common input data'!B69+'Common input data'!$B$77*'Common input data'!C69))/'Input data plant-based products'!$E$5</f>
        <v>5.3180432527279907E-2</v>
      </c>
      <c r="I19" s="90">
        <f>'Common input data'!$B$81</f>
        <v>0.03</v>
      </c>
      <c r="J19" s="90">
        <v>0</v>
      </c>
      <c r="K19" s="90">
        <v>0</v>
      </c>
      <c r="L19" s="90">
        <f>('Input data plant-based products'!$I$5*'Common input data'!$C$59*'Common input data'!H49)/'Input data plant-based products'!$E$5</f>
        <v>2.5910616784630941E-2</v>
      </c>
      <c r="M19" s="90">
        <v>0</v>
      </c>
      <c r="N19" s="90">
        <f>'Input data plant-based products'!G$152</f>
        <v>0.02</v>
      </c>
      <c r="O19" s="90">
        <f>'Input data plant-based products'!$B$120*'Common input data'!$B$59*'Common input data'!B49+'Input data plant-based products'!C$120*'Common input data'!B63</f>
        <v>3.9147048000000004E-2</v>
      </c>
      <c r="P19" s="90">
        <f>'Common input data'!B$13</f>
        <v>0.108271767984466</v>
      </c>
      <c r="Q19" s="90">
        <v>0</v>
      </c>
      <c r="R19" s="90">
        <f>'Input data plant-based products'!$E$120*'Common input data'!$B$59*'Common input data'!B49+'Input data plant-based products'!F$120*'Common input data'!B63</f>
        <v>0.13069034425501674</v>
      </c>
      <c r="S19" s="90">
        <f>(F19+R19)*'Common input data'!$D$28/'Common input data'!$C$28</f>
        <v>0.50574544025746226</v>
      </c>
      <c r="T19" s="90">
        <f>'Common input data'!$B$88</f>
        <v>0.05</v>
      </c>
      <c r="U19" s="90">
        <f>'Common input data'!C$98</f>
        <v>0.03</v>
      </c>
      <c r="V19" s="430"/>
      <c r="W19" s="243"/>
      <c r="Z19" s="64"/>
    </row>
    <row r="20" spans="1:258" s="308" customFormat="1" ht="17.399999999999999" x14ac:dyDescent="0.3">
      <c r="A20" s="103"/>
      <c r="B20" s="64"/>
      <c r="C20" s="142"/>
      <c r="D20" s="83" t="s">
        <v>165</v>
      </c>
      <c r="E20" s="270">
        <f>SUM(J20:K20)*'Input data plant-based products'!O$120</f>
        <v>0</v>
      </c>
      <c r="F20" s="90">
        <f>SUM(H20:O20)*'Input data plant-based products'!O$120</f>
        <v>2.7578750807206672E-5</v>
      </c>
      <c r="G20" s="278">
        <f>SUM(S20:U20)/(1-'Common input data'!$B$122)</f>
        <v>5.1110645449572509E-5</v>
      </c>
      <c r="H20" s="90">
        <f>('Input data plant-based products'!$F$5*('Common input data'!$B$76*'Common input data'!B70+'Common input data'!$B$77*'Common input data'!C70))/'Input data plant-based products'!$E$5</f>
        <v>1.4237644223444189E-10</v>
      </c>
      <c r="I20" s="90">
        <v>0</v>
      </c>
      <c r="J20" s="90">
        <v>0</v>
      </c>
      <c r="K20" s="90">
        <v>0</v>
      </c>
      <c r="L20" s="90">
        <f>('Input data plant-based products'!$I$5*'Common input data'!$C$59*'Common input data'!H50)/'Input data plant-based products'!$E$5</f>
        <v>1.1477529537238391E-5</v>
      </c>
      <c r="M20" s="90">
        <v>0</v>
      </c>
      <c r="N20" s="90">
        <v>0</v>
      </c>
      <c r="O20" s="90">
        <f>'Input data plant-based products'!$B$120*'Common input data'!$B$59*'Common input data'!B50</f>
        <v>1.4176980000000002E-5</v>
      </c>
      <c r="P20" s="90">
        <v>0</v>
      </c>
      <c r="Q20" s="90">
        <v>0</v>
      </c>
      <c r="R20" s="90">
        <f>'Input data plant-based products'!$E$120*'Common input data'!$B$59*'Common input data'!B50</f>
        <v>8.8566538505897801E-6</v>
      </c>
      <c r="S20" s="90">
        <f>(F20+R20)*'Common input data'!$D$28/'Common input data'!$C$28</f>
        <v>4.3060023686486723E-5</v>
      </c>
      <c r="T20" s="90">
        <v>0</v>
      </c>
      <c r="U20" s="90">
        <v>0</v>
      </c>
      <c r="V20" s="430"/>
      <c r="W20" s="243"/>
      <c r="Z20" s="64"/>
    </row>
    <row r="21" spans="1:258" s="308" customFormat="1" ht="17.399999999999999" x14ac:dyDescent="0.3">
      <c r="A21" s="107"/>
      <c r="B21" s="64"/>
      <c r="C21" s="85"/>
      <c r="D21" s="84" t="s">
        <v>166</v>
      </c>
      <c r="E21" s="270">
        <f>SUM(J21:K21)*'Input data plant-based products'!O$120</f>
        <v>8.722348937273037E-4</v>
      </c>
      <c r="F21" s="90">
        <f>SUM(H21:O21)*'Input data plant-based products'!O$120</f>
        <v>1.1066072485045818E-3</v>
      </c>
      <c r="G21" s="278">
        <f>SUM(S21:U21)/(1-'Common input data'!$B$122)</f>
        <v>1.5534782747562699E-3</v>
      </c>
      <c r="H21" s="90">
        <f>('Input data plant-based products'!$F$5*('Common input data'!$B$76*'Common input data'!B71+'Common input data'!$B$77*'Common input data'!C71))/'Input data plant-based products'!$E$5</f>
        <v>2.1600295718651367E-4</v>
      </c>
      <c r="I21" s="90">
        <v>0</v>
      </c>
      <c r="J21" s="90">
        <f>(SUM('Input data plant-based products'!F5:H5)*'Input data plant-based products'!$B$114*44/28)/'Input data plant-based products'!E5</f>
        <v>7.376193604459228E-4</v>
      </c>
      <c r="K21" s="90">
        <f>J21*'Input data plant-based products'!$B$115</f>
        <v>7.3761936044592288E-5</v>
      </c>
      <c r="L21" s="90">
        <f>('Input data plant-based products'!$I$5*'Common input data'!$C$59*'Common input data'!H51)/'Input data plant-based products'!$E$5</f>
        <v>6.9622837514024136E-7</v>
      </c>
      <c r="M21" s="90">
        <v>0</v>
      </c>
      <c r="N21" s="90">
        <v>0</v>
      </c>
      <c r="O21" s="90">
        <f>'Input data plant-based products'!$B$120*'Common input data'!$B$59*'Common input data'!B51</f>
        <v>1.32160958E-6</v>
      </c>
      <c r="P21" s="90">
        <v>0</v>
      </c>
      <c r="Q21" s="90">
        <v>0</v>
      </c>
      <c r="R21" s="90">
        <f>'Input data plant-based products'!$E$120*'Common input data'!$B$59*'Common input data'!B51</f>
        <v>8.2563695340498041E-7</v>
      </c>
      <c r="S21" s="90">
        <f>(F21+R21)*'Common input data'!$D$28/'Common input data'!$C$28</f>
        <v>1.3087843191776207E-3</v>
      </c>
      <c r="T21" s="90">
        <v>0</v>
      </c>
      <c r="U21" s="90">
        <v>0</v>
      </c>
      <c r="V21" s="430"/>
      <c r="W21" s="243"/>
      <c r="Z21" s="64"/>
    </row>
    <row r="22" spans="1:258" s="422" customFormat="1" ht="17.399999999999999" x14ac:dyDescent="0.3">
      <c r="A22" s="279" t="s">
        <v>61</v>
      </c>
      <c r="B22" s="260"/>
      <c r="C22" s="261"/>
      <c r="D22" s="359"/>
      <c r="E22" s="421"/>
      <c r="F22" s="262"/>
      <c r="G22" s="479"/>
      <c r="H22" s="261"/>
      <c r="I22" s="261"/>
      <c r="J22" s="261"/>
      <c r="K22" s="391"/>
      <c r="L22" s="391"/>
      <c r="M22" s="390"/>
      <c r="N22" s="391"/>
      <c r="O22" s="391"/>
      <c r="P22" s="391"/>
      <c r="Q22" s="391"/>
      <c r="R22" s="391"/>
      <c r="S22" s="391"/>
      <c r="T22" s="391"/>
      <c r="U22" s="391"/>
      <c r="V22" s="430"/>
      <c r="W22" s="243"/>
      <c r="X22" s="308"/>
      <c r="Y22" s="308"/>
      <c r="Z22" s="64"/>
      <c r="AA22" s="308"/>
      <c r="AB22" s="308"/>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Q22" s="308"/>
      <c r="BR22" s="308"/>
      <c r="BS22" s="308"/>
      <c r="BT22" s="308"/>
      <c r="BU22" s="308"/>
      <c r="BV22" s="308"/>
      <c r="BW22" s="308"/>
      <c r="BX22" s="308"/>
      <c r="BY22" s="308"/>
      <c r="BZ22" s="308"/>
      <c r="CA22" s="308"/>
      <c r="CB22" s="308"/>
      <c r="CC22" s="308"/>
      <c r="CD22" s="308"/>
      <c r="CE22" s="308"/>
      <c r="CF22" s="308"/>
      <c r="CG22" s="308"/>
      <c r="CH22" s="308"/>
      <c r="CI22" s="308"/>
      <c r="CJ22" s="308"/>
      <c r="CK22" s="308"/>
      <c r="CL22" s="308"/>
      <c r="CM22" s="308"/>
      <c r="CN22" s="308"/>
      <c r="CO22" s="308"/>
      <c r="CP22" s="308"/>
      <c r="CQ22" s="308"/>
      <c r="CR22" s="308"/>
      <c r="CS22" s="308"/>
      <c r="CT22" s="308"/>
      <c r="CU22" s="308"/>
      <c r="CV22" s="308"/>
      <c r="CW22" s="308"/>
      <c r="CX22" s="308"/>
      <c r="CY22" s="308"/>
      <c r="CZ22" s="308"/>
      <c r="DA22" s="308"/>
      <c r="DB22" s="308"/>
      <c r="DC22" s="308"/>
      <c r="DD22" s="308"/>
      <c r="DE22" s="308"/>
      <c r="DF22" s="308"/>
      <c r="DG22" s="308"/>
      <c r="DH22" s="308"/>
      <c r="DI22" s="308"/>
      <c r="DJ22" s="308"/>
      <c r="DK22" s="308"/>
      <c r="DL22" s="308"/>
      <c r="DM22" s="308"/>
      <c r="DN22" s="308"/>
      <c r="DO22" s="308"/>
      <c r="DP22" s="308"/>
      <c r="DQ22" s="308"/>
      <c r="DR22" s="308"/>
      <c r="DS22" s="308"/>
      <c r="DT22" s="308"/>
      <c r="DU22" s="308"/>
      <c r="DV22" s="308"/>
      <c r="DW22" s="308"/>
      <c r="DX22" s="308"/>
      <c r="DY22" s="308"/>
      <c r="DZ22" s="308"/>
      <c r="EA22" s="308"/>
      <c r="EB22" s="308"/>
      <c r="EC22" s="308"/>
      <c r="ED22" s="308"/>
      <c r="EE22" s="308"/>
      <c r="EF22" s="308"/>
      <c r="EG22" s="308"/>
      <c r="EH22" s="308"/>
      <c r="EI22" s="308"/>
      <c r="EJ22" s="308"/>
      <c r="EK22" s="308"/>
      <c r="EL22" s="308"/>
      <c r="EM22" s="308"/>
      <c r="EN22" s="308"/>
      <c r="EO22" s="308"/>
      <c r="EP22" s="308"/>
      <c r="EQ22" s="308"/>
      <c r="ER22" s="308"/>
      <c r="ES22" s="308"/>
      <c r="ET22" s="308"/>
      <c r="EU22" s="308"/>
      <c r="EV22" s="308"/>
      <c r="EW22" s="308"/>
      <c r="EX22" s="308"/>
      <c r="EY22" s="308"/>
      <c r="EZ22" s="308"/>
      <c r="FA22" s="308"/>
      <c r="FB22" s="308"/>
      <c r="FC22" s="308"/>
      <c r="FD22" s="308"/>
      <c r="FE22" s="308"/>
      <c r="FF22" s="308"/>
      <c r="FG22" s="308"/>
      <c r="FH22" s="308"/>
      <c r="FI22" s="308"/>
      <c r="FJ22" s="308"/>
      <c r="FK22" s="308"/>
      <c r="FL22" s="308"/>
      <c r="FM22" s="308"/>
      <c r="FN22" s="308"/>
      <c r="FO22" s="308"/>
      <c r="FP22" s="308"/>
      <c r="FQ22" s="308"/>
      <c r="FR22" s="308"/>
      <c r="FS22" s="308"/>
      <c r="FT22" s="308"/>
      <c r="FU22" s="308"/>
      <c r="FV22" s="308"/>
      <c r="FW22" s="308"/>
      <c r="FX22" s="308"/>
      <c r="FY22" s="308"/>
      <c r="FZ22" s="308"/>
      <c r="GA22" s="308"/>
      <c r="GB22" s="308"/>
      <c r="GC22" s="308"/>
      <c r="GD22" s="308"/>
      <c r="GE22" s="308"/>
      <c r="GF22" s="308"/>
      <c r="GG22" s="308"/>
      <c r="GH22" s="308"/>
      <c r="GI22" s="308"/>
      <c r="GJ22" s="308"/>
      <c r="GK22" s="308"/>
      <c r="GL22" s="308"/>
      <c r="GM22" s="308"/>
      <c r="GN22" s="308"/>
      <c r="GO22" s="308"/>
      <c r="GP22" s="308"/>
      <c r="GQ22" s="308"/>
      <c r="GR22" s="308"/>
      <c r="GS22" s="308"/>
      <c r="GT22" s="308"/>
      <c r="GU22" s="308"/>
      <c r="GV22" s="308"/>
      <c r="GW22" s="308"/>
      <c r="GX22" s="308"/>
      <c r="GY22" s="308"/>
      <c r="GZ22" s="308"/>
      <c r="HA22" s="308"/>
      <c r="HB22" s="308"/>
      <c r="HC22" s="308"/>
      <c r="HD22" s="308"/>
      <c r="HE22" s="308"/>
      <c r="HF22" s="308"/>
      <c r="HG22" s="308"/>
      <c r="HH22" s="308"/>
      <c r="HI22" s="308"/>
      <c r="HJ22" s="308"/>
      <c r="HK22" s="308"/>
      <c r="HL22" s="308"/>
      <c r="HM22" s="308"/>
      <c r="HN22" s="308"/>
      <c r="HO22" s="308"/>
      <c r="HP22" s="308"/>
      <c r="HQ22" s="308"/>
      <c r="HR22" s="308"/>
      <c r="HS22" s="308"/>
      <c r="HT22" s="308"/>
      <c r="HU22" s="308"/>
      <c r="HV22" s="308"/>
      <c r="HW22" s="308"/>
      <c r="HX22" s="308"/>
      <c r="HY22" s="308"/>
      <c r="HZ22" s="308"/>
      <c r="IA22" s="308"/>
      <c r="IB22" s="308"/>
      <c r="IC22" s="308"/>
      <c r="ID22" s="308"/>
      <c r="IE22" s="308"/>
      <c r="IF22" s="308"/>
      <c r="IG22" s="308"/>
      <c r="IH22" s="308"/>
      <c r="II22" s="308"/>
      <c r="IJ22" s="308"/>
      <c r="IK22" s="308"/>
      <c r="IL22" s="308"/>
      <c r="IM22" s="308"/>
      <c r="IN22" s="308"/>
      <c r="IO22" s="308"/>
      <c r="IP22" s="308"/>
      <c r="IQ22" s="308"/>
      <c r="IR22" s="308"/>
      <c r="IS22" s="308"/>
      <c r="IT22" s="308"/>
      <c r="IU22" s="308"/>
      <c r="IV22" s="308"/>
      <c r="IW22" s="308"/>
      <c r="IX22" s="308"/>
    </row>
    <row r="23" spans="1:258" s="420" customFormat="1" ht="17.399999999999999" x14ac:dyDescent="0.3">
      <c r="A23" s="122" t="s">
        <v>1</v>
      </c>
      <c r="B23" s="132" t="s">
        <v>225</v>
      </c>
      <c r="C23" s="104">
        <f>'Input data plant-based products'!D6</f>
        <v>0.13202555811316116</v>
      </c>
      <c r="D23" s="269" t="s">
        <v>473</v>
      </c>
      <c r="E23" s="320">
        <f>IF($F$1="GWP100 without fb",E24+E25*'Common input data'!$C$5+E26*'Common input data'!$D$5,IF($F$1="GWP100 with fb",E24+E25*'Common input data'!$C$6+E26*'Common input data'!$D$6,IF($F$1="GTP100 without fb",E24+E25*'Common input data'!$C$7+E26*'Common input data'!$D$7,IF($F$1="GTP100 with fb",E24+E25*'Common input data'!$C$8+E26*'Common input data'!$D$8,E24+E25*'Common input data'!$C$9+E26*'Common input data'!$D$9))))</f>
        <v>0.4179434612177485</v>
      </c>
      <c r="F23" s="302">
        <f>IF($F$1="GWP100 without fb",F24+F25*'Common input data'!$C$5+F26*'Common input data'!$D$5,IF($F$1="GWP100 with fb",F24+F25*'Common input data'!$C$6+F26*'Common input data'!$D$6,IF($F$1="GTP100 without fb",F24+F25*'Common input data'!$C$7+F26*'Common input data'!$D$7,IF($F$1="GTP100 with fb",F24+F25*'Common input data'!$C$8+F26*'Common input data'!$D$8,F24+F25*'Common input data'!$C$9+F26*'Common input data'!$D$9))))</f>
        <v>0.69941252621816086</v>
      </c>
      <c r="G23" s="321">
        <f>IF($F$1="GWP100 without fb",G24+G25*'Common input data'!$C$5+G26*'Common input data'!$D$5,IF($F$1="GWP100 with fb",G24+G25*'Common input data'!$C$6+G26*'Common input data'!$D$6,IF($F$1="GTP100 without fb",G24+G25*'Common input data'!$C$7+G26*'Common input data'!$D$7,IF($F$1="GTP100 with fb",G24+G25*'Common input data'!$C$8+G26*'Common input data'!$D$8,G24+G25*'Common input data'!$C$9+G26*'Common input data'!$D$9))))</f>
        <v>1.2601714590084736</v>
      </c>
      <c r="H23" s="102"/>
      <c r="I23" s="102"/>
      <c r="J23" s="102"/>
      <c r="K23" s="102"/>
      <c r="L23" s="102"/>
      <c r="M23" s="102"/>
      <c r="N23" s="102"/>
      <c r="O23" s="102"/>
      <c r="P23" s="102"/>
      <c r="Q23" s="102"/>
      <c r="R23" s="102"/>
      <c r="S23" s="102"/>
      <c r="T23" s="102"/>
      <c r="U23" s="102"/>
      <c r="V23" s="430"/>
      <c r="W23" s="243"/>
      <c r="X23" s="308"/>
      <c r="Y23" s="308"/>
      <c r="Z23" s="64"/>
      <c r="AA23" s="308"/>
      <c r="AB23" s="308"/>
      <c r="AC23" s="308"/>
      <c r="AD23" s="308"/>
      <c r="AE23" s="308"/>
      <c r="AF23" s="308"/>
      <c r="AG23" s="308"/>
      <c r="AH23" s="308"/>
      <c r="AI23" s="308"/>
      <c r="AJ23" s="308"/>
      <c r="AK23" s="308"/>
      <c r="AL23" s="308"/>
      <c r="AM23" s="308"/>
      <c r="AN23" s="308"/>
      <c r="AO23" s="308"/>
      <c r="AP23" s="308"/>
      <c r="AQ23" s="308"/>
      <c r="AR23" s="308"/>
      <c r="AS23" s="308"/>
      <c r="AT23" s="308"/>
      <c r="AU23" s="308"/>
      <c r="AV23" s="308"/>
      <c r="AW23" s="308"/>
      <c r="AX23" s="308"/>
      <c r="AY23" s="308"/>
      <c r="AZ23" s="308"/>
      <c r="BA23" s="308"/>
      <c r="BB23" s="308"/>
      <c r="BC23" s="308"/>
      <c r="BD23" s="308"/>
      <c r="BE23" s="308"/>
      <c r="BF23" s="308"/>
      <c r="BG23" s="308"/>
      <c r="BH23" s="308"/>
      <c r="BI23" s="308"/>
      <c r="BJ23" s="308"/>
      <c r="BK23" s="308"/>
      <c r="BL23" s="308"/>
      <c r="BM23" s="308"/>
      <c r="BN23" s="308"/>
      <c r="BO23" s="308"/>
      <c r="BP23" s="308"/>
      <c r="BQ23" s="308"/>
      <c r="BR23" s="308"/>
      <c r="BS23" s="308"/>
      <c r="BT23" s="308"/>
      <c r="BU23" s="308"/>
      <c r="BV23" s="308"/>
      <c r="BW23" s="308"/>
      <c r="BX23" s="308"/>
      <c r="BY23" s="308"/>
      <c r="BZ23" s="308"/>
      <c r="CA23" s="308"/>
      <c r="CB23" s="308"/>
      <c r="CC23" s="308"/>
      <c r="CD23" s="308"/>
      <c r="CE23" s="308"/>
      <c r="CF23" s="308"/>
      <c r="CG23" s="308"/>
      <c r="CH23" s="308"/>
      <c r="CI23" s="308"/>
      <c r="CJ23" s="308"/>
      <c r="CK23" s="308"/>
      <c r="CL23" s="308"/>
      <c r="CM23" s="308"/>
      <c r="CN23" s="308"/>
      <c r="CO23" s="308"/>
      <c r="CP23" s="308"/>
      <c r="CQ23" s="308"/>
      <c r="CR23" s="308"/>
      <c r="CS23" s="308"/>
      <c r="CT23" s="308"/>
      <c r="CU23" s="308"/>
      <c r="CV23" s="308"/>
      <c r="CW23" s="308"/>
      <c r="CX23" s="308"/>
      <c r="CY23" s="308"/>
      <c r="CZ23" s="308"/>
      <c r="DA23" s="308"/>
      <c r="DB23" s="308"/>
      <c r="DC23" s="308"/>
      <c r="DD23" s="308"/>
      <c r="DE23" s="308"/>
      <c r="DF23" s="308"/>
      <c r="DG23" s="308"/>
      <c r="DH23" s="308"/>
      <c r="DI23" s="308"/>
      <c r="DJ23" s="308"/>
      <c r="DK23" s="308"/>
      <c r="DL23" s="308"/>
      <c r="DM23" s="308"/>
      <c r="DN23" s="308"/>
      <c r="DO23" s="308"/>
      <c r="DP23" s="308"/>
      <c r="DQ23" s="308"/>
      <c r="DR23" s="308"/>
      <c r="DS23" s="308"/>
      <c r="DT23" s="308"/>
      <c r="DU23" s="308"/>
      <c r="DV23" s="308"/>
      <c r="DW23" s="308"/>
      <c r="DX23" s="308"/>
      <c r="DY23" s="308"/>
      <c r="DZ23" s="308"/>
      <c r="EA23" s="308"/>
      <c r="EB23" s="308"/>
      <c r="EC23" s="308"/>
      <c r="ED23" s="308"/>
      <c r="EE23" s="308"/>
      <c r="EF23" s="308"/>
      <c r="EG23" s="308"/>
      <c r="EH23" s="308"/>
      <c r="EI23" s="308"/>
      <c r="EJ23" s="308"/>
      <c r="EK23" s="308"/>
      <c r="EL23" s="308"/>
      <c r="EM23" s="308"/>
      <c r="EN23" s="308"/>
      <c r="EO23" s="308"/>
      <c r="EP23" s="308"/>
      <c r="EQ23" s="308"/>
      <c r="ER23" s="308"/>
      <c r="ES23" s="308"/>
      <c r="ET23" s="308"/>
      <c r="EU23" s="308"/>
      <c r="EV23" s="308"/>
      <c r="EW23" s="308"/>
      <c r="EX23" s="308"/>
      <c r="EY23" s="308"/>
      <c r="EZ23" s="308"/>
      <c r="FA23" s="308"/>
      <c r="FB23" s="308"/>
      <c r="FC23" s="308"/>
      <c r="FD23" s="308"/>
      <c r="FE23" s="308"/>
      <c r="FF23" s="308"/>
      <c r="FG23" s="308"/>
      <c r="FH23" s="308"/>
      <c r="FI23" s="308"/>
      <c r="FJ23" s="308"/>
      <c r="FK23" s="308"/>
      <c r="FL23" s="308"/>
      <c r="FM23" s="308"/>
      <c r="FN23" s="308"/>
      <c r="FO23" s="308"/>
      <c r="FP23" s="308"/>
      <c r="FQ23" s="308"/>
      <c r="FR23" s="308"/>
      <c r="FS23" s="308"/>
      <c r="FT23" s="308"/>
      <c r="FU23" s="308"/>
      <c r="FV23" s="308"/>
      <c r="FW23" s="308"/>
      <c r="FX23" s="308"/>
      <c r="FY23" s="308"/>
      <c r="FZ23" s="308"/>
      <c r="GA23" s="308"/>
      <c r="GB23" s="308"/>
      <c r="GC23" s="308"/>
      <c r="GD23" s="308"/>
      <c r="GE23" s="308"/>
      <c r="GF23" s="308"/>
      <c r="GG23" s="308"/>
      <c r="GH23" s="308"/>
      <c r="GI23" s="308"/>
      <c r="GJ23" s="308"/>
      <c r="GK23" s="308"/>
      <c r="GL23" s="308"/>
      <c r="GM23" s="308"/>
      <c r="GN23" s="308"/>
      <c r="GO23" s="308"/>
      <c r="GP23" s="308"/>
      <c r="GQ23" s="308"/>
      <c r="GR23" s="308"/>
      <c r="GS23" s="308"/>
      <c r="GT23" s="308"/>
      <c r="GU23" s="308"/>
      <c r="GV23" s="308"/>
      <c r="GW23" s="308"/>
      <c r="GX23" s="308"/>
      <c r="GY23" s="308"/>
      <c r="GZ23" s="308"/>
      <c r="HA23" s="308"/>
      <c r="HB23" s="308"/>
      <c r="HC23" s="308"/>
      <c r="HD23" s="308"/>
      <c r="HE23" s="308"/>
      <c r="HF23" s="308"/>
      <c r="HG23" s="308"/>
      <c r="HH23" s="308"/>
      <c r="HI23" s="308"/>
      <c r="HJ23" s="308"/>
      <c r="HK23" s="308"/>
      <c r="HL23" s="308"/>
      <c r="HM23" s="308"/>
      <c r="HN23" s="308"/>
      <c r="HO23" s="308"/>
      <c r="HP23" s="308"/>
      <c r="HQ23" s="308"/>
      <c r="HR23" s="308"/>
      <c r="HS23" s="308"/>
      <c r="HT23" s="308"/>
      <c r="HU23" s="308"/>
      <c r="HV23" s="308"/>
      <c r="HW23" s="308"/>
      <c r="HX23" s="308"/>
      <c r="HY23" s="308"/>
      <c r="HZ23" s="308"/>
      <c r="IA23" s="308"/>
      <c r="IB23" s="308"/>
      <c r="IC23" s="308"/>
      <c r="ID23" s="308"/>
      <c r="IE23" s="308"/>
      <c r="IF23" s="308"/>
      <c r="IG23" s="308"/>
      <c r="IH23" s="308"/>
      <c r="II23" s="308"/>
      <c r="IJ23" s="308"/>
      <c r="IK23" s="308"/>
      <c r="IL23" s="308"/>
      <c r="IM23" s="308"/>
      <c r="IN23" s="308"/>
      <c r="IO23" s="308"/>
      <c r="IP23" s="308"/>
      <c r="IQ23" s="308"/>
      <c r="IR23" s="308"/>
      <c r="IS23" s="308"/>
      <c r="IT23" s="308"/>
      <c r="IU23" s="308"/>
      <c r="IV23" s="308"/>
      <c r="IW23" s="308"/>
      <c r="IX23" s="308"/>
    </row>
    <row r="24" spans="1:258" s="308" customFormat="1" ht="17.399999999999999" x14ac:dyDescent="0.3">
      <c r="A24" s="144"/>
      <c r="B24" s="64"/>
      <c r="C24" s="64"/>
      <c r="D24" s="83" t="s">
        <v>164</v>
      </c>
      <c r="E24" s="270">
        <f>IF(AND($F$2="No",$F$3="No"),SUM(J24:K24)*'Input data plant-based products'!O$120,IF(AND($F$2="Yes", $F$3="No"), (SUM(J24:K24)+Q24)*'Input data plant-based products'!O$120, IF(AND($F$2="No", $F$3="Yes"),(SUM(J24:K24)+P24)*'Input data plant-based products'!O$120, (SUM(J24:K24)+Q24+P24)*'Input data plant-based products'!O$120)))</f>
        <v>0.11639215058330095</v>
      </c>
      <c r="F24" s="90">
        <f>IF(AND($F$2="No",$F$3="No"),SUM(H24:O24)*'Input data plant-based products'!O$120,IF(AND($F$2="Yes", $F$3="No"), (SUM(H24:O24)+Q24)*'Input data plant-based products'!O$120, IF(AND($F$2="No", $F$3="Yes"),(SUM(H24:O24)+P24)*'Input data plant-based products'!O$120, (SUM(H24:O24)+Q24+P24)*'Input data plant-based products'!O$120)))</f>
        <v>0.31801367332130126</v>
      </c>
      <c r="G24" s="278">
        <f>SUM(S24:U24)/(1-'Common input data'!$B$122)</f>
        <v>0.72438743963885677</v>
      </c>
      <c r="H24" s="90">
        <f>('Input data plant-based products'!$F$6*('Common input data'!$B$76*'Common input data'!B69+'Common input data'!$B$77*'Common input data'!C69))/'Input data plant-based products'!$E$6</f>
        <v>5.9908807685482929E-2</v>
      </c>
      <c r="I24" s="90">
        <f>'Common input data'!$B$81</f>
        <v>0.03</v>
      </c>
      <c r="J24" s="90">
        <v>0</v>
      </c>
      <c r="K24" s="90">
        <v>0</v>
      </c>
      <c r="L24" s="90">
        <f>('Input data plant-based products'!$I$6*'Common input data'!$C$59*'Common input data'!H49)/'Input data plant-based products'!$E$6</f>
        <v>3.8499049187075529E-2</v>
      </c>
      <c r="M24" s="90">
        <v>0</v>
      </c>
      <c r="N24" s="90">
        <f>'Input data plant-based products'!G$152</f>
        <v>0.02</v>
      </c>
      <c r="O24" s="90">
        <f>'Input data plant-based products'!$B$120*'Common input data'!$B$59*'Common input data'!B49+'Input data plant-based products'!C$120*'Common input data'!B63</f>
        <v>3.9147048000000004E-2</v>
      </c>
      <c r="P24" s="90">
        <f>'Common input data'!B$13</f>
        <v>0.108271767984466</v>
      </c>
      <c r="Q24" s="90">
        <v>0</v>
      </c>
      <c r="R24" s="90">
        <f>'Input data plant-based products'!$E$120*'Common input data'!$B$59*'Common input data'!B49+'Input data plant-based products'!F$120*'Common input data'!B63</f>
        <v>0.13069034425501674</v>
      </c>
      <c r="S24" s="90">
        <f>(F24+R24)*'Common input data'!$D$28/'Common input data'!$C$28</f>
        <v>0.53028656622655768</v>
      </c>
      <c r="T24" s="90">
        <f>'Common input data'!$B$88</f>
        <v>0.05</v>
      </c>
      <c r="U24" s="90">
        <f>'Common input data'!C$98</f>
        <v>0.03</v>
      </c>
      <c r="V24" s="430"/>
      <c r="W24" s="243"/>
      <c r="Z24" s="64"/>
    </row>
    <row r="25" spans="1:258" s="308" customFormat="1" ht="17.399999999999999" x14ac:dyDescent="0.3">
      <c r="A25" s="107"/>
      <c r="B25" s="68"/>
      <c r="C25" s="142"/>
      <c r="D25" s="83" t="s">
        <v>165</v>
      </c>
      <c r="E25" s="270">
        <f>SUM(J25:K25)*'Input data plant-based products'!O$120</f>
        <v>0</v>
      </c>
      <c r="F25" s="90">
        <f>SUM(H25:O25)*'Input data plant-based products'!O$120</f>
        <v>3.3573240078407084E-5</v>
      </c>
      <c r="G25" s="278">
        <f>SUM(S25:U25)/(1-'Common input data'!$B$122)</f>
        <v>5.9519560313264858E-5</v>
      </c>
      <c r="H25" s="90">
        <f>('Input data plant-based products'!$F$6*('Common input data'!$B$76*'Common input data'!B70+'Common input data'!$B$77*'Common input data'!C70))/'Input data plant-based products'!$E$6</f>
        <v>1.6038987445976541E-10</v>
      </c>
      <c r="I25" s="90">
        <v>0</v>
      </c>
      <c r="J25" s="90">
        <v>0</v>
      </c>
      <c r="K25" s="90">
        <v>0</v>
      </c>
      <c r="L25" s="90">
        <f>('Input data plant-based products'!$I$6*'Common input data'!$C$59*'Common input data'!H50)/'Input data plant-based products'!$E$6</f>
        <v>1.7053780613294918E-5</v>
      </c>
      <c r="M25" s="90">
        <v>0</v>
      </c>
      <c r="N25" s="90">
        <v>0</v>
      </c>
      <c r="O25" s="90">
        <f>'Input data plant-based products'!$B$120*'Common input data'!$B$59*'Common input data'!B50</f>
        <v>1.4176980000000002E-5</v>
      </c>
      <c r="P25" s="90">
        <v>0</v>
      </c>
      <c r="Q25" s="90">
        <v>0</v>
      </c>
      <c r="R25" s="90">
        <f>'Input data plant-based products'!$E$120*'Common input data'!$B$59*'Common input data'!B50</f>
        <v>8.8566538505897801E-6</v>
      </c>
      <c r="S25" s="90">
        <f>(F25+R25)*'Common input data'!$D$28/'Common input data'!$C$28</f>
        <v>5.0144420097905383E-5</v>
      </c>
      <c r="T25" s="90">
        <v>0</v>
      </c>
      <c r="U25" s="90">
        <v>0</v>
      </c>
      <c r="V25" s="430"/>
      <c r="W25" s="243"/>
      <c r="Z25" s="64"/>
    </row>
    <row r="26" spans="1:258" s="308" customFormat="1" ht="17.399999999999999" x14ac:dyDescent="0.3">
      <c r="A26" s="174"/>
      <c r="B26" s="64"/>
      <c r="C26" s="85"/>
      <c r="D26" s="84" t="s">
        <v>166</v>
      </c>
      <c r="E26" s="780">
        <f>SUM(J26:K26)*'Input data plant-based products'!O$120</f>
        <v>1.0119171497800254E-3</v>
      </c>
      <c r="F26" s="108">
        <f>SUM(H26:O26)*'Input data plant-based products'!O$120</f>
        <v>1.27603141857112E-3</v>
      </c>
      <c r="G26" s="521">
        <f>SUM(S26:U26)/(1-'Common input data'!$B$122)</f>
        <v>1.7911421285871339E-3</v>
      </c>
      <c r="H26" s="90">
        <f>('Input data plant-based products'!$F$6*('Common input data'!$B$76*'Common input data'!B71+'Common input data'!$B$77*'Common input data'!C71))/'Input data plant-based products'!$E$6</f>
        <v>2.4333159785686938E-4</v>
      </c>
      <c r="I26" s="90">
        <v>0</v>
      </c>
      <c r="J26" s="90">
        <f>(SUM('Input data plant-based products'!F6:H6)*'Input data plant-based products'!$B$114*44/28)/'Input data plant-based products'!E6</f>
        <v>8.5574388987739991E-4</v>
      </c>
      <c r="K26" s="90">
        <f>J26*'Input data plant-based products'!$B$115</f>
        <v>8.5574388987739999E-5</v>
      </c>
      <c r="L26" s="90">
        <f>('Input data plant-based products'!$I$6*'Common input data'!$C$59*'Common input data'!H51)/'Input data plant-based products'!$E$6</f>
        <v>1.0344844618234205E-6</v>
      </c>
      <c r="M26" s="90">
        <v>0</v>
      </c>
      <c r="N26" s="90">
        <v>0</v>
      </c>
      <c r="O26" s="90">
        <f>'Input data plant-based products'!$B$120*'Common input data'!$B$59*'Common input data'!B51</f>
        <v>1.32160958E-6</v>
      </c>
      <c r="P26" s="90">
        <v>0</v>
      </c>
      <c r="Q26" s="90">
        <v>0</v>
      </c>
      <c r="R26" s="90">
        <f>'Input data plant-based products'!$E$120*'Common input data'!$B$59*'Common input data'!B51</f>
        <v>8.2563695340498041E-7</v>
      </c>
      <c r="S26" s="90">
        <f>(F26+R26)*'Common input data'!$D$28/'Common input data'!$C$28</f>
        <v>1.5090128838017114E-3</v>
      </c>
      <c r="T26" s="90">
        <v>0</v>
      </c>
      <c r="U26" s="90">
        <v>0</v>
      </c>
      <c r="V26" s="430"/>
      <c r="W26" s="243"/>
      <c r="Z26" s="64"/>
    </row>
    <row r="27" spans="1:258" s="427" customFormat="1" ht="17.399999999999999" x14ac:dyDescent="0.3">
      <c r="A27" s="426" t="s">
        <v>626</v>
      </c>
      <c r="B27" s="412"/>
      <c r="C27" s="413"/>
      <c r="D27" s="414"/>
      <c r="E27" s="767" t="s">
        <v>1452</v>
      </c>
      <c r="F27" s="768" t="s">
        <v>1452</v>
      </c>
      <c r="G27" s="590" t="s">
        <v>1453</v>
      </c>
      <c r="H27" s="413"/>
      <c r="I27" s="413"/>
      <c r="J27" s="413"/>
      <c r="K27" s="416"/>
      <c r="L27" s="416"/>
      <c r="M27" s="417"/>
      <c r="N27" s="416"/>
      <c r="O27" s="416"/>
      <c r="P27" s="416"/>
      <c r="Q27" s="416"/>
      <c r="R27" s="416"/>
      <c r="S27" s="416"/>
      <c r="T27" s="416"/>
      <c r="U27" s="416"/>
      <c r="V27" s="430"/>
      <c r="W27" s="243"/>
      <c r="X27" s="308"/>
      <c r="Y27" s="308"/>
      <c r="Z27" s="64"/>
      <c r="AA27" s="308"/>
      <c r="AB27" s="308"/>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Q27" s="308"/>
      <c r="BR27" s="308"/>
      <c r="BS27" s="308"/>
      <c r="BT27" s="308"/>
      <c r="BU27" s="308"/>
      <c r="BV27" s="308"/>
      <c r="BW27" s="308"/>
      <c r="BX27" s="308"/>
      <c r="BY27" s="308"/>
      <c r="BZ27" s="308"/>
      <c r="CA27" s="308"/>
      <c r="CB27" s="308"/>
      <c r="CC27" s="308"/>
      <c r="CD27" s="308"/>
      <c r="CE27" s="308"/>
      <c r="CF27" s="308"/>
      <c r="CG27" s="308"/>
      <c r="CH27" s="308"/>
      <c r="CI27" s="308"/>
      <c r="CJ27" s="308"/>
      <c r="CK27" s="308"/>
      <c r="CL27" s="308"/>
      <c r="CM27" s="308"/>
      <c r="CN27" s="308"/>
      <c r="CO27" s="308"/>
      <c r="CP27" s="308"/>
      <c r="CQ27" s="308"/>
      <c r="CR27" s="308"/>
      <c r="CS27" s="308"/>
      <c r="CT27" s="308"/>
      <c r="CU27" s="308"/>
      <c r="CV27" s="308"/>
      <c r="CW27" s="308"/>
      <c r="CX27" s="308"/>
      <c r="CY27" s="308"/>
      <c r="CZ27" s="308"/>
      <c r="DA27" s="308"/>
      <c r="DB27" s="308"/>
      <c r="DC27" s="308"/>
      <c r="DD27" s="308"/>
      <c r="DE27" s="308"/>
      <c r="DF27" s="308"/>
      <c r="DG27" s="308"/>
      <c r="DH27" s="308"/>
      <c r="DI27" s="308"/>
      <c r="DJ27" s="308"/>
      <c r="DK27" s="308"/>
      <c r="DL27" s="308"/>
      <c r="DM27" s="308"/>
      <c r="DN27" s="308"/>
      <c r="DO27" s="308"/>
      <c r="DP27" s="308"/>
      <c r="DQ27" s="308"/>
      <c r="DR27" s="308"/>
      <c r="DS27" s="308"/>
      <c r="DT27" s="308"/>
      <c r="DU27" s="308"/>
      <c r="DV27" s="308"/>
      <c r="DW27" s="308"/>
      <c r="DX27" s="308"/>
      <c r="DY27" s="308"/>
      <c r="DZ27" s="308"/>
      <c r="EA27" s="308"/>
      <c r="EB27" s="308"/>
      <c r="EC27" s="308"/>
      <c r="ED27" s="308"/>
      <c r="EE27" s="308"/>
      <c r="EF27" s="308"/>
      <c r="EG27" s="308"/>
      <c r="EH27" s="308"/>
      <c r="EI27" s="308"/>
      <c r="EJ27" s="308"/>
      <c r="EK27" s="308"/>
      <c r="EL27" s="308"/>
      <c r="EM27" s="308"/>
      <c r="EN27" s="308"/>
      <c r="EO27" s="308"/>
      <c r="EP27" s="308"/>
      <c r="EQ27" s="308"/>
      <c r="ER27" s="308"/>
      <c r="ES27" s="308"/>
      <c r="ET27" s="308"/>
      <c r="EU27" s="308"/>
      <c r="EV27" s="308"/>
      <c r="EW27" s="308"/>
      <c r="EX27" s="308"/>
      <c r="EY27" s="308"/>
      <c r="EZ27" s="308"/>
      <c r="FA27" s="308"/>
      <c r="FB27" s="308"/>
      <c r="FC27" s="308"/>
      <c r="FD27" s="308"/>
      <c r="FE27" s="308"/>
      <c r="FF27" s="308"/>
      <c r="FG27" s="308"/>
      <c r="FH27" s="308"/>
      <c r="FI27" s="308"/>
      <c r="FJ27" s="308"/>
      <c r="FK27" s="308"/>
      <c r="FL27" s="308"/>
      <c r="FM27" s="308"/>
      <c r="FN27" s="308"/>
      <c r="FO27" s="308"/>
      <c r="FP27" s="308"/>
      <c r="FQ27" s="308"/>
      <c r="FR27" s="308"/>
      <c r="FS27" s="308"/>
      <c r="FT27" s="308"/>
      <c r="FU27" s="308"/>
      <c r="FV27" s="308"/>
      <c r="FW27" s="308"/>
      <c r="FX27" s="308"/>
      <c r="FY27" s="308"/>
      <c r="FZ27" s="308"/>
      <c r="GA27" s="308"/>
      <c r="GB27" s="308"/>
      <c r="GC27" s="308"/>
      <c r="GD27" s="308"/>
      <c r="GE27" s="308"/>
      <c r="GF27" s="308"/>
      <c r="GG27" s="308"/>
      <c r="GH27" s="308"/>
      <c r="GI27" s="308"/>
      <c r="GJ27" s="308"/>
      <c r="GK27" s="308"/>
      <c r="GL27" s="308"/>
      <c r="GM27" s="308"/>
      <c r="GN27" s="308"/>
      <c r="GO27" s="308"/>
      <c r="GP27" s="308"/>
      <c r="GQ27" s="308"/>
      <c r="GR27" s="308"/>
      <c r="GS27" s="308"/>
      <c r="GT27" s="308"/>
      <c r="GU27" s="308"/>
      <c r="GV27" s="308"/>
      <c r="GW27" s="308"/>
      <c r="GX27" s="308"/>
      <c r="GY27" s="308"/>
      <c r="GZ27" s="308"/>
      <c r="HA27" s="308"/>
      <c r="HB27" s="308"/>
      <c r="HC27" s="308"/>
      <c r="HD27" s="308"/>
      <c r="HE27" s="308"/>
      <c r="HF27" s="308"/>
      <c r="HG27" s="308"/>
      <c r="HH27" s="308"/>
      <c r="HI27" s="308"/>
      <c r="HJ27" s="308"/>
      <c r="HK27" s="308"/>
      <c r="HL27" s="308"/>
      <c r="HM27" s="308"/>
      <c r="HN27" s="308"/>
      <c r="HO27" s="308"/>
      <c r="HP27" s="308"/>
      <c r="HQ27" s="308"/>
      <c r="HR27" s="308"/>
      <c r="HS27" s="308"/>
      <c r="HT27" s="308"/>
      <c r="HU27" s="308"/>
      <c r="HV27" s="308"/>
      <c r="HW27" s="308"/>
      <c r="HX27" s="308"/>
      <c r="HY27" s="308"/>
      <c r="HZ27" s="308"/>
      <c r="IA27" s="308"/>
      <c r="IB27" s="308"/>
      <c r="IC27" s="308"/>
      <c r="ID27" s="308"/>
      <c r="IE27" s="308"/>
      <c r="IF27" s="308"/>
      <c r="IG27" s="308"/>
      <c r="IH27" s="308"/>
      <c r="II27" s="308"/>
      <c r="IJ27" s="308"/>
      <c r="IK27" s="308"/>
      <c r="IL27" s="308"/>
      <c r="IM27" s="308"/>
      <c r="IN27" s="308"/>
      <c r="IO27" s="308"/>
      <c r="IP27" s="308"/>
      <c r="IQ27" s="308"/>
      <c r="IR27" s="308"/>
      <c r="IS27" s="308"/>
      <c r="IT27" s="308"/>
      <c r="IU27" s="308"/>
      <c r="IV27" s="308"/>
      <c r="IW27" s="308"/>
      <c r="IX27" s="308"/>
    </row>
    <row r="28" spans="1:258" s="424" customFormat="1" ht="17.399999999999999" x14ac:dyDescent="0.3">
      <c r="A28" s="135" t="s">
        <v>1</v>
      </c>
      <c r="B28" s="425" t="s">
        <v>225</v>
      </c>
      <c r="C28" s="137">
        <f>'Input data plant-based products'!D7</f>
        <v>0.11491388787101502</v>
      </c>
      <c r="D28" s="325" t="s">
        <v>473</v>
      </c>
      <c r="E28" s="769">
        <f>IF($F$1="GWP100 without fb",E29+E30*'Common input data'!$C$5+E31*'Common input data'!$D$5,IF($F$1="GWP100 with fb",E29+E30*'Common input data'!$C$6+E31*'Common input data'!$D$6,IF($F$1="GTP100 without fb",E29+E30*'Common input data'!$C$7+E31*'Common input data'!$D$7,IF($F$1="GTP100 with fb",E29+E30*'Common input data'!$C$8+E31*'Common input data'!$D$8,E29+E30*'Common input data'!$C$9+E31*'Common input data'!$D$9))))</f>
        <v>0.33393387350114123</v>
      </c>
      <c r="F28" s="326">
        <f>IF($F$1="GWP100 without fb",F29+F30*'Common input data'!$C$5+F31*'Common input data'!$D$5,IF($F$1="GWP100 with fb",F29+F30*'Common input data'!$C$6+F31*'Common input data'!$D$6,IF($F$1="GTP100 without fb",F29+F30*'Common input data'!$C$7+F31*'Common input data'!$D$7,IF($F$1="GTP100 with fb",F29+F30*'Common input data'!$C$8+F31*'Common input data'!$D$8,F29+F30*'Common input data'!$C$9+F31*'Common input data'!$D$9))))</f>
        <v>0.55824110950015116</v>
      </c>
      <c r="G28" s="770">
        <f>IF($F$1="GWP100 without fb",G29+G30*'Common input data'!$C$5+G31*'Common input data'!$D$5,IF($F$1="GWP100 with fb",G29+G30*'Common input data'!$C$6+G31*'Common input data'!$D$6,IF($F$1="GTP100 without fb",G29+G30*'Common input data'!$C$7+G31*'Common input data'!$D$7,IF($F$1="GTP100 with fb",G29+G30*'Common input data'!$C$8+G31*'Common input data'!$D$8,G29+G30*'Common input data'!$C$9+G31*'Common input data'!$D$9))))</f>
        <v>1.0621398385213354</v>
      </c>
      <c r="H28" s="408"/>
      <c r="I28" s="408"/>
      <c r="J28" s="408"/>
      <c r="K28" s="408"/>
      <c r="L28" s="408"/>
      <c r="M28" s="408"/>
      <c r="N28" s="408"/>
      <c r="O28" s="408"/>
      <c r="P28" s="408"/>
      <c r="Q28" s="408"/>
      <c r="R28" s="408"/>
      <c r="S28" s="408"/>
      <c r="T28" s="408"/>
      <c r="U28" s="408"/>
      <c r="V28" s="430"/>
      <c r="W28" s="243"/>
      <c r="X28" s="308"/>
      <c r="Y28" s="308"/>
      <c r="Z28" s="64"/>
      <c r="AA28" s="308"/>
      <c r="AB28" s="308"/>
      <c r="AC28" s="308"/>
      <c r="AD28" s="308"/>
      <c r="AE28" s="308"/>
      <c r="AF28" s="308"/>
      <c r="AG28" s="308"/>
      <c r="AH28" s="308"/>
      <c r="AI28" s="308"/>
      <c r="AJ28" s="308"/>
      <c r="AK28" s="308"/>
      <c r="AL28" s="308"/>
      <c r="AM28" s="308"/>
      <c r="AN28" s="308"/>
      <c r="AO28" s="308"/>
      <c r="AP28" s="308"/>
      <c r="AQ28" s="308"/>
      <c r="AR28" s="308"/>
      <c r="AS28" s="308"/>
      <c r="AT28" s="308"/>
      <c r="AU28" s="308"/>
      <c r="AV28" s="308"/>
      <c r="AW28" s="308"/>
      <c r="AX28" s="308"/>
      <c r="AY28" s="308"/>
      <c r="AZ28" s="308"/>
      <c r="BA28" s="308"/>
      <c r="BB28" s="308"/>
      <c r="BC28" s="308"/>
      <c r="BD28" s="308"/>
      <c r="BE28" s="308"/>
      <c r="BF28" s="308"/>
      <c r="BG28" s="308"/>
      <c r="BH28" s="308"/>
      <c r="BI28" s="308"/>
      <c r="BJ28" s="308"/>
      <c r="BK28" s="308"/>
      <c r="BL28" s="308"/>
      <c r="BM28" s="308"/>
      <c r="BN28" s="308"/>
      <c r="BO28" s="308"/>
      <c r="BP28" s="308"/>
      <c r="BQ28" s="308"/>
      <c r="BR28" s="308"/>
      <c r="BS28" s="308"/>
      <c r="BT28" s="308"/>
      <c r="BU28" s="308"/>
      <c r="BV28" s="308"/>
      <c r="BW28" s="308"/>
      <c r="BX28" s="308"/>
      <c r="BY28" s="308"/>
      <c r="BZ28" s="308"/>
      <c r="CA28" s="308"/>
      <c r="CB28" s="308"/>
      <c r="CC28" s="308"/>
      <c r="CD28" s="308"/>
      <c r="CE28" s="308"/>
      <c r="CF28" s="308"/>
      <c r="CG28" s="308"/>
      <c r="CH28" s="308"/>
      <c r="CI28" s="308"/>
      <c r="CJ28" s="308"/>
      <c r="CK28" s="308"/>
      <c r="CL28" s="308"/>
      <c r="CM28" s="308"/>
      <c r="CN28" s="308"/>
      <c r="CO28" s="308"/>
      <c r="CP28" s="308"/>
      <c r="CQ28" s="308"/>
      <c r="CR28" s="308"/>
      <c r="CS28" s="308"/>
      <c r="CT28" s="308"/>
      <c r="CU28" s="308"/>
      <c r="CV28" s="308"/>
      <c r="CW28" s="308"/>
      <c r="CX28" s="308"/>
      <c r="CY28" s="308"/>
      <c r="CZ28" s="308"/>
      <c r="DA28" s="308"/>
      <c r="DB28" s="308"/>
      <c r="DC28" s="308"/>
      <c r="DD28" s="308"/>
      <c r="DE28" s="308"/>
      <c r="DF28" s="308"/>
      <c r="DG28" s="308"/>
      <c r="DH28" s="308"/>
      <c r="DI28" s="308"/>
      <c r="DJ28" s="308"/>
      <c r="DK28" s="308"/>
      <c r="DL28" s="308"/>
      <c r="DM28" s="308"/>
      <c r="DN28" s="308"/>
      <c r="DO28" s="308"/>
      <c r="DP28" s="308"/>
      <c r="DQ28" s="308"/>
      <c r="DR28" s="308"/>
      <c r="DS28" s="308"/>
      <c r="DT28" s="308"/>
      <c r="DU28" s="308"/>
      <c r="DV28" s="308"/>
      <c r="DW28" s="308"/>
      <c r="DX28" s="308"/>
      <c r="DY28" s="308"/>
      <c r="DZ28" s="308"/>
      <c r="EA28" s="308"/>
      <c r="EB28" s="308"/>
      <c r="EC28" s="308"/>
      <c r="ED28" s="308"/>
      <c r="EE28" s="308"/>
      <c r="EF28" s="308"/>
      <c r="EG28" s="308"/>
      <c r="EH28" s="308"/>
      <c r="EI28" s="308"/>
      <c r="EJ28" s="308"/>
      <c r="EK28" s="308"/>
      <c r="EL28" s="308"/>
      <c r="EM28" s="308"/>
      <c r="EN28" s="308"/>
      <c r="EO28" s="308"/>
      <c r="EP28" s="308"/>
      <c r="EQ28" s="308"/>
      <c r="ER28" s="308"/>
      <c r="ES28" s="308"/>
      <c r="ET28" s="308"/>
      <c r="EU28" s="308"/>
      <c r="EV28" s="308"/>
      <c r="EW28" s="308"/>
      <c r="EX28" s="308"/>
      <c r="EY28" s="308"/>
      <c r="EZ28" s="308"/>
      <c r="FA28" s="308"/>
      <c r="FB28" s="308"/>
      <c r="FC28" s="308"/>
      <c r="FD28" s="308"/>
      <c r="FE28" s="308"/>
      <c r="FF28" s="308"/>
      <c r="FG28" s="308"/>
      <c r="FH28" s="308"/>
      <c r="FI28" s="308"/>
      <c r="FJ28" s="308"/>
      <c r="FK28" s="308"/>
      <c r="FL28" s="308"/>
      <c r="FM28" s="308"/>
      <c r="FN28" s="308"/>
      <c r="FO28" s="308"/>
      <c r="FP28" s="308"/>
      <c r="FQ28" s="308"/>
      <c r="FR28" s="308"/>
      <c r="FS28" s="308"/>
      <c r="FT28" s="308"/>
      <c r="FU28" s="308"/>
      <c r="FV28" s="308"/>
      <c r="FW28" s="308"/>
      <c r="FX28" s="308"/>
      <c r="FY28" s="308"/>
      <c r="FZ28" s="308"/>
      <c r="GA28" s="308"/>
      <c r="GB28" s="308"/>
      <c r="GC28" s="308"/>
      <c r="GD28" s="308"/>
      <c r="GE28" s="308"/>
      <c r="GF28" s="308"/>
      <c r="GG28" s="308"/>
      <c r="GH28" s="308"/>
      <c r="GI28" s="308"/>
      <c r="GJ28" s="308"/>
      <c r="GK28" s="308"/>
      <c r="GL28" s="308"/>
      <c r="GM28" s="308"/>
      <c r="GN28" s="308"/>
      <c r="GO28" s="308"/>
      <c r="GP28" s="308"/>
      <c r="GQ28" s="308"/>
      <c r="GR28" s="308"/>
      <c r="GS28" s="308"/>
      <c r="GT28" s="308"/>
      <c r="GU28" s="308"/>
      <c r="GV28" s="308"/>
      <c r="GW28" s="308"/>
      <c r="GX28" s="308"/>
      <c r="GY28" s="308"/>
      <c r="GZ28" s="308"/>
      <c r="HA28" s="308"/>
      <c r="HB28" s="308"/>
      <c r="HC28" s="308"/>
      <c r="HD28" s="308"/>
      <c r="HE28" s="308"/>
      <c r="HF28" s="308"/>
      <c r="HG28" s="308"/>
      <c r="HH28" s="308"/>
      <c r="HI28" s="308"/>
      <c r="HJ28" s="308"/>
      <c r="HK28" s="308"/>
      <c r="HL28" s="308"/>
      <c r="HM28" s="308"/>
      <c r="HN28" s="308"/>
      <c r="HO28" s="308"/>
      <c r="HP28" s="308"/>
      <c r="HQ28" s="308"/>
      <c r="HR28" s="308"/>
      <c r="HS28" s="308"/>
      <c r="HT28" s="308"/>
      <c r="HU28" s="308"/>
      <c r="HV28" s="308"/>
      <c r="HW28" s="308"/>
      <c r="HX28" s="308"/>
      <c r="HY28" s="308"/>
      <c r="HZ28" s="308"/>
      <c r="IA28" s="308"/>
      <c r="IB28" s="308"/>
      <c r="IC28" s="308"/>
      <c r="ID28" s="308"/>
      <c r="IE28" s="308"/>
      <c r="IF28" s="308"/>
      <c r="IG28" s="308"/>
      <c r="IH28" s="308"/>
      <c r="II28" s="308"/>
      <c r="IJ28" s="308"/>
      <c r="IK28" s="308"/>
      <c r="IL28" s="308"/>
      <c r="IM28" s="308"/>
      <c r="IN28" s="308"/>
      <c r="IO28" s="308"/>
      <c r="IP28" s="308"/>
      <c r="IQ28" s="308"/>
      <c r="IR28" s="308"/>
      <c r="IS28" s="308"/>
      <c r="IT28" s="308"/>
      <c r="IU28" s="308"/>
      <c r="IV28" s="308"/>
      <c r="IW28" s="308"/>
      <c r="IX28" s="308"/>
    </row>
    <row r="29" spans="1:258" s="308" customFormat="1" ht="17.399999999999999" x14ac:dyDescent="0.3">
      <c r="A29" s="64"/>
      <c r="B29" s="64"/>
      <c r="C29" s="64"/>
      <c r="D29" s="83" t="s">
        <v>164</v>
      </c>
      <c r="E29" s="270">
        <f>IF(AND($F$2="No",$F$3="No"),SUM(J29:K29)*'Input data plant-based products'!O$120,IF(AND($F$2="Yes", $F$3="No"), (SUM(J29:K29)+Q29)*'Input data plant-based products'!O$120, IF(AND($F$2="No", $F$3="Yes"),(SUM(J29:K29)+P29)*'Input data plant-based products'!O$120, (SUM(J29:K29)+Q29+P29)*'Input data plant-based products'!O$120)))</f>
        <v>0.11639215058330095</v>
      </c>
      <c r="F29" s="90">
        <f>IF(AND($F$2="No",$F$3="No"),SUM(H29:O29)*'Input data plant-based products'!O$120,IF(AND($F$2="Yes", $F$3="No"), (SUM(H29:O29)+Q29)*'Input data plant-based products'!O$120, IF(AND($F$2="No", $F$3="Yes"),(SUM(H29:O29)+P29)*'Input data plant-based products'!O$120, (SUM(H29:O29)+Q29+P29)*'Input data plant-based products'!O$120)))</f>
        <v>0.28660276776887705</v>
      </c>
      <c r="G29" s="278">
        <f>SUM(S29:U29)/(1-'Common input data'!$B$122)</f>
        <v>0.68032503187865001</v>
      </c>
      <c r="H29" s="85">
        <f>('Input data plant-based products'!$F$7*('Common input data'!$B$76*'Common input data'!B69+'Common input data'!$B$77*'Common input data'!C69))/'Input data plant-based products'!$E$7</f>
        <v>4.0301341067900551E-2</v>
      </c>
      <c r="I29" s="90">
        <f>'Common input data'!$B$81</f>
        <v>0.03</v>
      </c>
      <c r="J29" s="85">
        <v>0</v>
      </c>
      <c r="K29" s="90">
        <v>0</v>
      </c>
      <c r="L29" s="85">
        <f>('Input data plant-based products'!$I$7*'Common input data'!$C$59*'Common input data'!H49)/'Input data plant-based products'!$E$7</f>
        <v>2.8887068779146978E-2</v>
      </c>
      <c r="M29" s="90">
        <v>0</v>
      </c>
      <c r="N29" s="90">
        <f>'Input data plant-based products'!G$152</f>
        <v>0.02</v>
      </c>
      <c r="O29" s="90">
        <f>'Input data plant-based products'!$B$120*'Common input data'!$B$59*'Common input data'!B49+'Input data plant-based products'!C$120*'Common input data'!B63</f>
        <v>3.9147048000000004E-2</v>
      </c>
      <c r="P29" s="90">
        <f>'Common input data'!B$13</f>
        <v>0.108271767984466</v>
      </c>
      <c r="Q29" s="90">
        <v>0</v>
      </c>
      <c r="R29" s="90">
        <f>'Input data plant-based products'!$E$120*'Common input data'!$B$59*'Common input data'!B49+'Input data plant-based products'!F$120*'Common input data'!B63</f>
        <v>0.13069034425501674</v>
      </c>
      <c r="S29" s="90">
        <f>(F29+R29)*'Common input data'!$D$28/'Common input data'!$C$28</f>
        <v>0.49316458693732901</v>
      </c>
      <c r="T29" s="90">
        <f>'Common input data'!$B$88</f>
        <v>0.05</v>
      </c>
      <c r="U29" s="90">
        <f>'Common input data'!C$98</f>
        <v>0.03</v>
      </c>
      <c r="V29" s="430"/>
      <c r="W29" s="243"/>
      <c r="Z29" s="64"/>
    </row>
    <row r="30" spans="1:258" s="308" customFormat="1" ht="17.399999999999999" x14ac:dyDescent="0.3">
      <c r="A30" s="107"/>
      <c r="B30" s="64"/>
      <c r="C30" s="142"/>
      <c r="D30" s="83" t="s">
        <v>165</v>
      </c>
      <c r="E30" s="270">
        <f>SUM(J30:K30)*'Input data plant-based products'!O$120</f>
        <v>0</v>
      </c>
      <c r="F30" s="90">
        <f>SUM(H30:O30)*'Input data plant-based products'!O$120</f>
        <v>2.8996066699468792E-5</v>
      </c>
      <c r="G30" s="278">
        <f>SUM(S30:U30)/(1-'Common input data'!$B$122)</f>
        <v>5.3098819609838154E-5</v>
      </c>
      <c r="H30" s="85">
        <f>('Input data plant-based products'!$F$7*('Common input data'!$B$76*'Common input data'!B70+'Common input data'!$B$77*'Common input data'!C70))/'Input data plant-based products'!$E$7</f>
        <v>1.0789610550047872E-10</v>
      </c>
      <c r="I30" s="90">
        <v>0</v>
      </c>
      <c r="J30" s="85">
        <v>0</v>
      </c>
      <c r="K30" s="90">
        <v>0</v>
      </c>
      <c r="L30" s="85">
        <f>('Input data plant-based products'!$I$7*'Common input data'!$C$59*'Common input data'!H50)/'Input data plant-based products'!$E$7</f>
        <v>1.2795997405725933E-5</v>
      </c>
      <c r="M30" s="90">
        <v>0</v>
      </c>
      <c r="N30" s="90">
        <v>0</v>
      </c>
      <c r="O30" s="90">
        <f>'Input data plant-based products'!$B$120*'Common input data'!$B$59*'Common input data'!B50</f>
        <v>1.4176980000000002E-5</v>
      </c>
      <c r="P30" s="90">
        <v>0</v>
      </c>
      <c r="Q30" s="90">
        <v>0</v>
      </c>
      <c r="R30" s="90">
        <f>'Input data plant-based products'!$E$120*'Common input data'!$B$59*'Common input data'!B50</f>
        <v>8.8566538505897801E-6</v>
      </c>
      <c r="S30" s="90">
        <f>(F30+R30)*'Common input data'!$D$28/'Common input data'!$C$28</f>
        <v>4.4735033377341951E-5</v>
      </c>
      <c r="T30" s="90">
        <v>0</v>
      </c>
      <c r="U30" s="90">
        <v>0</v>
      </c>
      <c r="V30" s="430"/>
      <c r="W30" s="243"/>
      <c r="Z30" s="64"/>
    </row>
    <row r="31" spans="1:258" s="308" customFormat="1" ht="17.399999999999999" x14ac:dyDescent="0.3">
      <c r="A31" s="107"/>
      <c r="B31" s="64"/>
      <c r="C31" s="85"/>
      <c r="D31" s="84" t="s">
        <v>166</v>
      </c>
      <c r="E31" s="780">
        <f>SUM(J31:K31)*'Input data plant-based products'!O$120</f>
        <v>7.3000578160349085E-4</v>
      </c>
      <c r="F31" s="108">
        <f>SUM(H31:O31)*'Input data plant-based products'!O$120</f>
        <v>9.0822978343453717E-4</v>
      </c>
      <c r="G31" s="521">
        <f>SUM(S31:U31)/(1-'Common input data'!$B$122)</f>
        <v>1.2751994858253388E-3</v>
      </c>
      <c r="H31" s="85">
        <f>('Input data plant-based products'!$F$7*('Common input data'!$B$76*'Common input data'!B71+'Common input data'!$B$77*'Common input data'!C71))/'Input data plant-based products'!$E$7</f>
        <v>1.6369195276445535E-4</v>
      </c>
      <c r="I31" s="85">
        <v>0</v>
      </c>
      <c r="J31" s="85">
        <f>(SUM('Input data plant-based products'!F7:H7)*'Input data plant-based products'!$B$114*44/28)/'Input data plant-based products'!E7</f>
        <v>6.1734104152515081E-4</v>
      </c>
      <c r="K31" s="90">
        <f>J31*'Input data plant-based products'!$B$115</f>
        <v>6.1734104152515079E-5</v>
      </c>
      <c r="L31" s="85">
        <f>('Input data plant-based products'!$I$7*'Common input data'!$C$59*'Common input data'!H51)/'Input data plant-based products'!$E$7</f>
        <v>7.7620680070416017E-7</v>
      </c>
      <c r="M31" s="90">
        <v>0</v>
      </c>
      <c r="N31" s="90">
        <v>0</v>
      </c>
      <c r="O31" s="90">
        <f>'Input data plant-based products'!$B$120*'Common input data'!$B$59*'Common input data'!B51</f>
        <v>1.32160958E-6</v>
      </c>
      <c r="P31" s="90">
        <v>0</v>
      </c>
      <c r="Q31" s="90">
        <v>0</v>
      </c>
      <c r="R31" s="90">
        <f>'Input data plant-based products'!$E$120*'Common input data'!$B$59*'Common input data'!B51</f>
        <v>8.2563695340498041E-7</v>
      </c>
      <c r="S31" s="90">
        <f>(F31+R31)*'Common input data'!$D$28/'Common input data'!$C$28</f>
        <v>1.0743382240948408E-3</v>
      </c>
      <c r="T31" s="90">
        <v>0</v>
      </c>
      <c r="U31" s="90">
        <v>0</v>
      </c>
      <c r="V31" s="430"/>
      <c r="W31" s="243"/>
      <c r="Z31" s="64"/>
    </row>
    <row r="32" spans="1:258" s="427" customFormat="1" ht="17.399999999999999" x14ac:dyDescent="0.3">
      <c r="A32" s="426" t="s">
        <v>627</v>
      </c>
      <c r="B32" s="412"/>
      <c r="C32" s="413"/>
      <c r="D32" s="414"/>
      <c r="E32" s="767" t="s">
        <v>1450</v>
      </c>
      <c r="F32" s="768" t="s">
        <v>1450</v>
      </c>
      <c r="G32" s="590" t="s">
        <v>1451</v>
      </c>
      <c r="H32" s="413"/>
      <c r="I32" s="413"/>
      <c r="J32" s="413"/>
      <c r="K32" s="416"/>
      <c r="L32" s="416"/>
      <c r="M32" s="417"/>
      <c r="N32" s="416"/>
      <c r="O32" s="416"/>
      <c r="P32" s="416"/>
      <c r="Q32" s="416"/>
      <c r="R32" s="416"/>
      <c r="S32" s="416"/>
      <c r="T32" s="416"/>
      <c r="U32" s="416"/>
      <c r="V32" s="430"/>
      <c r="W32" s="243"/>
      <c r="X32" s="308"/>
      <c r="Y32" s="308"/>
      <c r="Z32" s="64"/>
      <c r="AA32" s="308"/>
      <c r="AB32" s="308"/>
      <c r="AC32" s="308"/>
      <c r="AD32" s="308"/>
      <c r="AE32" s="308"/>
      <c r="AF32" s="308"/>
      <c r="AG32" s="308"/>
      <c r="AH32" s="308"/>
      <c r="AI32" s="308"/>
      <c r="AJ32" s="308"/>
      <c r="AK32" s="308"/>
      <c r="AL32" s="308"/>
      <c r="AM32" s="308"/>
      <c r="AN32" s="308"/>
      <c r="AO32" s="308"/>
      <c r="AP32" s="308"/>
      <c r="AQ32" s="308"/>
      <c r="AR32" s="308"/>
      <c r="AS32" s="308"/>
      <c r="AT32" s="308"/>
      <c r="AU32" s="308"/>
      <c r="AV32" s="308"/>
      <c r="AW32" s="308"/>
      <c r="AX32" s="308"/>
      <c r="AY32" s="308"/>
      <c r="AZ32" s="308"/>
      <c r="BA32" s="308"/>
      <c r="BB32" s="308"/>
      <c r="BC32" s="308"/>
      <c r="BD32" s="308"/>
      <c r="BE32" s="308"/>
      <c r="BF32" s="308"/>
      <c r="BG32" s="308"/>
      <c r="BH32" s="308"/>
      <c r="BI32" s="308"/>
      <c r="BJ32" s="308"/>
      <c r="BK32" s="308"/>
      <c r="BL32" s="308"/>
      <c r="BM32" s="308"/>
      <c r="BN32" s="308"/>
      <c r="BO32" s="308"/>
      <c r="BP32" s="308"/>
      <c r="BQ32" s="308"/>
      <c r="BR32" s="308"/>
      <c r="BS32" s="308"/>
      <c r="BT32" s="308"/>
      <c r="BU32" s="308"/>
      <c r="BV32" s="308"/>
      <c r="BW32" s="308"/>
      <c r="BX32" s="308"/>
      <c r="BY32" s="308"/>
      <c r="BZ32" s="308"/>
      <c r="CA32" s="308"/>
      <c r="CB32" s="308"/>
      <c r="CC32" s="308"/>
      <c r="CD32" s="308"/>
      <c r="CE32" s="308"/>
      <c r="CF32" s="308"/>
      <c r="CG32" s="308"/>
      <c r="CH32" s="308"/>
      <c r="CI32" s="308"/>
      <c r="CJ32" s="308"/>
      <c r="CK32" s="308"/>
      <c r="CL32" s="308"/>
      <c r="CM32" s="308"/>
      <c r="CN32" s="308"/>
      <c r="CO32" s="308"/>
      <c r="CP32" s="308"/>
      <c r="CQ32" s="308"/>
      <c r="CR32" s="308"/>
      <c r="CS32" s="308"/>
      <c r="CT32" s="308"/>
      <c r="CU32" s="308"/>
      <c r="CV32" s="308"/>
      <c r="CW32" s="308"/>
      <c r="CX32" s="308"/>
      <c r="CY32" s="308"/>
      <c r="CZ32" s="308"/>
      <c r="DA32" s="308"/>
      <c r="DB32" s="308"/>
      <c r="DC32" s="308"/>
      <c r="DD32" s="308"/>
      <c r="DE32" s="308"/>
      <c r="DF32" s="308"/>
      <c r="DG32" s="308"/>
      <c r="DH32" s="308"/>
      <c r="DI32" s="308"/>
      <c r="DJ32" s="308"/>
      <c r="DK32" s="308"/>
      <c r="DL32" s="308"/>
      <c r="DM32" s="308"/>
      <c r="DN32" s="308"/>
      <c r="DO32" s="308"/>
      <c r="DP32" s="308"/>
      <c r="DQ32" s="308"/>
      <c r="DR32" s="308"/>
      <c r="DS32" s="308"/>
      <c r="DT32" s="308"/>
      <c r="DU32" s="308"/>
      <c r="DV32" s="308"/>
      <c r="DW32" s="308"/>
      <c r="DX32" s="308"/>
      <c r="DY32" s="308"/>
      <c r="DZ32" s="308"/>
      <c r="EA32" s="308"/>
      <c r="EB32" s="308"/>
      <c r="EC32" s="308"/>
      <c r="ED32" s="308"/>
      <c r="EE32" s="308"/>
      <c r="EF32" s="308"/>
      <c r="EG32" s="308"/>
      <c r="EH32" s="308"/>
      <c r="EI32" s="308"/>
      <c r="EJ32" s="308"/>
      <c r="EK32" s="308"/>
      <c r="EL32" s="308"/>
      <c r="EM32" s="308"/>
      <c r="EN32" s="308"/>
      <c r="EO32" s="308"/>
      <c r="EP32" s="308"/>
      <c r="EQ32" s="308"/>
      <c r="ER32" s="308"/>
      <c r="ES32" s="308"/>
      <c r="ET32" s="308"/>
      <c r="EU32" s="308"/>
      <c r="EV32" s="308"/>
      <c r="EW32" s="308"/>
      <c r="EX32" s="308"/>
      <c r="EY32" s="308"/>
      <c r="EZ32" s="308"/>
      <c r="FA32" s="308"/>
      <c r="FB32" s="308"/>
      <c r="FC32" s="308"/>
      <c r="FD32" s="308"/>
      <c r="FE32" s="308"/>
      <c r="FF32" s="308"/>
      <c r="FG32" s="308"/>
      <c r="FH32" s="308"/>
      <c r="FI32" s="308"/>
      <c r="FJ32" s="308"/>
      <c r="FK32" s="308"/>
      <c r="FL32" s="308"/>
      <c r="FM32" s="308"/>
      <c r="FN32" s="308"/>
      <c r="FO32" s="308"/>
      <c r="FP32" s="308"/>
      <c r="FQ32" s="308"/>
      <c r="FR32" s="308"/>
      <c r="FS32" s="308"/>
      <c r="FT32" s="308"/>
      <c r="FU32" s="308"/>
      <c r="FV32" s="308"/>
      <c r="FW32" s="308"/>
      <c r="FX32" s="308"/>
      <c r="FY32" s="308"/>
      <c r="FZ32" s="308"/>
      <c r="GA32" s="308"/>
      <c r="GB32" s="308"/>
      <c r="GC32" s="308"/>
      <c r="GD32" s="308"/>
      <c r="GE32" s="308"/>
      <c r="GF32" s="308"/>
      <c r="GG32" s="308"/>
      <c r="GH32" s="308"/>
      <c r="GI32" s="308"/>
      <c r="GJ32" s="308"/>
      <c r="GK32" s="308"/>
      <c r="GL32" s="308"/>
      <c r="GM32" s="308"/>
      <c r="GN32" s="308"/>
      <c r="GO32" s="308"/>
      <c r="GP32" s="308"/>
      <c r="GQ32" s="308"/>
      <c r="GR32" s="308"/>
      <c r="GS32" s="308"/>
      <c r="GT32" s="308"/>
      <c r="GU32" s="308"/>
      <c r="GV32" s="308"/>
      <c r="GW32" s="308"/>
      <c r="GX32" s="308"/>
      <c r="GY32" s="308"/>
      <c r="GZ32" s="308"/>
      <c r="HA32" s="308"/>
      <c r="HB32" s="308"/>
      <c r="HC32" s="308"/>
      <c r="HD32" s="308"/>
      <c r="HE32" s="308"/>
      <c r="HF32" s="308"/>
      <c r="HG32" s="308"/>
      <c r="HH32" s="308"/>
      <c r="HI32" s="308"/>
      <c r="HJ32" s="308"/>
      <c r="HK32" s="308"/>
      <c r="HL32" s="308"/>
      <c r="HM32" s="308"/>
      <c r="HN32" s="308"/>
      <c r="HO32" s="308"/>
      <c r="HP32" s="308"/>
      <c r="HQ32" s="308"/>
      <c r="HR32" s="308"/>
      <c r="HS32" s="308"/>
      <c r="HT32" s="308"/>
      <c r="HU32" s="308"/>
      <c r="HV32" s="308"/>
      <c r="HW32" s="308"/>
      <c r="HX32" s="308"/>
      <c r="HY32" s="308"/>
      <c r="HZ32" s="308"/>
      <c r="IA32" s="308"/>
      <c r="IB32" s="308"/>
      <c r="IC32" s="308"/>
      <c r="ID32" s="308"/>
      <c r="IE32" s="308"/>
      <c r="IF32" s="308"/>
      <c r="IG32" s="308"/>
      <c r="IH32" s="308"/>
      <c r="II32" s="308"/>
      <c r="IJ32" s="308"/>
      <c r="IK32" s="308"/>
      <c r="IL32" s="308"/>
      <c r="IM32" s="308"/>
      <c r="IN32" s="308"/>
      <c r="IO32" s="308"/>
      <c r="IP32" s="308"/>
      <c r="IQ32" s="308"/>
      <c r="IR32" s="308"/>
      <c r="IS32" s="308"/>
      <c r="IT32" s="308"/>
      <c r="IU32" s="308"/>
      <c r="IV32" s="308"/>
      <c r="IW32" s="308"/>
      <c r="IX32" s="308"/>
    </row>
    <row r="33" spans="1:258" s="424" customFormat="1" ht="17.399999999999999" x14ac:dyDescent="0.3">
      <c r="A33" s="135" t="s">
        <v>730</v>
      </c>
      <c r="B33" s="425" t="s">
        <v>225</v>
      </c>
      <c r="C33" s="425"/>
      <c r="D33" s="325" t="s">
        <v>473</v>
      </c>
      <c r="E33" s="769">
        <f>IF($F$1="GWP100 without fb",E34+E35*'Common input data'!$C$5+E36*'Common input data'!$D$5,IF($F$1="GWP100 with fb",E34+E35*'Common input data'!$C$6+E36*'Common input data'!$D$6,IF($F$1="GTP100 without fb",E34+E35*'Common input data'!$C$7+E36*'Common input data'!$D$7,IF($F$1="GTP100 with fb",E34+E35*'Common input data'!$C$8+E36*'Common input data'!$D$8,E34+E35*'Common input data'!$C$9+E36*'Common input data'!$D$9))))</f>
        <v>0.37593155152211905</v>
      </c>
      <c r="F33" s="326">
        <f>IF($F$1="GWP100 without fb",F34+F35*'Common input data'!$C$5+F36*'Common input data'!$D$5,IF($F$1="GWP100 with fb",F34+F35*'Common input data'!$C$6+F36*'Common input data'!$D$6,IF($F$1="GTP100 without fb",F34+F35*'Common input data'!$C$7+F36*'Common input data'!$D$7,IF($F$1="GTP100 with fb",F34+F35*'Common input data'!$C$8+F36*'Common input data'!$D$8,F34+F35*'Common input data'!$C$9+F36*'Common input data'!$D$9))))</f>
        <v>0.62083677535979831</v>
      </c>
      <c r="G33" s="770">
        <f>IF($F$1="GWP100 without fb",G34+G35*'Common input data'!$C$5+G36*'Common input data'!$D$5,IF($F$1="GWP100 with fb",G34+G35*'Common input data'!$C$6+G36*'Common input data'!$D$6,IF($F$1="GTP100 without fb",G34+G35*'Common input data'!$C$7+G36*'Common input data'!$D$7,IF($F$1="GTP100 with fb",G34+G35*'Common input data'!$C$8+G36*'Common input data'!$D$8,G34+G35*'Common input data'!$C$9+G36*'Common input data'!$D$9))))</f>
        <v>1.149947423327389</v>
      </c>
      <c r="H33" s="408"/>
      <c r="I33" s="408"/>
      <c r="J33" s="408"/>
      <c r="K33" s="408"/>
      <c r="L33" s="408"/>
      <c r="M33" s="408"/>
      <c r="N33" s="408"/>
      <c r="O33" s="408"/>
      <c r="P33" s="408"/>
      <c r="Q33" s="408"/>
      <c r="R33" s="408"/>
      <c r="S33" s="408"/>
      <c r="T33" s="408"/>
      <c r="U33" s="408"/>
      <c r="V33" s="430"/>
      <c r="W33" s="243"/>
      <c r="X33" s="308"/>
      <c r="Y33" s="308"/>
      <c r="Z33" s="64"/>
      <c r="AA33" s="308"/>
      <c r="AB33" s="308"/>
      <c r="AC33" s="308"/>
      <c r="AD33" s="308"/>
      <c r="AE33" s="308"/>
      <c r="AF33" s="308"/>
      <c r="AG33" s="308"/>
      <c r="AH33" s="308"/>
      <c r="AI33" s="308"/>
      <c r="AJ33" s="308"/>
      <c r="AK33" s="308"/>
      <c r="AL33" s="308"/>
      <c r="AM33" s="308"/>
      <c r="AN33" s="308"/>
      <c r="AO33" s="308"/>
      <c r="AP33" s="308"/>
      <c r="AQ33" s="308"/>
      <c r="AR33" s="308"/>
      <c r="AS33" s="308"/>
      <c r="AT33" s="308"/>
      <c r="AU33" s="308"/>
      <c r="AV33" s="308"/>
      <c r="AW33" s="308"/>
      <c r="AX33" s="308"/>
      <c r="AY33" s="308"/>
      <c r="AZ33" s="308"/>
      <c r="BA33" s="308"/>
      <c r="BB33" s="308"/>
      <c r="BC33" s="308"/>
      <c r="BD33" s="308"/>
      <c r="BE33" s="308"/>
      <c r="BF33" s="308"/>
      <c r="BG33" s="308"/>
      <c r="BH33" s="308"/>
      <c r="BI33" s="308"/>
      <c r="BJ33" s="308"/>
      <c r="BK33" s="308"/>
      <c r="BL33" s="308"/>
      <c r="BM33" s="308"/>
      <c r="BN33" s="308"/>
      <c r="BO33" s="308"/>
      <c r="BP33" s="308"/>
      <c r="BQ33" s="308"/>
      <c r="BR33" s="308"/>
      <c r="BS33" s="308"/>
      <c r="BT33" s="308"/>
      <c r="BU33" s="308"/>
      <c r="BV33" s="308"/>
      <c r="BW33" s="308"/>
      <c r="BX33" s="308"/>
      <c r="BY33" s="308"/>
      <c r="BZ33" s="308"/>
      <c r="CA33" s="308"/>
      <c r="CB33" s="308"/>
      <c r="CC33" s="308"/>
      <c r="CD33" s="308"/>
      <c r="CE33" s="308"/>
      <c r="CF33" s="308"/>
      <c r="CG33" s="308"/>
      <c r="CH33" s="308"/>
      <c r="CI33" s="308"/>
      <c r="CJ33" s="308"/>
      <c r="CK33" s="308"/>
      <c r="CL33" s="308"/>
      <c r="CM33" s="308"/>
      <c r="CN33" s="308"/>
      <c r="CO33" s="308"/>
      <c r="CP33" s="308"/>
      <c r="CQ33" s="308"/>
      <c r="CR33" s="308"/>
      <c r="CS33" s="308"/>
      <c r="CT33" s="308"/>
      <c r="CU33" s="308"/>
      <c r="CV33" s="308"/>
      <c r="CW33" s="308"/>
      <c r="CX33" s="308"/>
      <c r="CY33" s="308"/>
      <c r="CZ33" s="308"/>
      <c r="DA33" s="308"/>
      <c r="DB33" s="308"/>
      <c r="DC33" s="308"/>
      <c r="DD33" s="308"/>
      <c r="DE33" s="308"/>
      <c r="DF33" s="308"/>
      <c r="DG33" s="308"/>
      <c r="DH33" s="308"/>
      <c r="DI33" s="308"/>
      <c r="DJ33" s="308"/>
      <c r="DK33" s="308"/>
      <c r="DL33" s="308"/>
      <c r="DM33" s="308"/>
      <c r="DN33" s="308"/>
      <c r="DO33" s="308"/>
      <c r="DP33" s="308"/>
      <c r="DQ33" s="308"/>
      <c r="DR33" s="308"/>
      <c r="DS33" s="308"/>
      <c r="DT33" s="308"/>
      <c r="DU33" s="308"/>
      <c r="DV33" s="308"/>
      <c r="DW33" s="308"/>
      <c r="DX33" s="308"/>
      <c r="DY33" s="308"/>
      <c r="DZ33" s="308"/>
      <c r="EA33" s="308"/>
      <c r="EB33" s="308"/>
      <c r="EC33" s="308"/>
      <c r="ED33" s="308"/>
      <c r="EE33" s="308"/>
      <c r="EF33" s="308"/>
      <c r="EG33" s="308"/>
      <c r="EH33" s="308"/>
      <c r="EI33" s="308"/>
      <c r="EJ33" s="308"/>
      <c r="EK33" s="308"/>
      <c r="EL33" s="308"/>
      <c r="EM33" s="308"/>
      <c r="EN33" s="308"/>
      <c r="EO33" s="308"/>
      <c r="EP33" s="308"/>
      <c r="EQ33" s="308"/>
      <c r="ER33" s="308"/>
      <c r="ES33" s="308"/>
      <c r="ET33" s="308"/>
      <c r="EU33" s="308"/>
      <c r="EV33" s="308"/>
      <c r="EW33" s="308"/>
      <c r="EX33" s="308"/>
      <c r="EY33" s="308"/>
      <c r="EZ33" s="308"/>
      <c r="FA33" s="308"/>
      <c r="FB33" s="308"/>
      <c r="FC33" s="308"/>
      <c r="FD33" s="308"/>
      <c r="FE33" s="308"/>
      <c r="FF33" s="308"/>
      <c r="FG33" s="308"/>
      <c r="FH33" s="308"/>
      <c r="FI33" s="308"/>
      <c r="FJ33" s="308"/>
      <c r="FK33" s="308"/>
      <c r="FL33" s="308"/>
      <c r="FM33" s="308"/>
      <c r="FN33" s="308"/>
      <c r="FO33" s="308"/>
      <c r="FP33" s="308"/>
      <c r="FQ33" s="308"/>
      <c r="FR33" s="308"/>
      <c r="FS33" s="308"/>
      <c r="FT33" s="308"/>
      <c r="FU33" s="308"/>
      <c r="FV33" s="308"/>
      <c r="FW33" s="308"/>
      <c r="FX33" s="308"/>
      <c r="FY33" s="308"/>
      <c r="FZ33" s="308"/>
      <c r="GA33" s="308"/>
      <c r="GB33" s="308"/>
      <c r="GC33" s="308"/>
      <c r="GD33" s="308"/>
      <c r="GE33" s="308"/>
      <c r="GF33" s="308"/>
      <c r="GG33" s="308"/>
      <c r="GH33" s="308"/>
      <c r="GI33" s="308"/>
      <c r="GJ33" s="308"/>
      <c r="GK33" s="308"/>
      <c r="GL33" s="308"/>
      <c r="GM33" s="308"/>
      <c r="GN33" s="308"/>
      <c r="GO33" s="308"/>
      <c r="GP33" s="308"/>
      <c r="GQ33" s="308"/>
      <c r="GR33" s="308"/>
      <c r="GS33" s="308"/>
      <c r="GT33" s="308"/>
      <c r="GU33" s="308"/>
      <c r="GV33" s="308"/>
      <c r="GW33" s="308"/>
      <c r="GX33" s="308"/>
      <c r="GY33" s="308"/>
      <c r="GZ33" s="308"/>
      <c r="HA33" s="308"/>
      <c r="HB33" s="308"/>
      <c r="HC33" s="308"/>
      <c r="HD33" s="308"/>
      <c r="HE33" s="308"/>
      <c r="HF33" s="308"/>
      <c r="HG33" s="308"/>
      <c r="HH33" s="308"/>
      <c r="HI33" s="308"/>
      <c r="HJ33" s="308"/>
      <c r="HK33" s="308"/>
      <c r="HL33" s="308"/>
      <c r="HM33" s="308"/>
      <c r="HN33" s="308"/>
      <c r="HO33" s="308"/>
      <c r="HP33" s="308"/>
      <c r="HQ33" s="308"/>
      <c r="HR33" s="308"/>
      <c r="HS33" s="308"/>
      <c r="HT33" s="308"/>
      <c r="HU33" s="308"/>
      <c r="HV33" s="308"/>
      <c r="HW33" s="308"/>
      <c r="HX33" s="308"/>
      <c r="HY33" s="308"/>
      <c r="HZ33" s="308"/>
      <c r="IA33" s="308"/>
      <c r="IB33" s="308"/>
      <c r="IC33" s="308"/>
      <c r="ID33" s="308"/>
      <c r="IE33" s="308"/>
      <c r="IF33" s="308"/>
      <c r="IG33" s="308"/>
      <c r="IH33" s="308"/>
      <c r="II33" s="308"/>
      <c r="IJ33" s="308"/>
      <c r="IK33" s="308"/>
      <c r="IL33" s="308"/>
      <c r="IM33" s="308"/>
      <c r="IN33" s="308"/>
      <c r="IO33" s="308"/>
      <c r="IP33" s="308"/>
      <c r="IQ33" s="308"/>
      <c r="IR33" s="308"/>
      <c r="IS33" s="308"/>
      <c r="IT33" s="308"/>
      <c r="IU33" s="308"/>
      <c r="IV33" s="308"/>
      <c r="IW33" s="308"/>
      <c r="IX33" s="308"/>
    </row>
    <row r="34" spans="1:258" s="308" customFormat="1" ht="17.399999999999999" x14ac:dyDescent="0.3">
      <c r="A34" s="84"/>
      <c r="B34" s="64"/>
      <c r="C34" s="64"/>
      <c r="D34" s="83" t="s">
        <v>164</v>
      </c>
      <c r="E34" s="270">
        <f t="shared" ref="E34:G36" si="8">($C$38/($C$38+$C$43))*E39+($C$43/($C$38+$C$43))*E44</f>
        <v>0.11639215058330095</v>
      </c>
      <c r="F34" s="90">
        <f t="shared" si="8"/>
        <v>0.30016948559676998</v>
      </c>
      <c r="G34" s="278">
        <f t="shared" si="8"/>
        <v>0.69935607356264717</v>
      </c>
      <c r="H34" s="90">
        <f t="shared" ref="H34:U34" si="9">($C$38/($C$38+$C$43))*H39+($C$43/($C$38+$C$43))*H44</f>
        <v>4.5564958980748853E-2</v>
      </c>
      <c r="I34" s="90">
        <f t="shared" si="9"/>
        <v>0.03</v>
      </c>
      <c r="J34" s="90">
        <f t="shared" si="9"/>
        <v>0</v>
      </c>
      <c r="K34" s="90">
        <f t="shared" si="9"/>
        <v>0</v>
      </c>
      <c r="L34" s="90">
        <f t="shared" si="9"/>
        <v>3.6243653496896823E-2</v>
      </c>
      <c r="M34" s="90">
        <f t="shared" si="9"/>
        <v>0</v>
      </c>
      <c r="N34" s="90">
        <f t="shared" si="9"/>
        <v>0.02</v>
      </c>
      <c r="O34" s="90">
        <f t="shared" si="9"/>
        <v>3.9147048000000004E-2</v>
      </c>
      <c r="P34" s="90">
        <f t="shared" si="9"/>
        <v>0.108271767984466</v>
      </c>
      <c r="Q34" s="90">
        <f t="shared" si="9"/>
        <v>0</v>
      </c>
      <c r="R34" s="90">
        <f t="shared" si="9"/>
        <v>0.13069034425501674</v>
      </c>
      <c r="S34" s="90">
        <f t="shared" si="9"/>
        <v>0.50919798073392974</v>
      </c>
      <c r="T34" s="90">
        <f t="shared" si="9"/>
        <v>0.05</v>
      </c>
      <c r="U34" s="90">
        <f t="shared" si="9"/>
        <v>0.03</v>
      </c>
      <c r="V34" s="430"/>
      <c r="W34" s="243"/>
      <c r="Z34" s="64"/>
    </row>
    <row r="35" spans="1:258" s="308" customFormat="1" ht="17.399999999999999" x14ac:dyDescent="0.3">
      <c r="A35" s="107"/>
      <c r="B35" s="68"/>
      <c r="C35" s="142"/>
      <c r="D35" s="83" t="s">
        <v>165</v>
      </c>
      <c r="E35" s="270">
        <f t="shared" si="8"/>
        <v>0</v>
      </c>
      <c r="F35" s="90">
        <f t="shared" si="8"/>
        <v>3.2499204739003097E-5</v>
      </c>
      <c r="G35" s="278">
        <f t="shared" si="8"/>
        <v>5.8012931254299768E-5</v>
      </c>
      <c r="H35" s="90">
        <f t="shared" ref="H35:U35" si="10">($C$38/($C$38+$C$43))*H40+($C$43/($C$38+$C$43))*H45</f>
        <v>1.2198804037386272E-10</v>
      </c>
      <c r="I35" s="90">
        <f t="shared" si="10"/>
        <v>0</v>
      </c>
      <c r="J35" s="90">
        <f t="shared" si="10"/>
        <v>0</v>
      </c>
      <c r="K35" s="90">
        <f t="shared" si="10"/>
        <v>0</v>
      </c>
      <c r="L35" s="90">
        <f t="shared" si="10"/>
        <v>1.6054716373822973E-5</v>
      </c>
      <c r="M35" s="90">
        <f t="shared" si="10"/>
        <v>0</v>
      </c>
      <c r="N35" s="90">
        <f t="shared" si="10"/>
        <v>0</v>
      </c>
      <c r="O35" s="90">
        <f t="shared" si="10"/>
        <v>1.4176980000000002E-5</v>
      </c>
      <c r="P35" s="90">
        <f t="shared" si="10"/>
        <v>0</v>
      </c>
      <c r="Q35" s="90">
        <f t="shared" si="10"/>
        <v>0</v>
      </c>
      <c r="R35" s="90">
        <f t="shared" si="10"/>
        <v>8.8566538505897801E-6</v>
      </c>
      <c r="S35" s="90">
        <f t="shared" si="10"/>
        <v>4.8875105605882494E-5</v>
      </c>
      <c r="T35" s="90">
        <f t="shared" si="10"/>
        <v>0</v>
      </c>
      <c r="U35" s="90">
        <f t="shared" si="10"/>
        <v>0</v>
      </c>
      <c r="V35" s="430"/>
      <c r="W35" s="243"/>
      <c r="Z35" s="64"/>
    </row>
    <row r="36" spans="1:258" s="308" customFormat="1" ht="17.399999999999999" x14ac:dyDescent="0.3">
      <c r="A36" s="174"/>
      <c r="B36" s="64"/>
      <c r="C36" s="85"/>
      <c r="D36" s="84" t="s">
        <v>166</v>
      </c>
      <c r="E36" s="270">
        <f t="shared" si="8"/>
        <v>8.7093758704301382E-4</v>
      </c>
      <c r="F36" s="90">
        <f t="shared" si="8"/>
        <v>1.0723567677916183E-3</v>
      </c>
      <c r="G36" s="278">
        <f t="shared" si="8"/>
        <v>1.5054325842352202E-3</v>
      </c>
      <c r="H36" s="90">
        <f t="shared" ref="H36:U36" si="11">($C$38/($C$38+$C$43))*H41+($C$43/($C$38+$C$43))*H46</f>
        <v>1.8507118908585828E-4</v>
      </c>
      <c r="I36" s="90">
        <f t="shared" si="11"/>
        <v>0</v>
      </c>
      <c r="J36" s="90">
        <f t="shared" si="11"/>
        <v>7.3652227234081503E-4</v>
      </c>
      <c r="K36" s="90">
        <f t="shared" si="11"/>
        <v>7.3652227234081505E-5</v>
      </c>
      <c r="L36" s="90">
        <f t="shared" si="11"/>
        <v>9.738811002854257E-7</v>
      </c>
      <c r="M36" s="90">
        <f t="shared" si="11"/>
        <v>0</v>
      </c>
      <c r="N36" s="90">
        <f t="shared" si="11"/>
        <v>0</v>
      </c>
      <c r="O36" s="90">
        <f t="shared" si="11"/>
        <v>1.3216095800000002E-6</v>
      </c>
      <c r="P36" s="90">
        <f t="shared" si="11"/>
        <v>0</v>
      </c>
      <c r="Q36" s="90">
        <f t="shared" si="11"/>
        <v>0</v>
      </c>
      <c r="R36" s="90">
        <f t="shared" si="11"/>
        <v>8.2563695340498041E-7</v>
      </c>
      <c r="S36" s="90">
        <f t="shared" si="11"/>
        <v>1.2683064783350273E-3</v>
      </c>
      <c r="T36" s="90">
        <f t="shared" si="11"/>
        <v>0</v>
      </c>
      <c r="U36" s="90">
        <f t="shared" si="11"/>
        <v>0</v>
      </c>
      <c r="V36" s="430"/>
      <c r="W36" s="243"/>
      <c r="Z36" s="64"/>
    </row>
    <row r="37" spans="1:258" s="422" customFormat="1" ht="17.399999999999999" x14ac:dyDescent="0.3">
      <c r="A37" s="279" t="s">
        <v>63</v>
      </c>
      <c r="B37" s="260"/>
      <c r="C37" s="261"/>
      <c r="D37" s="359"/>
      <c r="E37" s="421"/>
      <c r="F37" s="262"/>
      <c r="G37" s="479"/>
      <c r="H37" s="261"/>
      <c r="I37" s="261"/>
      <c r="J37" s="261"/>
      <c r="K37" s="391"/>
      <c r="L37" s="391"/>
      <c r="M37" s="390"/>
      <c r="N37" s="391"/>
      <c r="O37" s="391"/>
      <c r="P37" s="391"/>
      <c r="Q37" s="391"/>
      <c r="R37" s="391"/>
      <c r="S37" s="391"/>
      <c r="T37" s="391"/>
      <c r="U37" s="391"/>
      <c r="V37" s="430"/>
      <c r="W37" s="243"/>
      <c r="X37" s="308"/>
      <c r="Y37" s="308"/>
      <c r="Z37" s="64"/>
      <c r="AA37" s="308"/>
      <c r="AB37" s="308"/>
      <c r="AC37" s="308"/>
      <c r="AD37" s="308"/>
      <c r="AE37" s="308"/>
      <c r="AF37" s="308"/>
      <c r="AG37" s="308"/>
      <c r="AH37" s="308"/>
      <c r="AI37" s="308"/>
      <c r="AJ37" s="308"/>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8"/>
      <c r="CK37" s="308"/>
      <c r="CL37" s="308"/>
      <c r="CM37" s="308"/>
      <c r="CN37" s="308"/>
      <c r="CO37" s="308"/>
      <c r="CP37" s="308"/>
      <c r="CQ37" s="308"/>
      <c r="CR37" s="308"/>
      <c r="CS37" s="308"/>
      <c r="CT37" s="308"/>
      <c r="CU37" s="308"/>
      <c r="CV37" s="308"/>
      <c r="CW37" s="308"/>
      <c r="CX37" s="308"/>
      <c r="CY37" s="308"/>
      <c r="CZ37" s="308"/>
      <c r="DA37" s="308"/>
      <c r="DB37" s="308"/>
      <c r="DC37" s="308"/>
      <c r="DD37" s="308"/>
      <c r="DE37" s="308"/>
      <c r="DF37" s="308"/>
      <c r="DG37" s="308"/>
      <c r="DH37" s="308"/>
      <c r="DI37" s="308"/>
      <c r="DJ37" s="308"/>
      <c r="DK37" s="308"/>
      <c r="DL37" s="308"/>
      <c r="DM37" s="308"/>
      <c r="DN37" s="308"/>
      <c r="DO37" s="308"/>
      <c r="DP37" s="308"/>
      <c r="DQ37" s="308"/>
      <c r="DR37" s="308"/>
      <c r="DS37" s="308"/>
      <c r="DT37" s="308"/>
      <c r="DU37" s="308"/>
      <c r="DV37" s="308"/>
      <c r="DW37" s="308"/>
      <c r="DX37" s="308"/>
      <c r="DY37" s="308"/>
      <c r="DZ37" s="308"/>
      <c r="EA37" s="308"/>
      <c r="EB37" s="308"/>
      <c r="EC37" s="308"/>
      <c r="ED37" s="308"/>
      <c r="EE37" s="308"/>
      <c r="EF37" s="308"/>
      <c r="EG37" s="308"/>
      <c r="EH37" s="308"/>
      <c r="EI37" s="308"/>
      <c r="EJ37" s="308"/>
      <c r="EK37" s="308"/>
      <c r="EL37" s="308"/>
      <c r="EM37" s="308"/>
      <c r="EN37" s="308"/>
      <c r="EO37" s="308"/>
      <c r="EP37" s="308"/>
      <c r="EQ37" s="308"/>
      <c r="ER37" s="308"/>
      <c r="ES37" s="308"/>
      <c r="ET37" s="308"/>
      <c r="EU37" s="308"/>
      <c r="EV37" s="308"/>
      <c r="EW37" s="308"/>
      <c r="EX37" s="308"/>
      <c r="EY37" s="308"/>
      <c r="EZ37" s="308"/>
      <c r="FA37" s="308"/>
      <c r="FB37" s="308"/>
      <c r="FC37" s="308"/>
      <c r="FD37" s="308"/>
      <c r="FE37" s="308"/>
      <c r="FF37" s="308"/>
      <c r="FG37" s="308"/>
      <c r="FH37" s="308"/>
      <c r="FI37" s="308"/>
      <c r="FJ37" s="308"/>
      <c r="FK37" s="308"/>
      <c r="FL37" s="308"/>
      <c r="FM37" s="308"/>
      <c r="FN37" s="308"/>
      <c r="FO37" s="308"/>
      <c r="FP37" s="308"/>
      <c r="FQ37" s="308"/>
      <c r="FR37" s="308"/>
      <c r="FS37" s="308"/>
      <c r="FT37" s="308"/>
      <c r="FU37" s="308"/>
      <c r="FV37" s="308"/>
      <c r="FW37" s="308"/>
      <c r="FX37" s="308"/>
      <c r="FY37" s="308"/>
      <c r="FZ37" s="308"/>
      <c r="GA37" s="308"/>
      <c r="GB37" s="308"/>
      <c r="GC37" s="308"/>
      <c r="GD37" s="308"/>
      <c r="GE37" s="308"/>
      <c r="GF37" s="308"/>
      <c r="GG37" s="308"/>
      <c r="GH37" s="308"/>
      <c r="GI37" s="308"/>
      <c r="GJ37" s="308"/>
      <c r="GK37" s="308"/>
      <c r="GL37" s="308"/>
      <c r="GM37" s="308"/>
      <c r="GN37" s="308"/>
      <c r="GO37" s="308"/>
      <c r="GP37" s="308"/>
      <c r="GQ37" s="308"/>
      <c r="GR37" s="308"/>
      <c r="GS37" s="308"/>
      <c r="GT37" s="308"/>
      <c r="GU37" s="308"/>
      <c r="GV37" s="308"/>
      <c r="GW37" s="308"/>
      <c r="GX37" s="308"/>
      <c r="GY37" s="308"/>
      <c r="GZ37" s="308"/>
      <c r="HA37" s="308"/>
      <c r="HB37" s="308"/>
      <c r="HC37" s="308"/>
      <c r="HD37" s="308"/>
      <c r="HE37" s="308"/>
      <c r="HF37" s="308"/>
      <c r="HG37" s="308"/>
      <c r="HH37" s="308"/>
      <c r="HI37" s="308"/>
      <c r="HJ37" s="308"/>
      <c r="HK37" s="308"/>
      <c r="HL37" s="308"/>
      <c r="HM37" s="308"/>
      <c r="HN37" s="308"/>
      <c r="HO37" s="308"/>
      <c r="HP37" s="308"/>
      <c r="HQ37" s="308"/>
      <c r="HR37" s="308"/>
      <c r="HS37" s="308"/>
      <c r="HT37" s="308"/>
      <c r="HU37" s="308"/>
      <c r="HV37" s="308"/>
      <c r="HW37" s="308"/>
      <c r="HX37" s="308"/>
      <c r="HY37" s="308"/>
      <c r="HZ37" s="308"/>
      <c r="IA37" s="308"/>
      <c r="IB37" s="308"/>
      <c r="IC37" s="308"/>
      <c r="ID37" s="308"/>
      <c r="IE37" s="308"/>
      <c r="IF37" s="308"/>
      <c r="IG37" s="308"/>
      <c r="IH37" s="308"/>
      <c r="II37" s="308"/>
      <c r="IJ37" s="308"/>
      <c r="IK37" s="308"/>
      <c r="IL37" s="308"/>
      <c r="IM37" s="308"/>
      <c r="IN37" s="308"/>
      <c r="IO37" s="308"/>
      <c r="IP37" s="308"/>
      <c r="IQ37" s="308"/>
      <c r="IR37" s="308"/>
      <c r="IS37" s="308"/>
      <c r="IT37" s="308"/>
      <c r="IU37" s="308"/>
      <c r="IV37" s="308"/>
      <c r="IW37" s="308"/>
      <c r="IX37" s="308"/>
    </row>
    <row r="38" spans="1:258" s="420" customFormat="1" ht="17.399999999999999" x14ac:dyDescent="0.3">
      <c r="A38" s="122" t="s">
        <v>1</v>
      </c>
      <c r="B38" s="132" t="s">
        <v>225</v>
      </c>
      <c r="C38" s="104">
        <f>'Input data plant-based products'!D8</f>
        <v>2.2737130881292727E-3</v>
      </c>
      <c r="D38" s="269" t="s">
        <v>473</v>
      </c>
      <c r="E38" s="320">
        <f>IF($F$1="GWP100 without fb",E39+E40*'Common input data'!$C$5+E41*'Common input data'!$D$5,IF($F$1="GWP100 with fb",E39+E40*'Common input data'!$C$6+E41*'Common input data'!$D$6,IF($F$1="GTP100 without fb",E39+E40*'Common input data'!$C$7+E41*'Common input data'!$D$7,IF($F$1="GTP100 with fb",E39+E40*'Common input data'!$C$8+E41*'Common input data'!$D$8,E39+E40*'Common input data'!$C$9+E41*'Common input data'!$D$9))))</f>
        <v>0.35332048211373046</v>
      </c>
      <c r="F38" s="302">
        <f>IF($F$1="GWP100 without fb",F39+F40*'Common input data'!$C$5+F41*'Common input data'!$D$5,IF($F$1="GWP100 with fb",F39+F40*'Common input data'!$C$6+F41*'Common input data'!$D$6,IF($F$1="GTP100 without fb",F39+F40*'Common input data'!$C$7+F41*'Common input data'!$D$7,IF($F$1="GTP100 with fb",F39+F40*'Common input data'!$C$8+F41*'Common input data'!$D$8,F39+F40*'Common input data'!$C$9+F41*'Common input data'!$D$9))))</f>
        <v>0.58848791184638061</v>
      </c>
      <c r="G38" s="321">
        <f>IF($F$1="GWP100 without fb",G39+G40*'Common input data'!$C$5+G41*'Common input data'!$D$5,IF($F$1="GWP100 with fb",G39+G40*'Common input data'!$C$6+G41*'Common input data'!$D$6,IF($F$1="GTP100 without fb",G39+G40*'Common input data'!$C$7+G41*'Common input data'!$D$7,IF($F$1="GTP100 with fb",G39+G40*'Common input data'!$C$8+G41*'Common input data'!$D$8,G39+G40*'Common input data'!$C$9+G41*'Common input data'!$D$9))))</f>
        <v>1.1045692723432166</v>
      </c>
      <c r="H38" s="102"/>
      <c r="I38" s="102"/>
      <c r="J38" s="102"/>
      <c r="K38" s="102"/>
      <c r="L38" s="102"/>
      <c r="M38" s="102"/>
      <c r="N38" s="102"/>
      <c r="O38" s="102"/>
      <c r="P38" s="102"/>
      <c r="Q38" s="102"/>
      <c r="R38" s="102"/>
      <c r="S38" s="102"/>
      <c r="T38" s="102"/>
      <c r="U38" s="102"/>
      <c r="V38" s="430"/>
      <c r="W38" s="243"/>
      <c r="X38" s="308"/>
      <c r="Y38" s="308"/>
      <c r="Z38" s="64"/>
      <c r="AA38" s="308"/>
      <c r="AB38" s="308"/>
      <c r="AC38" s="308"/>
      <c r="AD38" s="308"/>
      <c r="AE38" s="308"/>
      <c r="AF38" s="308"/>
      <c r="AG38" s="308"/>
      <c r="AH38" s="308"/>
      <c r="AI38" s="308"/>
      <c r="AJ38" s="308"/>
      <c r="AK38" s="308"/>
      <c r="AL38" s="308"/>
      <c r="AM38" s="308"/>
      <c r="AN38" s="308"/>
      <c r="AO38" s="308"/>
      <c r="AP38" s="308"/>
      <c r="AQ38" s="308"/>
      <c r="AR38" s="308"/>
      <c r="AS38" s="308"/>
      <c r="AT38" s="308"/>
      <c r="AU38" s="308"/>
      <c r="AV38" s="308"/>
      <c r="AW38" s="308"/>
      <c r="AX38" s="308"/>
      <c r="AY38" s="308"/>
      <c r="AZ38" s="308"/>
      <c r="BA38" s="308"/>
      <c r="BB38" s="308"/>
      <c r="BC38" s="308"/>
      <c r="BD38" s="308"/>
      <c r="BE38" s="308"/>
      <c r="BF38" s="308"/>
      <c r="BG38" s="308"/>
      <c r="BH38" s="308"/>
      <c r="BI38" s="308"/>
      <c r="BJ38" s="308"/>
      <c r="BK38" s="308"/>
      <c r="BL38" s="308"/>
      <c r="BM38" s="308"/>
      <c r="BN38" s="308"/>
      <c r="BO38" s="308"/>
      <c r="BP38" s="308"/>
      <c r="BQ38" s="308"/>
      <c r="BR38" s="308"/>
      <c r="BS38" s="308"/>
      <c r="BT38" s="308"/>
      <c r="BU38" s="308"/>
      <c r="BV38" s="308"/>
      <c r="BW38" s="308"/>
      <c r="BX38" s="308"/>
      <c r="BY38" s="308"/>
      <c r="BZ38" s="308"/>
      <c r="CA38" s="308"/>
      <c r="CB38" s="308"/>
      <c r="CC38" s="308"/>
      <c r="CD38" s="308"/>
      <c r="CE38" s="308"/>
      <c r="CF38" s="308"/>
      <c r="CG38" s="308"/>
      <c r="CH38" s="308"/>
      <c r="CI38" s="308"/>
      <c r="CJ38" s="308"/>
      <c r="CK38" s="308"/>
      <c r="CL38" s="308"/>
      <c r="CM38" s="308"/>
      <c r="CN38" s="308"/>
      <c r="CO38" s="308"/>
      <c r="CP38" s="308"/>
      <c r="CQ38" s="308"/>
      <c r="CR38" s="308"/>
      <c r="CS38" s="308"/>
      <c r="CT38" s="308"/>
      <c r="CU38" s="308"/>
      <c r="CV38" s="308"/>
      <c r="CW38" s="308"/>
      <c r="CX38" s="308"/>
      <c r="CY38" s="308"/>
      <c r="CZ38" s="308"/>
      <c r="DA38" s="308"/>
      <c r="DB38" s="308"/>
      <c r="DC38" s="308"/>
      <c r="DD38" s="308"/>
      <c r="DE38" s="308"/>
      <c r="DF38" s="308"/>
      <c r="DG38" s="308"/>
      <c r="DH38" s="308"/>
      <c r="DI38" s="308"/>
      <c r="DJ38" s="308"/>
      <c r="DK38" s="308"/>
      <c r="DL38" s="308"/>
      <c r="DM38" s="308"/>
      <c r="DN38" s="308"/>
      <c r="DO38" s="308"/>
      <c r="DP38" s="308"/>
      <c r="DQ38" s="308"/>
      <c r="DR38" s="308"/>
      <c r="DS38" s="308"/>
      <c r="DT38" s="308"/>
      <c r="DU38" s="308"/>
      <c r="DV38" s="308"/>
      <c r="DW38" s="308"/>
      <c r="DX38" s="308"/>
      <c r="DY38" s="308"/>
      <c r="DZ38" s="308"/>
      <c r="EA38" s="308"/>
      <c r="EB38" s="308"/>
      <c r="EC38" s="308"/>
      <c r="ED38" s="308"/>
      <c r="EE38" s="308"/>
      <c r="EF38" s="308"/>
      <c r="EG38" s="308"/>
      <c r="EH38" s="308"/>
      <c r="EI38" s="308"/>
      <c r="EJ38" s="308"/>
      <c r="EK38" s="308"/>
      <c r="EL38" s="308"/>
      <c r="EM38" s="308"/>
      <c r="EN38" s="308"/>
      <c r="EO38" s="308"/>
      <c r="EP38" s="308"/>
      <c r="EQ38" s="308"/>
      <c r="ER38" s="308"/>
      <c r="ES38" s="308"/>
      <c r="ET38" s="308"/>
      <c r="EU38" s="308"/>
      <c r="EV38" s="308"/>
      <c r="EW38" s="308"/>
      <c r="EX38" s="308"/>
      <c r="EY38" s="308"/>
      <c r="EZ38" s="308"/>
      <c r="FA38" s="308"/>
      <c r="FB38" s="308"/>
      <c r="FC38" s="308"/>
      <c r="FD38" s="308"/>
      <c r="FE38" s="308"/>
      <c r="FF38" s="308"/>
      <c r="FG38" s="308"/>
      <c r="FH38" s="308"/>
      <c r="FI38" s="308"/>
      <c r="FJ38" s="308"/>
      <c r="FK38" s="308"/>
      <c r="FL38" s="308"/>
      <c r="FM38" s="308"/>
      <c r="FN38" s="308"/>
      <c r="FO38" s="308"/>
      <c r="FP38" s="308"/>
      <c r="FQ38" s="308"/>
      <c r="FR38" s="308"/>
      <c r="FS38" s="308"/>
      <c r="FT38" s="308"/>
      <c r="FU38" s="308"/>
      <c r="FV38" s="308"/>
      <c r="FW38" s="308"/>
      <c r="FX38" s="308"/>
      <c r="FY38" s="308"/>
      <c r="FZ38" s="308"/>
      <c r="GA38" s="308"/>
      <c r="GB38" s="308"/>
      <c r="GC38" s="308"/>
      <c r="GD38" s="308"/>
      <c r="GE38" s="308"/>
      <c r="GF38" s="308"/>
      <c r="GG38" s="308"/>
      <c r="GH38" s="308"/>
      <c r="GI38" s="308"/>
      <c r="GJ38" s="308"/>
      <c r="GK38" s="308"/>
      <c r="GL38" s="308"/>
      <c r="GM38" s="308"/>
      <c r="GN38" s="308"/>
      <c r="GO38" s="308"/>
      <c r="GP38" s="308"/>
      <c r="GQ38" s="308"/>
      <c r="GR38" s="308"/>
      <c r="GS38" s="308"/>
      <c r="GT38" s="308"/>
      <c r="GU38" s="308"/>
      <c r="GV38" s="308"/>
      <c r="GW38" s="308"/>
      <c r="GX38" s="308"/>
      <c r="GY38" s="308"/>
      <c r="GZ38" s="308"/>
      <c r="HA38" s="308"/>
      <c r="HB38" s="308"/>
      <c r="HC38" s="308"/>
      <c r="HD38" s="308"/>
      <c r="HE38" s="308"/>
      <c r="HF38" s="308"/>
      <c r="HG38" s="308"/>
      <c r="HH38" s="308"/>
      <c r="HI38" s="308"/>
      <c r="HJ38" s="308"/>
      <c r="HK38" s="308"/>
      <c r="HL38" s="308"/>
      <c r="HM38" s="308"/>
      <c r="HN38" s="308"/>
      <c r="HO38" s="308"/>
      <c r="HP38" s="308"/>
      <c r="HQ38" s="308"/>
      <c r="HR38" s="308"/>
      <c r="HS38" s="308"/>
      <c r="HT38" s="308"/>
      <c r="HU38" s="308"/>
      <c r="HV38" s="308"/>
      <c r="HW38" s="308"/>
      <c r="HX38" s="308"/>
      <c r="HY38" s="308"/>
      <c r="HZ38" s="308"/>
      <c r="IA38" s="308"/>
      <c r="IB38" s="308"/>
      <c r="IC38" s="308"/>
      <c r="ID38" s="308"/>
      <c r="IE38" s="308"/>
      <c r="IF38" s="308"/>
      <c r="IG38" s="308"/>
      <c r="IH38" s="308"/>
      <c r="II38" s="308"/>
      <c r="IJ38" s="308"/>
      <c r="IK38" s="308"/>
      <c r="IL38" s="308"/>
      <c r="IM38" s="308"/>
      <c r="IN38" s="308"/>
      <c r="IO38" s="308"/>
      <c r="IP38" s="308"/>
      <c r="IQ38" s="308"/>
      <c r="IR38" s="308"/>
      <c r="IS38" s="308"/>
      <c r="IT38" s="308"/>
      <c r="IU38" s="308"/>
      <c r="IV38" s="308"/>
      <c r="IW38" s="308"/>
      <c r="IX38" s="308"/>
    </row>
    <row r="39" spans="1:258" s="308" customFormat="1" ht="17.399999999999999" x14ac:dyDescent="0.3">
      <c r="A39" s="144"/>
      <c r="B39" s="84"/>
      <c r="C39" s="64"/>
      <c r="D39" s="83" t="s">
        <v>164</v>
      </c>
      <c r="E39" s="270">
        <f>IF(AND($F$2="No",$F$3="No"),SUM(J39:K39)*'Input data plant-based products'!O$120,IF(AND($F$2="Yes", $F$3="No"), (SUM(J39:K39)+Q39)*'Input data plant-based products'!O$120, IF(AND($F$2="No", $F$3="Yes"),(SUM(J39:K39)+P39)*'Input data plant-based products'!O$120, (SUM(J39:K39)+Q39+P39)*'Input data plant-based products'!O$120)))</f>
        <v>0.11639215058330095</v>
      </c>
      <c r="F39" s="90">
        <f>IF(AND($F$2="No",$F$3="No"),SUM(H39:O39)*'Input data plant-based products'!O$120,IF(AND($F$2="Yes", $F$3="No"), (SUM(H39:O39)+Q39)*'Input data plant-based products'!O$120, IF(AND($F$2="No", $F$3="Yes"),(SUM(H39:O39)+P39)*'Input data plant-based products'!O$120, (SUM(H39:O39)+Q39+P39)*'Input data plant-based products'!O$120)))</f>
        <v>0.29183202835544214</v>
      </c>
      <c r="G39" s="278">
        <f>SUM(S39:U39)/(1-'Common input data'!$B$122)</f>
        <v>0.68766050369002629</v>
      </c>
      <c r="H39" s="85">
        <f>('Input data plant-based products'!$F$8*('Common input data'!$B$76*'Common input data'!B69+'Common input data'!$B$77*'Common input data'!C69))/'Input data plant-based products'!$E$8</f>
        <v>4.4618517879236361E-2</v>
      </c>
      <c r="I39" s="90">
        <f>'Common input data'!$B$81</f>
        <v>0.03</v>
      </c>
      <c r="J39" s="85">
        <v>0</v>
      </c>
      <c r="K39" s="85">
        <v>0</v>
      </c>
      <c r="L39" s="85">
        <f>('Input data plant-based products'!$I$8*'Common input data'!$C$59*'Common input data'!H49)/'Input data plant-based products'!$E$8</f>
        <v>2.9434320420429871E-2</v>
      </c>
      <c r="M39" s="90">
        <v>0</v>
      </c>
      <c r="N39" s="90">
        <f>'Input data plant-based products'!G$152</f>
        <v>0.02</v>
      </c>
      <c r="O39" s="90">
        <f>'Input data plant-based products'!$B$120*'Common input data'!$B$59*'Common input data'!B49+'Input data plant-based products'!C$120*'Common input data'!B63</f>
        <v>3.9147048000000004E-2</v>
      </c>
      <c r="P39" s="90">
        <f>'Common input data'!B$13</f>
        <v>0.108271767984466</v>
      </c>
      <c r="Q39" s="90">
        <v>0</v>
      </c>
      <c r="R39" s="85">
        <f>'Input data plant-based products'!$E$120*'Common input data'!$B$59*'Common input data'!B49+'Input data plant-based products'!F$120*'Common input data'!B63</f>
        <v>0.13069034425501674</v>
      </c>
      <c r="S39" s="90">
        <f>(F39+R39)*'Common input data'!$D$28/'Common input data'!$C$28</f>
        <v>0.49934462217599684</v>
      </c>
      <c r="T39" s="90">
        <f>'Common input data'!$B$88</f>
        <v>0.05</v>
      </c>
      <c r="U39" s="90">
        <f>'Common input data'!C$98</f>
        <v>0.03</v>
      </c>
      <c r="V39" s="430"/>
      <c r="W39" s="243"/>
      <c r="Z39" s="64"/>
    </row>
    <row r="40" spans="1:258" s="308" customFormat="1" ht="17.399999999999999" x14ac:dyDescent="0.3">
      <c r="A40" s="107"/>
      <c r="B40" s="84"/>
      <c r="C40" s="142"/>
      <c r="D40" s="83" t="s">
        <v>165</v>
      </c>
      <c r="E40" s="270">
        <f>SUM(J40:K40)*'Input data plant-based products'!O$120</f>
        <v>0</v>
      </c>
      <c r="F40" s="90">
        <f>SUM(H40:O40)*'Input data plant-based products'!O$120</f>
        <v>2.9256674200135321E-5</v>
      </c>
      <c r="G40" s="278">
        <f>SUM(S40:U40)/(1-'Common input data'!$B$122)</f>
        <v>5.3464393086876947E-5</v>
      </c>
      <c r="H40" s="85">
        <f>('Input data plant-based products'!$F$8*('Common input data'!$B$76*'Common input data'!B70+'Common input data'!$B$77*'Common input data'!C70))/'Input data plant-based products'!$E$8</f>
        <v>1.1945419643138121E-10</v>
      </c>
      <c r="I40" s="90">
        <v>0</v>
      </c>
      <c r="J40" s="85">
        <v>0</v>
      </c>
      <c r="K40" s="85">
        <v>0</v>
      </c>
      <c r="L40" s="85">
        <f>('Input data plant-based products'!$I$8*'Common input data'!$C$59*'Common input data'!H50)/'Input data plant-based products'!$E$8</f>
        <v>1.3038411429650378E-5</v>
      </c>
      <c r="M40" s="90">
        <v>0</v>
      </c>
      <c r="N40" s="90">
        <v>0</v>
      </c>
      <c r="O40" s="85">
        <f>'Input data plant-based products'!$B$120*'Common input data'!$B$59*'Common input data'!B50</f>
        <v>1.4176980000000002E-5</v>
      </c>
      <c r="P40" s="85">
        <v>0</v>
      </c>
      <c r="Q40" s="90">
        <v>0</v>
      </c>
      <c r="R40" s="85">
        <f>'Input data plant-based products'!$E$120*'Common input data'!$B$59*'Common input data'!B50</f>
        <v>8.8566538505897801E-6</v>
      </c>
      <c r="S40" s="90">
        <f>(F40+R40)*'Common input data'!$D$28/'Common input data'!$C$28</f>
        <v>4.5043024059947843E-5</v>
      </c>
      <c r="T40" s="90">
        <v>0</v>
      </c>
      <c r="U40" s="90">
        <v>0</v>
      </c>
      <c r="V40" s="430"/>
      <c r="W40" s="243"/>
      <c r="Z40" s="64"/>
    </row>
    <row r="41" spans="1:258" s="308" customFormat="1" ht="17.399999999999999" x14ac:dyDescent="0.3">
      <c r="A41" s="174"/>
      <c r="B41" s="206"/>
      <c r="C41" s="85"/>
      <c r="D41" s="84" t="s">
        <v>166</v>
      </c>
      <c r="E41" s="270">
        <f>SUM(J41:K41)*'Input data plant-based products'!O$120</f>
        <v>7.9506151520278366E-4</v>
      </c>
      <c r="F41" s="90">
        <f>SUM(H41:O41)*'Input data plant-based products'!O$120</f>
        <v>9.9215153210783147E-4</v>
      </c>
      <c r="G41" s="278">
        <f>SUM(S41:U41)/(1-'Common input data'!$B$122)</f>
        <v>1.3929227492893844E-3</v>
      </c>
      <c r="H41" s="85">
        <f>('Input data plant-based products'!$F$8*('Common input data'!$B$76*'Common input data'!B71+'Common input data'!$B$77*'Common input data'!C71))/'Input data plant-based products'!$E$8</f>
        <v>1.8122702936367678E-4</v>
      </c>
      <c r="I41" s="85">
        <v>0</v>
      </c>
      <c r="J41" s="85">
        <f>(SUM('Input data plant-based products'!F8:H8)*'Input data plant-based products'!$B$114*44/28)/'Input data plant-based products'!E8</f>
        <v>6.7235646105943654E-4</v>
      </c>
      <c r="K41" s="90">
        <f>J41*'Input data plant-based products'!$B$115</f>
        <v>6.7235646105943652E-5</v>
      </c>
      <c r="L41" s="85">
        <f>('Input data plant-based products'!$I$8*'Common input data'!$C$59*'Common input data'!H51)/'Input data plant-based products'!$E$8</f>
        <v>7.9091166567013889E-7</v>
      </c>
      <c r="M41" s="90">
        <v>0</v>
      </c>
      <c r="N41" s="90">
        <v>0</v>
      </c>
      <c r="O41" s="85">
        <f>'Input data plant-based products'!$B$120*'Common input data'!$B$59*'Common input data'!B51</f>
        <v>1.32160958E-6</v>
      </c>
      <c r="P41" s="85">
        <v>0</v>
      </c>
      <c r="Q41" s="90">
        <v>0</v>
      </c>
      <c r="R41" s="85">
        <f>'Input data plant-based products'!$E$120*'Common input data'!$B$59*'Common input data'!B51</f>
        <v>8.2563695340498041E-7</v>
      </c>
      <c r="S41" s="90">
        <f>(F41+R41)*'Common input data'!$D$28/'Common input data'!$C$28</f>
        <v>1.1735184725269159E-3</v>
      </c>
      <c r="T41" s="90">
        <v>0</v>
      </c>
      <c r="U41" s="90">
        <v>0</v>
      </c>
      <c r="V41" s="430"/>
      <c r="W41" s="243"/>
      <c r="Z41" s="64"/>
    </row>
    <row r="42" spans="1:258" s="422" customFormat="1" ht="17.399999999999999" x14ac:dyDescent="0.3">
      <c r="A42" s="279" t="s">
        <v>64</v>
      </c>
      <c r="B42" s="260"/>
      <c r="C42" s="261"/>
      <c r="D42" s="359"/>
      <c r="E42" s="421"/>
      <c r="F42" s="262"/>
      <c r="G42" s="479"/>
      <c r="H42" s="261"/>
      <c r="I42" s="261"/>
      <c r="J42" s="261"/>
      <c r="K42" s="391"/>
      <c r="L42" s="391"/>
      <c r="M42" s="390"/>
      <c r="N42" s="391"/>
      <c r="O42" s="391"/>
      <c r="P42" s="391"/>
      <c r="Q42" s="391"/>
      <c r="R42" s="391"/>
      <c r="S42" s="391"/>
      <c r="T42" s="391"/>
      <c r="U42" s="391"/>
      <c r="V42" s="430"/>
      <c r="W42" s="243"/>
      <c r="X42" s="308"/>
      <c r="Y42" s="308"/>
      <c r="Z42" s="64"/>
      <c r="AA42" s="308"/>
      <c r="AB42" s="308"/>
      <c r="AC42" s="308"/>
      <c r="AD42" s="308"/>
      <c r="AE42" s="308"/>
      <c r="AF42" s="308"/>
      <c r="AG42" s="308"/>
      <c r="AH42" s="308"/>
      <c r="AI42" s="308"/>
      <c r="AJ42" s="308"/>
      <c r="AK42" s="308"/>
      <c r="AL42" s="308"/>
      <c r="AM42" s="308"/>
      <c r="AN42" s="308"/>
      <c r="AO42" s="308"/>
      <c r="AP42" s="308"/>
      <c r="AQ42" s="308"/>
      <c r="AR42" s="308"/>
      <c r="AS42" s="308"/>
      <c r="AT42" s="308"/>
      <c r="AU42" s="308"/>
      <c r="AV42" s="308"/>
      <c r="AW42" s="308"/>
      <c r="AX42" s="308"/>
      <c r="AY42" s="308"/>
      <c r="AZ42" s="308"/>
      <c r="BA42" s="308"/>
      <c r="BB42" s="308"/>
      <c r="BC42" s="308"/>
      <c r="BD42" s="308"/>
      <c r="BE42" s="308"/>
      <c r="BF42" s="308"/>
      <c r="BG42" s="308"/>
      <c r="BH42" s="308"/>
      <c r="BI42" s="308"/>
      <c r="BJ42" s="308"/>
      <c r="BK42" s="308"/>
      <c r="BL42" s="308"/>
      <c r="BM42" s="308"/>
      <c r="BN42" s="308"/>
      <c r="BO42" s="308"/>
      <c r="BP42" s="308"/>
      <c r="BQ42" s="308"/>
      <c r="BR42" s="308"/>
      <c r="BS42" s="308"/>
      <c r="BT42" s="308"/>
      <c r="BU42" s="308"/>
      <c r="BV42" s="308"/>
      <c r="BW42" s="308"/>
      <c r="BX42" s="308"/>
      <c r="BY42" s="308"/>
      <c r="BZ42" s="308"/>
      <c r="CA42" s="308"/>
      <c r="CB42" s="308"/>
      <c r="CC42" s="308"/>
      <c r="CD42" s="308"/>
      <c r="CE42" s="308"/>
      <c r="CF42" s="308"/>
      <c r="CG42" s="308"/>
      <c r="CH42" s="308"/>
      <c r="CI42" s="308"/>
      <c r="CJ42" s="308"/>
      <c r="CK42" s="308"/>
      <c r="CL42" s="308"/>
      <c r="CM42" s="308"/>
      <c r="CN42" s="308"/>
      <c r="CO42" s="308"/>
      <c r="CP42" s="308"/>
      <c r="CQ42" s="308"/>
      <c r="CR42" s="308"/>
      <c r="CS42" s="308"/>
      <c r="CT42" s="308"/>
      <c r="CU42" s="308"/>
      <c r="CV42" s="308"/>
      <c r="CW42" s="308"/>
      <c r="CX42" s="308"/>
      <c r="CY42" s="308"/>
      <c r="CZ42" s="308"/>
      <c r="DA42" s="308"/>
      <c r="DB42" s="308"/>
      <c r="DC42" s="308"/>
      <c r="DD42" s="308"/>
      <c r="DE42" s="308"/>
      <c r="DF42" s="308"/>
      <c r="DG42" s="308"/>
      <c r="DH42" s="308"/>
      <c r="DI42" s="308"/>
      <c r="DJ42" s="308"/>
      <c r="DK42" s="308"/>
      <c r="DL42" s="308"/>
      <c r="DM42" s="308"/>
      <c r="DN42" s="308"/>
      <c r="DO42" s="308"/>
      <c r="DP42" s="308"/>
      <c r="DQ42" s="308"/>
      <c r="DR42" s="308"/>
      <c r="DS42" s="308"/>
      <c r="DT42" s="308"/>
      <c r="DU42" s="308"/>
      <c r="DV42" s="308"/>
      <c r="DW42" s="308"/>
      <c r="DX42" s="308"/>
      <c r="DY42" s="308"/>
      <c r="DZ42" s="308"/>
      <c r="EA42" s="308"/>
      <c r="EB42" s="308"/>
      <c r="EC42" s="308"/>
      <c r="ED42" s="308"/>
      <c r="EE42" s="308"/>
      <c r="EF42" s="308"/>
      <c r="EG42" s="308"/>
      <c r="EH42" s="308"/>
      <c r="EI42" s="308"/>
      <c r="EJ42" s="308"/>
      <c r="EK42" s="308"/>
      <c r="EL42" s="308"/>
      <c r="EM42" s="308"/>
      <c r="EN42" s="308"/>
      <c r="EO42" s="308"/>
      <c r="EP42" s="308"/>
      <c r="EQ42" s="308"/>
      <c r="ER42" s="308"/>
      <c r="ES42" s="308"/>
      <c r="ET42" s="308"/>
      <c r="EU42" s="308"/>
      <c r="EV42" s="308"/>
      <c r="EW42" s="308"/>
      <c r="EX42" s="308"/>
      <c r="EY42" s="308"/>
      <c r="EZ42" s="308"/>
      <c r="FA42" s="308"/>
      <c r="FB42" s="308"/>
      <c r="FC42" s="308"/>
      <c r="FD42" s="308"/>
      <c r="FE42" s="308"/>
      <c r="FF42" s="308"/>
      <c r="FG42" s="308"/>
      <c r="FH42" s="308"/>
      <c r="FI42" s="308"/>
      <c r="FJ42" s="308"/>
      <c r="FK42" s="308"/>
      <c r="FL42" s="308"/>
      <c r="FM42" s="308"/>
      <c r="FN42" s="308"/>
      <c r="FO42" s="308"/>
      <c r="FP42" s="308"/>
      <c r="FQ42" s="308"/>
      <c r="FR42" s="308"/>
      <c r="FS42" s="308"/>
      <c r="FT42" s="308"/>
      <c r="FU42" s="308"/>
      <c r="FV42" s="308"/>
      <c r="FW42" s="308"/>
      <c r="FX42" s="308"/>
      <c r="FY42" s="308"/>
      <c r="FZ42" s="308"/>
      <c r="GA42" s="308"/>
      <c r="GB42" s="308"/>
      <c r="GC42" s="308"/>
      <c r="GD42" s="308"/>
      <c r="GE42" s="308"/>
      <c r="GF42" s="308"/>
      <c r="GG42" s="308"/>
      <c r="GH42" s="308"/>
      <c r="GI42" s="308"/>
      <c r="GJ42" s="308"/>
      <c r="GK42" s="308"/>
      <c r="GL42" s="308"/>
      <c r="GM42" s="308"/>
      <c r="GN42" s="308"/>
      <c r="GO42" s="308"/>
      <c r="GP42" s="308"/>
      <c r="GQ42" s="308"/>
      <c r="GR42" s="308"/>
      <c r="GS42" s="308"/>
      <c r="GT42" s="308"/>
      <c r="GU42" s="308"/>
      <c r="GV42" s="308"/>
      <c r="GW42" s="308"/>
      <c r="GX42" s="308"/>
      <c r="GY42" s="308"/>
      <c r="GZ42" s="308"/>
      <c r="HA42" s="308"/>
      <c r="HB42" s="308"/>
      <c r="HC42" s="308"/>
      <c r="HD42" s="308"/>
      <c r="HE42" s="308"/>
      <c r="HF42" s="308"/>
      <c r="HG42" s="308"/>
      <c r="HH42" s="308"/>
      <c r="HI42" s="308"/>
      <c r="HJ42" s="308"/>
      <c r="HK42" s="308"/>
      <c r="HL42" s="308"/>
      <c r="HM42" s="308"/>
      <c r="HN42" s="308"/>
      <c r="HO42" s="308"/>
      <c r="HP42" s="308"/>
      <c r="HQ42" s="308"/>
      <c r="HR42" s="308"/>
      <c r="HS42" s="308"/>
      <c r="HT42" s="308"/>
      <c r="HU42" s="308"/>
      <c r="HV42" s="308"/>
      <c r="HW42" s="308"/>
      <c r="HX42" s="308"/>
      <c r="HY42" s="308"/>
      <c r="HZ42" s="308"/>
      <c r="IA42" s="308"/>
      <c r="IB42" s="308"/>
      <c r="IC42" s="308"/>
      <c r="ID42" s="308"/>
      <c r="IE42" s="308"/>
      <c r="IF42" s="308"/>
      <c r="IG42" s="308"/>
      <c r="IH42" s="308"/>
      <c r="II42" s="308"/>
      <c r="IJ42" s="308"/>
      <c r="IK42" s="308"/>
      <c r="IL42" s="308"/>
      <c r="IM42" s="308"/>
      <c r="IN42" s="308"/>
      <c r="IO42" s="308"/>
      <c r="IP42" s="308"/>
      <c r="IQ42" s="308"/>
      <c r="IR42" s="308"/>
      <c r="IS42" s="308"/>
      <c r="IT42" s="308"/>
      <c r="IU42" s="308"/>
      <c r="IV42" s="308"/>
      <c r="IW42" s="308"/>
      <c r="IX42" s="308"/>
    </row>
    <row r="43" spans="1:258" s="420" customFormat="1" ht="17.399999999999999" x14ac:dyDescent="0.3">
      <c r="A43" s="122" t="s">
        <v>1</v>
      </c>
      <c r="B43" s="132" t="s">
        <v>225</v>
      </c>
      <c r="C43" s="104">
        <f>'Input data plant-based products'!D9</f>
        <v>4.9265312195857537E-2</v>
      </c>
      <c r="D43" s="269" t="s">
        <v>473</v>
      </c>
      <c r="E43" s="320">
        <f>IF($F$1="GWP100 without fb",E44+E45*'Common input data'!$C$5+E46*'Common input data'!$D$5,IF($F$1="GWP100 with fb",E44+E45*'Common input data'!$C$6+E46*'Common input data'!$D$6,IF($F$1="GTP100 without fb",E44+E45*'Common input data'!$C$7+E46*'Common input data'!$D$7,IF($F$1="GTP100 with fb",E44+E45*'Common input data'!$C$8+E46*'Common input data'!$D$8,E44+E45*'Common input data'!$C$9+E46*'Common input data'!$D$9))))</f>
        <v>0.3769751069601941</v>
      </c>
      <c r="F43" s="302">
        <f>IF($F$1="GWP100 without fb",F44+F45*'Common input data'!$C$5+F46*'Common input data'!$D$5,IF($F$1="GWP100 with fb",F44+F45*'Common input data'!$C$6+F46*'Common input data'!$D$6,IF($F$1="GTP100 without fb",F44+F45*'Common input data'!$C$7+F46*'Common input data'!$D$7,IF($F$1="GTP100 with fb",F44+F45*'Common input data'!$C$8+F46*'Common input data'!$D$8,F44+F45*'Common input data'!$C$9+F46*'Common input data'!$D$9))))</f>
        <v>0.62232975350361186</v>
      </c>
      <c r="G43" s="321">
        <f>IF($F$1="GWP100 without fb",G44+G45*'Common input data'!$C$5+G46*'Common input data'!$D$5,IF($F$1="GWP100 with fb",G44+G45*'Common input data'!$C$6+G46*'Common input data'!$D$6,IF($F$1="GTP100 without fb",G44+G45*'Common input data'!$C$7+G46*'Common input data'!$D$7,IF($F$1="GTP100 with fb",G44+G45*'Common input data'!$C$8+G46*'Common input data'!$D$8,G44+G45*'Common input data'!$C$9+G46*'Common input data'!$D$9))))</f>
        <v>1.1520417345416898</v>
      </c>
      <c r="H43" s="102"/>
      <c r="I43" s="102"/>
      <c r="J43" s="102"/>
      <c r="K43" s="102"/>
      <c r="L43" s="102"/>
      <c r="M43" s="102"/>
      <c r="N43" s="102"/>
      <c r="O43" s="102"/>
      <c r="P43" s="102"/>
      <c r="Q43" s="102"/>
      <c r="R43" s="102"/>
      <c r="S43" s="102"/>
      <c r="T43" s="102"/>
      <c r="U43" s="102"/>
      <c r="V43" s="430"/>
      <c r="W43" s="243"/>
      <c r="X43" s="308"/>
      <c r="Y43" s="308"/>
      <c r="Z43" s="64"/>
      <c r="AA43" s="308"/>
      <c r="AB43" s="308"/>
      <c r="AC43" s="308"/>
      <c r="AD43" s="308"/>
      <c r="AE43" s="308"/>
      <c r="AF43" s="308"/>
      <c r="AG43" s="308"/>
      <c r="AH43" s="308"/>
      <c r="AI43" s="308"/>
      <c r="AJ43" s="308"/>
      <c r="AK43" s="308"/>
      <c r="AL43" s="308"/>
      <c r="AM43" s="308"/>
      <c r="AN43" s="308"/>
      <c r="AO43" s="308"/>
      <c r="AP43" s="308"/>
      <c r="AQ43" s="308"/>
      <c r="AR43" s="308"/>
      <c r="AS43" s="308"/>
      <c r="AT43" s="308"/>
      <c r="AU43" s="308"/>
      <c r="AV43" s="308"/>
      <c r="AW43" s="308"/>
      <c r="AX43" s="308"/>
      <c r="AY43" s="308"/>
      <c r="AZ43" s="308"/>
      <c r="BA43" s="308"/>
      <c r="BB43" s="308"/>
      <c r="BC43" s="308"/>
      <c r="BD43" s="308"/>
      <c r="BE43" s="308"/>
      <c r="BF43" s="308"/>
      <c r="BG43" s="308"/>
      <c r="BH43" s="308"/>
      <c r="BI43" s="308"/>
      <c r="BJ43" s="308"/>
      <c r="BK43" s="308"/>
      <c r="BL43" s="308"/>
      <c r="BM43" s="308"/>
      <c r="BN43" s="308"/>
      <c r="BO43" s="308"/>
      <c r="BP43" s="308"/>
      <c r="BQ43" s="308"/>
      <c r="BR43" s="308"/>
      <c r="BS43" s="308"/>
      <c r="BT43" s="308"/>
      <c r="BU43" s="308"/>
      <c r="BV43" s="308"/>
      <c r="BW43" s="308"/>
      <c r="BX43" s="308"/>
      <c r="BY43" s="308"/>
      <c r="BZ43" s="308"/>
      <c r="CA43" s="308"/>
      <c r="CB43" s="308"/>
      <c r="CC43" s="308"/>
      <c r="CD43" s="308"/>
      <c r="CE43" s="308"/>
      <c r="CF43" s="308"/>
      <c r="CG43" s="308"/>
      <c r="CH43" s="308"/>
      <c r="CI43" s="308"/>
      <c r="CJ43" s="308"/>
      <c r="CK43" s="308"/>
      <c r="CL43" s="308"/>
      <c r="CM43" s="308"/>
      <c r="CN43" s="308"/>
      <c r="CO43" s="308"/>
      <c r="CP43" s="308"/>
      <c r="CQ43" s="308"/>
      <c r="CR43" s="308"/>
      <c r="CS43" s="308"/>
      <c r="CT43" s="308"/>
      <c r="CU43" s="308"/>
      <c r="CV43" s="308"/>
      <c r="CW43" s="308"/>
      <c r="CX43" s="308"/>
      <c r="CY43" s="308"/>
      <c r="CZ43" s="308"/>
      <c r="DA43" s="308"/>
      <c r="DB43" s="308"/>
      <c r="DC43" s="308"/>
      <c r="DD43" s="308"/>
      <c r="DE43" s="308"/>
      <c r="DF43" s="308"/>
      <c r="DG43" s="308"/>
      <c r="DH43" s="308"/>
      <c r="DI43" s="308"/>
      <c r="DJ43" s="308"/>
      <c r="DK43" s="308"/>
      <c r="DL43" s="308"/>
      <c r="DM43" s="308"/>
      <c r="DN43" s="308"/>
      <c r="DO43" s="308"/>
      <c r="DP43" s="308"/>
      <c r="DQ43" s="308"/>
      <c r="DR43" s="308"/>
      <c r="DS43" s="308"/>
      <c r="DT43" s="308"/>
      <c r="DU43" s="308"/>
      <c r="DV43" s="308"/>
      <c r="DW43" s="308"/>
      <c r="DX43" s="308"/>
      <c r="DY43" s="308"/>
      <c r="DZ43" s="308"/>
      <c r="EA43" s="308"/>
      <c r="EB43" s="308"/>
      <c r="EC43" s="308"/>
      <c r="ED43" s="308"/>
      <c r="EE43" s="308"/>
      <c r="EF43" s="308"/>
      <c r="EG43" s="308"/>
      <c r="EH43" s="308"/>
      <c r="EI43" s="308"/>
      <c r="EJ43" s="308"/>
      <c r="EK43" s="308"/>
      <c r="EL43" s="308"/>
      <c r="EM43" s="308"/>
      <c r="EN43" s="308"/>
      <c r="EO43" s="308"/>
      <c r="EP43" s="308"/>
      <c r="EQ43" s="308"/>
      <c r="ER43" s="308"/>
      <c r="ES43" s="308"/>
      <c r="ET43" s="308"/>
      <c r="EU43" s="308"/>
      <c r="EV43" s="308"/>
      <c r="EW43" s="308"/>
      <c r="EX43" s="308"/>
      <c r="EY43" s="308"/>
      <c r="EZ43" s="308"/>
      <c r="FA43" s="308"/>
      <c r="FB43" s="308"/>
      <c r="FC43" s="308"/>
      <c r="FD43" s="308"/>
      <c r="FE43" s="308"/>
      <c r="FF43" s="308"/>
      <c r="FG43" s="308"/>
      <c r="FH43" s="308"/>
      <c r="FI43" s="308"/>
      <c r="FJ43" s="308"/>
      <c r="FK43" s="308"/>
      <c r="FL43" s="308"/>
      <c r="FM43" s="308"/>
      <c r="FN43" s="308"/>
      <c r="FO43" s="308"/>
      <c r="FP43" s="308"/>
      <c r="FQ43" s="308"/>
      <c r="FR43" s="308"/>
      <c r="FS43" s="308"/>
      <c r="FT43" s="308"/>
      <c r="FU43" s="308"/>
      <c r="FV43" s="308"/>
      <c r="FW43" s="308"/>
      <c r="FX43" s="308"/>
      <c r="FY43" s="308"/>
      <c r="FZ43" s="308"/>
      <c r="GA43" s="308"/>
      <c r="GB43" s="308"/>
      <c r="GC43" s="308"/>
      <c r="GD43" s="308"/>
      <c r="GE43" s="308"/>
      <c r="GF43" s="308"/>
      <c r="GG43" s="308"/>
      <c r="GH43" s="308"/>
      <c r="GI43" s="308"/>
      <c r="GJ43" s="308"/>
      <c r="GK43" s="308"/>
      <c r="GL43" s="308"/>
      <c r="GM43" s="308"/>
      <c r="GN43" s="308"/>
      <c r="GO43" s="308"/>
      <c r="GP43" s="308"/>
      <c r="GQ43" s="308"/>
      <c r="GR43" s="308"/>
      <c r="GS43" s="308"/>
      <c r="GT43" s="308"/>
      <c r="GU43" s="308"/>
      <c r="GV43" s="308"/>
      <c r="GW43" s="308"/>
      <c r="GX43" s="308"/>
      <c r="GY43" s="308"/>
      <c r="GZ43" s="308"/>
      <c r="HA43" s="308"/>
      <c r="HB43" s="308"/>
      <c r="HC43" s="308"/>
      <c r="HD43" s="308"/>
      <c r="HE43" s="308"/>
      <c r="HF43" s="308"/>
      <c r="HG43" s="308"/>
      <c r="HH43" s="308"/>
      <c r="HI43" s="308"/>
      <c r="HJ43" s="308"/>
      <c r="HK43" s="308"/>
      <c r="HL43" s="308"/>
      <c r="HM43" s="308"/>
      <c r="HN43" s="308"/>
      <c r="HO43" s="308"/>
      <c r="HP43" s="308"/>
      <c r="HQ43" s="308"/>
      <c r="HR43" s="308"/>
      <c r="HS43" s="308"/>
      <c r="HT43" s="308"/>
      <c r="HU43" s="308"/>
      <c r="HV43" s="308"/>
      <c r="HW43" s="308"/>
      <c r="HX43" s="308"/>
      <c r="HY43" s="308"/>
      <c r="HZ43" s="308"/>
      <c r="IA43" s="308"/>
      <c r="IB43" s="308"/>
      <c r="IC43" s="308"/>
      <c r="ID43" s="308"/>
      <c r="IE43" s="308"/>
      <c r="IF43" s="308"/>
      <c r="IG43" s="308"/>
      <c r="IH43" s="308"/>
      <c r="II43" s="308"/>
      <c r="IJ43" s="308"/>
      <c r="IK43" s="308"/>
      <c r="IL43" s="308"/>
      <c r="IM43" s="308"/>
      <c r="IN43" s="308"/>
      <c r="IO43" s="308"/>
      <c r="IP43" s="308"/>
      <c r="IQ43" s="308"/>
      <c r="IR43" s="308"/>
      <c r="IS43" s="308"/>
      <c r="IT43" s="308"/>
      <c r="IU43" s="308"/>
      <c r="IV43" s="308"/>
      <c r="IW43" s="308"/>
      <c r="IX43" s="308"/>
    </row>
    <row r="44" spans="1:258" s="308" customFormat="1" ht="17.399999999999999" x14ac:dyDescent="0.3">
      <c r="A44" s="144"/>
      <c r="B44" s="84"/>
      <c r="C44" s="64"/>
      <c r="D44" s="83" t="s">
        <v>164</v>
      </c>
      <c r="E44" s="270">
        <f>IF(AND($F$2="No",$F$3="No"),SUM(J44:K44)*'Input data plant-based products'!O$120,IF(AND($F$2="Yes", $F$3="No"), (SUM(J44:K44)+Q44)*'Input data plant-based products'!O$120, IF(AND($F$2="No", $F$3="Yes"),(SUM(J44:K44)+P44)*'Input data plant-based products'!O$120, (SUM(J44:K44)+Q44+P44)*'Input data plant-based products'!O$120)))</f>
        <v>0.11639215058330095</v>
      </c>
      <c r="F44" s="90">
        <f>IF(AND($F$2="No",$F$3="No"),SUM(H44:O44)*'Input data plant-based products'!O$120,IF(AND($F$2="Yes", $F$3="No"), (SUM(H44:O44)+Q44)*'Input data plant-based products'!O$120, IF(AND($F$2="No", $F$3="Yes"),(SUM(H44:O44)+P44)*'Input data plant-based products'!O$120, (SUM(H44:O44)+Q44+P44)*'Input data plant-based products'!O$120)))</f>
        <v>0.30055427937572665</v>
      </c>
      <c r="G44" s="278">
        <f>SUM(S44:U44)/(1-'Common input data'!$B$122)</f>
        <v>0.69989585234628282</v>
      </c>
      <c r="H44" s="85">
        <f>('Input data plant-based products'!$F$9*('Common input data'!$B$76*'Common input data'!B69+'Common input data'!$B$77*'Common input data'!C69))/'Input data plant-based products'!$E$9</f>
        <v>4.560863952236599E-2</v>
      </c>
      <c r="I44" s="90">
        <f>'Common input data'!$B$81</f>
        <v>0.03</v>
      </c>
      <c r="J44" s="85">
        <v>0</v>
      </c>
      <c r="K44" s="85">
        <v>0</v>
      </c>
      <c r="L44" s="85">
        <f>('Input data plant-based products'!$I$9*'Common input data'!$C$59*'Common input data'!H49)/'Input data plant-based products'!$E$9</f>
        <v>3.6557920656634747E-2</v>
      </c>
      <c r="M44" s="90">
        <v>0</v>
      </c>
      <c r="N44" s="90">
        <f>'Input data plant-based products'!G$152</f>
        <v>0.02</v>
      </c>
      <c r="O44" s="85">
        <f>'Input data plant-based products'!$B$120*'Common input data'!$B$59*'Common input data'!B49+'Input data plant-based products'!C$120*'Common input data'!B63</f>
        <v>3.9147048000000004E-2</v>
      </c>
      <c r="P44" s="90">
        <f>'Common input data'!B$13</f>
        <v>0.108271767984466</v>
      </c>
      <c r="Q44" s="90">
        <v>0</v>
      </c>
      <c r="R44" s="85">
        <f>'Input data plant-based products'!$E$120*'Common input data'!$B$59*'Common input data'!B49+'Input data plant-based products'!F$120*'Common input data'!B63</f>
        <v>0.13069034425501674</v>
      </c>
      <c r="S44" s="90">
        <f>(F44+R44)*'Common input data'!$D$28/'Common input data'!$C$28</f>
        <v>0.50965273701815128</v>
      </c>
      <c r="T44" s="90">
        <f>'Common input data'!$B$88</f>
        <v>0.05</v>
      </c>
      <c r="U44" s="90">
        <f>'Common input data'!C$98</f>
        <v>0.03</v>
      </c>
      <c r="V44" s="430"/>
      <c r="W44" s="243"/>
      <c r="Z44" s="64"/>
    </row>
    <row r="45" spans="1:258" s="308" customFormat="1" ht="17.399999999999999" x14ac:dyDescent="0.3">
      <c r="A45" s="107"/>
      <c r="B45" s="84"/>
      <c r="C45" s="142"/>
      <c r="D45" s="83" t="s">
        <v>165</v>
      </c>
      <c r="E45" s="270">
        <f>SUM(J45:K45)*'Input data plant-based products'!O$120</f>
        <v>0</v>
      </c>
      <c r="F45" s="90">
        <f>SUM(H45:O45)*'Input data plant-based products'!O$120</f>
        <v>3.2648855351092435E-5</v>
      </c>
      <c r="G45" s="278">
        <f>SUM(S45:U45)/(1-'Common input data'!$B$122)</f>
        <v>5.8222857271250785E-5</v>
      </c>
      <c r="H45" s="85">
        <f>('Input data plant-based products'!$F$9*('Common input data'!$B$76*'Common input data'!B70+'Common input data'!$B$77*'Common input data'!C70))/'Input data plant-based products'!$E$9</f>
        <v>1.2210498338870433E-10</v>
      </c>
      <c r="I45" s="90">
        <v>0</v>
      </c>
      <c r="J45" s="85">
        <v>0</v>
      </c>
      <c r="K45" s="85">
        <v>0</v>
      </c>
      <c r="L45" s="85">
        <f>('Input data plant-based products'!$I$9*'Common input data'!$C$59*'Common input data'!H50)/'Input data plant-based products'!$E$9</f>
        <v>1.6193926128590971E-5</v>
      </c>
      <c r="M45" s="90">
        <v>0</v>
      </c>
      <c r="N45" s="90">
        <v>0</v>
      </c>
      <c r="O45" s="85">
        <f>'Input data plant-based products'!$B$120*'Common input data'!$B$59*'Common input data'!B50</f>
        <v>1.4176980000000002E-5</v>
      </c>
      <c r="P45" s="85">
        <v>0</v>
      </c>
      <c r="Q45" s="90">
        <v>0</v>
      </c>
      <c r="R45" s="85">
        <f>'Input data plant-based products'!$E$120*'Common input data'!$B$59*'Common input data'!B50</f>
        <v>8.8566538505897801E-6</v>
      </c>
      <c r="S45" s="90">
        <f>(F45+R45)*'Common input data'!$D$28/'Common input data'!$C$28</f>
        <v>4.9051965420169895E-5</v>
      </c>
      <c r="T45" s="90">
        <v>0</v>
      </c>
      <c r="U45" s="90">
        <v>0</v>
      </c>
      <c r="V45" s="430"/>
      <c r="W45" s="243"/>
      <c r="Z45" s="64"/>
    </row>
    <row r="46" spans="1:258" s="308" customFormat="1" ht="17.399999999999999" x14ac:dyDescent="0.3">
      <c r="A46" s="174"/>
      <c r="B46" s="206"/>
      <c r="C46" s="85"/>
      <c r="D46" s="84" t="s">
        <v>166</v>
      </c>
      <c r="E46" s="780">
        <f>SUM(J46:K46)*'Input data plant-based products'!O$120</f>
        <v>8.7443945092917168E-4</v>
      </c>
      <c r="F46" s="108">
        <f>SUM(H46:O46)*'Input data plant-based products'!O$120</f>
        <v>1.076058433040094E-3</v>
      </c>
      <c r="G46" s="521">
        <f>SUM(S46:U46)/(1-'Common input data'!$B$122)</f>
        <v>1.5106251847254515E-3</v>
      </c>
      <c r="H46" s="85">
        <f>('Input data plant-based products'!$F$9*('Common input data'!$B$76*'Common input data'!B71+'Common input data'!$B$77*'Common input data'!C71))/'Input data plant-based products'!$E$9</f>
        <v>1.852486063371371E-4</v>
      </c>
      <c r="I46" s="85">
        <v>0</v>
      </c>
      <c r="J46" s="85">
        <f>(SUM('Input data plant-based products'!F9:H9)*'Input data plant-based products'!$B$114*44/28)/'Input data plant-based products'!E9</f>
        <v>7.3948367943270333E-4</v>
      </c>
      <c r="K46" s="90">
        <f>J46*'Input data plant-based products'!$B$115</f>
        <v>7.3948367943270338E-5</v>
      </c>
      <c r="L46" s="85">
        <f>('Input data plant-based products'!$I$9*'Common input data'!$C$59*'Common input data'!H51)/'Input data plant-based products'!$E$9</f>
        <v>9.8232558139534886E-7</v>
      </c>
      <c r="M46" s="90">
        <v>0</v>
      </c>
      <c r="N46" s="90">
        <v>0</v>
      </c>
      <c r="O46" s="85">
        <f>'Input data plant-based products'!$B$120*'Common input data'!$B$59*'Common input data'!B51</f>
        <v>1.32160958E-6</v>
      </c>
      <c r="P46" s="85">
        <v>0</v>
      </c>
      <c r="Q46" s="90">
        <v>0</v>
      </c>
      <c r="R46" s="85">
        <f>'Input data plant-based products'!$E$120*'Common input data'!$B$59*'Common input data'!B51</f>
        <v>8.2563695340498041E-7</v>
      </c>
      <c r="S46" s="90">
        <f>(F46+R46)*'Common input data'!$D$28/'Common input data'!$C$28</f>
        <v>1.2726811736286806E-3</v>
      </c>
      <c r="T46" s="90">
        <v>0</v>
      </c>
      <c r="U46" s="90">
        <v>0</v>
      </c>
      <c r="V46" s="430"/>
      <c r="W46" s="243"/>
      <c r="Z46" s="64"/>
    </row>
    <row r="47" spans="1:258" s="427" customFormat="1" ht="17.399999999999999" x14ac:dyDescent="0.3">
      <c r="A47" s="426" t="s">
        <v>628</v>
      </c>
      <c r="B47" s="412"/>
      <c r="C47" s="413"/>
      <c r="D47" s="414"/>
      <c r="E47" s="767" t="s">
        <v>1448</v>
      </c>
      <c r="F47" s="768" t="s">
        <v>1448</v>
      </c>
      <c r="G47" s="590" t="s">
        <v>1449</v>
      </c>
      <c r="H47" s="413"/>
      <c r="I47" s="413"/>
      <c r="J47" s="413"/>
      <c r="K47" s="416"/>
      <c r="L47" s="416"/>
      <c r="M47" s="417"/>
      <c r="N47" s="416"/>
      <c r="O47" s="416"/>
      <c r="P47" s="416"/>
      <c r="Q47" s="416"/>
      <c r="R47" s="416"/>
      <c r="S47" s="416"/>
      <c r="T47" s="416"/>
      <c r="U47" s="416"/>
      <c r="V47" s="430"/>
      <c r="W47" s="243"/>
      <c r="X47" s="308"/>
      <c r="Y47" s="308"/>
      <c r="Z47" s="64"/>
      <c r="AA47" s="308"/>
      <c r="AB47" s="308"/>
      <c r="AC47" s="308"/>
      <c r="AD47" s="308"/>
      <c r="AE47" s="308"/>
      <c r="AF47" s="308"/>
      <c r="AG47" s="308"/>
      <c r="AH47" s="308"/>
      <c r="AI47" s="308"/>
      <c r="AJ47" s="308"/>
      <c r="AK47" s="308"/>
      <c r="AL47" s="308"/>
      <c r="AM47" s="308"/>
      <c r="AN47" s="308"/>
      <c r="AO47" s="308"/>
      <c r="AP47" s="308"/>
      <c r="AQ47" s="308"/>
      <c r="AR47" s="308"/>
      <c r="AS47" s="308"/>
      <c r="AT47" s="308"/>
      <c r="AU47" s="308"/>
      <c r="AV47" s="308"/>
      <c r="AW47" s="308"/>
      <c r="AX47" s="308"/>
      <c r="AY47" s="308"/>
      <c r="AZ47" s="308"/>
      <c r="BA47" s="308"/>
      <c r="BB47" s="308"/>
      <c r="BC47" s="308"/>
      <c r="BD47" s="308"/>
      <c r="BE47" s="308"/>
      <c r="BF47" s="308"/>
      <c r="BG47" s="308"/>
      <c r="BH47" s="308"/>
      <c r="BI47" s="308"/>
      <c r="BJ47" s="308"/>
      <c r="BK47" s="308"/>
      <c r="BL47" s="308"/>
      <c r="BM47" s="308"/>
      <c r="BN47" s="308"/>
      <c r="BO47" s="308"/>
      <c r="BP47" s="308"/>
      <c r="BQ47" s="308"/>
      <c r="BR47" s="308"/>
      <c r="BS47" s="308"/>
      <c r="BT47" s="308"/>
      <c r="BU47" s="308"/>
      <c r="BV47" s="308"/>
      <c r="BW47" s="308"/>
      <c r="BX47" s="308"/>
      <c r="BY47" s="308"/>
      <c r="BZ47" s="308"/>
      <c r="CA47" s="308"/>
      <c r="CB47" s="308"/>
      <c r="CC47" s="308"/>
      <c r="CD47" s="308"/>
      <c r="CE47" s="308"/>
      <c r="CF47" s="308"/>
      <c r="CG47" s="308"/>
      <c r="CH47" s="308"/>
      <c r="CI47" s="308"/>
      <c r="CJ47" s="308"/>
      <c r="CK47" s="308"/>
      <c r="CL47" s="308"/>
      <c r="CM47" s="308"/>
      <c r="CN47" s="308"/>
      <c r="CO47" s="308"/>
      <c r="CP47" s="308"/>
      <c r="CQ47" s="308"/>
      <c r="CR47" s="308"/>
      <c r="CS47" s="308"/>
      <c r="CT47" s="308"/>
      <c r="CU47" s="308"/>
      <c r="CV47" s="308"/>
      <c r="CW47" s="308"/>
      <c r="CX47" s="308"/>
      <c r="CY47" s="308"/>
      <c r="CZ47" s="308"/>
      <c r="DA47" s="308"/>
      <c r="DB47" s="308"/>
      <c r="DC47" s="308"/>
      <c r="DD47" s="308"/>
      <c r="DE47" s="308"/>
      <c r="DF47" s="308"/>
      <c r="DG47" s="308"/>
      <c r="DH47" s="308"/>
      <c r="DI47" s="308"/>
      <c r="DJ47" s="308"/>
      <c r="DK47" s="308"/>
      <c r="DL47" s="308"/>
      <c r="DM47" s="308"/>
      <c r="DN47" s="308"/>
      <c r="DO47" s="308"/>
      <c r="DP47" s="308"/>
      <c r="DQ47" s="308"/>
      <c r="DR47" s="308"/>
      <c r="DS47" s="308"/>
      <c r="DT47" s="308"/>
      <c r="DU47" s="308"/>
      <c r="DV47" s="308"/>
      <c r="DW47" s="308"/>
      <c r="DX47" s="308"/>
      <c r="DY47" s="308"/>
      <c r="DZ47" s="308"/>
      <c r="EA47" s="308"/>
      <c r="EB47" s="308"/>
      <c r="EC47" s="308"/>
      <c r="ED47" s="308"/>
      <c r="EE47" s="308"/>
      <c r="EF47" s="308"/>
      <c r="EG47" s="308"/>
      <c r="EH47" s="308"/>
      <c r="EI47" s="308"/>
      <c r="EJ47" s="308"/>
      <c r="EK47" s="308"/>
      <c r="EL47" s="308"/>
      <c r="EM47" s="308"/>
      <c r="EN47" s="308"/>
      <c r="EO47" s="308"/>
      <c r="EP47" s="308"/>
      <c r="EQ47" s="308"/>
      <c r="ER47" s="308"/>
      <c r="ES47" s="308"/>
      <c r="ET47" s="308"/>
      <c r="EU47" s="308"/>
      <c r="EV47" s="308"/>
      <c r="EW47" s="308"/>
      <c r="EX47" s="308"/>
      <c r="EY47" s="308"/>
      <c r="EZ47" s="308"/>
      <c r="FA47" s="308"/>
      <c r="FB47" s="308"/>
      <c r="FC47" s="308"/>
      <c r="FD47" s="308"/>
      <c r="FE47" s="308"/>
      <c r="FF47" s="308"/>
      <c r="FG47" s="308"/>
      <c r="FH47" s="308"/>
      <c r="FI47" s="308"/>
      <c r="FJ47" s="308"/>
      <c r="FK47" s="308"/>
      <c r="FL47" s="308"/>
      <c r="FM47" s="308"/>
      <c r="FN47" s="308"/>
      <c r="FO47" s="308"/>
      <c r="FP47" s="308"/>
      <c r="FQ47" s="308"/>
      <c r="FR47" s="308"/>
      <c r="FS47" s="308"/>
      <c r="FT47" s="308"/>
      <c r="FU47" s="308"/>
      <c r="FV47" s="308"/>
      <c r="FW47" s="308"/>
      <c r="FX47" s="308"/>
      <c r="FY47" s="308"/>
      <c r="FZ47" s="308"/>
      <c r="GA47" s="308"/>
      <c r="GB47" s="308"/>
      <c r="GC47" s="308"/>
      <c r="GD47" s="308"/>
      <c r="GE47" s="308"/>
      <c r="GF47" s="308"/>
      <c r="GG47" s="308"/>
      <c r="GH47" s="308"/>
      <c r="GI47" s="308"/>
      <c r="GJ47" s="308"/>
      <c r="GK47" s="308"/>
      <c r="GL47" s="308"/>
      <c r="GM47" s="308"/>
      <c r="GN47" s="308"/>
      <c r="GO47" s="308"/>
      <c r="GP47" s="308"/>
      <c r="GQ47" s="308"/>
      <c r="GR47" s="308"/>
      <c r="GS47" s="308"/>
      <c r="GT47" s="308"/>
      <c r="GU47" s="308"/>
      <c r="GV47" s="308"/>
      <c r="GW47" s="308"/>
      <c r="GX47" s="308"/>
      <c r="GY47" s="308"/>
      <c r="GZ47" s="308"/>
      <c r="HA47" s="308"/>
      <c r="HB47" s="308"/>
      <c r="HC47" s="308"/>
      <c r="HD47" s="308"/>
      <c r="HE47" s="308"/>
      <c r="HF47" s="308"/>
      <c r="HG47" s="308"/>
      <c r="HH47" s="308"/>
      <c r="HI47" s="308"/>
      <c r="HJ47" s="308"/>
      <c r="HK47" s="308"/>
      <c r="HL47" s="308"/>
      <c r="HM47" s="308"/>
      <c r="HN47" s="308"/>
      <c r="HO47" s="308"/>
      <c r="HP47" s="308"/>
      <c r="HQ47" s="308"/>
      <c r="HR47" s="308"/>
      <c r="HS47" s="308"/>
      <c r="HT47" s="308"/>
      <c r="HU47" s="308"/>
      <c r="HV47" s="308"/>
      <c r="HW47" s="308"/>
      <c r="HX47" s="308"/>
      <c r="HY47" s="308"/>
      <c r="HZ47" s="308"/>
      <c r="IA47" s="308"/>
      <c r="IB47" s="308"/>
      <c r="IC47" s="308"/>
      <c r="ID47" s="308"/>
      <c r="IE47" s="308"/>
      <c r="IF47" s="308"/>
      <c r="IG47" s="308"/>
      <c r="IH47" s="308"/>
      <c r="II47" s="308"/>
      <c r="IJ47" s="308"/>
      <c r="IK47" s="308"/>
      <c r="IL47" s="308"/>
      <c r="IM47" s="308"/>
      <c r="IN47" s="308"/>
      <c r="IO47" s="308"/>
      <c r="IP47" s="308"/>
      <c r="IQ47" s="308"/>
      <c r="IR47" s="308"/>
      <c r="IS47" s="308"/>
      <c r="IT47" s="308"/>
      <c r="IU47" s="308"/>
      <c r="IV47" s="308"/>
      <c r="IW47" s="308"/>
      <c r="IX47" s="308"/>
    </row>
    <row r="48" spans="1:258" s="424" customFormat="1" ht="17.399999999999999" x14ac:dyDescent="0.3">
      <c r="A48" s="135" t="s">
        <v>1</v>
      </c>
      <c r="B48" s="425" t="s">
        <v>225</v>
      </c>
      <c r="C48" s="137">
        <f>'Input data plant-based products'!D10</f>
        <v>5.1539025283986808E-2</v>
      </c>
      <c r="D48" s="325" t="s">
        <v>473</v>
      </c>
      <c r="E48" s="769">
        <f>IF($F$1="GWP100 without fb",E49+E50*'Common input data'!$C$5+E51*'Common input data'!$D$5,IF($F$1="GWP100 with fb",E49+E50*'Common input data'!$C$6+E51*'Common input data'!$D$6,IF($F$1="GTP100 without fb",E49+E50*'Common input data'!$C$7+E51*'Common input data'!$D$7,IF($F$1="GTP100 with fb",E49+E50*'Common input data'!$C$8+E51*'Common input data'!$D$8,E49+E50*'Common input data'!$C$9+E51*'Common input data'!$D$9))))</f>
        <v>0.3904460269971699</v>
      </c>
      <c r="F48" s="326">
        <f>IF($F$1="GWP100 without fb",F49+F50*'Common input data'!$C$5+F51*'Common input data'!$D$5,IF($F$1="GWP100 with fb",F49+F50*'Common input data'!$C$6+F51*'Common input data'!$D$6,IF($F$1="GTP100 without fb",F49+F50*'Common input data'!$C$7+F51*'Common input data'!$D$7,IF($F$1="GTP100 with fb",F49+F50*'Common input data'!$C$8+F51*'Common input data'!$D$8,F49+F50*'Common input data'!$C$9+F51*'Common input data'!$D$9))))</f>
        <v>0.6457251855184003</v>
      </c>
      <c r="G48" s="770">
        <f>IF($F$1="GWP100 without fb",G49+G50*'Common input data'!$C$5+G51*'Common input data'!$D$5,IF($F$1="GWP100 with fb",G49+G50*'Common input data'!$C$6+G51*'Common input data'!$D$6,IF($F$1="GTP100 without fb",G49+G50*'Common input data'!$C$7+G51*'Common input data'!$D$7,IF($F$1="GTP100 with fb",G49+G50*'Common input data'!$C$8+G51*'Common input data'!$D$8,G49+G50*'Common input data'!$C$9+G51*'Common input data'!$D$9))))</f>
        <v>1.1848602428601247</v>
      </c>
      <c r="H48" s="408"/>
      <c r="I48" s="408"/>
      <c r="J48" s="408"/>
      <c r="K48" s="408"/>
      <c r="L48" s="408"/>
      <c r="M48" s="408"/>
      <c r="N48" s="408"/>
      <c r="O48" s="408"/>
      <c r="P48" s="408"/>
      <c r="Q48" s="408"/>
      <c r="R48" s="408"/>
      <c r="S48" s="408"/>
      <c r="T48" s="408"/>
      <c r="U48" s="408"/>
      <c r="V48" s="430"/>
      <c r="W48" s="243"/>
      <c r="X48" s="308"/>
      <c r="Y48" s="308"/>
      <c r="Z48" s="64"/>
      <c r="AA48" s="308"/>
      <c r="AB48" s="308"/>
      <c r="AC48" s="308"/>
      <c r="AD48" s="308"/>
      <c r="AE48" s="308"/>
      <c r="AF48" s="308"/>
      <c r="AG48" s="308"/>
      <c r="AH48" s="308"/>
      <c r="AI48" s="308"/>
      <c r="AJ48" s="308"/>
      <c r="AK48" s="308"/>
      <c r="AL48" s="308"/>
      <c r="AM48" s="308"/>
      <c r="AN48" s="308"/>
      <c r="AO48" s="308"/>
      <c r="AP48" s="308"/>
      <c r="AQ48" s="308"/>
      <c r="AR48" s="308"/>
      <c r="AS48" s="308"/>
      <c r="AT48" s="308"/>
      <c r="AU48" s="308"/>
      <c r="AV48" s="308"/>
      <c r="AW48" s="308"/>
      <c r="AX48" s="308"/>
      <c r="AY48" s="308"/>
      <c r="AZ48" s="308"/>
      <c r="BA48" s="308"/>
      <c r="BB48" s="308"/>
      <c r="BC48" s="308"/>
      <c r="BD48" s="308"/>
      <c r="BE48" s="308"/>
      <c r="BF48" s="308"/>
      <c r="BG48" s="308"/>
      <c r="BH48" s="308"/>
      <c r="BI48" s="308"/>
      <c r="BJ48" s="308"/>
      <c r="BK48" s="308"/>
      <c r="BL48" s="308"/>
      <c r="BM48" s="308"/>
      <c r="BN48" s="308"/>
      <c r="BO48" s="308"/>
      <c r="BP48" s="308"/>
      <c r="BQ48" s="308"/>
      <c r="BR48" s="308"/>
      <c r="BS48" s="308"/>
      <c r="BT48" s="308"/>
      <c r="BU48" s="308"/>
      <c r="BV48" s="308"/>
      <c r="BW48" s="308"/>
      <c r="BX48" s="308"/>
      <c r="BY48" s="308"/>
      <c r="BZ48" s="308"/>
      <c r="CA48" s="308"/>
      <c r="CB48" s="308"/>
      <c r="CC48" s="308"/>
      <c r="CD48" s="308"/>
      <c r="CE48" s="308"/>
      <c r="CF48" s="308"/>
      <c r="CG48" s="308"/>
      <c r="CH48" s="308"/>
      <c r="CI48" s="308"/>
      <c r="CJ48" s="308"/>
      <c r="CK48" s="308"/>
      <c r="CL48" s="308"/>
      <c r="CM48" s="308"/>
      <c r="CN48" s="308"/>
      <c r="CO48" s="308"/>
      <c r="CP48" s="308"/>
      <c r="CQ48" s="308"/>
      <c r="CR48" s="308"/>
      <c r="CS48" s="308"/>
      <c r="CT48" s="308"/>
      <c r="CU48" s="308"/>
      <c r="CV48" s="308"/>
      <c r="CW48" s="308"/>
      <c r="CX48" s="308"/>
      <c r="CY48" s="308"/>
      <c r="CZ48" s="308"/>
      <c r="DA48" s="308"/>
      <c r="DB48" s="308"/>
      <c r="DC48" s="308"/>
      <c r="DD48" s="308"/>
      <c r="DE48" s="308"/>
      <c r="DF48" s="308"/>
      <c r="DG48" s="308"/>
      <c r="DH48" s="308"/>
      <c r="DI48" s="308"/>
      <c r="DJ48" s="308"/>
      <c r="DK48" s="308"/>
      <c r="DL48" s="308"/>
      <c r="DM48" s="308"/>
      <c r="DN48" s="308"/>
      <c r="DO48" s="308"/>
      <c r="DP48" s="308"/>
      <c r="DQ48" s="308"/>
      <c r="DR48" s="308"/>
      <c r="DS48" s="308"/>
      <c r="DT48" s="308"/>
      <c r="DU48" s="308"/>
      <c r="DV48" s="308"/>
      <c r="DW48" s="308"/>
      <c r="DX48" s="308"/>
      <c r="DY48" s="308"/>
      <c r="DZ48" s="308"/>
      <c r="EA48" s="308"/>
      <c r="EB48" s="308"/>
      <c r="EC48" s="308"/>
      <c r="ED48" s="308"/>
      <c r="EE48" s="308"/>
      <c r="EF48" s="308"/>
      <c r="EG48" s="308"/>
      <c r="EH48" s="308"/>
      <c r="EI48" s="308"/>
      <c r="EJ48" s="308"/>
      <c r="EK48" s="308"/>
      <c r="EL48" s="308"/>
      <c r="EM48" s="308"/>
      <c r="EN48" s="308"/>
      <c r="EO48" s="308"/>
      <c r="EP48" s="308"/>
      <c r="EQ48" s="308"/>
      <c r="ER48" s="308"/>
      <c r="ES48" s="308"/>
      <c r="ET48" s="308"/>
      <c r="EU48" s="308"/>
      <c r="EV48" s="308"/>
      <c r="EW48" s="308"/>
      <c r="EX48" s="308"/>
      <c r="EY48" s="308"/>
      <c r="EZ48" s="308"/>
      <c r="FA48" s="308"/>
      <c r="FB48" s="308"/>
      <c r="FC48" s="308"/>
      <c r="FD48" s="308"/>
      <c r="FE48" s="308"/>
      <c r="FF48" s="308"/>
      <c r="FG48" s="308"/>
      <c r="FH48" s="308"/>
      <c r="FI48" s="308"/>
      <c r="FJ48" s="308"/>
      <c r="FK48" s="308"/>
      <c r="FL48" s="308"/>
      <c r="FM48" s="308"/>
      <c r="FN48" s="308"/>
      <c r="FO48" s="308"/>
      <c r="FP48" s="308"/>
      <c r="FQ48" s="308"/>
      <c r="FR48" s="308"/>
      <c r="FS48" s="308"/>
      <c r="FT48" s="308"/>
      <c r="FU48" s="308"/>
      <c r="FV48" s="308"/>
      <c r="FW48" s="308"/>
      <c r="FX48" s="308"/>
      <c r="FY48" s="308"/>
      <c r="FZ48" s="308"/>
      <c r="GA48" s="308"/>
      <c r="GB48" s="308"/>
      <c r="GC48" s="308"/>
      <c r="GD48" s="308"/>
      <c r="GE48" s="308"/>
      <c r="GF48" s="308"/>
      <c r="GG48" s="308"/>
      <c r="GH48" s="308"/>
      <c r="GI48" s="308"/>
      <c r="GJ48" s="308"/>
      <c r="GK48" s="308"/>
      <c r="GL48" s="308"/>
      <c r="GM48" s="308"/>
      <c r="GN48" s="308"/>
      <c r="GO48" s="308"/>
      <c r="GP48" s="308"/>
      <c r="GQ48" s="308"/>
      <c r="GR48" s="308"/>
      <c r="GS48" s="308"/>
      <c r="GT48" s="308"/>
      <c r="GU48" s="308"/>
      <c r="GV48" s="308"/>
      <c r="GW48" s="308"/>
      <c r="GX48" s="308"/>
      <c r="GY48" s="308"/>
      <c r="GZ48" s="308"/>
      <c r="HA48" s="308"/>
      <c r="HB48" s="308"/>
      <c r="HC48" s="308"/>
      <c r="HD48" s="308"/>
      <c r="HE48" s="308"/>
      <c r="HF48" s="308"/>
      <c r="HG48" s="308"/>
      <c r="HH48" s="308"/>
      <c r="HI48" s="308"/>
      <c r="HJ48" s="308"/>
      <c r="HK48" s="308"/>
      <c r="HL48" s="308"/>
      <c r="HM48" s="308"/>
      <c r="HN48" s="308"/>
      <c r="HO48" s="308"/>
      <c r="HP48" s="308"/>
      <c r="HQ48" s="308"/>
      <c r="HR48" s="308"/>
      <c r="HS48" s="308"/>
      <c r="HT48" s="308"/>
      <c r="HU48" s="308"/>
      <c r="HV48" s="308"/>
      <c r="HW48" s="308"/>
      <c r="HX48" s="308"/>
      <c r="HY48" s="308"/>
      <c r="HZ48" s="308"/>
      <c r="IA48" s="308"/>
      <c r="IB48" s="308"/>
      <c r="IC48" s="308"/>
      <c r="ID48" s="308"/>
      <c r="IE48" s="308"/>
      <c r="IF48" s="308"/>
      <c r="IG48" s="308"/>
      <c r="IH48" s="308"/>
      <c r="II48" s="308"/>
      <c r="IJ48" s="308"/>
      <c r="IK48" s="308"/>
      <c r="IL48" s="308"/>
      <c r="IM48" s="308"/>
      <c r="IN48" s="308"/>
      <c r="IO48" s="308"/>
      <c r="IP48" s="308"/>
      <c r="IQ48" s="308"/>
      <c r="IR48" s="308"/>
      <c r="IS48" s="308"/>
      <c r="IT48" s="308"/>
      <c r="IU48" s="308"/>
      <c r="IV48" s="308"/>
      <c r="IW48" s="308"/>
      <c r="IX48" s="308"/>
    </row>
    <row r="49" spans="1:258" s="308" customFormat="1" ht="17.399999999999999" x14ac:dyDescent="0.3">
      <c r="A49" s="84"/>
      <c r="B49" s="84"/>
      <c r="C49" s="64"/>
      <c r="D49" s="83" t="s">
        <v>164</v>
      </c>
      <c r="E49" s="270">
        <f>IF(AND($F$2="No",$F$3="No"),SUM(J49:K49)*'Input data plant-based products'!O$120,IF(AND($F$2="Yes", $F$3="No"), (SUM(J49:K49)+Q49)*'Input data plant-based products'!O$120, IF(AND($F$2="No", $F$3="Yes"),(SUM(J49:K49)+P49)*'Input data plant-based products'!O$120, (SUM(J49:K49)+Q49+P49)*'Input data plant-based products'!O$120)))</f>
        <v>0.11639215058330095</v>
      </c>
      <c r="F49" s="90">
        <f>IF(AND($F$2="No",$F$3="No"),SUM(H49:O49)*'Input data plant-based products'!O$120,IF(AND($F$2="Yes", $F$3="No"), (SUM(H49:O49)+Q49)*'Input data plant-based products'!O$120, IF(AND($F$2="No", $F$3="Yes"),(SUM(H49:O49)+P49)*'Input data plant-based products'!O$120, (SUM(H49:O49)+Q49+P49)*'Input data plant-based products'!O$120)))</f>
        <v>0.30796187003324021</v>
      </c>
      <c r="G49" s="278">
        <f>SUM(S49:U49)/(1-'Common input data'!$B$122)</f>
        <v>0.71028702937004962</v>
      </c>
      <c r="H49" s="85">
        <f>('Input data plant-based products'!$F$10*('Common input data'!$B$76*'Common input data'!B69+'Common input data'!$B$77*'Common input data'!C69))/'Input data plant-based products'!$E$10</f>
        <v>4.7446700788194365E-2</v>
      </c>
      <c r="I49" s="90">
        <f>'Common input data'!$B$81</f>
        <v>0.03</v>
      </c>
      <c r="J49" s="85">
        <v>0</v>
      </c>
      <c r="K49" s="85">
        <v>0</v>
      </c>
      <c r="L49" s="85">
        <f>('Input data plant-based products'!$I$10*'Common input data'!$C$59*'Common input data'!H49)/'Input data plant-based products'!$E$10</f>
        <v>4.1610641397795647E-2</v>
      </c>
      <c r="M49" s="90">
        <v>0</v>
      </c>
      <c r="N49" s="90">
        <f>'Input data plant-based products'!G$152</f>
        <v>0.02</v>
      </c>
      <c r="O49" s="85">
        <f>'Input data plant-based products'!$B$120*'Common input data'!$B$59*'Common input data'!B49+'Input data plant-based products'!C$120*'Common input data'!B63</f>
        <v>3.9147048000000004E-2</v>
      </c>
      <c r="P49" s="90">
        <f>'Common input data'!B$13</f>
        <v>0.108271767984466</v>
      </c>
      <c r="Q49" s="90">
        <v>0</v>
      </c>
      <c r="R49" s="85">
        <f>'Input data plant-based products'!$E$120*'Common input data'!$B$59*'Common input data'!B49+'Input data plant-based products'!F$120*'Common input data'!B63</f>
        <v>0.13069034425501674</v>
      </c>
      <c r="S49" s="90">
        <f>(F49+R49)*'Common input data'!$D$28/'Common input data'!$C$28</f>
        <v>0.5184071623406673</v>
      </c>
      <c r="T49" s="90">
        <f>'Common input data'!$B$88</f>
        <v>0.05</v>
      </c>
      <c r="U49" s="90">
        <f>'Common input data'!C$98</f>
        <v>0.03</v>
      </c>
      <c r="V49" s="430"/>
      <c r="W49" s="243"/>
      <c r="Z49" s="64"/>
    </row>
    <row r="50" spans="1:258" s="308" customFormat="1" ht="17.399999999999999" x14ac:dyDescent="0.3">
      <c r="A50" s="107"/>
      <c r="B50" s="84"/>
      <c r="C50" s="142"/>
      <c r="D50" s="83" t="s">
        <v>165</v>
      </c>
      <c r="E50" s="270">
        <f>SUM(J50:K50)*'Input data plant-based products'!O$120</f>
        <v>0</v>
      </c>
      <c r="F50" s="90">
        <f>SUM(H50:O50)*'Input data plant-based products'!O$120</f>
        <v>3.505490942156863E-5</v>
      </c>
      <c r="G50" s="278">
        <f>SUM(S50:U50)/(1-'Common input data'!$B$122)</f>
        <v>6.1598007833831269E-5</v>
      </c>
      <c r="H50" s="85">
        <f>('Input data plant-based products'!$F$10*('Common input data'!$B$76*'Common input data'!B70+'Common input data'!$B$77*'Common input data'!C70))/'Input data plant-based products'!$E$10</f>
        <v>1.2702590281716772E-10</v>
      </c>
      <c r="I50" s="90">
        <v>0</v>
      </c>
      <c r="J50" s="85">
        <v>0</v>
      </c>
      <c r="K50" s="85">
        <v>0</v>
      </c>
      <c r="L50" s="85">
        <f>('Input data plant-based products'!$I$10*'Common input data'!$C$59*'Common input data'!H50)/'Input data plant-based products'!$E$10</f>
        <v>1.8432111040672651E-5</v>
      </c>
      <c r="M50" s="90">
        <v>0</v>
      </c>
      <c r="N50" s="90">
        <v>0</v>
      </c>
      <c r="O50" s="85">
        <f>'Input data plant-based products'!$B$120*'Common input data'!$B$59*'Common input data'!B50</f>
        <v>1.4176980000000002E-5</v>
      </c>
      <c r="P50" s="85">
        <v>0</v>
      </c>
      <c r="Q50" s="90">
        <v>0</v>
      </c>
      <c r="R50" s="85">
        <f>'Input data plant-based products'!$E$120*'Common input data'!$B$59*'Common input data'!B50</f>
        <v>8.8566538505897801E-6</v>
      </c>
      <c r="S50" s="90">
        <f>(F50+R50)*'Common input data'!$D$28/'Common input data'!$C$28</f>
        <v>5.1895483867096303E-5</v>
      </c>
      <c r="T50" s="90">
        <v>0</v>
      </c>
      <c r="U50" s="90">
        <v>0</v>
      </c>
      <c r="V50" s="430"/>
      <c r="W50" s="243"/>
      <c r="Z50" s="64"/>
    </row>
    <row r="51" spans="1:258" s="308" customFormat="1" ht="17.399999999999999" x14ac:dyDescent="0.3">
      <c r="A51" s="174"/>
      <c r="B51" s="206"/>
      <c r="C51" s="85"/>
      <c r="D51" s="84" t="s">
        <v>166</v>
      </c>
      <c r="E51" s="780">
        <f>SUM(J51:K51)*'Input data plant-based products'!O$120</f>
        <v>9.1964388058345288E-4</v>
      </c>
      <c r="F51" s="108">
        <f>SUM(H51:O51)*'Input data plant-based products'!O$120</f>
        <v>1.1294343911571368E-3</v>
      </c>
      <c r="G51" s="521">
        <f>SUM(S51:U51)/(1-'Common input data'!$B$122)</f>
        <v>1.5854996014218953E-3</v>
      </c>
      <c r="H51" s="85">
        <f>('Input data plant-based products'!$F$10*('Common input data'!$B$76*'Common input data'!B71+'Common input data'!$B$77*'Common input data'!C71))/'Input data plant-based products'!$E$10</f>
        <v>1.9271425958667117E-4</v>
      </c>
      <c r="I51" s="85">
        <v>0</v>
      </c>
      <c r="J51" s="85">
        <f>(SUM('Input data plant-based products'!F10:H10)*'Input data plant-based products'!$B$114*44/28)/'Input data plant-based products'!E10</f>
        <v>7.7771152692046759E-4</v>
      </c>
      <c r="K51" s="90">
        <f>J51*'Input data plant-based products'!$B$115</f>
        <v>7.7771152692046762E-5</v>
      </c>
      <c r="L51" s="85">
        <f>('Input data plant-based products'!$I$10*'Common input data'!$C$59*'Common input data'!H51)/'Input data plant-based products'!$E$10</f>
        <v>1.118094157685763E-6</v>
      </c>
      <c r="M51" s="90">
        <v>0</v>
      </c>
      <c r="N51" s="90">
        <v>0</v>
      </c>
      <c r="O51" s="85">
        <f>'Input data plant-based products'!$B$120*'Common input data'!$B$59*'Common input data'!B51</f>
        <v>1.32160958E-6</v>
      </c>
      <c r="P51" s="85">
        <v>0</v>
      </c>
      <c r="Q51" s="90">
        <v>0</v>
      </c>
      <c r="R51" s="85">
        <f>'Input data plant-based products'!$E$120*'Common input data'!$B$59*'Common input data'!B51</f>
        <v>8.2563695340498041E-7</v>
      </c>
      <c r="S51" s="90">
        <f>(F51+R51)*'Common input data'!$D$28/'Common input data'!$C$28</f>
        <v>1.3357618514033675E-3</v>
      </c>
      <c r="T51" s="90">
        <v>0</v>
      </c>
      <c r="U51" s="90">
        <v>0</v>
      </c>
      <c r="V51" s="430"/>
      <c r="W51" s="243"/>
      <c r="Z51" s="64"/>
    </row>
    <row r="52" spans="1:258" s="427" customFormat="1" ht="17.399999999999999" x14ac:dyDescent="0.3">
      <c r="A52" s="426" t="s">
        <v>605</v>
      </c>
      <c r="B52" s="412"/>
      <c r="C52" s="413"/>
      <c r="D52" s="414"/>
      <c r="E52" s="767" t="s">
        <v>804</v>
      </c>
      <c r="F52" s="768" t="s">
        <v>804</v>
      </c>
      <c r="G52" s="590" t="s">
        <v>1447</v>
      </c>
      <c r="H52" s="413"/>
      <c r="I52" s="413"/>
      <c r="J52" s="413"/>
      <c r="K52" s="416"/>
      <c r="L52" s="416"/>
      <c r="M52" s="417"/>
      <c r="N52" s="416"/>
      <c r="O52" s="416"/>
      <c r="P52" s="416"/>
      <c r="Q52" s="416"/>
      <c r="R52" s="416"/>
      <c r="S52" s="416"/>
      <c r="T52" s="416"/>
      <c r="U52" s="416"/>
      <c r="V52" s="430"/>
      <c r="W52" s="243"/>
      <c r="X52" s="308"/>
      <c r="Y52" s="308"/>
      <c r="Z52" s="64"/>
      <c r="AA52" s="308"/>
      <c r="AB52" s="308"/>
      <c r="AC52" s="308"/>
      <c r="AD52" s="308"/>
      <c r="AE52" s="308"/>
      <c r="AF52" s="308"/>
      <c r="AG52" s="308"/>
      <c r="AH52" s="308"/>
      <c r="AI52" s="308"/>
      <c r="AJ52" s="308"/>
      <c r="AK52" s="308"/>
      <c r="AL52" s="308"/>
      <c r="AM52" s="308"/>
      <c r="AN52" s="308"/>
      <c r="AO52" s="308"/>
      <c r="AP52" s="308"/>
      <c r="AQ52" s="308"/>
      <c r="AR52" s="308"/>
      <c r="AS52" s="308"/>
      <c r="AT52" s="308"/>
      <c r="AU52" s="308"/>
      <c r="AV52" s="308"/>
      <c r="AW52" s="308"/>
      <c r="AX52" s="308"/>
      <c r="AY52" s="308"/>
      <c r="AZ52" s="308"/>
      <c r="BA52" s="308"/>
      <c r="BB52" s="308"/>
      <c r="BC52" s="308"/>
      <c r="BD52" s="308"/>
      <c r="BE52" s="308"/>
      <c r="BF52" s="308"/>
      <c r="BG52" s="308"/>
      <c r="BH52" s="308"/>
      <c r="BI52" s="308"/>
      <c r="BJ52" s="308"/>
      <c r="BK52" s="308"/>
      <c r="BL52" s="308"/>
      <c r="BM52" s="308"/>
      <c r="BN52" s="308"/>
      <c r="BO52" s="308"/>
      <c r="BP52" s="308"/>
      <c r="BQ52" s="308"/>
      <c r="BR52" s="308"/>
      <c r="BS52" s="308"/>
      <c r="BT52" s="308"/>
      <c r="BU52" s="308"/>
      <c r="BV52" s="308"/>
      <c r="BW52" s="308"/>
      <c r="BX52" s="308"/>
      <c r="BY52" s="308"/>
      <c r="BZ52" s="308"/>
      <c r="CA52" s="308"/>
      <c r="CB52" s="308"/>
      <c r="CC52" s="308"/>
      <c r="CD52" s="308"/>
      <c r="CE52" s="308"/>
      <c r="CF52" s="308"/>
      <c r="CG52" s="308"/>
      <c r="CH52" s="308"/>
      <c r="CI52" s="308"/>
      <c r="CJ52" s="308"/>
      <c r="CK52" s="308"/>
      <c r="CL52" s="308"/>
      <c r="CM52" s="308"/>
      <c r="CN52" s="308"/>
      <c r="CO52" s="308"/>
      <c r="CP52" s="308"/>
      <c r="CQ52" s="308"/>
      <c r="CR52" s="308"/>
      <c r="CS52" s="308"/>
      <c r="CT52" s="308"/>
      <c r="CU52" s="308"/>
      <c r="CV52" s="308"/>
      <c r="CW52" s="308"/>
      <c r="CX52" s="308"/>
      <c r="CY52" s="308"/>
      <c r="CZ52" s="308"/>
      <c r="DA52" s="308"/>
      <c r="DB52" s="308"/>
      <c r="DC52" s="308"/>
      <c r="DD52" s="308"/>
      <c r="DE52" s="308"/>
      <c r="DF52" s="308"/>
      <c r="DG52" s="308"/>
      <c r="DH52" s="308"/>
      <c r="DI52" s="308"/>
      <c r="DJ52" s="308"/>
      <c r="DK52" s="308"/>
      <c r="DL52" s="308"/>
      <c r="DM52" s="308"/>
      <c r="DN52" s="308"/>
      <c r="DO52" s="308"/>
      <c r="DP52" s="308"/>
      <c r="DQ52" s="308"/>
      <c r="DR52" s="308"/>
      <c r="DS52" s="308"/>
      <c r="DT52" s="308"/>
      <c r="DU52" s="308"/>
      <c r="DV52" s="308"/>
      <c r="DW52" s="308"/>
      <c r="DX52" s="308"/>
      <c r="DY52" s="308"/>
      <c r="DZ52" s="308"/>
      <c r="EA52" s="308"/>
      <c r="EB52" s="308"/>
      <c r="EC52" s="308"/>
      <c r="ED52" s="308"/>
      <c r="EE52" s="308"/>
      <c r="EF52" s="308"/>
      <c r="EG52" s="308"/>
      <c r="EH52" s="308"/>
      <c r="EI52" s="308"/>
      <c r="EJ52" s="308"/>
      <c r="EK52" s="308"/>
      <c r="EL52" s="308"/>
      <c r="EM52" s="308"/>
      <c r="EN52" s="308"/>
      <c r="EO52" s="308"/>
      <c r="EP52" s="308"/>
      <c r="EQ52" s="308"/>
      <c r="ER52" s="308"/>
      <c r="ES52" s="308"/>
      <c r="ET52" s="308"/>
      <c r="EU52" s="308"/>
      <c r="EV52" s="308"/>
      <c r="EW52" s="308"/>
      <c r="EX52" s="308"/>
      <c r="EY52" s="308"/>
      <c r="EZ52" s="308"/>
      <c r="FA52" s="308"/>
      <c r="FB52" s="308"/>
      <c r="FC52" s="308"/>
      <c r="FD52" s="308"/>
      <c r="FE52" s="308"/>
      <c r="FF52" s="308"/>
      <c r="FG52" s="308"/>
      <c r="FH52" s="308"/>
      <c r="FI52" s="308"/>
      <c r="FJ52" s="308"/>
      <c r="FK52" s="308"/>
      <c r="FL52" s="308"/>
      <c r="FM52" s="308"/>
      <c r="FN52" s="308"/>
      <c r="FO52" s="308"/>
      <c r="FP52" s="308"/>
      <c r="FQ52" s="308"/>
      <c r="FR52" s="308"/>
      <c r="FS52" s="308"/>
      <c r="FT52" s="308"/>
      <c r="FU52" s="308"/>
      <c r="FV52" s="308"/>
      <c r="FW52" s="308"/>
      <c r="FX52" s="308"/>
      <c r="FY52" s="308"/>
      <c r="FZ52" s="308"/>
      <c r="GA52" s="308"/>
      <c r="GB52" s="308"/>
      <c r="GC52" s="308"/>
      <c r="GD52" s="308"/>
      <c r="GE52" s="308"/>
      <c r="GF52" s="308"/>
      <c r="GG52" s="308"/>
      <c r="GH52" s="308"/>
      <c r="GI52" s="308"/>
      <c r="GJ52" s="308"/>
      <c r="GK52" s="308"/>
      <c r="GL52" s="308"/>
      <c r="GM52" s="308"/>
      <c r="GN52" s="308"/>
      <c r="GO52" s="308"/>
      <c r="GP52" s="308"/>
      <c r="GQ52" s="308"/>
      <c r="GR52" s="308"/>
      <c r="GS52" s="308"/>
      <c r="GT52" s="308"/>
      <c r="GU52" s="308"/>
      <c r="GV52" s="308"/>
      <c r="GW52" s="308"/>
      <c r="GX52" s="308"/>
      <c r="GY52" s="308"/>
      <c r="GZ52" s="308"/>
      <c r="HA52" s="308"/>
      <c r="HB52" s="308"/>
      <c r="HC52" s="308"/>
      <c r="HD52" s="308"/>
      <c r="HE52" s="308"/>
      <c r="HF52" s="308"/>
      <c r="HG52" s="308"/>
      <c r="HH52" s="308"/>
      <c r="HI52" s="308"/>
      <c r="HJ52" s="308"/>
      <c r="HK52" s="308"/>
      <c r="HL52" s="308"/>
      <c r="HM52" s="308"/>
      <c r="HN52" s="308"/>
      <c r="HO52" s="308"/>
      <c r="HP52" s="308"/>
      <c r="HQ52" s="308"/>
      <c r="HR52" s="308"/>
      <c r="HS52" s="308"/>
      <c r="HT52" s="308"/>
      <c r="HU52" s="308"/>
      <c r="HV52" s="308"/>
      <c r="HW52" s="308"/>
      <c r="HX52" s="308"/>
      <c r="HY52" s="308"/>
      <c r="HZ52" s="308"/>
      <c r="IA52" s="308"/>
      <c r="IB52" s="308"/>
      <c r="IC52" s="308"/>
      <c r="ID52" s="308"/>
      <c r="IE52" s="308"/>
      <c r="IF52" s="308"/>
      <c r="IG52" s="308"/>
      <c r="IH52" s="308"/>
      <c r="II52" s="308"/>
      <c r="IJ52" s="308"/>
      <c r="IK52" s="308"/>
      <c r="IL52" s="308"/>
      <c r="IM52" s="308"/>
      <c r="IN52" s="308"/>
      <c r="IO52" s="308"/>
      <c r="IP52" s="308"/>
      <c r="IQ52" s="308"/>
      <c r="IR52" s="308"/>
      <c r="IS52" s="308"/>
      <c r="IT52" s="308"/>
      <c r="IU52" s="308"/>
      <c r="IV52" s="308"/>
      <c r="IW52" s="308"/>
      <c r="IX52" s="308"/>
    </row>
    <row r="53" spans="1:258" s="420" customFormat="1" ht="17.399999999999999" x14ac:dyDescent="0.3">
      <c r="A53" s="122" t="s">
        <v>249</v>
      </c>
      <c r="B53" s="150"/>
      <c r="C53" s="110">
        <f>SUM(C57:C68)</f>
        <v>1</v>
      </c>
      <c r="D53" s="269" t="s">
        <v>473</v>
      </c>
      <c r="E53" s="769">
        <f>IF($F$1="GWP100 without fb",E54+E55*'Common input data'!$C$5+E56*'Common input data'!$D$5,IF($F$1="GWP100 with fb",E54+E55*'Common input data'!$C$6+E56*'Common input data'!$D$6,IF($F$1="GTP100 without fb",E54+E55*'Common input data'!$C$7+E56*'Common input data'!$D$7,IF($F$1="GTP100 with fb",E54+E55*'Common input data'!$C$8+E56*'Common input data'!$D$8,E54+E55*'Common input data'!$C$9+E56*'Common input data'!$D$9))))</f>
        <v>1.0280678669645953</v>
      </c>
      <c r="F53" s="326">
        <f>IF($F$1="GWP100 without fb",F54+F55*'Common input data'!$C$5+F56*'Common input data'!$D$5,IF($F$1="GWP100 with fb",F54+F55*'Common input data'!$C$6+F56*'Common input data'!$D$6,IF($F$1="GTP100 without fb",F54+F55*'Common input data'!$C$7+F56*'Common input data'!$D$7,IF($F$1="GTP100 with fb",F54+F55*'Common input data'!$C$8+F56*'Common input data'!$D$8,F54+F55*'Common input data'!$C$9+F56*'Common input data'!$D$9))))</f>
        <v>1.7649678923171905</v>
      </c>
      <c r="G53" s="770">
        <f>IF($F$1="GWP100 without fb",G54+G55*'Common input data'!$C$5+G56*'Common input data'!$D$5,IF($F$1="GWP100 with fb",G54+G55*'Common input data'!$C$6+G56*'Common input data'!$D$6,IF($F$1="GTP100 without fb",G54+G55*'Common input data'!$C$7+G56*'Common input data'!$D$7,IF($F$1="GTP100 with fb",G54+G55*'Common input data'!$C$8+G56*'Common input data'!$D$8,G54+G55*'Common input data'!$C$9+G56*'Common input data'!$D$9))))</f>
        <v>3.5795643547564269</v>
      </c>
      <c r="H53" s="302"/>
      <c r="I53" s="104"/>
      <c r="J53" s="104"/>
      <c r="K53" s="102"/>
      <c r="L53" s="102"/>
      <c r="M53" s="102"/>
      <c r="N53" s="102"/>
      <c r="O53" s="102"/>
      <c r="P53" s="102"/>
      <c r="Q53" s="102"/>
      <c r="R53" s="102"/>
      <c r="S53" s="102"/>
      <c r="T53" s="102"/>
      <c r="U53" s="102"/>
      <c r="V53" s="430"/>
      <c r="W53" s="243"/>
      <c r="X53" s="308"/>
      <c r="Y53" s="308"/>
      <c r="Z53" s="64"/>
      <c r="AA53" s="308"/>
      <c r="AB53" s="308"/>
      <c r="AC53" s="308"/>
      <c r="AD53" s="308"/>
      <c r="AE53" s="308"/>
      <c r="AF53" s="308"/>
      <c r="AG53" s="308"/>
      <c r="AH53" s="308"/>
      <c r="AI53" s="308"/>
      <c r="AJ53" s="308"/>
      <c r="AK53" s="308"/>
      <c r="AL53" s="308"/>
      <c r="AM53" s="308"/>
      <c r="AN53" s="308"/>
      <c r="AO53" s="308"/>
      <c r="AP53" s="308"/>
      <c r="AQ53" s="308"/>
      <c r="AR53" s="308"/>
      <c r="AS53" s="308"/>
      <c r="AT53" s="308"/>
      <c r="AU53" s="308"/>
      <c r="AV53" s="308"/>
      <c r="AW53" s="308"/>
      <c r="AX53" s="308"/>
      <c r="AY53" s="308"/>
      <c r="AZ53" s="308"/>
      <c r="BA53" s="308"/>
      <c r="BB53" s="308"/>
      <c r="BC53" s="308"/>
      <c r="BD53" s="308"/>
      <c r="BE53" s="308"/>
      <c r="BF53" s="308"/>
      <c r="BG53" s="308"/>
      <c r="BH53" s="308"/>
      <c r="BI53" s="308"/>
      <c r="BJ53" s="308"/>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8"/>
      <c r="CJ53" s="308"/>
      <c r="CK53" s="308"/>
      <c r="CL53" s="308"/>
      <c r="CM53" s="308"/>
      <c r="CN53" s="308"/>
      <c r="CO53" s="308"/>
      <c r="CP53" s="308"/>
      <c r="CQ53" s="308"/>
      <c r="CR53" s="308"/>
      <c r="CS53" s="308"/>
      <c r="CT53" s="308"/>
      <c r="CU53" s="308"/>
      <c r="CV53" s="308"/>
      <c r="CW53" s="308"/>
      <c r="CX53" s="308"/>
      <c r="CY53" s="308"/>
      <c r="CZ53" s="308"/>
      <c r="DA53" s="308"/>
      <c r="DB53" s="308"/>
      <c r="DC53" s="308"/>
      <c r="DD53" s="308"/>
      <c r="DE53" s="308"/>
      <c r="DF53" s="308"/>
      <c r="DG53" s="308"/>
      <c r="DH53" s="308"/>
      <c r="DI53" s="308"/>
      <c r="DJ53" s="308"/>
      <c r="DK53" s="308"/>
      <c r="DL53" s="308"/>
      <c r="DM53" s="308"/>
      <c r="DN53" s="308"/>
      <c r="DO53" s="308"/>
      <c r="DP53" s="308"/>
      <c r="DQ53" s="308"/>
      <c r="DR53" s="308"/>
      <c r="DS53" s="308"/>
      <c r="DT53" s="308"/>
      <c r="DU53" s="308"/>
      <c r="DV53" s="308"/>
      <c r="DW53" s="308"/>
      <c r="DX53" s="308"/>
      <c r="DY53" s="308"/>
      <c r="DZ53" s="308"/>
      <c r="EA53" s="308"/>
      <c r="EB53" s="308"/>
      <c r="EC53" s="308"/>
      <c r="ED53" s="308"/>
      <c r="EE53" s="308"/>
      <c r="EF53" s="308"/>
      <c r="EG53" s="308"/>
      <c r="EH53" s="308"/>
      <c r="EI53" s="308"/>
      <c r="EJ53" s="308"/>
      <c r="EK53" s="308"/>
      <c r="EL53" s="308"/>
      <c r="EM53" s="308"/>
      <c r="EN53" s="308"/>
      <c r="EO53" s="308"/>
      <c r="EP53" s="308"/>
      <c r="EQ53" s="308"/>
      <c r="ER53" s="308"/>
      <c r="ES53" s="308"/>
      <c r="ET53" s="308"/>
      <c r="EU53" s="308"/>
      <c r="EV53" s="308"/>
      <c r="EW53" s="308"/>
      <c r="EX53" s="308"/>
      <c r="EY53" s="308"/>
      <c r="EZ53" s="308"/>
      <c r="FA53" s="308"/>
      <c r="FB53" s="308"/>
      <c r="FC53" s="308"/>
      <c r="FD53" s="308"/>
      <c r="FE53" s="308"/>
      <c r="FF53" s="308"/>
      <c r="FG53" s="308"/>
      <c r="FH53" s="308"/>
      <c r="FI53" s="308"/>
      <c r="FJ53" s="308"/>
      <c r="FK53" s="308"/>
      <c r="FL53" s="308"/>
      <c r="FM53" s="308"/>
      <c r="FN53" s="308"/>
      <c r="FO53" s="308"/>
      <c r="FP53" s="308"/>
      <c r="FQ53" s="308"/>
      <c r="FR53" s="308"/>
      <c r="FS53" s="308"/>
      <c r="FT53" s="308"/>
      <c r="FU53" s="308"/>
      <c r="FV53" s="308"/>
      <c r="FW53" s="308"/>
      <c r="FX53" s="308"/>
      <c r="FY53" s="308"/>
      <c r="FZ53" s="308"/>
      <c r="GA53" s="308"/>
      <c r="GB53" s="308"/>
      <c r="GC53" s="308"/>
      <c r="GD53" s="308"/>
      <c r="GE53" s="308"/>
      <c r="GF53" s="308"/>
      <c r="GG53" s="308"/>
      <c r="GH53" s="308"/>
      <c r="GI53" s="308"/>
      <c r="GJ53" s="308"/>
      <c r="GK53" s="308"/>
      <c r="GL53" s="308"/>
      <c r="GM53" s="308"/>
      <c r="GN53" s="308"/>
      <c r="GO53" s="308"/>
      <c r="GP53" s="308"/>
      <c r="GQ53" s="308"/>
      <c r="GR53" s="308"/>
      <c r="GS53" s="308"/>
      <c r="GT53" s="308"/>
      <c r="GU53" s="308"/>
      <c r="GV53" s="308"/>
      <c r="GW53" s="308"/>
      <c r="GX53" s="308"/>
      <c r="GY53" s="308"/>
      <c r="GZ53" s="308"/>
      <c r="HA53" s="308"/>
      <c r="HB53" s="308"/>
      <c r="HC53" s="308"/>
      <c r="HD53" s="308"/>
      <c r="HE53" s="308"/>
      <c r="HF53" s="308"/>
      <c r="HG53" s="308"/>
      <c r="HH53" s="308"/>
      <c r="HI53" s="308"/>
      <c r="HJ53" s="308"/>
      <c r="HK53" s="308"/>
      <c r="HL53" s="308"/>
      <c r="HM53" s="308"/>
      <c r="HN53" s="308"/>
      <c r="HO53" s="308"/>
      <c r="HP53" s="308"/>
      <c r="HQ53" s="308"/>
      <c r="HR53" s="308"/>
      <c r="HS53" s="308"/>
      <c r="HT53" s="308"/>
      <c r="HU53" s="308"/>
      <c r="HV53" s="308"/>
      <c r="HW53" s="308"/>
      <c r="HX53" s="308"/>
      <c r="HY53" s="308"/>
      <c r="HZ53" s="308"/>
      <c r="IA53" s="308"/>
      <c r="IB53" s="308"/>
      <c r="IC53" s="308"/>
      <c r="ID53" s="308"/>
      <c r="IE53" s="308"/>
      <c r="IF53" s="308"/>
      <c r="IG53" s="308"/>
      <c r="IH53" s="308"/>
      <c r="II53" s="308"/>
      <c r="IJ53" s="308"/>
      <c r="IK53" s="308"/>
      <c r="IL53" s="308"/>
      <c r="IM53" s="308"/>
      <c r="IN53" s="308"/>
      <c r="IO53" s="308"/>
      <c r="IP53" s="308"/>
      <c r="IQ53" s="308"/>
      <c r="IR53" s="308"/>
      <c r="IS53" s="308"/>
      <c r="IT53" s="308"/>
      <c r="IU53" s="308"/>
      <c r="IV53" s="308"/>
      <c r="IW53" s="308"/>
      <c r="IX53" s="308"/>
    </row>
    <row r="54" spans="1:258" s="308" customFormat="1" ht="17.399999999999999" x14ac:dyDescent="0.3">
      <c r="A54" s="103"/>
      <c r="B54" s="84"/>
      <c r="C54" s="64"/>
      <c r="D54" s="83" t="s">
        <v>164</v>
      </c>
      <c r="E54" s="270">
        <f t="shared" ref="E54:G56" si="12">E58*$C$57+E62*$C$61+$C$65*E66</f>
        <v>0.12415162728885436</v>
      </c>
      <c r="F54" s="90">
        <f t="shared" si="12"/>
        <v>0.73246823220041957</v>
      </c>
      <c r="G54" s="278">
        <f t="shared" si="12"/>
        <v>1.8065780667102462</v>
      </c>
      <c r="H54" s="90">
        <f t="shared" ref="H54:U54" si="13">H58*$C$57+H62*$C$61+$C$65*H66</f>
        <v>5.8189497726973592E-2</v>
      </c>
      <c r="I54" s="90">
        <f t="shared" si="13"/>
        <v>0.03</v>
      </c>
      <c r="J54" s="90">
        <f t="shared" si="13"/>
        <v>0</v>
      </c>
      <c r="K54" s="90">
        <f t="shared" si="13"/>
        <v>0</v>
      </c>
      <c r="L54" s="90">
        <f t="shared" si="13"/>
        <v>0.12309878494706575</v>
      </c>
      <c r="M54" s="90">
        <f t="shared" si="13"/>
        <v>0</v>
      </c>
      <c r="N54" s="90">
        <f t="shared" si="13"/>
        <v>0.1482</v>
      </c>
      <c r="O54" s="90">
        <f t="shared" si="13"/>
        <v>0.1710203844</v>
      </c>
      <c r="P54" s="90">
        <f t="shared" si="13"/>
        <v>0.108271767984466</v>
      </c>
      <c r="Q54" s="90">
        <f t="shared" si="13"/>
        <v>0</v>
      </c>
      <c r="R54" s="90">
        <f t="shared" si="13"/>
        <v>1.2909737099999999E-2</v>
      </c>
      <c r="S54" s="90">
        <f t="shared" si="13"/>
        <v>1.0910169470002107</v>
      </c>
      <c r="T54" s="90">
        <f t="shared" si="13"/>
        <v>0.05</v>
      </c>
      <c r="U54" s="90">
        <f t="shared" si="13"/>
        <v>0.40200000000000002</v>
      </c>
      <c r="V54" s="430"/>
      <c r="W54" s="243"/>
      <c r="Z54" s="64"/>
    </row>
    <row r="55" spans="1:258" s="308" customFormat="1" ht="17.399999999999999" x14ac:dyDescent="0.3">
      <c r="A55" s="103"/>
      <c r="B55" s="84"/>
      <c r="C55" s="142"/>
      <c r="D55" s="83" t="s">
        <v>165</v>
      </c>
      <c r="E55" s="270">
        <f t="shared" si="12"/>
        <v>2.0861847600679013E-2</v>
      </c>
      <c r="F55" s="90">
        <f t="shared" si="12"/>
        <v>2.0947535687580489E-2</v>
      </c>
      <c r="G55" s="278">
        <f t="shared" si="12"/>
        <v>3.6019836266955207E-2</v>
      </c>
      <c r="H55" s="90">
        <f t="shared" ref="H55:U55" si="14">H59*$C$57+H63*$C$61+$C$65*H67</f>
        <v>3.118860758082469E-10</v>
      </c>
      <c r="I55" s="90">
        <f t="shared" si="14"/>
        <v>0</v>
      </c>
      <c r="J55" s="90">
        <f t="shared" si="14"/>
        <v>1.8193471744778207E-2</v>
      </c>
      <c r="K55" s="90">
        <f t="shared" si="14"/>
        <v>0</v>
      </c>
      <c r="L55" s="90">
        <f t="shared" si="14"/>
        <v>5.4528610876841696E-5</v>
      </c>
      <c r="M55" s="90">
        <f t="shared" si="14"/>
        <v>0</v>
      </c>
      <c r="N55" s="90">
        <f t="shared" si="14"/>
        <v>0</v>
      </c>
      <c r="O55" s="90">
        <f t="shared" si="14"/>
        <v>2.0199060000000005E-5</v>
      </c>
      <c r="P55" s="90">
        <f t="shared" si="14"/>
        <v>0</v>
      </c>
      <c r="Q55" s="90">
        <f t="shared" si="14"/>
        <v>0</v>
      </c>
      <c r="R55" s="90">
        <f t="shared" si="14"/>
        <v>0</v>
      </c>
      <c r="S55" s="90">
        <f t="shared" si="14"/>
        <v>3.0661110703998865E-2</v>
      </c>
      <c r="T55" s="90">
        <f t="shared" si="14"/>
        <v>0</v>
      </c>
      <c r="U55" s="90">
        <f t="shared" si="14"/>
        <v>0</v>
      </c>
      <c r="V55" s="430"/>
      <c r="W55" s="243"/>
      <c r="Z55" s="64"/>
    </row>
    <row r="56" spans="1:258" s="308" customFormat="1" ht="17.399999999999999" x14ac:dyDescent="0.3">
      <c r="A56" s="107"/>
      <c r="B56" s="206"/>
      <c r="C56" s="85"/>
      <c r="D56" s="84" t="s">
        <v>166</v>
      </c>
      <c r="E56" s="270">
        <f t="shared" si="12"/>
        <v>6.5306517198877368E-4</v>
      </c>
      <c r="F56" s="90">
        <f t="shared" si="12"/>
        <v>1.0747766669095113E-3</v>
      </c>
      <c r="G56" s="278">
        <f t="shared" si="12"/>
        <v>1.8399726676835689E-3</v>
      </c>
      <c r="H56" s="90">
        <f t="shared" ref="H56:U56" si="15">H60*$C$57+H64*$C$61+$C$65*H68</f>
        <v>3.6258093894136985E-4</v>
      </c>
      <c r="I56" s="90">
        <f t="shared" si="15"/>
        <v>0</v>
      </c>
      <c r="J56" s="90">
        <f t="shared" si="15"/>
        <v>5.1775780020251599E-4</v>
      </c>
      <c r="K56" s="90">
        <f t="shared" si="15"/>
        <v>5.1775780020251608E-5</v>
      </c>
      <c r="L56" s="90">
        <f t="shared" si="15"/>
        <v>3.3077123457852232E-6</v>
      </c>
      <c r="M56" s="90">
        <f t="shared" si="15"/>
        <v>0</v>
      </c>
      <c r="N56" s="90">
        <f t="shared" si="15"/>
        <v>0</v>
      </c>
      <c r="O56" s="90">
        <f t="shared" si="15"/>
        <v>1.8830012600000003E-6</v>
      </c>
      <c r="P56" s="90">
        <f t="shared" si="15"/>
        <v>0</v>
      </c>
      <c r="Q56" s="90">
        <f t="shared" si="15"/>
        <v>0</v>
      </c>
      <c r="R56" s="90">
        <f t="shared" si="15"/>
        <v>0</v>
      </c>
      <c r="S56" s="90">
        <f t="shared" si="15"/>
        <v>1.5731610084199702E-3</v>
      </c>
      <c r="T56" s="90">
        <f t="shared" si="15"/>
        <v>0</v>
      </c>
      <c r="U56" s="90">
        <f t="shared" si="15"/>
        <v>0</v>
      </c>
      <c r="V56" s="430"/>
      <c r="W56" s="243"/>
      <c r="Z56" s="64"/>
    </row>
    <row r="57" spans="1:258" s="420" customFormat="1" ht="17.399999999999999" x14ac:dyDescent="0.3">
      <c r="A57" s="122" t="s">
        <v>10</v>
      </c>
      <c r="B57" s="150" t="s">
        <v>225</v>
      </c>
      <c r="C57" s="111">
        <f>'Input data plant-based products'!D11</f>
        <v>0.19</v>
      </c>
      <c r="D57" s="269" t="s">
        <v>473</v>
      </c>
      <c r="E57" s="320">
        <f>IF($F$1="GWP100 without fb",E58+E59*'Common input data'!$C$5+E60*'Common input data'!$D$5,IF($F$1="GWP100 with fb",E58+E59*'Common input data'!$C$6+E60*'Common input data'!$D$6,IF($F$1="GTP100 without fb",E58+E59*'Common input data'!$C$7+E60*'Common input data'!$D$7,IF($F$1="GTP100 with fb",E58+E59*'Common input data'!$C$8+E60*'Common input data'!$D$8,E58+E59*'Common input data'!$C$9+E60*'Common input data'!$D$9))))</f>
        <v>0.84998832890710985</v>
      </c>
      <c r="F57" s="302">
        <f>IF($F$1="GWP100 without fb",F58+F59*'Common input data'!$C$5+F60*'Common input data'!$D$5,IF($F$1="GWP100 with fb",F58+F59*'Common input data'!$C$6+F60*'Common input data'!$D$6,IF($F$1="GTP100 without fb",F58+F59*'Common input data'!$C$7+F60*'Common input data'!$D$7,IF($F$1="GTP100 with fb",F58+F59*'Common input data'!$C$8+F60*'Common input data'!$D$8,F58+F59*'Common input data'!$C$9+F60*'Common input data'!$D$9))))</f>
        <v>1.5214270381530484</v>
      </c>
      <c r="G57" s="321">
        <f>IF($F$1="GWP100 without fb",G58+G59*'Common input data'!$C$5+G60*'Common input data'!$D$5,IF($F$1="GWP100 with fb",G58+G59*'Common input data'!$C$6+G60*'Common input data'!$D$6,IF($F$1="GTP100 without fb",G58+G59*'Common input data'!$C$7+G60*'Common input data'!$D$7,IF($F$1="GTP100 with fb",G58+G59*'Common input data'!$C$8+G60*'Common input data'!$D$8,G58+G59*'Common input data'!$C$9+G60*'Common input data'!$D$9))))</f>
        <v>3.0995854718239824</v>
      </c>
      <c r="H57" s="102"/>
      <c r="I57" s="102"/>
      <c r="J57" s="102"/>
      <c r="K57" s="102"/>
      <c r="L57" s="102"/>
      <c r="M57" s="102"/>
      <c r="N57" s="102"/>
      <c r="O57" s="102"/>
      <c r="P57" s="102"/>
      <c r="Q57" s="102"/>
      <c r="R57" s="102"/>
      <c r="S57" s="102"/>
      <c r="T57" s="102"/>
      <c r="U57" s="102"/>
      <c r="V57" s="430"/>
      <c r="W57" s="243"/>
      <c r="X57" s="308"/>
      <c r="Y57" s="308"/>
      <c r="Z57" s="64"/>
      <c r="AA57" s="308"/>
      <c r="AB57" s="308"/>
      <c r="AC57" s="308"/>
      <c r="AD57" s="308"/>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308"/>
      <c r="BD57" s="308"/>
      <c r="BE57" s="308"/>
      <c r="BF57" s="308"/>
      <c r="BG57" s="308"/>
      <c r="BH57" s="308"/>
      <c r="BI57" s="308"/>
      <c r="BJ57" s="308"/>
      <c r="BK57" s="308"/>
      <c r="BL57" s="308"/>
      <c r="BM57" s="308"/>
      <c r="BN57" s="308"/>
      <c r="BO57" s="308"/>
      <c r="BP57" s="308"/>
      <c r="BQ57" s="308"/>
      <c r="BR57" s="308"/>
      <c r="BS57" s="308"/>
      <c r="BT57" s="308"/>
      <c r="BU57" s="308"/>
      <c r="BV57" s="308"/>
      <c r="BW57" s="308"/>
      <c r="BX57" s="308"/>
      <c r="BY57" s="308"/>
      <c r="BZ57" s="308"/>
      <c r="CA57" s="308"/>
      <c r="CB57" s="308"/>
      <c r="CC57" s="308"/>
      <c r="CD57" s="308"/>
      <c r="CE57" s="308"/>
      <c r="CF57" s="308"/>
      <c r="CG57" s="308"/>
      <c r="CH57" s="308"/>
      <c r="CI57" s="308"/>
      <c r="CJ57" s="308"/>
      <c r="CK57" s="308"/>
      <c r="CL57" s="308"/>
      <c r="CM57" s="308"/>
      <c r="CN57" s="308"/>
      <c r="CO57" s="308"/>
      <c r="CP57" s="308"/>
      <c r="CQ57" s="308"/>
      <c r="CR57" s="308"/>
      <c r="CS57" s="308"/>
      <c r="CT57" s="308"/>
      <c r="CU57" s="308"/>
      <c r="CV57" s="308"/>
      <c r="CW57" s="308"/>
      <c r="CX57" s="308"/>
      <c r="CY57" s="308"/>
      <c r="CZ57" s="308"/>
      <c r="DA57" s="308"/>
      <c r="DB57" s="308"/>
      <c r="DC57" s="308"/>
      <c r="DD57" s="308"/>
      <c r="DE57" s="308"/>
      <c r="DF57" s="308"/>
      <c r="DG57" s="308"/>
      <c r="DH57" s="308"/>
      <c r="DI57" s="308"/>
      <c r="DJ57" s="308"/>
      <c r="DK57" s="308"/>
      <c r="DL57" s="308"/>
      <c r="DM57" s="308"/>
      <c r="DN57" s="308"/>
      <c r="DO57" s="308"/>
      <c r="DP57" s="308"/>
      <c r="DQ57" s="308"/>
      <c r="DR57" s="308"/>
      <c r="DS57" s="308"/>
      <c r="DT57" s="308"/>
      <c r="DU57" s="308"/>
      <c r="DV57" s="308"/>
      <c r="DW57" s="308"/>
      <c r="DX57" s="308"/>
      <c r="DY57" s="308"/>
      <c r="DZ57" s="308"/>
      <c r="EA57" s="308"/>
      <c r="EB57" s="308"/>
      <c r="EC57" s="308"/>
      <c r="ED57" s="308"/>
      <c r="EE57" s="308"/>
      <c r="EF57" s="308"/>
      <c r="EG57" s="308"/>
      <c r="EH57" s="308"/>
      <c r="EI57" s="308"/>
      <c r="EJ57" s="308"/>
      <c r="EK57" s="308"/>
      <c r="EL57" s="308"/>
      <c r="EM57" s="308"/>
      <c r="EN57" s="308"/>
      <c r="EO57" s="308"/>
      <c r="EP57" s="308"/>
      <c r="EQ57" s="308"/>
      <c r="ER57" s="308"/>
      <c r="ES57" s="308"/>
      <c r="ET57" s="308"/>
      <c r="EU57" s="308"/>
      <c r="EV57" s="308"/>
      <c r="EW57" s="308"/>
      <c r="EX57" s="308"/>
      <c r="EY57" s="308"/>
      <c r="EZ57" s="308"/>
      <c r="FA57" s="308"/>
      <c r="FB57" s="308"/>
      <c r="FC57" s="308"/>
      <c r="FD57" s="308"/>
      <c r="FE57" s="308"/>
      <c r="FF57" s="308"/>
      <c r="FG57" s="308"/>
      <c r="FH57" s="308"/>
      <c r="FI57" s="308"/>
      <c r="FJ57" s="308"/>
      <c r="FK57" s="308"/>
      <c r="FL57" s="308"/>
      <c r="FM57" s="308"/>
      <c r="FN57" s="308"/>
      <c r="FO57" s="308"/>
      <c r="FP57" s="308"/>
      <c r="FQ57" s="308"/>
      <c r="FR57" s="308"/>
      <c r="FS57" s="308"/>
      <c r="FT57" s="308"/>
      <c r="FU57" s="308"/>
      <c r="FV57" s="308"/>
      <c r="FW57" s="308"/>
      <c r="FX57" s="308"/>
      <c r="FY57" s="308"/>
      <c r="FZ57" s="308"/>
      <c r="GA57" s="308"/>
      <c r="GB57" s="308"/>
      <c r="GC57" s="308"/>
      <c r="GD57" s="308"/>
      <c r="GE57" s="308"/>
      <c r="GF57" s="308"/>
      <c r="GG57" s="308"/>
      <c r="GH57" s="308"/>
      <c r="GI57" s="308"/>
      <c r="GJ57" s="308"/>
      <c r="GK57" s="308"/>
      <c r="GL57" s="308"/>
      <c r="GM57" s="308"/>
      <c r="GN57" s="308"/>
      <c r="GO57" s="308"/>
      <c r="GP57" s="308"/>
      <c r="GQ57" s="308"/>
      <c r="GR57" s="308"/>
      <c r="GS57" s="308"/>
      <c r="GT57" s="308"/>
      <c r="GU57" s="308"/>
      <c r="GV57" s="308"/>
      <c r="GW57" s="308"/>
      <c r="GX57" s="308"/>
      <c r="GY57" s="308"/>
      <c r="GZ57" s="308"/>
      <c r="HA57" s="308"/>
      <c r="HB57" s="308"/>
      <c r="HC57" s="308"/>
      <c r="HD57" s="308"/>
      <c r="HE57" s="308"/>
      <c r="HF57" s="308"/>
      <c r="HG57" s="308"/>
      <c r="HH57" s="308"/>
      <c r="HI57" s="308"/>
      <c r="HJ57" s="308"/>
      <c r="HK57" s="308"/>
      <c r="HL57" s="308"/>
      <c r="HM57" s="308"/>
      <c r="HN57" s="308"/>
      <c r="HO57" s="308"/>
      <c r="HP57" s="308"/>
      <c r="HQ57" s="308"/>
      <c r="HR57" s="308"/>
      <c r="HS57" s="308"/>
      <c r="HT57" s="308"/>
      <c r="HU57" s="308"/>
      <c r="HV57" s="308"/>
      <c r="HW57" s="308"/>
      <c r="HX57" s="308"/>
      <c r="HY57" s="308"/>
      <c r="HZ57" s="308"/>
      <c r="IA57" s="308"/>
      <c r="IB57" s="308"/>
      <c r="IC57" s="308"/>
      <c r="ID57" s="308"/>
      <c r="IE57" s="308"/>
      <c r="IF57" s="308"/>
      <c r="IG57" s="308"/>
      <c r="IH57" s="308"/>
      <c r="II57" s="308"/>
      <c r="IJ57" s="308"/>
      <c r="IK57" s="308"/>
      <c r="IL57" s="308"/>
      <c r="IM57" s="308"/>
      <c r="IN57" s="308"/>
      <c r="IO57" s="308"/>
      <c r="IP57" s="308"/>
      <c r="IQ57" s="308"/>
      <c r="IR57" s="308"/>
      <c r="IS57" s="308"/>
      <c r="IT57" s="308"/>
      <c r="IU57" s="308"/>
      <c r="IV57" s="308"/>
      <c r="IW57" s="308"/>
      <c r="IX57" s="308"/>
    </row>
    <row r="58" spans="1:258" s="308" customFormat="1" ht="17.399999999999999" x14ac:dyDescent="0.3">
      <c r="A58" s="103"/>
      <c r="B58" s="84"/>
      <c r="C58" s="64"/>
      <c r="D58" s="83" t="s">
        <v>164</v>
      </c>
      <c r="E58" s="270">
        <f>IF(AND($F$2="No",$F$3="No"),SUM(J58:K58)*'Input data plant-based products'!O$122,IF(AND($F$2="Yes", $F$3="No"), (SUM(J58:K58)+Q58)*'Input data plant-based products'!O$122, IF(AND($F$2="No", $F$3="Yes"),(SUM(J58:K58)+P58)*'Input data plant-based products'!O$122, (SUM(J58:K58)+Q58+P58)*'Input data plant-based products'!O$122)))</f>
        <v>0.12415162728885436</v>
      </c>
      <c r="F58" s="90">
        <f>IF(AND($F$2="No",$F$3="No"),SUM(H58:O58)*'Input data plant-based products'!O$122,IF(AND($F$2="Yes", $F$3="No"), (SUM(H58:O58)+Q58)*'Input data plant-based products'!O$122, IF(AND($F$2="No", $F$3="Yes"),(SUM(H58:O58)+P58)*'Input data plant-based products'!O$122, (SUM(H58:O58)+Q58+P58)*'Input data plant-based products'!O$122)))</f>
        <v>0.65757246598022456</v>
      </c>
      <c r="G58" s="278">
        <f>SUM(S58:U58)/(1-'Common input data'!$D$122)</f>
        <v>1.6619153643740543</v>
      </c>
      <c r="H58" s="90">
        <f>('Input data plant-based products'!$F$11*('Common input data'!$D$76*'Common input data'!B69+'Common input data'!$D$77*'Common input data'!C69))/'Input data plant-based products'!$E$11</f>
        <v>6.1268197605815415E-2</v>
      </c>
      <c r="I58" s="90">
        <f>'Common input data'!$B$81</f>
        <v>0.03</v>
      </c>
      <c r="J58" s="90">
        <v>0</v>
      </c>
      <c r="K58" s="90">
        <v>0</v>
      </c>
      <c r="L58" s="90">
        <f>('Input data plant-based products'!$I$11*'Common input data'!$C$59*'Common input data'!H49)/'Input data plant-based products'!$E$11</f>
        <v>0.17125177827619353</v>
      </c>
      <c r="M58" s="90">
        <v>0</v>
      </c>
      <c r="N58" s="90">
        <f>'Input data plant-based products'!B$152*'Input data plant-based products'!E157</f>
        <v>0.03</v>
      </c>
      <c r="O58" s="90">
        <f>'Input data plant-based products'!$B$122*'Common input data'!$B$59*'Common input data'!B49+'Input data plant-based products'!C$122*'Common input data'!G63</f>
        <v>0.172672616</v>
      </c>
      <c r="P58" s="90">
        <f>'Common input data'!B$13</f>
        <v>0.108271767984466</v>
      </c>
      <c r="Q58" s="90">
        <v>0</v>
      </c>
      <c r="R58" s="90">
        <f>'Input data plant-based products'!F122*'Common input data'!G63</f>
        <v>1.309074E-2</v>
      </c>
      <c r="S58" s="90">
        <f>(F58+R58)*'Common input data'!$D$27/'Common input data'!$C$27</f>
        <v>0.98165622488234472</v>
      </c>
      <c r="T58" s="90">
        <f>'Common input data'!$B$88</f>
        <v>0.05</v>
      </c>
      <c r="U58" s="90">
        <f>'Common input data'!B105+'Common input data'!C105</f>
        <v>0.43000000000000005</v>
      </c>
      <c r="V58" s="430"/>
      <c r="W58" s="243"/>
      <c r="Z58" s="64"/>
    </row>
    <row r="59" spans="1:258" s="308" customFormat="1" ht="17.399999999999999" x14ac:dyDescent="0.3">
      <c r="A59" s="107"/>
      <c r="B59" s="84"/>
      <c r="C59" s="142"/>
      <c r="D59" s="83" t="s">
        <v>165</v>
      </c>
      <c r="E59" s="270">
        <f>SUM(J59:K59)*'Input data plant-based products'!O$122</f>
        <v>1.5202793976289652E-2</v>
      </c>
      <c r="F59" s="90">
        <f>SUM(H59:O59)*'Input data plant-based products'!O$122</f>
        <v>1.5312940663458627E-2</v>
      </c>
      <c r="G59" s="278">
        <f>SUM(S59:U59)/(1-'Common input data'!$D$122)</f>
        <v>2.548456390481961E-2</v>
      </c>
      <c r="H59" s="90">
        <f>('Input data plant-based products'!$F$11*('Common input data'!$D$76*'Common input data'!B70+'Common input data'!$D$77*'Common input data'!C70))/'Input data plant-based products'!$E$11</f>
        <v>3.3419788529317528E-10</v>
      </c>
      <c r="I59" s="90">
        <v>0</v>
      </c>
      <c r="J59" s="90">
        <f>'Input data plant-based products'!C157/'Input data plant-based products'!E11</f>
        <v>1.325825056071772E-2</v>
      </c>
      <c r="K59" s="90">
        <v>0</v>
      </c>
      <c r="L59" s="90">
        <f>('Input data plant-based products'!$I$11*'Common input data'!$C$59*'Common input data'!H50)/'Input data plant-based products'!$E$11</f>
        <v>7.5858763216917675E-5</v>
      </c>
      <c r="M59" s="90">
        <v>0</v>
      </c>
      <c r="N59" s="90">
        <v>0</v>
      </c>
      <c r="O59" s="90">
        <f>'Input data plant-based products'!$B$122*'Common input data'!$B$59*'Common input data'!B50</f>
        <v>2.0199060000000005E-5</v>
      </c>
      <c r="P59" s="90">
        <v>0</v>
      </c>
      <c r="Q59" s="90">
        <v>0</v>
      </c>
      <c r="R59" s="90">
        <v>0</v>
      </c>
      <c r="S59" s="90">
        <f>(F59+R59)*'Common input data'!$D$27/'Common input data'!$C$27</f>
        <v>2.2413699438852748E-2</v>
      </c>
      <c r="T59" s="90">
        <v>0</v>
      </c>
      <c r="U59" s="90">
        <v>0</v>
      </c>
      <c r="V59" s="430"/>
      <c r="W59" s="243"/>
      <c r="Z59" s="64"/>
    </row>
    <row r="60" spans="1:258" s="308" customFormat="1" ht="17.399999999999999" x14ac:dyDescent="0.3">
      <c r="A60" s="174"/>
      <c r="B60" s="206"/>
      <c r="C60" s="85"/>
      <c r="D60" s="84" t="s">
        <v>166</v>
      </c>
      <c r="E60" s="270">
        <f>SUM(J60:K60)*'Input data plant-based products'!O$122</f>
        <v>7.0114666585371606E-4</v>
      </c>
      <c r="F60" s="90">
        <f>SUM(H60:O60)*'Input data plant-based products'!O$122</f>
        <v>1.1517268107893645E-3</v>
      </c>
      <c r="G60" s="278">
        <f>SUM(S60:U60)/(1-'Common input data'!$D$122)</f>
        <v>1.9167615257921519E-3</v>
      </c>
      <c r="H60" s="90">
        <f>('Input data plant-based products'!$F$11*('Common input data'!$D$76*'Common input data'!B71+'Common input data'!$D$77*'Common input data'!C71))/'Input data plant-based products'!$E$11</f>
        <v>3.8646319750534788E-4</v>
      </c>
      <c r="I60" s="90">
        <v>0</v>
      </c>
      <c r="J60" s="90">
        <f>(SUM('Input data plant-based products'!F11:H11)*'Input data plant-based products'!$B$114*44/28)/'Input data plant-based products'!E11</f>
        <v>5.5587737779100104E-4</v>
      </c>
      <c r="K60" s="90">
        <f>J60*'Input data plant-based products'!$B$115</f>
        <v>5.558773777910011E-5</v>
      </c>
      <c r="L60" s="90">
        <f>('Input data plant-based products'!$I$11*'Common input data'!$C$59*'Common input data'!H51)/'Input data plant-based products'!$E$11</f>
        <v>4.6016020506248E-6</v>
      </c>
      <c r="M60" s="90">
        <v>0</v>
      </c>
      <c r="N60" s="90">
        <v>0</v>
      </c>
      <c r="O60" s="90">
        <f>'Input data plant-based products'!$B$122*'Common input data'!$B$59*'Common input data'!B51</f>
        <v>1.8830012600000001E-6</v>
      </c>
      <c r="P60" s="90">
        <v>0</v>
      </c>
      <c r="Q60" s="90">
        <v>0</v>
      </c>
      <c r="R60" s="90">
        <v>0</v>
      </c>
      <c r="S60" s="90">
        <f>(F60+R60)*'Common input data'!$D$27/'Common input data'!$C$27</f>
        <v>1.6857936786957232E-3</v>
      </c>
      <c r="T60" s="90">
        <v>0</v>
      </c>
      <c r="U60" s="90">
        <v>0</v>
      </c>
      <c r="V60" s="430"/>
      <c r="W60" s="243"/>
      <c r="Z60" s="64"/>
    </row>
    <row r="61" spans="1:258" s="420" customFormat="1" ht="17.399999999999999" x14ac:dyDescent="0.3">
      <c r="A61" s="122" t="s">
        <v>66</v>
      </c>
      <c r="B61" s="150" t="s">
        <v>225</v>
      </c>
      <c r="C61" s="111">
        <f>'Input data plant-based products'!D12</f>
        <v>0.14000000000000001</v>
      </c>
      <c r="D61" s="269" t="s">
        <v>473</v>
      </c>
      <c r="E61" s="320">
        <f>IF($F$1="GWP100 without fb",E62+E63*'Common input data'!$C$5+E64*'Common input data'!$D$5,IF($F$1="GWP100 with fb",E62+E63*'Common input data'!$C$6+E64*'Common input data'!$D$6,IF($F$1="GTP100 without fb",E62+E63*'Common input data'!$C$7+E64*'Common input data'!$D$7,IF($F$1="GTP100 with fb",E62+E63*'Common input data'!$C$8+E64*'Common input data'!$D$8,E62+E63*'Common input data'!$C$9+E64*'Common input data'!$D$9))))</f>
        <v>2.0787103418449209</v>
      </c>
      <c r="F61" s="302">
        <f>IF($F$1="GWP100 without fb",F62+F63*'Common input data'!$C$5+F64*'Common input data'!$D$5,IF($F$1="GWP100 with fb",F62+F63*'Common input data'!$C$6+F64*'Common input data'!$D$6,IF($F$1="GTP100 without fb",F62+F63*'Common input data'!$C$7+F64*'Common input data'!$D$7,IF($F$1="GTP100 with fb",F62+F63*'Common input data'!$C$8+F64*'Common input data'!$D$8,F62+F63*'Common input data'!$C$9+F64*'Common input data'!$D$9))))</f>
        <v>2.7905102482434141</v>
      </c>
      <c r="G61" s="321">
        <f>IF($F$1="GWP100 without fb",G62+G63*'Common input data'!$C$5+G64*'Common input data'!$D$5,IF($F$1="GWP100 with fb",G62+G63*'Common input data'!$C$6+G64*'Common input data'!$D$6,IF($F$1="GTP100 without fb",G62+G63*'Common input data'!$C$7+G64*'Common input data'!$D$7,IF($F$1="GTP100 with fb",G62+G63*'Common input data'!$C$8+G64*'Common input data'!$D$8,G62+G63*'Common input data'!$C$9+G64*'Common input data'!$D$9))))</f>
        <v>5.1904895381232574</v>
      </c>
      <c r="H61" s="102"/>
      <c r="I61" s="102"/>
      <c r="J61" s="102"/>
      <c r="K61" s="102"/>
      <c r="L61" s="102"/>
      <c r="M61" s="102"/>
      <c r="N61" s="102"/>
      <c r="O61" s="102"/>
      <c r="P61" s="102"/>
      <c r="Q61" s="102"/>
      <c r="R61" s="102"/>
      <c r="S61" s="102"/>
      <c r="T61" s="102"/>
      <c r="U61" s="102"/>
      <c r="V61" s="430"/>
      <c r="W61" s="243"/>
      <c r="X61" s="308"/>
      <c r="Y61" s="308"/>
      <c r="Z61" s="64"/>
      <c r="AA61" s="308"/>
      <c r="AB61" s="308"/>
      <c r="AC61" s="308"/>
      <c r="AD61" s="308"/>
      <c r="AE61" s="308"/>
      <c r="AF61" s="308"/>
      <c r="AG61" s="308"/>
      <c r="AH61" s="308"/>
      <c r="AI61" s="308"/>
      <c r="AJ61" s="308"/>
      <c r="AK61" s="308"/>
      <c r="AL61" s="308"/>
      <c r="AM61" s="308"/>
      <c r="AN61" s="308"/>
      <c r="AO61" s="308"/>
      <c r="AP61" s="308"/>
      <c r="AQ61" s="308"/>
      <c r="AR61" s="308"/>
      <c r="AS61" s="308"/>
      <c r="AT61" s="308"/>
      <c r="AU61" s="308"/>
      <c r="AV61" s="308"/>
      <c r="AW61" s="308"/>
      <c r="AX61" s="308"/>
      <c r="AY61" s="308"/>
      <c r="AZ61" s="308"/>
      <c r="BA61" s="308"/>
      <c r="BB61" s="308"/>
      <c r="BC61" s="308"/>
      <c r="BD61" s="308"/>
      <c r="BE61" s="308"/>
      <c r="BF61" s="308"/>
      <c r="BG61" s="308"/>
      <c r="BH61" s="308"/>
      <c r="BI61" s="308"/>
      <c r="BJ61" s="308"/>
      <c r="BK61" s="308"/>
      <c r="BL61" s="308"/>
      <c r="BM61" s="308"/>
      <c r="BN61" s="308"/>
      <c r="BO61" s="308"/>
      <c r="BP61" s="308"/>
      <c r="BQ61" s="308"/>
      <c r="BR61" s="308"/>
      <c r="BS61" s="308"/>
      <c r="BT61" s="308"/>
      <c r="BU61" s="308"/>
      <c r="BV61" s="308"/>
      <c r="BW61" s="308"/>
      <c r="BX61" s="308"/>
      <c r="BY61" s="308"/>
      <c r="BZ61" s="308"/>
      <c r="CA61" s="308"/>
      <c r="CB61" s="308"/>
      <c r="CC61" s="308"/>
      <c r="CD61" s="308"/>
      <c r="CE61" s="308"/>
      <c r="CF61" s="308"/>
      <c r="CG61" s="308"/>
      <c r="CH61" s="308"/>
      <c r="CI61" s="308"/>
      <c r="CJ61" s="308"/>
      <c r="CK61" s="308"/>
      <c r="CL61" s="308"/>
      <c r="CM61" s="308"/>
      <c r="CN61" s="308"/>
      <c r="CO61" s="308"/>
      <c r="CP61" s="308"/>
      <c r="CQ61" s="308"/>
      <c r="CR61" s="308"/>
      <c r="CS61" s="308"/>
      <c r="CT61" s="308"/>
      <c r="CU61" s="308"/>
      <c r="CV61" s="308"/>
      <c r="CW61" s="308"/>
      <c r="CX61" s="308"/>
      <c r="CY61" s="308"/>
      <c r="CZ61" s="308"/>
      <c r="DA61" s="308"/>
      <c r="DB61" s="308"/>
      <c r="DC61" s="308"/>
      <c r="DD61" s="308"/>
      <c r="DE61" s="308"/>
      <c r="DF61" s="308"/>
      <c r="DG61" s="308"/>
      <c r="DH61" s="308"/>
      <c r="DI61" s="308"/>
      <c r="DJ61" s="308"/>
      <c r="DK61" s="308"/>
      <c r="DL61" s="308"/>
      <c r="DM61" s="308"/>
      <c r="DN61" s="308"/>
      <c r="DO61" s="308"/>
      <c r="DP61" s="308"/>
      <c r="DQ61" s="308"/>
      <c r="DR61" s="308"/>
      <c r="DS61" s="308"/>
      <c r="DT61" s="308"/>
      <c r="DU61" s="308"/>
      <c r="DV61" s="308"/>
      <c r="DW61" s="308"/>
      <c r="DX61" s="308"/>
      <c r="DY61" s="308"/>
      <c r="DZ61" s="308"/>
      <c r="EA61" s="308"/>
      <c r="EB61" s="308"/>
      <c r="EC61" s="308"/>
      <c r="ED61" s="308"/>
      <c r="EE61" s="308"/>
      <c r="EF61" s="308"/>
      <c r="EG61" s="308"/>
      <c r="EH61" s="308"/>
      <c r="EI61" s="308"/>
      <c r="EJ61" s="308"/>
      <c r="EK61" s="308"/>
      <c r="EL61" s="308"/>
      <c r="EM61" s="308"/>
      <c r="EN61" s="308"/>
      <c r="EO61" s="308"/>
      <c r="EP61" s="308"/>
      <c r="EQ61" s="308"/>
      <c r="ER61" s="308"/>
      <c r="ES61" s="308"/>
      <c r="ET61" s="308"/>
      <c r="EU61" s="308"/>
      <c r="EV61" s="308"/>
      <c r="EW61" s="308"/>
      <c r="EX61" s="308"/>
      <c r="EY61" s="308"/>
      <c r="EZ61" s="308"/>
      <c r="FA61" s="308"/>
      <c r="FB61" s="308"/>
      <c r="FC61" s="308"/>
      <c r="FD61" s="308"/>
      <c r="FE61" s="308"/>
      <c r="FF61" s="308"/>
      <c r="FG61" s="308"/>
      <c r="FH61" s="308"/>
      <c r="FI61" s="308"/>
      <c r="FJ61" s="308"/>
      <c r="FK61" s="308"/>
      <c r="FL61" s="308"/>
      <c r="FM61" s="308"/>
      <c r="FN61" s="308"/>
      <c r="FO61" s="308"/>
      <c r="FP61" s="308"/>
      <c r="FQ61" s="308"/>
      <c r="FR61" s="308"/>
      <c r="FS61" s="308"/>
      <c r="FT61" s="308"/>
      <c r="FU61" s="308"/>
      <c r="FV61" s="308"/>
      <c r="FW61" s="308"/>
      <c r="FX61" s="308"/>
      <c r="FY61" s="308"/>
      <c r="FZ61" s="308"/>
      <c r="GA61" s="308"/>
      <c r="GB61" s="308"/>
      <c r="GC61" s="308"/>
      <c r="GD61" s="308"/>
      <c r="GE61" s="308"/>
      <c r="GF61" s="308"/>
      <c r="GG61" s="308"/>
      <c r="GH61" s="308"/>
      <c r="GI61" s="308"/>
      <c r="GJ61" s="308"/>
      <c r="GK61" s="308"/>
      <c r="GL61" s="308"/>
      <c r="GM61" s="308"/>
      <c r="GN61" s="308"/>
      <c r="GO61" s="308"/>
      <c r="GP61" s="308"/>
      <c r="GQ61" s="308"/>
      <c r="GR61" s="308"/>
      <c r="GS61" s="308"/>
      <c r="GT61" s="308"/>
      <c r="GU61" s="308"/>
      <c r="GV61" s="308"/>
      <c r="GW61" s="308"/>
      <c r="GX61" s="308"/>
      <c r="GY61" s="308"/>
      <c r="GZ61" s="308"/>
      <c r="HA61" s="308"/>
      <c r="HB61" s="308"/>
      <c r="HC61" s="308"/>
      <c r="HD61" s="308"/>
      <c r="HE61" s="308"/>
      <c r="HF61" s="308"/>
      <c r="HG61" s="308"/>
      <c r="HH61" s="308"/>
      <c r="HI61" s="308"/>
      <c r="HJ61" s="308"/>
      <c r="HK61" s="308"/>
      <c r="HL61" s="308"/>
      <c r="HM61" s="308"/>
      <c r="HN61" s="308"/>
      <c r="HO61" s="308"/>
      <c r="HP61" s="308"/>
      <c r="HQ61" s="308"/>
      <c r="HR61" s="308"/>
      <c r="HS61" s="308"/>
      <c r="HT61" s="308"/>
      <c r="HU61" s="308"/>
      <c r="HV61" s="308"/>
      <c r="HW61" s="308"/>
      <c r="HX61" s="308"/>
      <c r="HY61" s="308"/>
      <c r="HZ61" s="308"/>
      <c r="IA61" s="308"/>
      <c r="IB61" s="308"/>
      <c r="IC61" s="308"/>
      <c r="ID61" s="308"/>
      <c r="IE61" s="308"/>
      <c r="IF61" s="308"/>
      <c r="IG61" s="308"/>
      <c r="IH61" s="308"/>
      <c r="II61" s="308"/>
      <c r="IJ61" s="308"/>
      <c r="IK61" s="308"/>
      <c r="IL61" s="308"/>
      <c r="IM61" s="308"/>
      <c r="IN61" s="308"/>
      <c r="IO61" s="308"/>
      <c r="IP61" s="308"/>
      <c r="IQ61" s="308"/>
      <c r="IR61" s="308"/>
      <c r="IS61" s="308"/>
      <c r="IT61" s="308"/>
      <c r="IU61" s="308"/>
      <c r="IV61" s="308"/>
      <c r="IW61" s="308"/>
      <c r="IX61" s="308"/>
    </row>
    <row r="62" spans="1:258" s="308" customFormat="1" ht="17.399999999999999" x14ac:dyDescent="0.3">
      <c r="A62" s="144"/>
      <c r="B62" s="84"/>
      <c r="C62" s="64"/>
      <c r="D62" s="83" t="s">
        <v>164</v>
      </c>
      <c r="E62" s="270">
        <f>IF(AND($F$2="No",$F$3="No"),SUM(J62:K62)*'Input data plant-based products'!O$122,IF(AND($F$2="Yes", $F$3="No"), (SUM(J62:K62)+Q62)*'Input data plant-based products'!O$122, IF(AND($F$2="No", $F$3="Yes"),(SUM(J62:K62)+P62)*'Input data plant-based products'!O$122, (SUM(J62:K62)+Q62+P62)*'Input data plant-based products'!O$122)))</f>
        <v>0.12415162728885436</v>
      </c>
      <c r="F62" s="90">
        <f>IF(AND($F$2="No",$F$3="No"),SUM(H62:O62)*'Input data plant-based products'!O$122,IF(AND($F$2="Yes", $F$3="No"), (SUM(H62:O62)+Q62)*'Input data plant-based products'!O$122, IF(AND($F$2="No", $F$3="Yes"),(SUM(H62:O62)+P62)*'Input data plant-based products'!O$122, (SUM(H62:O62)+Q62+P62)*'Input data plant-based products'!O$122)))</f>
        <v>0.76195992838519233</v>
      </c>
      <c r="G62" s="278">
        <f>SUM(S62:U62)/(1-'Common input data'!$B$122)</f>
        <v>1.6661492825314681</v>
      </c>
      <c r="H62" s="90">
        <f>('Input data plant-based products'!$F$12*('Common input data'!$C$76*'Common input data'!B69+'Common input data'!$C$77*'Common input data'!C69))/'Input data plant-based products'!$E$12</f>
        <v>3.7701579896779649E-2</v>
      </c>
      <c r="I62" s="90">
        <f>'Common input data'!$B$81</f>
        <v>0.03</v>
      </c>
      <c r="J62" s="90">
        <v>0</v>
      </c>
      <c r="K62" s="90">
        <v>0</v>
      </c>
      <c r="L62" s="90">
        <f>('Input data plant-based products'!$I$12*'Common input data'!$C$59*'Common input data'!H49)/'Input data plant-based products'!$E$12</f>
        <v>8.2838933663980166E-2</v>
      </c>
      <c r="M62" s="90">
        <v>0</v>
      </c>
      <c r="N62" s="90">
        <f>'Input data plant-based products'!B$152*'Input data plant-based products'!E158</f>
        <v>0.3</v>
      </c>
      <c r="O62" s="90">
        <f>'Input data plant-based products'!$B$122*'Common input data'!$B$59*'Common input data'!B49+'Input data plant-based products'!C$122*'Common input data'!C63</f>
        <v>0.10568765599999999</v>
      </c>
      <c r="P62" s="90">
        <f>'Common input data'!B$13</f>
        <v>0.108271767984466</v>
      </c>
      <c r="Q62" s="90">
        <v>0</v>
      </c>
      <c r="R62" s="90">
        <f>'Input data plant-based products'!F122*'Common input data'!C63</f>
        <v>5.7524999999999998E-3</v>
      </c>
      <c r="S62" s="90">
        <f>(F62+R62)*'Common input data'!$D$27/'Common input data'!$C$27</f>
        <v>1.1237081109025193</v>
      </c>
      <c r="T62" s="90">
        <f>'Common input data'!$B$88</f>
        <v>0.05</v>
      </c>
      <c r="U62" s="90">
        <f>'Common input data'!B100+'Common input data'!C100</f>
        <v>0.23</v>
      </c>
      <c r="V62" s="430"/>
      <c r="W62" s="243"/>
      <c r="Z62" s="64"/>
    </row>
    <row r="63" spans="1:258" s="308" customFormat="1" ht="17.399999999999999" x14ac:dyDescent="0.3">
      <c r="A63" s="107"/>
      <c r="B63" s="84"/>
      <c r="C63" s="142"/>
      <c r="D63" s="83" t="s">
        <v>165</v>
      </c>
      <c r="E63" s="270">
        <f>SUM(J63:K63)*'Input data plant-based products'!O$122</f>
        <v>5.2791489191068408E-2</v>
      </c>
      <c r="F63" s="90">
        <f>SUM(H63:O63)*'Input data plant-based products'!O$122</f>
        <v>5.2856727736754865E-2</v>
      </c>
      <c r="G63" s="278">
        <f>SUM(S63:U63)/(1-'Common input data'!$B$122)</f>
        <v>9.1831635389020075E-2</v>
      </c>
      <c r="H63" s="90">
        <f>('Input data plant-based products'!$F$12*('Common input data'!$C$76*'Common input data'!B70+'Common input data'!$C$77*'Common input data'!C70))/'Input data plant-based products'!$E$12</f>
        <v>1.6623177748863646E-10</v>
      </c>
      <c r="I63" s="90">
        <v>0</v>
      </c>
      <c r="J63" s="90">
        <f>'Input data plant-based products'!B158</f>
        <v>4.603908941081547E-2</v>
      </c>
      <c r="K63" s="90">
        <v>0</v>
      </c>
      <c r="L63" s="90">
        <f>('Input data plant-based products'!$I$12*'Common input data'!$C$59*'Common input data'!H50)/'Input data plant-based products'!$E$12</f>
        <v>3.6694854308741484E-5</v>
      </c>
      <c r="M63" s="90">
        <v>0</v>
      </c>
      <c r="N63" s="90">
        <v>0</v>
      </c>
      <c r="O63" s="90">
        <f>'Input data plant-based products'!$B$122*'Common input data'!$B$59*'Common input data'!B50</f>
        <v>2.0199060000000005E-5</v>
      </c>
      <c r="P63" s="90">
        <v>0</v>
      </c>
      <c r="Q63" s="90">
        <v>0</v>
      </c>
      <c r="R63" s="90">
        <v>0</v>
      </c>
      <c r="S63" s="90">
        <f>(F63+R63)*'Common input data'!$D$27/'Common input data'!$C$27</f>
        <v>7.7366903905008125E-2</v>
      </c>
      <c r="T63" s="90">
        <v>0</v>
      </c>
      <c r="U63" s="90">
        <v>0</v>
      </c>
      <c r="V63" s="430"/>
      <c r="W63" s="243"/>
      <c r="Z63" s="64"/>
    </row>
    <row r="64" spans="1:258" s="308" customFormat="1" ht="17.399999999999999" x14ac:dyDescent="0.3">
      <c r="A64" s="174"/>
      <c r="B64" s="206"/>
      <c r="C64" s="85"/>
      <c r="D64" s="84" t="s">
        <v>166</v>
      </c>
      <c r="E64" s="270">
        <f>SUM(J64:K64)*'Input data plant-based products'!O$122</f>
        <v>5.3573181899241903E-4</v>
      </c>
      <c r="F64" s="90">
        <f>SUM(H64:O64)*'Input data plant-based products'!O$122</f>
        <v>7.7658247251193361E-4</v>
      </c>
      <c r="G64" s="278">
        <f>SUM(S64:U64)/(1-'Common input data'!$B$122)</f>
        <v>1.3492102428359287E-3</v>
      </c>
      <c r="H64" s="90">
        <f>('Input data plant-based products'!$F$12*('Common input data'!$C$76*'Common input data'!B71+'Common input data'!$C$77*'Common input data'!C71))/'Input data plant-based products'!$E$12</f>
        <v>2.0593525887583879E-4</v>
      </c>
      <c r="I64" s="90">
        <v>0</v>
      </c>
      <c r="J64" s="90">
        <f>(SUM('Input data plant-based products'!F12:H12)*'Input data plant-based products'!$B$114*44/28)/'Input data plant-based products'!E12</f>
        <v>4.2473452879948647E-4</v>
      </c>
      <c r="K64" s="90">
        <f>J64*'Input data plant-based products'!$B$115</f>
        <v>4.2473452879948649E-5</v>
      </c>
      <c r="L64" s="90">
        <f>('Input data plant-based products'!$I$12*'Common input data'!$C$59*'Common input data'!H51)/'Input data plant-based products'!$E$12</f>
        <v>2.2259144451332924E-6</v>
      </c>
      <c r="M64" s="90">
        <v>0</v>
      </c>
      <c r="N64" s="90">
        <v>0</v>
      </c>
      <c r="O64" s="90">
        <f>'Input data plant-based products'!$B$122*'Common input data'!$B$59*'Common input data'!B51</f>
        <v>1.8830012600000001E-6</v>
      </c>
      <c r="P64" s="90">
        <v>0</v>
      </c>
      <c r="Q64" s="90">
        <v>0</v>
      </c>
      <c r="R64" s="90">
        <v>0</v>
      </c>
      <c r="S64" s="90">
        <f>(F64+R64)*'Common input data'!$D$27/'Common input data'!$C$27</f>
        <v>1.1366912803299674E-3</v>
      </c>
      <c r="T64" s="90">
        <v>0</v>
      </c>
      <c r="U64" s="90">
        <v>0</v>
      </c>
      <c r="V64" s="430"/>
      <c r="W64" s="243"/>
      <c r="Z64" s="64"/>
    </row>
    <row r="65" spans="1:258" s="420" customFormat="1" ht="17.399999999999999" x14ac:dyDescent="0.3">
      <c r="A65" s="122" t="s">
        <v>67</v>
      </c>
      <c r="B65" s="150" t="s">
        <v>225</v>
      </c>
      <c r="C65" s="111">
        <f>'Input data plant-based products'!D13</f>
        <v>0.67</v>
      </c>
      <c r="D65" s="269" t="s">
        <v>473</v>
      </c>
      <c r="E65" s="320">
        <f>IF($F$1="GWP100 without fb",E66+E67*'Common input data'!$C$5+E68*'Common input data'!$D$5,IF($F$1="GWP100 with fb",E66+E67*'Common input data'!$C$6+E68*'Common input data'!$D$6,IF($F$1="GTP100 without fb",E66+E67*'Common input data'!$C$7+E68*'Common input data'!$D$7,IF($F$1="GTP100 with fb",E66+E67*'Common input data'!$C$8+E68*'Common input data'!$D$8,E66+E67*'Common input data'!$C$9+E68*'Common input data'!$D$9))))</f>
        <v>0.85903080091635142</v>
      </c>
      <c r="F65" s="302">
        <f>IF($F$1="GWP100 without fb",F66+F67*'Common input data'!$C$5+F68*'Common input data'!$D$5,IF($F$1="GWP100 with fb",F66+F67*'Common input data'!$C$6+F68*'Common input data'!$D$6,IF($F$1="GTP100 without fb",F66+F67*'Common input data'!$C$7+F68*'Common input data'!$D$7,IF($F$1="GTP100 with fb",F66+F67*'Common input data'!$C$8+F68*'Common input data'!$D$8,F66+F67*'Common input data'!$C$9+F68*'Common input data'!$D$9))))</f>
        <v>1.619739284050796</v>
      </c>
      <c r="G65" s="321">
        <f>IF($F$1="GWP100 without fb",G66+G67*'Common input data'!$C$5+G68*'Common input data'!$D$5,IF($F$1="GWP100 with fb",G66+G67*'Common input data'!$C$6+G68*'Common input data'!$D$6,IF($F$1="GTP100 without fb",G66+G67*'Common input data'!$C$7+G68*'Common input data'!$D$7,IF($F$1="GTP100 with fb",G66+G67*'Common input data'!$C$8+G68*'Common input data'!$D$8,G66+G67*'Common input data'!$C$9+G68*'Common input data'!$D$9))))</f>
        <v>3.3790665369740505</v>
      </c>
      <c r="H65" s="102"/>
      <c r="I65" s="102"/>
      <c r="J65" s="102"/>
      <c r="K65" s="102"/>
      <c r="L65" s="102"/>
      <c r="M65" s="102"/>
      <c r="N65" s="102"/>
      <c r="O65" s="102"/>
      <c r="P65" s="102"/>
      <c r="Q65" s="102"/>
      <c r="R65" s="102"/>
      <c r="S65" s="102"/>
      <c r="T65" s="102"/>
      <c r="U65" s="102"/>
      <c r="V65" s="430"/>
      <c r="W65" s="243"/>
      <c r="X65" s="308"/>
      <c r="Y65" s="308"/>
      <c r="Z65" s="64"/>
      <c r="AA65" s="308"/>
      <c r="AB65" s="308"/>
      <c r="AC65" s="308"/>
      <c r="AD65" s="308"/>
      <c r="AE65" s="308"/>
      <c r="AF65" s="308"/>
      <c r="AG65" s="308"/>
      <c r="AH65" s="308"/>
      <c r="AI65" s="308"/>
      <c r="AJ65" s="308"/>
      <c r="AK65" s="308"/>
      <c r="AL65" s="308"/>
      <c r="AM65" s="308"/>
      <c r="AN65" s="308"/>
      <c r="AO65" s="308"/>
      <c r="AP65" s="308"/>
      <c r="AQ65" s="308"/>
      <c r="AR65" s="308"/>
      <c r="AS65" s="308"/>
      <c r="AT65" s="308"/>
      <c r="AU65" s="308"/>
      <c r="AV65" s="308"/>
      <c r="AW65" s="308"/>
      <c r="AX65" s="308"/>
      <c r="AY65" s="308"/>
      <c r="AZ65" s="308"/>
      <c r="BA65" s="308"/>
      <c r="BB65" s="308"/>
      <c r="BC65" s="308"/>
      <c r="BD65" s="308"/>
      <c r="BE65" s="308"/>
      <c r="BF65" s="308"/>
      <c r="BG65" s="308"/>
      <c r="BH65" s="308"/>
      <c r="BI65" s="308"/>
      <c r="BJ65" s="308"/>
      <c r="BK65" s="308"/>
      <c r="BL65" s="308"/>
      <c r="BM65" s="308"/>
      <c r="BN65" s="308"/>
      <c r="BO65" s="308"/>
      <c r="BP65" s="308"/>
      <c r="BQ65" s="308"/>
      <c r="BR65" s="308"/>
      <c r="BS65" s="308"/>
      <c r="BT65" s="308"/>
      <c r="BU65" s="308"/>
      <c r="BV65" s="308"/>
      <c r="BW65" s="308"/>
      <c r="BX65" s="308"/>
      <c r="BY65" s="308"/>
      <c r="BZ65" s="308"/>
      <c r="CA65" s="308"/>
      <c r="CB65" s="308"/>
      <c r="CC65" s="308"/>
      <c r="CD65" s="308"/>
      <c r="CE65" s="308"/>
      <c r="CF65" s="308"/>
      <c r="CG65" s="308"/>
      <c r="CH65" s="308"/>
      <c r="CI65" s="308"/>
      <c r="CJ65" s="308"/>
      <c r="CK65" s="308"/>
      <c r="CL65" s="308"/>
      <c r="CM65" s="308"/>
      <c r="CN65" s="308"/>
      <c r="CO65" s="308"/>
      <c r="CP65" s="308"/>
      <c r="CQ65" s="308"/>
      <c r="CR65" s="308"/>
      <c r="CS65" s="308"/>
      <c r="CT65" s="308"/>
      <c r="CU65" s="308"/>
      <c r="CV65" s="308"/>
      <c r="CW65" s="308"/>
      <c r="CX65" s="308"/>
      <c r="CY65" s="308"/>
      <c r="CZ65" s="308"/>
      <c r="DA65" s="308"/>
      <c r="DB65" s="308"/>
      <c r="DC65" s="308"/>
      <c r="DD65" s="308"/>
      <c r="DE65" s="308"/>
      <c r="DF65" s="308"/>
      <c r="DG65" s="308"/>
      <c r="DH65" s="308"/>
      <c r="DI65" s="308"/>
      <c r="DJ65" s="308"/>
      <c r="DK65" s="308"/>
      <c r="DL65" s="308"/>
      <c r="DM65" s="308"/>
      <c r="DN65" s="308"/>
      <c r="DO65" s="308"/>
      <c r="DP65" s="308"/>
      <c r="DQ65" s="308"/>
      <c r="DR65" s="308"/>
      <c r="DS65" s="308"/>
      <c r="DT65" s="308"/>
      <c r="DU65" s="308"/>
      <c r="DV65" s="308"/>
      <c r="DW65" s="308"/>
      <c r="DX65" s="308"/>
      <c r="DY65" s="308"/>
      <c r="DZ65" s="308"/>
      <c r="EA65" s="308"/>
      <c r="EB65" s="308"/>
      <c r="EC65" s="308"/>
      <c r="ED65" s="308"/>
      <c r="EE65" s="308"/>
      <c r="EF65" s="308"/>
      <c r="EG65" s="308"/>
      <c r="EH65" s="308"/>
      <c r="EI65" s="308"/>
      <c r="EJ65" s="308"/>
      <c r="EK65" s="308"/>
      <c r="EL65" s="308"/>
      <c r="EM65" s="308"/>
      <c r="EN65" s="308"/>
      <c r="EO65" s="308"/>
      <c r="EP65" s="308"/>
      <c r="EQ65" s="308"/>
      <c r="ER65" s="308"/>
      <c r="ES65" s="308"/>
      <c r="ET65" s="308"/>
      <c r="EU65" s="308"/>
      <c r="EV65" s="308"/>
      <c r="EW65" s="308"/>
      <c r="EX65" s="308"/>
      <c r="EY65" s="308"/>
      <c r="EZ65" s="308"/>
      <c r="FA65" s="308"/>
      <c r="FB65" s="308"/>
      <c r="FC65" s="308"/>
      <c r="FD65" s="308"/>
      <c r="FE65" s="308"/>
      <c r="FF65" s="308"/>
      <c r="FG65" s="308"/>
      <c r="FH65" s="308"/>
      <c r="FI65" s="308"/>
      <c r="FJ65" s="308"/>
      <c r="FK65" s="308"/>
      <c r="FL65" s="308"/>
      <c r="FM65" s="308"/>
      <c r="FN65" s="308"/>
      <c r="FO65" s="308"/>
      <c r="FP65" s="308"/>
      <c r="FQ65" s="308"/>
      <c r="FR65" s="308"/>
      <c r="FS65" s="308"/>
      <c r="FT65" s="308"/>
      <c r="FU65" s="308"/>
      <c r="FV65" s="308"/>
      <c r="FW65" s="308"/>
      <c r="FX65" s="308"/>
      <c r="FY65" s="308"/>
      <c r="FZ65" s="308"/>
      <c r="GA65" s="308"/>
      <c r="GB65" s="308"/>
      <c r="GC65" s="308"/>
      <c r="GD65" s="308"/>
      <c r="GE65" s="308"/>
      <c r="GF65" s="308"/>
      <c r="GG65" s="308"/>
      <c r="GH65" s="308"/>
      <c r="GI65" s="308"/>
      <c r="GJ65" s="308"/>
      <c r="GK65" s="308"/>
      <c r="GL65" s="308"/>
      <c r="GM65" s="308"/>
      <c r="GN65" s="308"/>
      <c r="GO65" s="308"/>
      <c r="GP65" s="308"/>
      <c r="GQ65" s="308"/>
      <c r="GR65" s="308"/>
      <c r="GS65" s="308"/>
      <c r="GT65" s="308"/>
      <c r="GU65" s="308"/>
      <c r="GV65" s="308"/>
      <c r="GW65" s="308"/>
      <c r="GX65" s="308"/>
      <c r="GY65" s="308"/>
      <c r="GZ65" s="308"/>
      <c r="HA65" s="308"/>
      <c r="HB65" s="308"/>
      <c r="HC65" s="308"/>
      <c r="HD65" s="308"/>
      <c r="HE65" s="308"/>
      <c r="HF65" s="308"/>
      <c r="HG65" s="308"/>
      <c r="HH65" s="308"/>
      <c r="HI65" s="308"/>
      <c r="HJ65" s="308"/>
      <c r="HK65" s="308"/>
      <c r="HL65" s="308"/>
      <c r="HM65" s="308"/>
      <c r="HN65" s="308"/>
      <c r="HO65" s="308"/>
      <c r="HP65" s="308"/>
      <c r="HQ65" s="308"/>
      <c r="HR65" s="308"/>
      <c r="HS65" s="308"/>
      <c r="HT65" s="308"/>
      <c r="HU65" s="308"/>
      <c r="HV65" s="308"/>
      <c r="HW65" s="308"/>
      <c r="HX65" s="308"/>
      <c r="HY65" s="308"/>
      <c r="HZ65" s="308"/>
      <c r="IA65" s="308"/>
      <c r="IB65" s="308"/>
      <c r="IC65" s="308"/>
      <c r="ID65" s="308"/>
      <c r="IE65" s="308"/>
      <c r="IF65" s="308"/>
      <c r="IG65" s="308"/>
      <c r="IH65" s="308"/>
      <c r="II65" s="308"/>
      <c r="IJ65" s="308"/>
      <c r="IK65" s="308"/>
      <c r="IL65" s="308"/>
      <c r="IM65" s="308"/>
      <c r="IN65" s="308"/>
      <c r="IO65" s="308"/>
      <c r="IP65" s="308"/>
      <c r="IQ65" s="308"/>
      <c r="IR65" s="308"/>
      <c r="IS65" s="308"/>
      <c r="IT65" s="308"/>
      <c r="IU65" s="308"/>
      <c r="IV65" s="308"/>
      <c r="IW65" s="308"/>
      <c r="IX65" s="308"/>
    </row>
    <row r="66" spans="1:258" s="308" customFormat="1" ht="17.399999999999999" x14ac:dyDescent="0.3">
      <c r="A66" s="144"/>
      <c r="B66" s="84"/>
      <c r="C66" s="64"/>
      <c r="D66" s="83" t="s">
        <v>164</v>
      </c>
      <c r="E66" s="270">
        <f>IF(AND($F$2="No",$F$3="No"),SUM(J66:K66)*'Input data plant-based products'!O$122,IF(AND($F$2="Yes", $F$3="No"), (SUM(J66:K66)+Q66)*'Input data plant-based products'!O$122, IF(AND($F$2="No", $F$3="Yes"),(SUM(J66:K66)+P66)*'Input data plant-based products'!O$122, (SUM(J66:K66)+Q66+P66)*'Input data plant-based products'!O$122)))</f>
        <v>0.12415162728885436</v>
      </c>
      <c r="F66" s="90">
        <f>IF(AND($F$2="No",$F$3="No"),SUM(H66:O66)*'Input data plant-based products'!O$122,IF(AND($F$2="Yes", $F$3="No"), (SUM(H66:O66)+Q66)*'Input data plant-based products'!O$122, IF(AND($F$2="No", $F$3="Yes"),(SUM(H66:O66)+P66)*'Input data plant-based products'!O$122, (SUM(H66:O66)+Q66+P66)*'Input data plant-based products'!O$122)))</f>
        <v>0.74754488610485059</v>
      </c>
      <c r="G66" s="278">
        <f>SUM(S66:U66)/(1-'Common input data'!H122)</f>
        <v>1.8769451461563735</v>
      </c>
      <c r="H66" s="85">
        <f>('Input data plant-based products'!$F$13*('Common input data'!$D$76*'Common input data'!B69+'Common input data'!$D$77*'Common input data'!C69))/'Input data plant-based products'!$E$13</f>
        <v>6.1597491039282852E-2</v>
      </c>
      <c r="I66" s="90">
        <f>'Common input data'!$B$81</f>
        <v>0.03</v>
      </c>
      <c r="J66" s="85">
        <v>0</v>
      </c>
      <c r="K66" s="90">
        <v>0</v>
      </c>
      <c r="L66" s="85">
        <f>('Input data plant-based products'!$I$13*'Common input data'!$C$59*'Common input data'!H49)/'Input data plant-based products'!$E$13</f>
        <v>0.11785596471885337</v>
      </c>
      <c r="M66" s="90">
        <v>0</v>
      </c>
      <c r="N66" s="90">
        <f>'Input data plant-based products'!B$152*'Input data plant-based products'!E159</f>
        <v>0.15</v>
      </c>
      <c r="O66" s="90">
        <f>'Input data plant-based products'!$B$122*'Common input data'!$B$59*'Common input data'!B49+'Input data plant-based products'!C$122*'Common input data'!K63</f>
        <v>0.18420345599999999</v>
      </c>
      <c r="P66" s="90">
        <f>'Common input data'!B$13</f>
        <v>0.108271767984466</v>
      </c>
      <c r="Q66" s="90">
        <v>0</v>
      </c>
      <c r="R66" s="90">
        <f>'Input data plant-based products'!F122*'Common input data'!K63</f>
        <v>1.4353949999999999E-2</v>
      </c>
      <c r="S66" s="90">
        <f>(F66+R66)*'Common input data'!$D$27/'Common input data'!$C$27</f>
        <v>1.1151986996212127</v>
      </c>
      <c r="T66" s="90">
        <f>'Common input data'!$B$88</f>
        <v>0.05</v>
      </c>
      <c r="U66" s="90">
        <f>'Common input data'!B108+'Common input data'!C108</f>
        <v>0.43000000000000005</v>
      </c>
      <c r="V66" s="430"/>
      <c r="W66" s="243"/>
      <c r="Z66" s="64"/>
    </row>
    <row r="67" spans="1:258" s="308" customFormat="1" ht="17.399999999999999" x14ac:dyDescent="0.3">
      <c r="A67" s="107"/>
      <c r="B67" s="84"/>
      <c r="C67" s="142"/>
      <c r="D67" s="83" t="s">
        <v>165</v>
      </c>
      <c r="E67" s="270">
        <f>SUM(J67:K67)*'Input data plant-based products'!O$122</f>
        <v>1.5794788445424479E-2</v>
      </c>
      <c r="F67" s="90">
        <f>SUM(H67:O67)*'Input data plant-based products'!O$122</f>
        <v>1.5877813549817418E-2</v>
      </c>
      <c r="G67" s="278">
        <f>SUM(S67:U67)/(1-'Common input data'!H122)</f>
        <v>2.7345283836681597E-2</v>
      </c>
      <c r="H67" s="85">
        <f>('Input data plant-based products'!$F$13*('Common input data'!$D$76*'Common input data'!B70+'Common input data'!$D$77*'Common input data'!C70))/'Input data plant-based products'!$E$13</f>
        <v>3.3599407276736493E-10</v>
      </c>
      <c r="I67" s="90">
        <v>0</v>
      </c>
      <c r="J67" s="85">
        <f>'Input data plant-based products'!C159/'Input data plant-based products'!E13</f>
        <v>1.3774524807056231E-2</v>
      </c>
      <c r="K67" s="90">
        <v>0</v>
      </c>
      <c r="L67" s="85">
        <f>('Input data plant-based products'!$I$13*'Common input data'!$C$59*'Common input data'!H50)/'Input data plant-based products'!$E$13</f>
        <v>5.2206218302094827E-5</v>
      </c>
      <c r="M67" s="90">
        <v>0</v>
      </c>
      <c r="N67" s="90">
        <v>0</v>
      </c>
      <c r="O67" s="90">
        <f>'Input data plant-based products'!$B$122*'Common input data'!$B$59*'Common input data'!B50</f>
        <v>2.0199060000000005E-5</v>
      </c>
      <c r="P67" s="90">
        <v>0</v>
      </c>
      <c r="Q67" s="90">
        <v>0</v>
      </c>
      <c r="R67" s="90">
        <v>0</v>
      </c>
      <c r="S67" s="90">
        <f>(F67+R67)*'Common input data'!$D$27/'Common input data'!$C$27</f>
        <v>2.3240509349127914E-2</v>
      </c>
      <c r="T67" s="90">
        <v>0</v>
      </c>
      <c r="U67" s="90">
        <v>0</v>
      </c>
      <c r="V67" s="430"/>
      <c r="W67" s="243"/>
      <c r="Z67" s="64"/>
    </row>
    <row r="68" spans="1:258" s="308" customFormat="1" ht="17.399999999999999" x14ac:dyDescent="0.3">
      <c r="A68" s="174"/>
      <c r="B68" s="206"/>
      <c r="C68" s="85"/>
      <c r="D68" s="84" t="s">
        <v>166</v>
      </c>
      <c r="E68" s="780">
        <f>SUM(J68:K68)*'Input data plant-based products'!O$122</f>
        <v>6.6394753853377445E-4</v>
      </c>
      <c r="F68" s="108">
        <f>SUM(H68:O68)*'Input data plant-based products'!O$122</f>
        <v>1.1152642189669571E-3</v>
      </c>
      <c r="G68" s="521">
        <f>SUM(S68:U68)/(1-'Common input data'!H122)</f>
        <v>1.9207440952030295E-3</v>
      </c>
      <c r="H68" s="85">
        <f>('Input data plant-based products'!$F$13*('Common input data'!$D$76*'Common input data'!B71+'Common input data'!$D$77*'Common input data'!C71))/'Input data plant-based products'!$E$13</f>
        <v>3.8854029130259147E-4</v>
      </c>
      <c r="I68" s="85">
        <v>0</v>
      </c>
      <c r="J68" s="85">
        <f>(SUM('Input data plant-based products'!F13:H13)*'Input data plant-based products'!$B$114*44/28)/'Input data plant-based products'!E13</f>
        <v>5.263854692392503E-4</v>
      </c>
      <c r="K68" s="90">
        <f>J68*'Input data plant-based products'!$B$115</f>
        <v>5.2638546923925033E-5</v>
      </c>
      <c r="L68" s="85">
        <f>('Input data plant-based products'!$I$13*'Common input data'!$C$59*'Common input data'!H51)/'Input data plant-based products'!$E$13</f>
        <v>3.1668357221609707E-6</v>
      </c>
      <c r="M68" s="90">
        <v>0</v>
      </c>
      <c r="N68" s="90">
        <v>0</v>
      </c>
      <c r="O68" s="90">
        <f>'Input data plant-based products'!$B$122*'Common input data'!$B$59*'Common input data'!B51</f>
        <v>1.8830012600000001E-6</v>
      </c>
      <c r="P68" s="90">
        <v>0</v>
      </c>
      <c r="Q68" s="90">
        <v>0</v>
      </c>
      <c r="R68" s="90">
        <v>0</v>
      </c>
      <c r="S68" s="90">
        <f>(F68+R68)*'Common input data'!$D$27/'Common input data'!$C$27</f>
        <v>1.6324230301814735E-3</v>
      </c>
      <c r="T68" s="90">
        <v>0</v>
      </c>
      <c r="U68" s="90">
        <v>0</v>
      </c>
      <c r="V68" s="430"/>
      <c r="W68" s="243"/>
      <c r="Z68" s="64"/>
    </row>
    <row r="69" spans="1:258" s="427" customFormat="1" ht="17.399999999999999" x14ac:dyDescent="0.3">
      <c r="A69" s="426" t="s">
        <v>634</v>
      </c>
      <c r="B69" s="412"/>
      <c r="C69" s="413"/>
      <c r="D69" s="414"/>
      <c r="E69" s="767" t="s">
        <v>805</v>
      </c>
      <c r="F69" s="768" t="s">
        <v>805</v>
      </c>
      <c r="G69" s="590" t="s">
        <v>806</v>
      </c>
      <c r="H69" s="413"/>
      <c r="I69" s="413"/>
      <c r="J69" s="413"/>
      <c r="K69" s="416"/>
      <c r="L69" s="416"/>
      <c r="M69" s="417"/>
      <c r="N69" s="416"/>
      <c r="O69" s="416"/>
      <c r="P69" s="416"/>
      <c r="Q69" s="416"/>
      <c r="R69" s="416"/>
      <c r="S69" s="428"/>
      <c r="T69" s="416"/>
      <c r="U69" s="416"/>
      <c r="V69" s="430"/>
      <c r="W69" s="243"/>
      <c r="X69" s="308"/>
      <c r="Y69" s="308"/>
      <c r="Z69" s="64"/>
      <c r="AA69" s="308"/>
      <c r="AB69" s="308"/>
      <c r="AC69" s="308"/>
      <c r="AD69" s="308"/>
      <c r="AE69" s="308"/>
      <c r="AF69" s="308"/>
      <c r="AG69" s="308"/>
      <c r="AH69" s="308"/>
      <c r="AI69" s="308"/>
      <c r="AJ69" s="308"/>
      <c r="AK69" s="308"/>
      <c r="AL69" s="308"/>
      <c r="AM69" s="308"/>
      <c r="AN69" s="308"/>
      <c r="AO69" s="308"/>
      <c r="AP69" s="308"/>
      <c r="AQ69" s="308"/>
      <c r="AR69" s="308"/>
      <c r="AS69" s="308"/>
      <c r="AT69" s="308"/>
      <c r="AU69" s="308"/>
      <c r="AV69" s="308"/>
      <c r="AW69" s="308"/>
      <c r="AX69" s="308"/>
      <c r="AY69" s="308"/>
      <c r="AZ69" s="308"/>
      <c r="BA69" s="308"/>
      <c r="BB69" s="308"/>
      <c r="BC69" s="308"/>
      <c r="BD69" s="308"/>
      <c r="BE69" s="308"/>
      <c r="BF69" s="308"/>
      <c r="BG69" s="308"/>
      <c r="BH69" s="308"/>
      <c r="BI69" s="308"/>
      <c r="BJ69" s="308"/>
      <c r="BK69" s="308"/>
      <c r="BL69" s="308"/>
      <c r="BM69" s="308"/>
      <c r="BN69" s="308"/>
      <c r="BO69" s="308"/>
      <c r="BP69" s="308"/>
      <c r="BQ69" s="308"/>
      <c r="BR69" s="308"/>
      <c r="BS69" s="308"/>
      <c r="BT69" s="308"/>
      <c r="BU69" s="308"/>
      <c r="BV69" s="308"/>
      <c r="BW69" s="308"/>
      <c r="BX69" s="308"/>
      <c r="BY69" s="308"/>
      <c r="BZ69" s="308"/>
      <c r="CA69" s="308"/>
      <c r="CB69" s="308"/>
      <c r="CC69" s="308"/>
      <c r="CD69" s="308"/>
      <c r="CE69" s="308"/>
      <c r="CF69" s="308"/>
      <c r="CG69" s="308"/>
      <c r="CH69" s="308"/>
      <c r="CI69" s="308"/>
      <c r="CJ69" s="308"/>
      <c r="CK69" s="308"/>
      <c r="CL69" s="308"/>
      <c r="CM69" s="308"/>
      <c r="CN69" s="308"/>
      <c r="CO69" s="308"/>
      <c r="CP69" s="308"/>
      <c r="CQ69" s="308"/>
      <c r="CR69" s="308"/>
      <c r="CS69" s="308"/>
      <c r="CT69" s="308"/>
      <c r="CU69" s="308"/>
      <c r="CV69" s="308"/>
      <c r="CW69" s="308"/>
      <c r="CX69" s="308"/>
      <c r="CY69" s="308"/>
      <c r="CZ69" s="308"/>
      <c r="DA69" s="308"/>
      <c r="DB69" s="308"/>
      <c r="DC69" s="308"/>
      <c r="DD69" s="308"/>
      <c r="DE69" s="308"/>
      <c r="DF69" s="308"/>
      <c r="DG69" s="308"/>
      <c r="DH69" s="308"/>
      <c r="DI69" s="308"/>
      <c r="DJ69" s="308"/>
      <c r="DK69" s="308"/>
      <c r="DL69" s="308"/>
      <c r="DM69" s="308"/>
      <c r="DN69" s="308"/>
      <c r="DO69" s="308"/>
      <c r="DP69" s="308"/>
      <c r="DQ69" s="308"/>
      <c r="DR69" s="308"/>
      <c r="DS69" s="308"/>
      <c r="DT69" s="308"/>
      <c r="DU69" s="308"/>
      <c r="DV69" s="308"/>
      <c r="DW69" s="308"/>
      <c r="DX69" s="308"/>
      <c r="DY69" s="308"/>
      <c r="DZ69" s="308"/>
      <c r="EA69" s="308"/>
      <c r="EB69" s="308"/>
      <c r="EC69" s="308"/>
      <c r="ED69" s="308"/>
      <c r="EE69" s="308"/>
      <c r="EF69" s="308"/>
      <c r="EG69" s="308"/>
      <c r="EH69" s="308"/>
      <c r="EI69" s="308"/>
      <c r="EJ69" s="308"/>
      <c r="EK69" s="308"/>
      <c r="EL69" s="308"/>
      <c r="EM69" s="308"/>
      <c r="EN69" s="308"/>
      <c r="EO69" s="308"/>
      <c r="EP69" s="308"/>
      <c r="EQ69" s="308"/>
      <c r="ER69" s="308"/>
      <c r="ES69" s="308"/>
      <c r="ET69" s="308"/>
      <c r="EU69" s="308"/>
      <c r="EV69" s="308"/>
      <c r="EW69" s="308"/>
      <c r="EX69" s="308"/>
      <c r="EY69" s="308"/>
      <c r="EZ69" s="308"/>
      <c r="FA69" s="308"/>
      <c r="FB69" s="308"/>
      <c r="FC69" s="308"/>
      <c r="FD69" s="308"/>
      <c r="FE69" s="308"/>
      <c r="FF69" s="308"/>
      <c r="FG69" s="308"/>
      <c r="FH69" s="308"/>
      <c r="FI69" s="308"/>
      <c r="FJ69" s="308"/>
      <c r="FK69" s="308"/>
      <c r="FL69" s="308"/>
      <c r="FM69" s="308"/>
      <c r="FN69" s="308"/>
      <c r="FO69" s="308"/>
      <c r="FP69" s="308"/>
      <c r="FQ69" s="308"/>
      <c r="FR69" s="308"/>
      <c r="FS69" s="308"/>
      <c r="FT69" s="308"/>
      <c r="FU69" s="308"/>
      <c r="FV69" s="308"/>
      <c r="FW69" s="308"/>
      <c r="FX69" s="308"/>
      <c r="FY69" s="308"/>
      <c r="FZ69" s="308"/>
      <c r="GA69" s="308"/>
      <c r="GB69" s="308"/>
      <c r="GC69" s="308"/>
      <c r="GD69" s="308"/>
      <c r="GE69" s="308"/>
      <c r="GF69" s="308"/>
      <c r="GG69" s="308"/>
      <c r="GH69" s="308"/>
      <c r="GI69" s="308"/>
      <c r="GJ69" s="308"/>
      <c r="GK69" s="308"/>
      <c r="GL69" s="308"/>
      <c r="GM69" s="308"/>
      <c r="GN69" s="308"/>
      <c r="GO69" s="308"/>
      <c r="GP69" s="308"/>
      <c r="GQ69" s="308"/>
      <c r="GR69" s="308"/>
      <c r="GS69" s="308"/>
      <c r="GT69" s="308"/>
      <c r="GU69" s="308"/>
      <c r="GV69" s="308"/>
      <c r="GW69" s="308"/>
      <c r="GX69" s="308"/>
      <c r="GY69" s="308"/>
      <c r="GZ69" s="308"/>
      <c r="HA69" s="308"/>
      <c r="HB69" s="308"/>
      <c r="HC69" s="308"/>
      <c r="HD69" s="308"/>
      <c r="HE69" s="308"/>
      <c r="HF69" s="308"/>
      <c r="HG69" s="308"/>
      <c r="HH69" s="308"/>
      <c r="HI69" s="308"/>
      <c r="HJ69" s="308"/>
      <c r="HK69" s="308"/>
      <c r="HL69" s="308"/>
      <c r="HM69" s="308"/>
      <c r="HN69" s="308"/>
      <c r="HO69" s="308"/>
      <c r="HP69" s="308"/>
      <c r="HQ69" s="308"/>
      <c r="HR69" s="308"/>
      <c r="HS69" s="308"/>
      <c r="HT69" s="308"/>
      <c r="HU69" s="308"/>
      <c r="HV69" s="308"/>
      <c r="HW69" s="308"/>
      <c r="HX69" s="308"/>
      <c r="HY69" s="308"/>
      <c r="HZ69" s="308"/>
      <c r="IA69" s="308"/>
      <c r="IB69" s="308"/>
      <c r="IC69" s="308"/>
      <c r="ID69" s="308"/>
      <c r="IE69" s="308"/>
      <c r="IF69" s="308"/>
      <c r="IG69" s="308"/>
      <c r="IH69" s="308"/>
      <c r="II69" s="308"/>
      <c r="IJ69" s="308"/>
      <c r="IK69" s="308"/>
      <c r="IL69" s="308"/>
      <c r="IM69" s="308"/>
      <c r="IN69" s="308"/>
      <c r="IO69" s="308"/>
      <c r="IP69" s="308"/>
      <c r="IQ69" s="308"/>
      <c r="IR69" s="308"/>
      <c r="IS69" s="308"/>
      <c r="IT69" s="308"/>
      <c r="IU69" s="308"/>
      <c r="IV69" s="308"/>
      <c r="IW69" s="308"/>
      <c r="IX69" s="308"/>
    </row>
    <row r="70" spans="1:258" s="420" customFormat="1" ht="17.399999999999999" x14ac:dyDescent="0.3">
      <c r="A70" s="122" t="s">
        <v>249</v>
      </c>
      <c r="B70" s="150"/>
      <c r="C70" s="110">
        <f>SUM(C75:C88)</f>
        <v>1</v>
      </c>
      <c r="D70" s="269" t="s">
        <v>473</v>
      </c>
      <c r="E70" s="769">
        <f>IF($F$1="GWP100 without fb",E71+E72*'Common input data'!$C$5+E73*'Common input data'!$D$5,IF($F$1="GWP100 with fb",E71+E72*'Common input data'!$C$6+E73*'Common input data'!$D$6,IF($F$1="GTP100 without fb",E71+E72*'Common input data'!$C$7+E73*'Common input data'!$D$7,IF($F$1="GTP100 with fb",E71+E72*'Common input data'!$C$8+E73*'Common input data'!$D$8,E71+E72*'Common input data'!$C$9+E73*'Common input data'!$D$9))))</f>
        <v>0.66101682936734552</v>
      </c>
      <c r="F70" s="326">
        <f>IF($F$1="GWP100 without fb",F71+F72*'Common input data'!$C$5+F73*'Common input data'!$D$5,IF($F$1="GWP100 with fb",F71+F72*'Common input data'!$C$6+F73*'Common input data'!$D$6,IF($F$1="GTP100 without fb",F71+F72*'Common input data'!$C$7+F73*'Common input data'!$D$7,IF($F$1="GTP100 with fb",F71+F72*'Common input data'!$C$8+F73*'Common input data'!$D$8,F71+F72*'Common input data'!$C$9+F73*'Common input data'!$D$9))))</f>
        <v>1.1224400473012337</v>
      </c>
      <c r="G70" s="770">
        <f>IF($F$1="GWP100 without fb",G71+G72*'Common input data'!$C$5+G73*'Common input data'!$D$5,IF($F$1="GWP100 with fb",G71+G72*'Common input data'!$C$6+G73*'Common input data'!$D$6,IF($F$1="GTP100 without fb",G71+G72*'Common input data'!$C$7+G73*'Common input data'!$D$7,IF($F$1="GTP100 with fb",G71+G72*'Common input data'!$C$8+G73*'Common input data'!$D$8,G71+G72*'Common input data'!$C$9+G73*'Common input data'!$D$9))))</f>
        <v>2.3730033226005656</v>
      </c>
      <c r="H70" s="302"/>
      <c r="I70" s="104"/>
      <c r="J70" s="104"/>
      <c r="K70" s="102"/>
      <c r="L70" s="102"/>
      <c r="M70" s="102"/>
      <c r="N70" s="102"/>
      <c r="O70" s="102"/>
      <c r="P70" s="102"/>
      <c r="Q70" s="102"/>
      <c r="R70" s="102"/>
      <c r="S70" s="102"/>
      <c r="T70" s="102"/>
      <c r="U70" s="102"/>
      <c r="V70" s="430"/>
      <c r="W70" s="243"/>
      <c r="X70" s="308"/>
      <c r="Y70" s="308"/>
      <c r="Z70" s="64"/>
      <c r="AA70" s="308"/>
      <c r="AB70" s="308"/>
      <c r="AC70" s="308"/>
      <c r="AD70" s="308"/>
      <c r="AE70" s="308"/>
      <c r="AF70" s="308"/>
      <c r="AG70" s="308"/>
      <c r="AH70" s="308"/>
      <c r="AI70" s="308"/>
      <c r="AJ70" s="308"/>
      <c r="AK70" s="308"/>
      <c r="AL70" s="308"/>
      <c r="AM70" s="308"/>
      <c r="AN70" s="308"/>
      <c r="AO70" s="308"/>
      <c r="AP70" s="308"/>
      <c r="AQ70" s="308"/>
      <c r="AR70" s="308"/>
      <c r="AS70" s="308"/>
      <c r="AT70" s="308"/>
      <c r="AU70" s="308"/>
      <c r="AV70" s="308"/>
      <c r="AW70" s="308"/>
      <c r="AX70" s="308"/>
      <c r="AY70" s="308"/>
      <c r="AZ70" s="308"/>
      <c r="BA70" s="308"/>
      <c r="BB70" s="308"/>
      <c r="BC70" s="308"/>
      <c r="BD70" s="308"/>
      <c r="BE70" s="308"/>
      <c r="BF70" s="308"/>
      <c r="BG70" s="308"/>
      <c r="BH70" s="308"/>
      <c r="BI70" s="308"/>
      <c r="BJ70" s="308"/>
      <c r="BK70" s="308"/>
      <c r="BL70" s="308"/>
      <c r="BM70" s="308"/>
      <c r="BN70" s="308"/>
      <c r="BO70" s="308"/>
      <c r="BP70" s="308"/>
      <c r="BQ70" s="308"/>
      <c r="BR70" s="308"/>
      <c r="BS70" s="308"/>
      <c r="BT70" s="308"/>
      <c r="BU70" s="308"/>
      <c r="BV70" s="308"/>
      <c r="BW70" s="308"/>
      <c r="BX70" s="308"/>
      <c r="BY70" s="308"/>
      <c r="BZ70" s="308"/>
      <c r="CA70" s="308"/>
      <c r="CB70" s="308"/>
      <c r="CC70" s="308"/>
      <c r="CD70" s="308"/>
      <c r="CE70" s="308"/>
      <c r="CF70" s="308"/>
      <c r="CG70" s="308"/>
      <c r="CH70" s="308"/>
      <c r="CI70" s="308"/>
      <c r="CJ70" s="308"/>
      <c r="CK70" s="308"/>
      <c r="CL70" s="308"/>
      <c r="CM70" s="308"/>
      <c r="CN70" s="308"/>
      <c r="CO70" s="308"/>
      <c r="CP70" s="308"/>
      <c r="CQ70" s="308"/>
      <c r="CR70" s="308"/>
      <c r="CS70" s="308"/>
      <c r="CT70" s="308"/>
      <c r="CU70" s="308"/>
      <c r="CV70" s="308"/>
      <c r="CW70" s="308"/>
      <c r="CX70" s="308"/>
      <c r="CY70" s="308"/>
      <c r="CZ70" s="308"/>
      <c r="DA70" s="308"/>
      <c r="DB70" s="308"/>
      <c r="DC70" s="308"/>
      <c r="DD70" s="308"/>
      <c r="DE70" s="308"/>
      <c r="DF70" s="308"/>
      <c r="DG70" s="308"/>
      <c r="DH70" s="308"/>
      <c r="DI70" s="308"/>
      <c r="DJ70" s="308"/>
      <c r="DK70" s="308"/>
      <c r="DL70" s="308"/>
      <c r="DM70" s="308"/>
      <c r="DN70" s="308"/>
      <c r="DO70" s="308"/>
      <c r="DP70" s="308"/>
      <c r="DQ70" s="308"/>
      <c r="DR70" s="308"/>
      <c r="DS70" s="308"/>
      <c r="DT70" s="308"/>
      <c r="DU70" s="308"/>
      <c r="DV70" s="308"/>
      <c r="DW70" s="308"/>
      <c r="DX70" s="308"/>
      <c r="DY70" s="308"/>
      <c r="DZ70" s="308"/>
      <c r="EA70" s="308"/>
      <c r="EB70" s="308"/>
      <c r="EC70" s="308"/>
      <c r="ED70" s="308"/>
      <c r="EE70" s="308"/>
      <c r="EF70" s="308"/>
      <c r="EG70" s="308"/>
      <c r="EH70" s="308"/>
      <c r="EI70" s="308"/>
      <c r="EJ70" s="308"/>
      <c r="EK70" s="308"/>
      <c r="EL70" s="308"/>
      <c r="EM70" s="308"/>
      <c r="EN70" s="308"/>
      <c r="EO70" s="308"/>
      <c r="EP70" s="308"/>
      <c r="EQ70" s="308"/>
      <c r="ER70" s="308"/>
      <c r="ES70" s="308"/>
      <c r="ET70" s="308"/>
      <c r="EU70" s="308"/>
      <c r="EV70" s="308"/>
      <c r="EW70" s="308"/>
      <c r="EX70" s="308"/>
      <c r="EY70" s="308"/>
      <c r="EZ70" s="308"/>
      <c r="FA70" s="308"/>
      <c r="FB70" s="308"/>
      <c r="FC70" s="308"/>
      <c r="FD70" s="308"/>
      <c r="FE70" s="308"/>
      <c r="FF70" s="308"/>
      <c r="FG70" s="308"/>
      <c r="FH70" s="308"/>
      <c r="FI70" s="308"/>
      <c r="FJ70" s="308"/>
      <c r="FK70" s="308"/>
      <c r="FL70" s="308"/>
      <c r="FM70" s="308"/>
      <c r="FN70" s="308"/>
      <c r="FO70" s="308"/>
      <c r="FP70" s="308"/>
      <c r="FQ70" s="308"/>
      <c r="FR70" s="308"/>
      <c r="FS70" s="308"/>
      <c r="FT70" s="308"/>
      <c r="FU70" s="308"/>
      <c r="FV70" s="308"/>
      <c r="FW70" s="308"/>
      <c r="FX70" s="308"/>
      <c r="FY70" s="308"/>
      <c r="FZ70" s="308"/>
      <c r="GA70" s="308"/>
      <c r="GB70" s="308"/>
      <c r="GC70" s="308"/>
      <c r="GD70" s="308"/>
      <c r="GE70" s="308"/>
      <c r="GF70" s="308"/>
      <c r="GG70" s="308"/>
      <c r="GH70" s="308"/>
      <c r="GI70" s="308"/>
      <c r="GJ70" s="308"/>
      <c r="GK70" s="308"/>
      <c r="GL70" s="308"/>
      <c r="GM70" s="308"/>
      <c r="GN70" s="308"/>
      <c r="GO70" s="308"/>
      <c r="GP70" s="308"/>
      <c r="GQ70" s="308"/>
      <c r="GR70" s="308"/>
      <c r="GS70" s="308"/>
      <c r="GT70" s="308"/>
      <c r="GU70" s="308"/>
      <c r="GV70" s="308"/>
      <c r="GW70" s="308"/>
      <c r="GX70" s="308"/>
      <c r="GY70" s="308"/>
      <c r="GZ70" s="308"/>
      <c r="HA70" s="308"/>
      <c r="HB70" s="308"/>
      <c r="HC70" s="308"/>
      <c r="HD70" s="308"/>
      <c r="HE70" s="308"/>
      <c r="HF70" s="308"/>
      <c r="HG70" s="308"/>
      <c r="HH70" s="308"/>
      <c r="HI70" s="308"/>
      <c r="HJ70" s="308"/>
      <c r="HK70" s="308"/>
      <c r="HL70" s="308"/>
      <c r="HM70" s="308"/>
      <c r="HN70" s="308"/>
      <c r="HO70" s="308"/>
      <c r="HP70" s="308"/>
      <c r="HQ70" s="308"/>
      <c r="HR70" s="308"/>
      <c r="HS70" s="308"/>
      <c r="HT70" s="308"/>
      <c r="HU70" s="308"/>
      <c r="HV70" s="308"/>
      <c r="HW70" s="308"/>
      <c r="HX70" s="308"/>
      <c r="HY70" s="308"/>
      <c r="HZ70" s="308"/>
      <c r="IA70" s="308"/>
      <c r="IB70" s="308"/>
      <c r="IC70" s="308"/>
      <c r="ID70" s="308"/>
      <c r="IE70" s="308"/>
      <c r="IF70" s="308"/>
      <c r="IG70" s="308"/>
      <c r="IH70" s="308"/>
      <c r="II70" s="308"/>
      <c r="IJ70" s="308"/>
      <c r="IK70" s="308"/>
      <c r="IL70" s="308"/>
      <c r="IM70" s="308"/>
      <c r="IN70" s="308"/>
      <c r="IO70" s="308"/>
      <c r="IP70" s="308"/>
      <c r="IQ70" s="308"/>
      <c r="IR70" s="308"/>
      <c r="IS70" s="308"/>
      <c r="IT70" s="308"/>
      <c r="IU70" s="308"/>
      <c r="IV70" s="308"/>
      <c r="IW70" s="308"/>
      <c r="IX70" s="308"/>
    </row>
    <row r="71" spans="1:258" s="308" customFormat="1" ht="17.399999999999999" x14ac:dyDescent="0.3">
      <c r="A71" s="103"/>
      <c r="B71" s="84"/>
      <c r="C71" s="64"/>
      <c r="D71" s="83" t="s">
        <v>164</v>
      </c>
      <c r="E71" s="270">
        <f t="shared" ref="E71:G73" si="16">E76*$C$75+E81*$C$80+$C$85*E86</f>
        <v>0.17104948307639173</v>
      </c>
      <c r="F71" s="90">
        <f t="shared" si="16"/>
        <v>0.47576106568381915</v>
      </c>
      <c r="G71" s="278">
        <f t="shared" si="16"/>
        <v>1.22498271610603</v>
      </c>
      <c r="H71" s="90">
        <f t="shared" ref="H71:U71" si="17">H76*$C$75+H81*$C$80+$C$85*H86</f>
        <v>0.11743186619524322</v>
      </c>
      <c r="I71" s="90">
        <f t="shared" si="17"/>
        <v>0.03</v>
      </c>
      <c r="J71" s="90">
        <f t="shared" si="17"/>
        <v>0</v>
      </c>
      <c r="K71" s="90">
        <f t="shared" si="17"/>
        <v>0</v>
      </c>
      <c r="L71" s="90">
        <f t="shared" si="17"/>
        <v>5.9208067438415231E-2</v>
      </c>
      <c r="M71" s="90">
        <f t="shared" si="17"/>
        <v>0</v>
      </c>
      <c r="N71" s="90">
        <f t="shared" si="17"/>
        <v>0.02</v>
      </c>
      <c r="O71" s="90">
        <f t="shared" si="17"/>
        <v>5.7980775395257367E-2</v>
      </c>
      <c r="P71" s="90">
        <f t="shared" si="17"/>
        <v>0.15977149518124498</v>
      </c>
      <c r="Q71" s="90">
        <f>Q76*$C$75+Q81*$C$80+$C$85*Q86</f>
        <v>0</v>
      </c>
      <c r="R71" s="90">
        <f>R76*$C$75+R81*$C$80+$C$85*R86</f>
        <v>1.3347719999999997E-2</v>
      </c>
      <c r="S71" s="90">
        <f>S76*$C$75+S81*$C$80+$C$85*S86</f>
        <v>0.80468177420701936</v>
      </c>
      <c r="T71" s="90">
        <f t="shared" si="17"/>
        <v>0.3</v>
      </c>
      <c r="U71" s="90">
        <f t="shared" si="17"/>
        <v>3.589350784572453E-2</v>
      </c>
      <c r="V71" s="430"/>
      <c r="W71" s="243"/>
      <c r="Z71" s="64"/>
    </row>
    <row r="72" spans="1:258" s="308" customFormat="1" ht="17.399999999999999" x14ac:dyDescent="0.3">
      <c r="A72" s="103"/>
      <c r="B72" s="84"/>
      <c r="C72" s="142"/>
      <c r="D72" s="83" t="s">
        <v>165</v>
      </c>
      <c r="E72" s="270">
        <f t="shared" si="16"/>
        <v>0</v>
      </c>
      <c r="F72" s="90">
        <f t="shared" si="16"/>
        <v>5.0912571070319671E-5</v>
      </c>
      <c r="G72" s="278">
        <f t="shared" si="16"/>
        <v>1.9400991526416739E-4</v>
      </c>
      <c r="H72" s="90">
        <f t="shared" ref="H72:U72" si="18">H77*$C$75+H82*$C$80+$C$85*H87</f>
        <v>3.2085584328363804E-10</v>
      </c>
      <c r="I72" s="90">
        <f t="shared" si="18"/>
        <v>0</v>
      </c>
      <c r="J72" s="90">
        <f t="shared" si="18"/>
        <v>0</v>
      </c>
      <c r="K72" s="90">
        <f t="shared" si="18"/>
        <v>0</v>
      </c>
      <c r="L72" s="90">
        <f t="shared" si="18"/>
        <v>2.6227177396653114E-5</v>
      </c>
      <c r="M72" s="90">
        <f t="shared" si="18"/>
        <v>0</v>
      </c>
      <c r="N72" s="90">
        <f t="shared" si="18"/>
        <v>0</v>
      </c>
      <c r="O72" s="90">
        <f t="shared" si="18"/>
        <v>2.1328200000000007E-5</v>
      </c>
      <c r="P72" s="90">
        <f t="shared" si="18"/>
        <v>0</v>
      </c>
      <c r="Q72" s="90">
        <f t="shared" si="18"/>
        <v>0</v>
      </c>
      <c r="R72" s="90">
        <f>R77*$C$75+R82*$C$80+$C$85*R87</f>
        <v>5.8886639999999975E-5</v>
      </c>
      <c r="S72" s="90">
        <f t="shared" si="18"/>
        <v>1.8064166205288991E-4</v>
      </c>
      <c r="T72" s="90">
        <f t="shared" si="18"/>
        <v>0</v>
      </c>
      <c r="U72" s="90">
        <f t="shared" si="18"/>
        <v>0</v>
      </c>
      <c r="V72" s="430"/>
      <c r="W72" s="243"/>
      <c r="Z72" s="64"/>
    </row>
    <row r="73" spans="1:258" s="308" customFormat="1" ht="17.399999999999999" x14ac:dyDescent="0.3">
      <c r="A73" s="107"/>
      <c r="B73" s="206"/>
      <c r="C73" s="85"/>
      <c r="D73" s="84" t="s">
        <v>166</v>
      </c>
      <c r="E73" s="270">
        <f t="shared" si="16"/>
        <v>1.6441857258085695E-3</v>
      </c>
      <c r="F73" s="90">
        <f t="shared" si="16"/>
        <v>2.1642548798692066E-3</v>
      </c>
      <c r="G73" s="278">
        <f t="shared" si="16"/>
        <v>3.8302827831394421E-3</v>
      </c>
      <c r="H73" s="90">
        <f t="shared" ref="H73:U73" si="19">H78*$C$75+H83*$C$80+$C$85*H88</f>
        <v>4.8219967411017539E-4</v>
      </c>
      <c r="I73" s="90">
        <f t="shared" si="19"/>
        <v>0</v>
      </c>
      <c r="J73" s="90">
        <f t="shared" si="19"/>
        <v>1.3961617052320522E-3</v>
      </c>
      <c r="K73" s="90">
        <f t="shared" si="19"/>
        <v>1.3961617052320522E-4</v>
      </c>
      <c r="L73" s="90">
        <f t="shared" si="19"/>
        <v>1.5909438563536231E-6</v>
      </c>
      <c r="M73" s="90">
        <f t="shared" si="19"/>
        <v>0</v>
      </c>
      <c r="N73" s="90">
        <f t="shared" si="19"/>
        <v>0</v>
      </c>
      <c r="O73" s="90">
        <f t="shared" si="19"/>
        <v>1.9882622000000002E-6</v>
      </c>
      <c r="P73" s="90">
        <f t="shared" si="19"/>
        <v>0</v>
      </c>
      <c r="Q73" s="90">
        <f t="shared" si="19"/>
        <v>0</v>
      </c>
      <c r="R73" s="90">
        <f>R78*$C$75+R83*$C$80+$C$85*R88</f>
        <v>3.4798319999999968E-6</v>
      </c>
      <c r="S73" s="90">
        <f t="shared" si="19"/>
        <v>3.5663571479672188E-3</v>
      </c>
      <c r="T73" s="90">
        <f t="shared" si="19"/>
        <v>0</v>
      </c>
      <c r="U73" s="90">
        <f t="shared" si="19"/>
        <v>0</v>
      </c>
      <c r="V73" s="430"/>
      <c r="W73" s="243"/>
      <c r="Z73" s="64"/>
    </row>
    <row r="74" spans="1:258" s="422" customFormat="1" ht="17.399999999999999" x14ac:dyDescent="0.3">
      <c r="A74" s="279" t="s">
        <v>71</v>
      </c>
      <c r="B74" s="260"/>
      <c r="C74" s="261"/>
      <c r="D74" s="359"/>
      <c r="E74" s="421"/>
      <c r="F74" s="262"/>
      <c r="G74" s="479"/>
      <c r="H74" s="261"/>
      <c r="I74" s="261"/>
      <c r="J74" s="261"/>
      <c r="K74" s="391"/>
      <c r="L74" s="391"/>
      <c r="M74" s="390"/>
      <c r="N74" s="391"/>
      <c r="O74" s="391"/>
      <c r="P74" s="391"/>
      <c r="Q74" s="391"/>
      <c r="R74" s="391"/>
      <c r="S74" s="391"/>
      <c r="T74" s="391"/>
      <c r="U74" s="391"/>
      <c r="V74" s="430"/>
      <c r="W74" s="243"/>
      <c r="X74" s="308"/>
      <c r="Y74" s="308"/>
      <c r="Z74" s="64"/>
      <c r="AA74" s="308"/>
      <c r="AB74" s="308"/>
      <c r="AC74" s="308"/>
      <c r="AD74" s="308"/>
      <c r="AE74" s="308"/>
      <c r="AF74" s="308"/>
      <c r="AG74" s="308"/>
      <c r="AH74" s="308"/>
      <c r="AI74" s="308"/>
      <c r="AJ74" s="308"/>
      <c r="AK74" s="308"/>
      <c r="AL74" s="308"/>
      <c r="AM74" s="308"/>
      <c r="AN74" s="308"/>
      <c r="AO74" s="308"/>
      <c r="AP74" s="308"/>
      <c r="AQ74" s="308"/>
      <c r="AR74" s="308"/>
      <c r="AS74" s="308"/>
      <c r="AT74" s="308"/>
      <c r="AU74" s="308"/>
      <c r="AV74" s="308"/>
      <c r="AW74" s="308"/>
      <c r="AX74" s="308"/>
      <c r="AY74" s="308"/>
      <c r="AZ74" s="308"/>
      <c r="BA74" s="308"/>
      <c r="BB74" s="308"/>
      <c r="BC74" s="308"/>
      <c r="BD74" s="308"/>
      <c r="BE74" s="308"/>
      <c r="BF74" s="308"/>
      <c r="BG74" s="308"/>
      <c r="BH74" s="308"/>
      <c r="BI74" s="308"/>
      <c r="BJ74" s="308"/>
      <c r="BK74" s="308"/>
      <c r="BL74" s="308"/>
      <c r="BM74" s="308"/>
      <c r="BN74" s="308"/>
      <c r="BO74" s="308"/>
      <c r="BP74" s="308"/>
      <c r="BQ74" s="308"/>
      <c r="BR74" s="308"/>
      <c r="BS74" s="308"/>
      <c r="BT74" s="308"/>
      <c r="BU74" s="308"/>
      <c r="BV74" s="308"/>
      <c r="BW74" s="308"/>
      <c r="BX74" s="308"/>
      <c r="BY74" s="308"/>
      <c r="BZ74" s="308"/>
      <c r="CA74" s="308"/>
      <c r="CB74" s="308"/>
      <c r="CC74" s="308"/>
      <c r="CD74" s="308"/>
      <c r="CE74" s="308"/>
      <c r="CF74" s="308"/>
      <c r="CG74" s="308"/>
      <c r="CH74" s="308"/>
      <c r="CI74" s="308"/>
      <c r="CJ74" s="308"/>
      <c r="CK74" s="308"/>
      <c r="CL74" s="308"/>
      <c r="CM74" s="308"/>
      <c r="CN74" s="308"/>
      <c r="CO74" s="308"/>
      <c r="CP74" s="308"/>
      <c r="CQ74" s="308"/>
      <c r="CR74" s="308"/>
      <c r="CS74" s="308"/>
      <c r="CT74" s="308"/>
      <c r="CU74" s="308"/>
      <c r="CV74" s="308"/>
      <c r="CW74" s="308"/>
      <c r="CX74" s="308"/>
      <c r="CY74" s="308"/>
      <c r="CZ74" s="308"/>
      <c r="DA74" s="308"/>
      <c r="DB74" s="308"/>
      <c r="DC74" s="308"/>
      <c r="DD74" s="308"/>
      <c r="DE74" s="308"/>
      <c r="DF74" s="308"/>
      <c r="DG74" s="308"/>
      <c r="DH74" s="308"/>
      <c r="DI74" s="308"/>
      <c r="DJ74" s="308"/>
      <c r="DK74" s="308"/>
      <c r="DL74" s="308"/>
      <c r="DM74" s="308"/>
      <c r="DN74" s="308"/>
      <c r="DO74" s="308"/>
      <c r="DP74" s="308"/>
      <c r="DQ74" s="308"/>
      <c r="DR74" s="308"/>
      <c r="DS74" s="308"/>
      <c r="DT74" s="308"/>
      <c r="DU74" s="308"/>
      <c r="DV74" s="308"/>
      <c r="DW74" s="308"/>
      <c r="DX74" s="308"/>
      <c r="DY74" s="308"/>
      <c r="DZ74" s="308"/>
      <c r="EA74" s="308"/>
      <c r="EB74" s="308"/>
      <c r="EC74" s="308"/>
      <c r="ED74" s="308"/>
      <c r="EE74" s="308"/>
      <c r="EF74" s="308"/>
      <c r="EG74" s="308"/>
      <c r="EH74" s="308"/>
      <c r="EI74" s="308"/>
      <c r="EJ74" s="308"/>
      <c r="EK74" s="308"/>
      <c r="EL74" s="308"/>
      <c r="EM74" s="308"/>
      <c r="EN74" s="308"/>
      <c r="EO74" s="308"/>
      <c r="EP74" s="308"/>
      <c r="EQ74" s="308"/>
      <c r="ER74" s="308"/>
      <c r="ES74" s="308"/>
      <c r="ET74" s="308"/>
      <c r="EU74" s="308"/>
      <c r="EV74" s="308"/>
      <c r="EW74" s="308"/>
      <c r="EX74" s="308"/>
      <c r="EY74" s="308"/>
      <c r="EZ74" s="308"/>
      <c r="FA74" s="308"/>
      <c r="FB74" s="308"/>
      <c r="FC74" s="308"/>
      <c r="FD74" s="308"/>
      <c r="FE74" s="308"/>
      <c r="FF74" s="308"/>
      <c r="FG74" s="308"/>
      <c r="FH74" s="308"/>
      <c r="FI74" s="308"/>
      <c r="FJ74" s="308"/>
      <c r="FK74" s="308"/>
      <c r="FL74" s="308"/>
      <c r="FM74" s="308"/>
      <c r="FN74" s="308"/>
      <c r="FO74" s="308"/>
      <c r="FP74" s="308"/>
      <c r="FQ74" s="308"/>
      <c r="FR74" s="308"/>
      <c r="FS74" s="308"/>
      <c r="FT74" s="308"/>
      <c r="FU74" s="308"/>
      <c r="FV74" s="308"/>
      <c r="FW74" s="308"/>
      <c r="FX74" s="308"/>
      <c r="FY74" s="308"/>
      <c r="FZ74" s="308"/>
      <c r="GA74" s="308"/>
      <c r="GB74" s="308"/>
      <c r="GC74" s="308"/>
      <c r="GD74" s="308"/>
      <c r="GE74" s="308"/>
      <c r="GF74" s="308"/>
      <c r="GG74" s="308"/>
      <c r="GH74" s="308"/>
      <c r="GI74" s="308"/>
      <c r="GJ74" s="308"/>
      <c r="GK74" s="308"/>
      <c r="GL74" s="308"/>
      <c r="GM74" s="308"/>
      <c r="GN74" s="308"/>
      <c r="GO74" s="308"/>
      <c r="GP74" s="308"/>
      <c r="GQ74" s="308"/>
      <c r="GR74" s="308"/>
      <c r="GS74" s="308"/>
      <c r="GT74" s="308"/>
      <c r="GU74" s="308"/>
      <c r="GV74" s="308"/>
      <c r="GW74" s="308"/>
      <c r="GX74" s="308"/>
      <c r="GY74" s="308"/>
      <c r="GZ74" s="308"/>
      <c r="HA74" s="308"/>
      <c r="HB74" s="308"/>
      <c r="HC74" s="308"/>
      <c r="HD74" s="308"/>
      <c r="HE74" s="308"/>
      <c r="HF74" s="308"/>
      <c r="HG74" s="308"/>
      <c r="HH74" s="308"/>
      <c r="HI74" s="308"/>
      <c r="HJ74" s="308"/>
      <c r="HK74" s="308"/>
      <c r="HL74" s="308"/>
      <c r="HM74" s="308"/>
      <c r="HN74" s="308"/>
      <c r="HO74" s="308"/>
      <c r="HP74" s="308"/>
      <c r="HQ74" s="308"/>
      <c r="HR74" s="308"/>
      <c r="HS74" s="308"/>
      <c r="HT74" s="308"/>
      <c r="HU74" s="308"/>
      <c r="HV74" s="308"/>
      <c r="HW74" s="308"/>
      <c r="HX74" s="308"/>
      <c r="HY74" s="308"/>
      <c r="HZ74" s="308"/>
      <c r="IA74" s="308"/>
      <c r="IB74" s="308"/>
      <c r="IC74" s="308"/>
      <c r="ID74" s="308"/>
      <c r="IE74" s="308"/>
      <c r="IF74" s="308"/>
      <c r="IG74" s="308"/>
      <c r="IH74" s="308"/>
      <c r="II74" s="308"/>
      <c r="IJ74" s="308"/>
      <c r="IK74" s="308"/>
      <c r="IL74" s="308"/>
      <c r="IM74" s="308"/>
      <c r="IN74" s="308"/>
      <c r="IO74" s="308"/>
      <c r="IP74" s="308"/>
      <c r="IQ74" s="308"/>
      <c r="IR74" s="308"/>
      <c r="IS74" s="308"/>
      <c r="IT74" s="308"/>
      <c r="IU74" s="308"/>
      <c r="IV74" s="308"/>
      <c r="IW74" s="308"/>
      <c r="IX74" s="308"/>
    </row>
    <row r="75" spans="1:258" s="420" customFormat="1" ht="17.399999999999999" x14ac:dyDescent="0.3">
      <c r="A75" s="122" t="s">
        <v>1</v>
      </c>
      <c r="B75" s="150" t="s">
        <v>225</v>
      </c>
      <c r="C75" s="104">
        <f>'Input data plant-based products'!D18</f>
        <v>0.73921686193494074</v>
      </c>
      <c r="D75" s="269" t="s">
        <v>473</v>
      </c>
      <c r="E75" s="320">
        <f>IF($F$1="GWP100 without fb",E76+E77*'Common input data'!$C$5+E78*'Common input data'!$D$5,IF($F$1="GWP100 with fb",E76+E77*'Common input data'!$C$6+E78*'Common input data'!$D$6,IF($F$1="GTP100 without fb",E76+E77*'Common input data'!$C$7+E78*'Common input data'!$D$7,IF($F$1="GTP100 with fb",E76+E77*'Common input data'!$C$8+E78*'Common input data'!$D$8,E76+E77*'Common input data'!$C$9+E78*'Common input data'!$D$9))))</f>
        <v>0.62306549525914312</v>
      </c>
      <c r="F75" s="302">
        <f>IF($F$1="GWP100 without fb",F76+F77*'Common input data'!$C$5+F78*'Common input data'!$D$5,IF($F$1="GWP100 with fb",F76+F77*'Common input data'!$C$6+F78*'Common input data'!$D$6,IF($F$1="GTP100 without fb",F76+F77*'Common input data'!$C$7+F78*'Common input data'!$D$7,IF($F$1="GTP100 with fb",F76+F77*'Common input data'!$C$8+F78*'Common input data'!$D$8,F76+F77*'Common input data'!$C$9+F78*'Common input data'!$D$9))))</f>
        <v>1.0594189176769919</v>
      </c>
      <c r="G75" s="321">
        <f>IF($F$1="GWP100 without fb",G76+G77*'Common input data'!$C$5+G78*'Common input data'!$D$5,IF($F$1="GWP100 with fb",G76+G77*'Common input data'!$C$6+G78*'Common input data'!$D$6,IF($F$1="GTP100 without fb",G76+G77*'Common input data'!$C$7+G78*'Common input data'!$D$7,IF($F$1="GTP100 with fb",G76+G77*'Common input data'!$C$8+G78*'Common input data'!$D$8,G76+G77*'Common input data'!$C$9+G78*'Common input data'!$D$9))))</f>
        <v>2.2553183706853188</v>
      </c>
      <c r="H75" s="102"/>
      <c r="I75" s="102"/>
      <c r="J75" s="102"/>
      <c r="K75" s="102"/>
      <c r="L75" s="102"/>
      <c r="M75" s="102"/>
      <c r="N75" s="102"/>
      <c r="O75" s="102"/>
      <c r="P75" s="102"/>
      <c r="Q75" s="102"/>
      <c r="R75" s="102"/>
      <c r="S75" s="102"/>
      <c r="T75" s="102"/>
      <c r="U75" s="102"/>
      <c r="V75" s="430"/>
      <c r="W75" s="243"/>
      <c r="X75" s="308"/>
      <c r="Y75" s="308"/>
      <c r="Z75" s="64"/>
      <c r="AA75" s="308"/>
      <c r="AB75" s="308"/>
      <c r="AC75" s="308"/>
      <c r="AD75" s="308"/>
      <c r="AE75" s="308"/>
      <c r="AF75" s="308"/>
      <c r="AG75" s="308"/>
      <c r="AH75" s="308"/>
      <c r="AI75" s="308"/>
      <c r="AJ75" s="308"/>
      <c r="AK75" s="308"/>
      <c r="AL75" s="308"/>
      <c r="AM75" s="308"/>
      <c r="AN75" s="308"/>
      <c r="AO75" s="308"/>
      <c r="AP75" s="308"/>
      <c r="AQ75" s="308"/>
      <c r="AR75" s="308"/>
      <c r="AS75" s="308"/>
      <c r="AT75" s="308"/>
      <c r="AU75" s="308"/>
      <c r="AV75" s="308"/>
      <c r="AW75" s="308"/>
      <c r="AX75" s="308"/>
      <c r="AY75" s="308"/>
      <c r="AZ75" s="308"/>
      <c r="BA75" s="308"/>
      <c r="BB75" s="308"/>
      <c r="BC75" s="308"/>
      <c r="BD75" s="308"/>
      <c r="BE75" s="308"/>
      <c r="BF75" s="308"/>
      <c r="BG75" s="308"/>
      <c r="BH75" s="308"/>
      <c r="BI75" s="308"/>
      <c r="BJ75" s="308"/>
      <c r="BK75" s="308"/>
      <c r="BL75" s="308"/>
      <c r="BM75" s="308"/>
      <c r="BN75" s="308"/>
      <c r="BO75" s="308"/>
      <c r="BP75" s="308"/>
      <c r="BQ75" s="308"/>
      <c r="BR75" s="308"/>
      <c r="BS75" s="308"/>
      <c r="BT75" s="308"/>
      <c r="BU75" s="308"/>
      <c r="BV75" s="308"/>
      <c r="BW75" s="308"/>
      <c r="BX75" s="308"/>
      <c r="BY75" s="308"/>
      <c r="BZ75" s="308"/>
      <c r="CA75" s="308"/>
      <c r="CB75" s="308"/>
      <c r="CC75" s="308"/>
      <c r="CD75" s="308"/>
      <c r="CE75" s="308"/>
      <c r="CF75" s="308"/>
      <c r="CG75" s="308"/>
      <c r="CH75" s="308"/>
      <c r="CI75" s="308"/>
      <c r="CJ75" s="308"/>
      <c r="CK75" s="308"/>
      <c r="CL75" s="308"/>
      <c r="CM75" s="308"/>
      <c r="CN75" s="308"/>
      <c r="CO75" s="308"/>
      <c r="CP75" s="308"/>
      <c r="CQ75" s="308"/>
      <c r="CR75" s="308"/>
      <c r="CS75" s="308"/>
      <c r="CT75" s="308"/>
      <c r="CU75" s="308"/>
      <c r="CV75" s="308"/>
      <c r="CW75" s="308"/>
      <c r="CX75" s="308"/>
      <c r="CY75" s="308"/>
      <c r="CZ75" s="308"/>
      <c r="DA75" s="308"/>
      <c r="DB75" s="308"/>
      <c r="DC75" s="308"/>
      <c r="DD75" s="308"/>
      <c r="DE75" s="308"/>
      <c r="DF75" s="308"/>
      <c r="DG75" s="308"/>
      <c r="DH75" s="308"/>
      <c r="DI75" s="308"/>
      <c r="DJ75" s="308"/>
      <c r="DK75" s="308"/>
      <c r="DL75" s="308"/>
      <c r="DM75" s="308"/>
      <c r="DN75" s="308"/>
      <c r="DO75" s="308"/>
      <c r="DP75" s="308"/>
      <c r="DQ75" s="308"/>
      <c r="DR75" s="308"/>
      <c r="DS75" s="308"/>
      <c r="DT75" s="308"/>
      <c r="DU75" s="308"/>
      <c r="DV75" s="308"/>
      <c r="DW75" s="308"/>
      <c r="DX75" s="308"/>
      <c r="DY75" s="308"/>
      <c r="DZ75" s="308"/>
      <c r="EA75" s="308"/>
      <c r="EB75" s="308"/>
      <c r="EC75" s="308"/>
      <c r="ED75" s="308"/>
      <c r="EE75" s="308"/>
      <c r="EF75" s="308"/>
      <c r="EG75" s="308"/>
      <c r="EH75" s="308"/>
      <c r="EI75" s="308"/>
      <c r="EJ75" s="308"/>
      <c r="EK75" s="308"/>
      <c r="EL75" s="308"/>
      <c r="EM75" s="308"/>
      <c r="EN75" s="308"/>
      <c r="EO75" s="308"/>
      <c r="EP75" s="308"/>
      <c r="EQ75" s="308"/>
      <c r="ER75" s="308"/>
      <c r="ES75" s="308"/>
      <c r="ET75" s="308"/>
      <c r="EU75" s="308"/>
      <c r="EV75" s="308"/>
      <c r="EW75" s="308"/>
      <c r="EX75" s="308"/>
      <c r="EY75" s="308"/>
      <c r="EZ75" s="308"/>
      <c r="FA75" s="308"/>
      <c r="FB75" s="308"/>
      <c r="FC75" s="308"/>
      <c r="FD75" s="308"/>
      <c r="FE75" s="308"/>
      <c r="FF75" s="308"/>
      <c r="FG75" s="308"/>
      <c r="FH75" s="308"/>
      <c r="FI75" s="308"/>
      <c r="FJ75" s="308"/>
      <c r="FK75" s="308"/>
      <c r="FL75" s="308"/>
      <c r="FM75" s="308"/>
      <c r="FN75" s="308"/>
      <c r="FO75" s="308"/>
      <c r="FP75" s="308"/>
      <c r="FQ75" s="308"/>
      <c r="FR75" s="308"/>
      <c r="FS75" s="308"/>
      <c r="FT75" s="308"/>
      <c r="FU75" s="308"/>
      <c r="FV75" s="308"/>
      <c r="FW75" s="308"/>
      <c r="FX75" s="308"/>
      <c r="FY75" s="308"/>
      <c r="FZ75" s="308"/>
      <c r="GA75" s="308"/>
      <c r="GB75" s="308"/>
      <c r="GC75" s="308"/>
      <c r="GD75" s="308"/>
      <c r="GE75" s="308"/>
      <c r="GF75" s="308"/>
      <c r="GG75" s="308"/>
      <c r="GH75" s="308"/>
      <c r="GI75" s="308"/>
      <c r="GJ75" s="308"/>
      <c r="GK75" s="308"/>
      <c r="GL75" s="308"/>
      <c r="GM75" s="308"/>
      <c r="GN75" s="308"/>
      <c r="GO75" s="308"/>
      <c r="GP75" s="308"/>
      <c r="GQ75" s="308"/>
      <c r="GR75" s="308"/>
      <c r="GS75" s="308"/>
      <c r="GT75" s="308"/>
      <c r="GU75" s="308"/>
      <c r="GV75" s="308"/>
      <c r="GW75" s="308"/>
      <c r="GX75" s="308"/>
      <c r="GY75" s="308"/>
      <c r="GZ75" s="308"/>
      <c r="HA75" s="308"/>
      <c r="HB75" s="308"/>
      <c r="HC75" s="308"/>
      <c r="HD75" s="308"/>
      <c r="HE75" s="308"/>
      <c r="HF75" s="308"/>
      <c r="HG75" s="308"/>
      <c r="HH75" s="308"/>
      <c r="HI75" s="308"/>
      <c r="HJ75" s="308"/>
      <c r="HK75" s="308"/>
      <c r="HL75" s="308"/>
      <c r="HM75" s="308"/>
      <c r="HN75" s="308"/>
      <c r="HO75" s="308"/>
      <c r="HP75" s="308"/>
      <c r="HQ75" s="308"/>
      <c r="HR75" s="308"/>
      <c r="HS75" s="308"/>
      <c r="HT75" s="308"/>
      <c r="HU75" s="308"/>
      <c r="HV75" s="308"/>
      <c r="HW75" s="308"/>
      <c r="HX75" s="308"/>
      <c r="HY75" s="308"/>
      <c r="HZ75" s="308"/>
      <c r="IA75" s="308"/>
      <c r="IB75" s="308"/>
      <c r="IC75" s="308"/>
      <c r="ID75" s="308"/>
      <c r="IE75" s="308"/>
      <c r="IF75" s="308"/>
      <c r="IG75" s="308"/>
      <c r="IH75" s="308"/>
      <c r="II75" s="308"/>
      <c r="IJ75" s="308"/>
      <c r="IK75" s="308"/>
      <c r="IL75" s="308"/>
      <c r="IM75" s="308"/>
      <c r="IN75" s="308"/>
      <c r="IO75" s="308"/>
      <c r="IP75" s="308"/>
      <c r="IQ75" s="308"/>
      <c r="IR75" s="308"/>
      <c r="IS75" s="308"/>
      <c r="IT75" s="308"/>
      <c r="IU75" s="308"/>
      <c r="IV75" s="308"/>
      <c r="IW75" s="308"/>
      <c r="IX75" s="308"/>
    </row>
    <row r="76" spans="1:258" s="308" customFormat="1" ht="17.399999999999999" x14ac:dyDescent="0.3">
      <c r="A76" s="103"/>
      <c r="B76" s="84"/>
      <c r="C76" s="64"/>
      <c r="D76" s="83" t="s">
        <v>164</v>
      </c>
      <c r="E76" s="270">
        <f>IF(AND($F$2="No",$F$3="No"),SUM(J76:K76)*'Input data plant-based products'!O$123,IF(AND($F$2="Yes", $F$3="No"), (SUM(J76:K76)+Q76)*'Input data plant-based products'!O$123, IF(AND($F$2="No", $F$3="Yes"),(SUM(J76:K76)+P76)*'Input data plant-based products'!O$123, (SUM(J76:K76)+Q76+P76)*'Input data plant-based products'!O$123)))</f>
        <v>0.1710494830763917</v>
      </c>
      <c r="F76" s="90">
        <f>IF(AND($F$2="No",$F$3="No"),SUM(H76:O76)*'Input data plant-based products'!O$123,IF(AND($F$2="Yes", $F$3="No"), (SUM(H76:O76)+Q76)*'Input data plant-based products'!O$123, IF(AND($F$2="No", $F$3="Yes"),(SUM(H76:O76)+P76)*'Input data plant-based products'!O$123, (SUM(H76:O76)+Q76+P76)*'Input data plant-based products'!O$123)))</f>
        <v>0.45950080032181034</v>
      </c>
      <c r="G76" s="278">
        <f>SUM(S76:U76)/(1-'Common input data'!$B$124)</f>
        <v>1.1899219581604912</v>
      </c>
      <c r="H76" s="90">
        <f>('Input data plant-based products'!$F$18*('Common input data'!$B$76*'Common input data'!B69+'Common input data'!$B$77*'Common input data'!C69))/'Input data plant-based products'!$E$18</f>
        <v>0.11210628199635325</v>
      </c>
      <c r="I76" s="90">
        <f>'Common input data'!$B$81</f>
        <v>0.03</v>
      </c>
      <c r="J76" s="90">
        <v>0</v>
      </c>
      <c r="K76" s="90">
        <v>0</v>
      </c>
      <c r="L76" s="90">
        <f>('Input data plant-based products'!$I$18*'Common input data'!$C$59*'Common input data'!H49)/'Input data plant-based products'!$E$18</f>
        <v>4.9449347079037802E-2</v>
      </c>
      <c r="M76" s="90">
        <v>0</v>
      </c>
      <c r="N76" s="90">
        <f>'Input data plant-based products'!G$152</f>
        <v>0.02</v>
      </c>
      <c r="O76" s="90">
        <f>'Input data plant-based products'!$B$123*'Common input data'!$B$59*'Common input data'!B49+'Input data plant-based products'!C$123*'Common input data'!B63</f>
        <v>5.7876920000000012E-2</v>
      </c>
      <c r="P76" s="90">
        <f>'Common input data'!D$13</f>
        <v>0.159771495181245</v>
      </c>
      <c r="Q76" s="90">
        <v>0</v>
      </c>
      <c r="R76" s="90">
        <f>'Input data plant-based products'!G$123*3.6*'Common input data'!C49+'Input data plant-based products'!H$123*3.6*'Common input data'!G49</f>
        <v>1.3347719999999999E-2</v>
      </c>
      <c r="S76" s="90">
        <f>(F76+R76)*'Input data plant-based products'!B$130*'Common input data'!D$26</f>
        <v>0.77793038563344241</v>
      </c>
      <c r="T76" s="90">
        <f>'Common input data'!B$87</f>
        <v>0.3</v>
      </c>
      <c r="U76" s="90">
        <f>'Common input data'!C$98</f>
        <v>0.03</v>
      </c>
      <c r="V76" s="430"/>
      <c r="W76" s="243"/>
      <c r="Z76" s="64"/>
    </row>
    <row r="77" spans="1:258" s="308" customFormat="1" ht="17.399999999999999" x14ac:dyDescent="0.3">
      <c r="A77" s="107"/>
      <c r="B77" s="84"/>
      <c r="C77" s="142"/>
      <c r="D77" s="83" t="s">
        <v>165</v>
      </c>
      <c r="E77" s="270">
        <f>SUM(J77:K77)*'Input data plant-based products'!O$123</f>
        <v>0</v>
      </c>
      <c r="F77" s="90">
        <f>SUM(H77:O77)*'Input data plant-based products'!O$123</f>
        <v>4.6284627130268857E-5</v>
      </c>
      <c r="G77" s="278">
        <f>SUM(S77:U77)/(1-'Common input data'!$B$124)</f>
        <v>1.8583256132050793E-4</v>
      </c>
      <c r="H77" s="90">
        <f>('Input data plant-based products'!$F$18*('Common input data'!$B$76*'Common input data'!B70+'Common input data'!$B$77*'Common input data'!C70))/'Input data plant-based products'!$E$18</f>
        <v>3.0013470790378011E-10</v>
      </c>
      <c r="I77" s="90">
        <v>0</v>
      </c>
      <c r="J77" s="90">
        <v>0</v>
      </c>
      <c r="K77" s="90">
        <v>0</v>
      </c>
      <c r="L77" s="90">
        <f>('Input data plant-based products'!$I$18*'Common input data'!$C$59*'Common input data'!H50)/'Input data plant-based products'!$E$18</f>
        <v>2.1904393338620144E-5</v>
      </c>
      <c r="M77" s="90">
        <v>0</v>
      </c>
      <c r="N77" s="90">
        <v>0</v>
      </c>
      <c r="O77" s="90">
        <f>'Input data plant-based products'!$B$123*'Common input data'!$B$59*'Common input data'!B50</f>
        <v>2.1328200000000007E-5</v>
      </c>
      <c r="P77" s="90">
        <v>0</v>
      </c>
      <c r="Q77" s="90">
        <v>0</v>
      </c>
      <c r="R77" s="90">
        <f>'Input data plant-based products'!G$123*3.6*'Common input data'!C50+'Input data plant-based products'!H$123*3.6*'Common input data'!G50</f>
        <v>5.8886639999999975E-5</v>
      </c>
      <c r="S77" s="90">
        <f>(F77+R77)*'Input data plant-based products'!B$130*'Common input data'!D$26</f>
        <v>1.730277686827183E-4</v>
      </c>
      <c r="T77" s="90">
        <v>0</v>
      </c>
      <c r="U77" s="90">
        <v>0</v>
      </c>
      <c r="V77" s="430"/>
      <c r="W77" s="243"/>
      <c r="Z77" s="64"/>
    </row>
    <row r="78" spans="1:258" s="308" customFormat="1" ht="17.399999999999999" x14ac:dyDescent="0.3">
      <c r="A78" s="174"/>
      <c r="B78" s="206"/>
      <c r="C78" s="85"/>
      <c r="D78" s="84" t="s">
        <v>166</v>
      </c>
      <c r="E78" s="270">
        <f>SUM(J78:K78)*'Input data plant-based products'!O$123</f>
        <v>1.5168322556468167E-3</v>
      </c>
      <c r="F78" s="90">
        <f>SUM(H78:O78)*'Input data plant-based products'!O$123</f>
        <v>2.0078672484320553E-3</v>
      </c>
      <c r="G78" s="278">
        <f>SUM(S78:U78)/(1-'Common input data'!$B$124)</f>
        <v>3.5539533739594969E-3</v>
      </c>
      <c r="H78" s="90">
        <f>('Input data plant-based products'!$F$18*('Common input data'!$B$76*'Common input data'!B71+'Common input data'!$B$77*'Common input data'!C71))/'Input data plant-based products'!$E$18</f>
        <v>4.5534207375947592E-4</v>
      </c>
      <c r="I78" s="90">
        <v>0</v>
      </c>
      <c r="J78" s="90">
        <f>(SUM('Input data plant-based products'!F18:H18)*'Input data plant-based products'!$B$114*44/28)/'Input data plant-based products'!E18</f>
        <v>1.2880193979018923E-3</v>
      </c>
      <c r="K78" s="90">
        <f>J78*'Input data plant-based products'!$B$115</f>
        <v>1.2880193979018922E-4</v>
      </c>
      <c r="L78" s="90">
        <f>('Input data plant-based products'!$I$18*'Common input data'!$C$59*'Common input data'!H51)/'Input data plant-based products'!$E$18</f>
        <v>1.3287232355273593E-6</v>
      </c>
      <c r="M78" s="90">
        <v>0</v>
      </c>
      <c r="N78" s="90">
        <v>0</v>
      </c>
      <c r="O78" s="90">
        <f>'Input data plant-based products'!$B$123*'Common input data'!$B$59*'Common input data'!B51</f>
        <v>1.9882622000000002E-6</v>
      </c>
      <c r="P78" s="90">
        <v>0</v>
      </c>
      <c r="Q78" s="90">
        <v>0</v>
      </c>
      <c r="R78" s="90">
        <f>'Input data plant-based products'!G$123*3.6*'Common input data'!C51+'Input data plant-based products'!H$123*3.6*'Common input data'!G51</f>
        <v>3.4798319999999972E-6</v>
      </c>
      <c r="S78" s="90">
        <f>(F78+R78)*'Input data plant-based products'!B$130*'Common input data'!D$26</f>
        <v>3.3090682167268176E-3</v>
      </c>
      <c r="T78" s="90">
        <v>0</v>
      </c>
      <c r="U78" s="90">
        <v>0</v>
      </c>
      <c r="V78" s="430"/>
      <c r="W78" s="243"/>
      <c r="Z78" s="64"/>
    </row>
    <row r="79" spans="1:258" s="422" customFormat="1" ht="17.399999999999999" x14ac:dyDescent="0.3">
      <c r="A79" s="279" t="s">
        <v>72</v>
      </c>
      <c r="B79" s="260"/>
      <c r="C79" s="261"/>
      <c r="D79" s="359"/>
      <c r="E79" s="421"/>
      <c r="F79" s="262"/>
      <c r="G79" s="479"/>
      <c r="H79" s="261"/>
      <c r="I79" s="261"/>
      <c r="J79" s="261"/>
      <c r="K79" s="391"/>
      <c r="L79" s="391"/>
      <c r="M79" s="390"/>
      <c r="N79" s="391"/>
      <c r="O79" s="391"/>
      <c r="P79" s="391"/>
      <c r="Q79" s="391"/>
      <c r="R79" s="391"/>
      <c r="S79" s="391"/>
      <c r="T79" s="391"/>
      <c r="U79" s="391"/>
      <c r="V79" s="430"/>
      <c r="W79" s="243"/>
      <c r="X79" s="308"/>
      <c r="Y79" s="308"/>
      <c r="Z79" s="64"/>
      <c r="AA79" s="308"/>
      <c r="AB79" s="308"/>
      <c r="AC79" s="308"/>
      <c r="AD79" s="308"/>
      <c r="AE79" s="308"/>
      <c r="AF79" s="308"/>
      <c r="AG79" s="308"/>
      <c r="AH79" s="308"/>
      <c r="AI79" s="308"/>
      <c r="AJ79" s="308"/>
      <c r="AK79" s="308"/>
      <c r="AL79" s="308"/>
      <c r="AM79" s="308"/>
      <c r="AN79" s="308"/>
      <c r="AO79" s="308"/>
      <c r="AP79" s="308"/>
      <c r="AQ79" s="308"/>
      <c r="AR79" s="308"/>
      <c r="AS79" s="308"/>
      <c r="AT79" s="308"/>
      <c r="AU79" s="308"/>
      <c r="AV79" s="308"/>
      <c r="AW79" s="308"/>
      <c r="AX79" s="308"/>
      <c r="AY79" s="308"/>
      <c r="AZ79" s="308"/>
      <c r="BA79" s="308"/>
      <c r="BB79" s="308"/>
      <c r="BC79" s="308"/>
      <c r="BD79" s="308"/>
      <c r="BE79" s="308"/>
      <c r="BF79" s="308"/>
      <c r="BG79" s="308"/>
      <c r="BH79" s="308"/>
      <c r="BI79" s="308"/>
      <c r="BJ79" s="308"/>
      <c r="BK79" s="308"/>
      <c r="BL79" s="308"/>
      <c r="BM79" s="308"/>
      <c r="BN79" s="308"/>
      <c r="BO79" s="308"/>
      <c r="BP79" s="308"/>
      <c r="BQ79" s="308"/>
      <c r="BR79" s="308"/>
      <c r="BS79" s="308"/>
      <c r="BT79" s="308"/>
      <c r="BU79" s="308"/>
      <c r="BV79" s="308"/>
      <c r="BW79" s="308"/>
      <c r="BX79" s="308"/>
      <c r="BY79" s="308"/>
      <c r="BZ79" s="308"/>
      <c r="CA79" s="308"/>
      <c r="CB79" s="308"/>
      <c r="CC79" s="308"/>
      <c r="CD79" s="308"/>
      <c r="CE79" s="308"/>
      <c r="CF79" s="308"/>
      <c r="CG79" s="308"/>
      <c r="CH79" s="308"/>
      <c r="CI79" s="308"/>
      <c r="CJ79" s="308"/>
      <c r="CK79" s="308"/>
      <c r="CL79" s="308"/>
      <c r="CM79" s="308"/>
      <c r="CN79" s="308"/>
      <c r="CO79" s="308"/>
      <c r="CP79" s="308"/>
      <c r="CQ79" s="308"/>
      <c r="CR79" s="308"/>
      <c r="CS79" s="308"/>
      <c r="CT79" s="308"/>
      <c r="CU79" s="308"/>
      <c r="CV79" s="308"/>
      <c r="CW79" s="308"/>
      <c r="CX79" s="308"/>
      <c r="CY79" s="308"/>
      <c r="CZ79" s="308"/>
      <c r="DA79" s="308"/>
      <c r="DB79" s="308"/>
      <c r="DC79" s="308"/>
      <c r="DD79" s="308"/>
      <c r="DE79" s="308"/>
      <c r="DF79" s="308"/>
      <c r="DG79" s="308"/>
      <c r="DH79" s="308"/>
      <c r="DI79" s="308"/>
      <c r="DJ79" s="308"/>
      <c r="DK79" s="308"/>
      <c r="DL79" s="308"/>
      <c r="DM79" s="308"/>
      <c r="DN79" s="308"/>
      <c r="DO79" s="308"/>
      <c r="DP79" s="308"/>
      <c r="DQ79" s="308"/>
      <c r="DR79" s="308"/>
      <c r="DS79" s="308"/>
      <c r="DT79" s="308"/>
      <c r="DU79" s="308"/>
      <c r="DV79" s="308"/>
      <c r="DW79" s="308"/>
      <c r="DX79" s="308"/>
      <c r="DY79" s="308"/>
      <c r="DZ79" s="308"/>
      <c r="EA79" s="308"/>
      <c r="EB79" s="308"/>
      <c r="EC79" s="308"/>
      <c r="ED79" s="308"/>
      <c r="EE79" s="308"/>
      <c r="EF79" s="308"/>
      <c r="EG79" s="308"/>
      <c r="EH79" s="308"/>
      <c r="EI79" s="308"/>
      <c r="EJ79" s="308"/>
      <c r="EK79" s="308"/>
      <c r="EL79" s="308"/>
      <c r="EM79" s="308"/>
      <c r="EN79" s="308"/>
      <c r="EO79" s="308"/>
      <c r="EP79" s="308"/>
      <c r="EQ79" s="308"/>
      <c r="ER79" s="308"/>
      <c r="ES79" s="308"/>
      <c r="ET79" s="308"/>
      <c r="EU79" s="308"/>
      <c r="EV79" s="308"/>
      <c r="EW79" s="308"/>
      <c r="EX79" s="308"/>
      <c r="EY79" s="308"/>
      <c r="EZ79" s="308"/>
      <c r="FA79" s="308"/>
      <c r="FB79" s="308"/>
      <c r="FC79" s="308"/>
      <c r="FD79" s="308"/>
      <c r="FE79" s="308"/>
      <c r="FF79" s="308"/>
      <c r="FG79" s="308"/>
      <c r="FH79" s="308"/>
      <c r="FI79" s="308"/>
      <c r="FJ79" s="308"/>
      <c r="FK79" s="308"/>
      <c r="FL79" s="308"/>
      <c r="FM79" s="308"/>
      <c r="FN79" s="308"/>
      <c r="FO79" s="308"/>
      <c r="FP79" s="308"/>
      <c r="FQ79" s="308"/>
      <c r="FR79" s="308"/>
      <c r="FS79" s="308"/>
      <c r="FT79" s="308"/>
      <c r="FU79" s="308"/>
      <c r="FV79" s="308"/>
      <c r="FW79" s="308"/>
      <c r="FX79" s="308"/>
      <c r="FY79" s="308"/>
      <c r="FZ79" s="308"/>
      <c r="GA79" s="308"/>
      <c r="GB79" s="308"/>
      <c r="GC79" s="308"/>
      <c r="GD79" s="308"/>
      <c r="GE79" s="308"/>
      <c r="GF79" s="308"/>
      <c r="GG79" s="308"/>
      <c r="GH79" s="308"/>
      <c r="GI79" s="308"/>
      <c r="GJ79" s="308"/>
      <c r="GK79" s="308"/>
      <c r="GL79" s="308"/>
      <c r="GM79" s="308"/>
      <c r="GN79" s="308"/>
      <c r="GO79" s="308"/>
      <c r="GP79" s="308"/>
      <c r="GQ79" s="308"/>
      <c r="GR79" s="308"/>
      <c r="GS79" s="308"/>
      <c r="GT79" s="308"/>
      <c r="GU79" s="308"/>
      <c r="GV79" s="308"/>
      <c r="GW79" s="308"/>
      <c r="GX79" s="308"/>
      <c r="GY79" s="308"/>
      <c r="GZ79" s="308"/>
      <c r="HA79" s="308"/>
      <c r="HB79" s="308"/>
      <c r="HC79" s="308"/>
      <c r="HD79" s="308"/>
      <c r="HE79" s="308"/>
      <c r="HF79" s="308"/>
      <c r="HG79" s="308"/>
      <c r="HH79" s="308"/>
      <c r="HI79" s="308"/>
      <c r="HJ79" s="308"/>
      <c r="HK79" s="308"/>
      <c r="HL79" s="308"/>
      <c r="HM79" s="308"/>
      <c r="HN79" s="308"/>
      <c r="HO79" s="308"/>
      <c r="HP79" s="308"/>
      <c r="HQ79" s="308"/>
      <c r="HR79" s="308"/>
      <c r="HS79" s="308"/>
      <c r="HT79" s="308"/>
      <c r="HU79" s="308"/>
      <c r="HV79" s="308"/>
      <c r="HW79" s="308"/>
      <c r="HX79" s="308"/>
      <c r="HY79" s="308"/>
      <c r="HZ79" s="308"/>
      <c r="IA79" s="308"/>
      <c r="IB79" s="308"/>
      <c r="IC79" s="308"/>
      <c r="ID79" s="308"/>
      <c r="IE79" s="308"/>
      <c r="IF79" s="308"/>
      <c r="IG79" s="308"/>
      <c r="IH79" s="308"/>
      <c r="II79" s="308"/>
      <c r="IJ79" s="308"/>
      <c r="IK79" s="308"/>
      <c r="IL79" s="308"/>
      <c r="IM79" s="308"/>
      <c r="IN79" s="308"/>
      <c r="IO79" s="308"/>
      <c r="IP79" s="308"/>
      <c r="IQ79" s="308"/>
      <c r="IR79" s="308"/>
      <c r="IS79" s="308"/>
      <c r="IT79" s="308"/>
      <c r="IU79" s="308"/>
      <c r="IV79" s="308"/>
      <c r="IW79" s="308"/>
      <c r="IX79" s="308"/>
    </row>
    <row r="80" spans="1:258" s="420" customFormat="1" ht="17.399999999999999" x14ac:dyDescent="0.3">
      <c r="A80" s="122" t="s">
        <v>1</v>
      </c>
      <c r="B80" s="150" t="s">
        <v>225</v>
      </c>
      <c r="C80" s="104">
        <f>'Input data plant-based products'!D19</f>
        <v>0.23131559883643657</v>
      </c>
      <c r="D80" s="269" t="s">
        <v>473</v>
      </c>
      <c r="E80" s="320">
        <f>IF($F$1="GWP100 without fb",E81+E82*'Common input data'!$C$5+E83*'Common input data'!$D$5,IF($F$1="GWP100 with fb",E81+E82*'Common input data'!$C$6+E83*'Common input data'!$D$6,IF($F$1="GTP100 without fb",E81+E82*'Common input data'!$C$7+E83*'Common input data'!$D$7,IF($F$1="GTP100 with fb",E81+E82*'Common input data'!$C$8+E83*'Common input data'!$D$8,E81+E82*'Common input data'!$C$9+E83*'Common input data'!$D$9))))</f>
        <v>0.80422708226175688</v>
      </c>
      <c r="F80" s="302">
        <f>IF($F$1="GWP100 without fb",F81+F82*'Common input data'!$C$5+F83*'Common input data'!$D$5,IF($F$1="GWP100 with fb",F81+F82*'Common input data'!$C$6+F83*'Common input data'!$D$6,IF($F$1="GTP100 without fb",F81+F82*'Common input data'!$C$7+F83*'Common input data'!$D$7,IF($F$1="GTP100 with fb",F81+F82*'Common input data'!$C$8+F83*'Common input data'!$D$8,F81+F82*'Common input data'!$C$9+F83*'Common input data'!$D$9))))</f>
        <v>1.3345530621091832</v>
      </c>
      <c r="G80" s="321">
        <f>IF($F$1="GWP100 without fb",G81+G82*'Common input data'!$C$5+G83*'Common input data'!$D$5,IF($F$1="GWP100 with fb",G81+G82*'Common input data'!$C$6+G83*'Common input data'!$D$6,IF($F$1="GTP100 without fb",G81+G82*'Common input data'!$C$7+G83*'Common input data'!$D$7,IF($F$1="GTP100 with fb",G81+G82*'Common input data'!$C$8+G83*'Common input data'!$D$8,G81+G82*'Common input data'!$C$9+G83*'Common input data'!$D$9))))</f>
        <v>2.7414671465028677</v>
      </c>
      <c r="H80" s="102"/>
      <c r="I80" s="102"/>
      <c r="J80" s="102"/>
      <c r="K80" s="102"/>
      <c r="L80" s="102"/>
      <c r="M80" s="102"/>
      <c r="N80" s="102"/>
      <c r="O80" s="102"/>
      <c r="P80" s="102"/>
      <c r="Q80" s="102"/>
      <c r="R80" s="102"/>
      <c r="S80" s="102"/>
      <c r="T80" s="102"/>
      <c r="U80" s="102"/>
      <c r="V80" s="430"/>
      <c r="W80" s="243"/>
      <c r="X80" s="308"/>
      <c r="Y80" s="308"/>
      <c r="Z80" s="64"/>
      <c r="AA80" s="308"/>
      <c r="AB80" s="308"/>
      <c r="AC80" s="308"/>
      <c r="AD80" s="308"/>
      <c r="AE80" s="308"/>
      <c r="AF80" s="308"/>
      <c r="AG80" s="308"/>
      <c r="AH80" s="308"/>
      <c r="AI80" s="308"/>
      <c r="AJ80" s="308"/>
      <c r="AK80" s="308"/>
      <c r="AL80" s="308"/>
      <c r="AM80" s="308"/>
      <c r="AN80" s="308"/>
      <c r="AO80" s="308"/>
      <c r="AP80" s="308"/>
      <c r="AQ80" s="308"/>
      <c r="AR80" s="308"/>
      <c r="AS80" s="308"/>
      <c r="AT80" s="308"/>
      <c r="AU80" s="308"/>
      <c r="AV80" s="308"/>
      <c r="AW80" s="308"/>
      <c r="AX80" s="308"/>
      <c r="AY80" s="308"/>
      <c r="AZ80" s="308"/>
      <c r="BA80" s="308"/>
      <c r="BB80" s="308"/>
      <c r="BC80" s="308"/>
      <c r="BD80" s="308"/>
      <c r="BE80" s="308"/>
      <c r="BF80" s="308"/>
      <c r="BG80" s="308"/>
      <c r="BH80" s="308"/>
      <c r="BI80" s="308"/>
      <c r="BJ80" s="308"/>
      <c r="BK80" s="308"/>
      <c r="BL80" s="308"/>
      <c r="BM80" s="308"/>
      <c r="BN80" s="308"/>
      <c r="BO80" s="308"/>
      <c r="BP80" s="308"/>
      <c r="BQ80" s="308"/>
      <c r="BR80" s="308"/>
      <c r="BS80" s="308"/>
      <c r="BT80" s="308"/>
      <c r="BU80" s="308"/>
      <c r="BV80" s="308"/>
      <c r="BW80" s="308"/>
      <c r="BX80" s="308"/>
      <c r="BY80" s="308"/>
      <c r="BZ80" s="308"/>
      <c r="CA80" s="308"/>
      <c r="CB80" s="308"/>
      <c r="CC80" s="308"/>
      <c r="CD80" s="308"/>
      <c r="CE80" s="308"/>
      <c r="CF80" s="308"/>
      <c r="CG80" s="308"/>
      <c r="CH80" s="308"/>
      <c r="CI80" s="308"/>
      <c r="CJ80" s="308"/>
      <c r="CK80" s="308"/>
      <c r="CL80" s="308"/>
      <c r="CM80" s="308"/>
      <c r="CN80" s="308"/>
      <c r="CO80" s="308"/>
      <c r="CP80" s="308"/>
      <c r="CQ80" s="308"/>
      <c r="CR80" s="308"/>
      <c r="CS80" s="308"/>
      <c r="CT80" s="308"/>
      <c r="CU80" s="308"/>
      <c r="CV80" s="308"/>
      <c r="CW80" s="308"/>
      <c r="CX80" s="308"/>
      <c r="CY80" s="308"/>
      <c r="CZ80" s="308"/>
      <c r="DA80" s="308"/>
      <c r="DB80" s="308"/>
      <c r="DC80" s="308"/>
      <c r="DD80" s="308"/>
      <c r="DE80" s="308"/>
      <c r="DF80" s="308"/>
      <c r="DG80" s="308"/>
      <c r="DH80" s="308"/>
      <c r="DI80" s="308"/>
      <c r="DJ80" s="308"/>
      <c r="DK80" s="308"/>
      <c r="DL80" s="308"/>
      <c r="DM80" s="308"/>
      <c r="DN80" s="308"/>
      <c r="DO80" s="308"/>
      <c r="DP80" s="308"/>
      <c r="DQ80" s="308"/>
      <c r="DR80" s="308"/>
      <c r="DS80" s="308"/>
      <c r="DT80" s="308"/>
      <c r="DU80" s="308"/>
      <c r="DV80" s="308"/>
      <c r="DW80" s="308"/>
      <c r="DX80" s="308"/>
      <c r="DY80" s="308"/>
      <c r="DZ80" s="308"/>
      <c r="EA80" s="308"/>
      <c r="EB80" s="308"/>
      <c r="EC80" s="308"/>
      <c r="ED80" s="308"/>
      <c r="EE80" s="308"/>
      <c r="EF80" s="308"/>
      <c r="EG80" s="308"/>
      <c r="EH80" s="308"/>
      <c r="EI80" s="308"/>
      <c r="EJ80" s="308"/>
      <c r="EK80" s="308"/>
      <c r="EL80" s="308"/>
      <c r="EM80" s="308"/>
      <c r="EN80" s="308"/>
      <c r="EO80" s="308"/>
      <c r="EP80" s="308"/>
      <c r="EQ80" s="308"/>
      <c r="ER80" s="308"/>
      <c r="ES80" s="308"/>
      <c r="ET80" s="308"/>
      <c r="EU80" s="308"/>
      <c r="EV80" s="308"/>
      <c r="EW80" s="308"/>
      <c r="EX80" s="308"/>
      <c r="EY80" s="308"/>
      <c r="EZ80" s="308"/>
      <c r="FA80" s="308"/>
      <c r="FB80" s="308"/>
      <c r="FC80" s="308"/>
      <c r="FD80" s="308"/>
      <c r="FE80" s="308"/>
      <c r="FF80" s="308"/>
      <c r="FG80" s="308"/>
      <c r="FH80" s="308"/>
      <c r="FI80" s="308"/>
      <c r="FJ80" s="308"/>
      <c r="FK80" s="308"/>
      <c r="FL80" s="308"/>
      <c r="FM80" s="308"/>
      <c r="FN80" s="308"/>
      <c r="FO80" s="308"/>
      <c r="FP80" s="308"/>
      <c r="FQ80" s="308"/>
      <c r="FR80" s="308"/>
      <c r="FS80" s="308"/>
      <c r="FT80" s="308"/>
      <c r="FU80" s="308"/>
      <c r="FV80" s="308"/>
      <c r="FW80" s="308"/>
      <c r="FX80" s="308"/>
      <c r="FY80" s="308"/>
      <c r="FZ80" s="308"/>
      <c r="GA80" s="308"/>
      <c r="GB80" s="308"/>
      <c r="GC80" s="308"/>
      <c r="GD80" s="308"/>
      <c r="GE80" s="308"/>
      <c r="GF80" s="308"/>
      <c r="GG80" s="308"/>
      <c r="GH80" s="308"/>
      <c r="GI80" s="308"/>
      <c r="GJ80" s="308"/>
      <c r="GK80" s="308"/>
      <c r="GL80" s="308"/>
      <c r="GM80" s="308"/>
      <c r="GN80" s="308"/>
      <c r="GO80" s="308"/>
      <c r="GP80" s="308"/>
      <c r="GQ80" s="308"/>
      <c r="GR80" s="308"/>
      <c r="GS80" s="308"/>
      <c r="GT80" s="308"/>
      <c r="GU80" s="308"/>
      <c r="GV80" s="308"/>
      <c r="GW80" s="308"/>
      <c r="GX80" s="308"/>
      <c r="GY80" s="308"/>
      <c r="GZ80" s="308"/>
      <c r="HA80" s="308"/>
      <c r="HB80" s="308"/>
      <c r="HC80" s="308"/>
      <c r="HD80" s="308"/>
      <c r="HE80" s="308"/>
      <c r="HF80" s="308"/>
      <c r="HG80" s="308"/>
      <c r="HH80" s="308"/>
      <c r="HI80" s="308"/>
      <c r="HJ80" s="308"/>
      <c r="HK80" s="308"/>
      <c r="HL80" s="308"/>
      <c r="HM80" s="308"/>
      <c r="HN80" s="308"/>
      <c r="HO80" s="308"/>
      <c r="HP80" s="308"/>
      <c r="HQ80" s="308"/>
      <c r="HR80" s="308"/>
      <c r="HS80" s="308"/>
      <c r="HT80" s="308"/>
      <c r="HU80" s="308"/>
      <c r="HV80" s="308"/>
      <c r="HW80" s="308"/>
      <c r="HX80" s="308"/>
      <c r="HY80" s="308"/>
      <c r="HZ80" s="308"/>
      <c r="IA80" s="308"/>
      <c r="IB80" s="308"/>
      <c r="IC80" s="308"/>
      <c r="ID80" s="308"/>
      <c r="IE80" s="308"/>
      <c r="IF80" s="308"/>
      <c r="IG80" s="308"/>
      <c r="IH80" s="308"/>
      <c r="II80" s="308"/>
      <c r="IJ80" s="308"/>
      <c r="IK80" s="308"/>
      <c r="IL80" s="308"/>
      <c r="IM80" s="308"/>
      <c r="IN80" s="308"/>
      <c r="IO80" s="308"/>
      <c r="IP80" s="308"/>
      <c r="IQ80" s="308"/>
      <c r="IR80" s="308"/>
      <c r="IS80" s="308"/>
      <c r="IT80" s="308"/>
      <c r="IU80" s="308"/>
      <c r="IV80" s="308"/>
      <c r="IW80" s="308"/>
    </row>
    <row r="81" spans="1:258" s="308" customFormat="1" ht="17.399999999999999" x14ac:dyDescent="0.3">
      <c r="A81" s="144"/>
      <c r="B81" s="84"/>
      <c r="C81" s="64"/>
      <c r="D81" s="83" t="s">
        <v>164</v>
      </c>
      <c r="E81" s="270">
        <f>IF(AND($F$2="No",$F$3="No"),SUM(J81:K81)*'Input data plant-based products'!O$123,IF(AND($F$2="Yes", $F$3="No"), (SUM(J81:K81)+Q81)*'Input data plant-based products'!O$123, IF(AND($F$2="No", $F$3="Yes"),(SUM(J81:K81)+P81)*'Input data plant-based products'!O$123, (SUM(J81:K81)+Q81+P81)*'Input data plant-based products'!O$123)))</f>
        <v>0.1710494830763917</v>
      </c>
      <c r="F81" s="90">
        <f>IF(AND($F$2="No",$F$3="No"),SUM(H81:O81)*'Input data plant-based products'!O$123,IF(AND($F$2="Yes", $F$3="No"), (SUM(H81:O81)+Q81)*'Input data plant-based products'!O$123, IF(AND($F$2="No", $F$3="Yes"),(SUM(H81:O81)+P81)*'Input data plant-based products'!O$123, (SUM(H81:O81)+Q81+P81)*'Input data plant-based products'!O$123)))</f>
        <v>0.52505011689654058</v>
      </c>
      <c r="G81" s="278">
        <f>SUM(S81:U81)/(1-'Common input data'!$B$124)</f>
        <v>1.3057444420410256</v>
      </c>
      <c r="H81" s="90">
        <f>('Input data plant-based products'!$F$19*('Common input data'!$B$76*'Common input data'!B69+'Common input data'!$B$77*'Common input data'!C69))/'Input data plant-based products'!$E$19</f>
        <v>0.13327732847862372</v>
      </c>
      <c r="I81" s="90">
        <f>'Common input data'!$B$81</f>
        <v>0.03</v>
      </c>
      <c r="J81" s="90">
        <v>0</v>
      </c>
      <c r="K81" s="90">
        <v>0</v>
      </c>
      <c r="L81" s="90">
        <f>('Input data plant-based products'!$I$19*'Common input data'!$C$59*'Common input data'!H49)/'Input data plant-based products'!$E$19</f>
        <v>8.9505684210526321E-2</v>
      </c>
      <c r="M81" s="90">
        <v>0</v>
      </c>
      <c r="N81" s="90">
        <f>'Input data plant-based products'!G$152</f>
        <v>0.02</v>
      </c>
      <c r="O81" s="90">
        <f>'Input data plant-based products'!$B$123*'Common input data'!$B$59*'Common input data'!B49+'Input data plant-based products'!C$123*'Common input data'!B63</f>
        <v>5.7876920000000012E-2</v>
      </c>
      <c r="P81" s="90">
        <f>'Common input data'!D$13</f>
        <v>0.159771495181245</v>
      </c>
      <c r="Q81" s="90">
        <v>0</v>
      </c>
      <c r="R81" s="90">
        <f>'Input data plant-based products'!G$123*3.6*'Common input data'!C49+'Input data plant-based products'!H$123*3.6*'Common input data'!G49</f>
        <v>1.3347719999999999E-2</v>
      </c>
      <c r="S81" s="90">
        <f>(F81+R81)*'Input data plant-based products'!B$130*'Common input data'!D$26</f>
        <v>0.88577212126218863</v>
      </c>
      <c r="T81" s="90">
        <f>'Common input data'!B$87</f>
        <v>0.3</v>
      </c>
      <c r="U81" s="90">
        <f>'Common input data'!C$98</f>
        <v>0.03</v>
      </c>
      <c r="V81" s="430"/>
      <c r="W81" s="243"/>
      <c r="Z81" s="64"/>
    </row>
    <row r="82" spans="1:258" s="308" customFormat="1" ht="17.399999999999999" x14ac:dyDescent="0.3">
      <c r="A82" s="107"/>
      <c r="B82" s="84"/>
      <c r="C82" s="142"/>
      <c r="D82" s="83" t="s">
        <v>165</v>
      </c>
      <c r="E82" s="270">
        <f>SUM(J82:K82)*'Input data plant-based products'!O$123</f>
        <v>0</v>
      </c>
      <c r="F82" s="90">
        <f>SUM(H82:O82)*'Input data plant-based products'!O$123</f>
        <v>6.5280784354395722E-5</v>
      </c>
      <c r="G82" s="278">
        <f>SUM(S82:U82)/(1-'Common input data'!$B$124)</f>
        <v>2.193978558018804E-4</v>
      </c>
      <c r="H82" s="90">
        <f>('Input data plant-based products'!$F$19*('Common input data'!$B$76*'Common input data'!B70+'Common input data'!$B$77*'Common input data'!C70))/'Input data plant-based products'!$E$19</f>
        <v>3.5681454545454548E-10</v>
      </c>
      <c r="I82" s="90">
        <v>0</v>
      </c>
      <c r="J82" s="90">
        <v>0</v>
      </c>
      <c r="K82" s="90">
        <v>0</v>
      </c>
      <c r="L82" s="90">
        <f>('Input data plant-based products'!$I$19*'Common input data'!$C$59*'Common input data'!H50)/'Input data plant-based products'!$E$19</f>
        <v>3.9648000000000004E-5</v>
      </c>
      <c r="M82" s="90">
        <v>0</v>
      </c>
      <c r="N82" s="90">
        <v>0</v>
      </c>
      <c r="O82" s="90">
        <f>'Input data plant-based products'!$B$123*'Common input data'!$B$59*'Common input data'!B50</f>
        <v>2.1328200000000007E-5</v>
      </c>
      <c r="P82" s="90">
        <v>0</v>
      </c>
      <c r="Q82" s="90">
        <v>0</v>
      </c>
      <c r="R82" s="90">
        <f>'Input data plant-based products'!G$123*3.6*'Common input data'!C50+'Input data plant-based products'!H$123*3.6*'Common input data'!G50</f>
        <v>5.8886639999999975E-5</v>
      </c>
      <c r="S82" s="90">
        <f>(F82+R82)*'Input data plant-based products'!B$130*'Common input data'!D$26</f>
        <v>2.0428024654785181E-4</v>
      </c>
      <c r="T82" s="90">
        <v>0</v>
      </c>
      <c r="U82" s="90">
        <v>0</v>
      </c>
      <c r="V82" s="430"/>
      <c r="W82" s="243"/>
      <c r="Z82" s="64"/>
    </row>
    <row r="83" spans="1:258" s="308" customFormat="1" ht="17.399999999999999" x14ac:dyDescent="0.3">
      <c r="A83" s="174"/>
      <c r="B83" s="206"/>
      <c r="C83" s="85"/>
      <c r="D83" s="84" t="s">
        <v>166</v>
      </c>
      <c r="E83" s="270">
        <f>SUM(J83:K83)*'Input data plant-based products'!O$123</f>
        <v>2.1247570442461919E-3</v>
      </c>
      <c r="F83" s="90">
        <f>SUM(H83:O83)*'Input data plant-based products'!O$123</f>
        <v>2.7090046931026617E-3</v>
      </c>
      <c r="G83" s="278">
        <f>SUM(S83:U83)/(1-'Common input data'!$B$124)</f>
        <v>4.7928294542435518E-3</v>
      </c>
      <c r="H83" s="90">
        <f>('Input data plant-based products'!$F$19*('Common input data'!$B$76*'Common input data'!B71+'Common input data'!$B$77*'Common input data'!C71))/'Input data plant-based products'!$E$19</f>
        <v>5.4133251102336517E-4</v>
      </c>
      <c r="I83" s="90">
        <v>0</v>
      </c>
      <c r="J83" s="90">
        <f>(SUM('Input data plant-based products'!F19:H19)*'Input data plant-based products'!$B$114*44/28)/'Input data plant-based products'!E19</f>
        <v>1.8042392483609024E-3</v>
      </c>
      <c r="K83" s="90">
        <f>J83*'Input data plant-based products'!$B$115</f>
        <v>1.8042392483609026E-4</v>
      </c>
      <c r="L83" s="90">
        <f>('Input data plant-based products'!$I$19*'Common input data'!$C$59*'Common input data'!H51)/'Input data plant-based products'!$E$19</f>
        <v>2.4050526315789473E-6</v>
      </c>
      <c r="M83" s="90">
        <v>0</v>
      </c>
      <c r="N83" s="90">
        <v>0</v>
      </c>
      <c r="O83" s="90">
        <f>'Input data plant-based products'!$B$123*'Common input data'!$B$59*'Common input data'!B51</f>
        <v>1.9882622000000002E-6</v>
      </c>
      <c r="P83" s="90">
        <v>0</v>
      </c>
      <c r="Q83" s="90">
        <v>0</v>
      </c>
      <c r="R83" s="90">
        <f>'Input data plant-based products'!G$123*3.6*'Common input data'!C51+'Input data plant-based products'!H$123*3.6*'Common input data'!G51</f>
        <v>3.4798319999999972E-6</v>
      </c>
      <c r="S83" s="90">
        <f>(F83+R83)*'Input data plant-based products'!B$130*'Common input data'!D$26</f>
        <v>4.4625795406988992E-3</v>
      </c>
      <c r="T83" s="90">
        <v>0</v>
      </c>
      <c r="U83" s="90">
        <v>0</v>
      </c>
      <c r="V83" s="430"/>
      <c r="W83" s="243"/>
      <c r="Z83" s="64"/>
    </row>
    <row r="84" spans="1:258" s="422" customFormat="1" ht="17.399999999999999" x14ac:dyDescent="0.3">
      <c r="A84" s="279" t="s">
        <v>254</v>
      </c>
      <c r="B84" s="260"/>
      <c r="C84" s="261"/>
      <c r="D84" s="359"/>
      <c r="E84" s="421"/>
      <c r="F84" s="262"/>
      <c r="G84" s="479"/>
      <c r="H84" s="261"/>
      <c r="I84" s="261"/>
      <c r="J84" s="261"/>
      <c r="K84" s="391"/>
      <c r="L84" s="391"/>
      <c r="M84" s="390"/>
      <c r="N84" s="391"/>
      <c r="O84" s="391"/>
      <c r="P84" s="391"/>
      <c r="Q84" s="391"/>
      <c r="R84" s="391"/>
      <c r="S84" s="391"/>
      <c r="T84" s="391"/>
      <c r="U84" s="391"/>
      <c r="V84" s="430"/>
      <c r="W84" s="243"/>
      <c r="X84" s="308"/>
      <c r="Y84" s="308"/>
      <c r="Z84" s="64"/>
      <c r="AA84" s="308"/>
      <c r="AB84" s="308"/>
      <c r="AC84" s="308"/>
      <c r="AD84" s="308"/>
      <c r="AE84" s="308"/>
      <c r="AF84" s="308"/>
      <c r="AG84" s="308"/>
      <c r="AH84" s="308"/>
      <c r="AI84" s="308"/>
      <c r="AJ84" s="308"/>
      <c r="AK84" s="308"/>
      <c r="AL84" s="308"/>
      <c r="AM84" s="308"/>
      <c r="AN84" s="308"/>
      <c r="AO84" s="308"/>
      <c r="AP84" s="308"/>
      <c r="AQ84" s="308"/>
      <c r="AR84" s="308"/>
      <c r="AS84" s="308"/>
      <c r="AT84" s="308"/>
      <c r="AU84" s="308"/>
      <c r="AV84" s="308"/>
      <c r="AW84" s="308"/>
      <c r="AX84" s="308"/>
      <c r="AY84" s="308"/>
      <c r="AZ84" s="308"/>
      <c r="BA84" s="308"/>
      <c r="BB84" s="308"/>
      <c r="BC84" s="308"/>
      <c r="BD84" s="308"/>
      <c r="BE84" s="308"/>
      <c r="BF84" s="308"/>
      <c r="BG84" s="308"/>
      <c r="BH84" s="308"/>
      <c r="BI84" s="308"/>
      <c r="BJ84" s="308"/>
      <c r="BK84" s="308"/>
      <c r="BL84" s="308"/>
      <c r="BM84" s="308"/>
      <c r="BN84" s="308"/>
      <c r="BO84" s="308"/>
      <c r="BP84" s="308"/>
      <c r="BQ84" s="308"/>
      <c r="BR84" s="308"/>
      <c r="BS84" s="308"/>
      <c r="BT84" s="308"/>
      <c r="BU84" s="308"/>
      <c r="BV84" s="308"/>
      <c r="BW84" s="308"/>
      <c r="BX84" s="308"/>
      <c r="BY84" s="308"/>
      <c r="BZ84" s="308"/>
      <c r="CA84" s="308"/>
      <c r="CB84" s="308"/>
      <c r="CC84" s="308"/>
      <c r="CD84" s="308"/>
      <c r="CE84" s="308"/>
      <c r="CF84" s="308"/>
      <c r="CG84" s="308"/>
      <c r="CH84" s="308"/>
      <c r="CI84" s="308"/>
      <c r="CJ84" s="308"/>
      <c r="CK84" s="308"/>
      <c r="CL84" s="308"/>
      <c r="CM84" s="308"/>
      <c r="CN84" s="308"/>
      <c r="CO84" s="308"/>
      <c r="CP84" s="308"/>
      <c r="CQ84" s="308"/>
      <c r="CR84" s="308"/>
      <c r="CS84" s="308"/>
      <c r="CT84" s="308"/>
      <c r="CU84" s="308"/>
      <c r="CV84" s="308"/>
      <c r="CW84" s="308"/>
      <c r="CX84" s="308"/>
      <c r="CY84" s="308"/>
      <c r="CZ84" s="308"/>
      <c r="DA84" s="308"/>
      <c r="DB84" s="308"/>
      <c r="DC84" s="308"/>
      <c r="DD84" s="308"/>
      <c r="DE84" s="308"/>
      <c r="DF84" s="308"/>
      <c r="DG84" s="308"/>
      <c r="DH84" s="308"/>
      <c r="DI84" s="308"/>
      <c r="DJ84" s="308"/>
      <c r="DK84" s="308"/>
      <c r="DL84" s="308"/>
      <c r="DM84" s="308"/>
      <c r="DN84" s="308"/>
      <c r="DO84" s="308"/>
      <c r="DP84" s="308"/>
      <c r="DQ84" s="308"/>
      <c r="DR84" s="308"/>
      <c r="DS84" s="308"/>
      <c r="DT84" s="308"/>
      <c r="DU84" s="308"/>
      <c r="DV84" s="308"/>
      <c r="DW84" s="308"/>
      <c r="DX84" s="308"/>
      <c r="DY84" s="308"/>
      <c r="DZ84" s="308"/>
      <c r="EA84" s="308"/>
      <c r="EB84" s="308"/>
      <c r="EC84" s="308"/>
      <c r="ED84" s="308"/>
      <c r="EE84" s="308"/>
      <c r="EF84" s="308"/>
      <c r="EG84" s="308"/>
      <c r="EH84" s="308"/>
      <c r="EI84" s="308"/>
      <c r="EJ84" s="308"/>
      <c r="EK84" s="308"/>
      <c r="EL84" s="308"/>
      <c r="EM84" s="308"/>
      <c r="EN84" s="308"/>
      <c r="EO84" s="308"/>
      <c r="EP84" s="308"/>
      <c r="EQ84" s="308"/>
      <c r="ER84" s="308"/>
      <c r="ES84" s="308"/>
      <c r="ET84" s="308"/>
      <c r="EU84" s="308"/>
      <c r="EV84" s="308"/>
      <c r="EW84" s="308"/>
      <c r="EX84" s="308"/>
      <c r="EY84" s="308"/>
      <c r="EZ84" s="308"/>
      <c r="FA84" s="308"/>
      <c r="FB84" s="308"/>
      <c r="FC84" s="308"/>
      <c r="FD84" s="308"/>
      <c r="FE84" s="308"/>
      <c r="FF84" s="308"/>
      <c r="FG84" s="308"/>
      <c r="FH84" s="308"/>
      <c r="FI84" s="308"/>
      <c r="FJ84" s="308"/>
      <c r="FK84" s="308"/>
      <c r="FL84" s="308"/>
      <c r="FM84" s="308"/>
      <c r="FN84" s="308"/>
      <c r="FO84" s="308"/>
      <c r="FP84" s="308"/>
      <c r="FQ84" s="308"/>
      <c r="FR84" s="308"/>
      <c r="FS84" s="308"/>
      <c r="FT84" s="308"/>
      <c r="FU84" s="308"/>
      <c r="FV84" s="308"/>
      <c r="FW84" s="308"/>
      <c r="FX84" s="308"/>
      <c r="FY84" s="308"/>
      <c r="FZ84" s="308"/>
      <c r="GA84" s="308"/>
      <c r="GB84" s="308"/>
      <c r="GC84" s="308"/>
      <c r="GD84" s="308"/>
      <c r="GE84" s="308"/>
      <c r="GF84" s="308"/>
      <c r="GG84" s="308"/>
      <c r="GH84" s="308"/>
      <c r="GI84" s="308"/>
      <c r="GJ84" s="308"/>
      <c r="GK84" s="308"/>
      <c r="GL84" s="308"/>
      <c r="GM84" s="308"/>
      <c r="GN84" s="308"/>
      <c r="GO84" s="308"/>
      <c r="GP84" s="308"/>
      <c r="GQ84" s="308"/>
      <c r="GR84" s="308"/>
      <c r="GS84" s="308"/>
      <c r="GT84" s="308"/>
      <c r="GU84" s="308"/>
      <c r="GV84" s="308"/>
      <c r="GW84" s="308"/>
      <c r="GX84" s="308"/>
      <c r="GY84" s="308"/>
      <c r="GZ84" s="308"/>
      <c r="HA84" s="308"/>
      <c r="HB84" s="308"/>
      <c r="HC84" s="308"/>
      <c r="HD84" s="308"/>
      <c r="HE84" s="308"/>
      <c r="HF84" s="308"/>
      <c r="HG84" s="308"/>
      <c r="HH84" s="308"/>
      <c r="HI84" s="308"/>
      <c r="HJ84" s="308"/>
      <c r="HK84" s="308"/>
      <c r="HL84" s="308"/>
      <c r="HM84" s="308"/>
      <c r="HN84" s="308"/>
      <c r="HO84" s="308"/>
      <c r="HP84" s="308"/>
      <c r="HQ84" s="308"/>
      <c r="HR84" s="308"/>
      <c r="HS84" s="308"/>
      <c r="HT84" s="308"/>
      <c r="HU84" s="308"/>
      <c r="HV84" s="308"/>
      <c r="HW84" s="308"/>
      <c r="HX84" s="308"/>
      <c r="HY84" s="308"/>
      <c r="HZ84" s="308"/>
      <c r="IA84" s="308"/>
      <c r="IB84" s="308"/>
      <c r="IC84" s="308"/>
      <c r="ID84" s="308"/>
      <c r="IE84" s="308"/>
      <c r="IF84" s="308"/>
      <c r="IG84" s="308"/>
      <c r="IH84" s="308"/>
      <c r="II84" s="308"/>
      <c r="IJ84" s="308"/>
      <c r="IK84" s="308"/>
      <c r="IL84" s="308"/>
      <c r="IM84" s="308"/>
      <c r="IN84" s="308"/>
      <c r="IO84" s="308"/>
      <c r="IP84" s="308"/>
      <c r="IQ84" s="308"/>
      <c r="IR84" s="308"/>
      <c r="IS84" s="308"/>
      <c r="IT84" s="308"/>
      <c r="IU84" s="308"/>
      <c r="IV84" s="308"/>
      <c r="IW84" s="308"/>
      <c r="IX84" s="308"/>
    </row>
    <row r="85" spans="1:258" s="420" customFormat="1" ht="17.399999999999999" x14ac:dyDescent="0.3">
      <c r="A85" s="122" t="s">
        <v>70</v>
      </c>
      <c r="B85" s="150" t="s">
        <v>225</v>
      </c>
      <c r="C85" s="104">
        <f>'Input data plant-based products'!D20</f>
        <v>2.9467539228622663E-2</v>
      </c>
      <c r="D85" s="269" t="s">
        <v>473</v>
      </c>
      <c r="E85" s="320">
        <f>IF($F$1="GWP100 without fb",E86+E87*'Common input data'!$C$5+E88*'Common input data'!$D$5,IF($F$1="GWP100 with fb",E86+E87*'Common input data'!$C$6+E88*'Common input data'!$D$6,IF($F$1="GTP100 without fb",E86+E87*'Common input data'!$C$7+E88*'Common input data'!$D$7,IF($F$1="GTP100 with fb",E86+E87*'Common input data'!$C$8+E88*'Common input data'!$D$8,E86+E87*'Common input data'!$C$9+E88*'Common input data'!$D$9))))</f>
        <v>0.48887828523158727</v>
      </c>
      <c r="F85" s="302">
        <f>IF($F$1="GWP100 without fb",F86+F87*'Common input data'!$C$5+F88*'Common input data'!$D$5,IF($F$1="GWP100 with fb",F86+F87*'Common input data'!$C$6+F88*'Common input data'!$D$6,IF($F$1="GTP100 without fb",F86+F87*'Common input data'!$C$7+F88*'Common input data'!$D$7,IF($F$1="GTP100 with fb",F86+F87*'Common input data'!$C$8+F88*'Common input data'!$D$8,F86+F87*'Common input data'!$C$9+F88*'Common input data'!$D$9))))</f>
        <v>1.0383214737873634</v>
      </c>
      <c r="G85" s="321">
        <f>IF($F$1="GWP100 without fb",G86+G87*'Common input data'!$C$5+G88*'Common input data'!$D$5,IF($F$1="GWP100 with fb",G86+G87*'Common input data'!$C$6+G88*'Common input data'!$D$6,IF($F$1="GTP100 without fb",G86+G87*'Common input data'!$C$7+G88*'Common input data'!$D$7,IF($F$1="GTP100 with fb",G86+G87*'Common input data'!$C$8+G88*'Common input data'!$D$8,G86+G87*'Common input data'!$C$9+G88*'Common input data'!$D$9))))</f>
        <v>2.432841056676311</v>
      </c>
      <c r="H85" s="102"/>
      <c r="I85" s="102"/>
      <c r="J85" s="102"/>
      <c r="K85" s="102"/>
      <c r="L85" s="102"/>
      <c r="M85" s="102"/>
      <c r="N85" s="102"/>
      <c r="O85" s="102"/>
      <c r="P85" s="102"/>
      <c r="Q85" s="102"/>
      <c r="R85" s="102"/>
      <c r="S85" s="102"/>
      <c r="T85" s="102"/>
      <c r="U85" s="102"/>
      <c r="V85" s="430"/>
      <c r="W85" s="243"/>
      <c r="X85" s="308"/>
      <c r="Y85" s="308"/>
      <c r="Z85" s="64"/>
      <c r="AA85" s="308"/>
      <c r="AB85" s="308"/>
      <c r="AC85" s="308"/>
      <c r="AD85" s="308"/>
      <c r="AE85" s="308"/>
      <c r="AF85" s="308"/>
      <c r="AG85" s="308"/>
      <c r="AH85" s="308"/>
      <c r="AI85" s="308"/>
      <c r="AJ85" s="308"/>
      <c r="AK85" s="308"/>
      <c r="AL85" s="308"/>
      <c r="AM85" s="308"/>
      <c r="AN85" s="308"/>
      <c r="AO85" s="308"/>
      <c r="AP85" s="308"/>
      <c r="AQ85" s="308"/>
      <c r="AR85" s="308"/>
      <c r="AS85" s="308"/>
      <c r="AT85" s="308"/>
      <c r="AU85" s="308"/>
      <c r="AV85" s="308"/>
      <c r="AW85" s="308"/>
      <c r="AX85" s="308"/>
      <c r="AY85" s="308"/>
      <c r="AZ85" s="308"/>
      <c r="BA85" s="308"/>
      <c r="BB85" s="308"/>
      <c r="BC85" s="308"/>
      <c r="BD85" s="308"/>
      <c r="BE85" s="308"/>
      <c r="BF85" s="308"/>
      <c r="BG85" s="308"/>
      <c r="BH85" s="308"/>
      <c r="BI85" s="308"/>
      <c r="BJ85" s="308"/>
      <c r="BK85" s="308"/>
      <c r="BL85" s="308"/>
      <c r="BM85" s="308"/>
      <c r="BN85" s="308"/>
      <c r="BO85" s="308"/>
      <c r="BP85" s="308"/>
      <c r="BQ85" s="308"/>
      <c r="BR85" s="308"/>
      <c r="BS85" s="308"/>
      <c r="BT85" s="308"/>
      <c r="BU85" s="308"/>
      <c r="BV85" s="308"/>
      <c r="BW85" s="308"/>
      <c r="BX85" s="308"/>
      <c r="BY85" s="308"/>
      <c r="BZ85" s="308"/>
      <c r="CA85" s="308"/>
      <c r="CB85" s="308"/>
      <c r="CC85" s="308"/>
      <c r="CD85" s="308"/>
      <c r="CE85" s="308"/>
      <c r="CF85" s="308"/>
      <c r="CG85" s="308"/>
      <c r="CH85" s="308"/>
      <c r="CI85" s="308"/>
      <c r="CJ85" s="308"/>
      <c r="CK85" s="308"/>
      <c r="CL85" s="308"/>
      <c r="CM85" s="308"/>
      <c r="CN85" s="308"/>
      <c r="CO85" s="308"/>
      <c r="CP85" s="308"/>
      <c r="CQ85" s="308"/>
      <c r="CR85" s="308"/>
      <c r="CS85" s="308"/>
      <c r="CT85" s="308"/>
      <c r="CU85" s="308"/>
      <c r="CV85" s="308"/>
      <c r="CW85" s="308"/>
      <c r="CX85" s="308"/>
      <c r="CY85" s="308"/>
      <c r="CZ85" s="308"/>
      <c r="DA85" s="308"/>
      <c r="DB85" s="308"/>
      <c r="DC85" s="308"/>
      <c r="DD85" s="308"/>
      <c r="DE85" s="308"/>
      <c r="DF85" s="308"/>
      <c r="DG85" s="308"/>
      <c r="DH85" s="308"/>
      <c r="DI85" s="308"/>
      <c r="DJ85" s="308"/>
      <c r="DK85" s="308"/>
      <c r="DL85" s="308"/>
      <c r="DM85" s="308"/>
      <c r="DN85" s="308"/>
      <c r="DO85" s="308"/>
      <c r="DP85" s="308"/>
      <c r="DQ85" s="308"/>
      <c r="DR85" s="308"/>
      <c r="DS85" s="308"/>
      <c r="DT85" s="308"/>
      <c r="DU85" s="308"/>
      <c r="DV85" s="308"/>
      <c r="DW85" s="308"/>
      <c r="DX85" s="308"/>
      <c r="DY85" s="308"/>
      <c r="DZ85" s="308"/>
      <c r="EA85" s="308"/>
      <c r="EB85" s="308"/>
      <c r="EC85" s="308"/>
      <c r="ED85" s="308"/>
      <c r="EE85" s="308"/>
      <c r="EF85" s="308"/>
      <c r="EG85" s="308"/>
      <c r="EH85" s="308"/>
      <c r="EI85" s="308"/>
      <c r="EJ85" s="308"/>
      <c r="EK85" s="308"/>
      <c r="EL85" s="308"/>
      <c r="EM85" s="308"/>
      <c r="EN85" s="308"/>
      <c r="EO85" s="308"/>
      <c r="EP85" s="308"/>
      <c r="EQ85" s="308"/>
      <c r="ER85" s="308"/>
      <c r="ES85" s="308"/>
      <c r="ET85" s="308"/>
      <c r="EU85" s="308"/>
      <c r="EV85" s="308"/>
      <c r="EW85" s="308"/>
      <c r="EX85" s="308"/>
      <c r="EY85" s="308"/>
      <c r="EZ85" s="308"/>
      <c r="FA85" s="308"/>
      <c r="FB85" s="308"/>
      <c r="FC85" s="308"/>
      <c r="FD85" s="308"/>
      <c r="FE85" s="308"/>
      <c r="FF85" s="308"/>
      <c r="FG85" s="308"/>
      <c r="FH85" s="308"/>
      <c r="FI85" s="308"/>
      <c r="FJ85" s="308"/>
      <c r="FK85" s="308"/>
      <c r="FL85" s="308"/>
      <c r="FM85" s="308"/>
      <c r="FN85" s="308"/>
      <c r="FO85" s="308"/>
      <c r="FP85" s="308"/>
      <c r="FQ85" s="308"/>
      <c r="FR85" s="308"/>
      <c r="FS85" s="308"/>
      <c r="FT85" s="308"/>
      <c r="FU85" s="308"/>
      <c r="FV85" s="308"/>
      <c r="FW85" s="308"/>
      <c r="FX85" s="308"/>
      <c r="FY85" s="308"/>
      <c r="FZ85" s="308"/>
      <c r="GA85" s="308"/>
      <c r="GB85" s="308"/>
      <c r="GC85" s="308"/>
      <c r="GD85" s="308"/>
      <c r="GE85" s="308"/>
      <c r="GF85" s="308"/>
      <c r="GG85" s="308"/>
      <c r="GH85" s="308"/>
      <c r="GI85" s="308"/>
      <c r="GJ85" s="308"/>
      <c r="GK85" s="308"/>
      <c r="GL85" s="308"/>
      <c r="GM85" s="308"/>
      <c r="GN85" s="308"/>
      <c r="GO85" s="308"/>
      <c r="GP85" s="308"/>
      <c r="GQ85" s="308"/>
      <c r="GR85" s="308"/>
      <c r="GS85" s="308"/>
      <c r="GT85" s="308"/>
      <c r="GU85" s="308"/>
      <c r="GV85" s="308"/>
      <c r="GW85" s="308"/>
      <c r="GX85" s="308"/>
      <c r="GY85" s="308"/>
      <c r="GZ85" s="308"/>
      <c r="HA85" s="308"/>
      <c r="HB85" s="308"/>
      <c r="HC85" s="308"/>
      <c r="HD85" s="308"/>
      <c r="HE85" s="308"/>
      <c r="HF85" s="308"/>
      <c r="HG85" s="308"/>
      <c r="HH85" s="308"/>
      <c r="HI85" s="308"/>
      <c r="HJ85" s="308"/>
      <c r="HK85" s="308"/>
      <c r="HL85" s="308"/>
      <c r="HM85" s="308"/>
      <c r="HN85" s="308"/>
      <c r="HO85" s="308"/>
      <c r="HP85" s="308"/>
      <c r="HQ85" s="308"/>
      <c r="HR85" s="308"/>
      <c r="HS85" s="308"/>
      <c r="HT85" s="308"/>
      <c r="HU85" s="308"/>
      <c r="HV85" s="308"/>
      <c r="HW85" s="308"/>
      <c r="HX85" s="308"/>
      <c r="HY85" s="308"/>
      <c r="HZ85" s="308"/>
      <c r="IA85" s="308"/>
      <c r="IB85" s="308"/>
      <c r="IC85" s="308"/>
      <c r="ID85" s="308"/>
      <c r="IE85" s="308"/>
      <c r="IF85" s="308"/>
      <c r="IG85" s="308"/>
      <c r="IH85" s="308"/>
      <c r="II85" s="308"/>
      <c r="IJ85" s="308"/>
      <c r="IK85" s="308"/>
      <c r="IL85" s="308"/>
      <c r="IM85" s="308"/>
      <c r="IN85" s="308"/>
      <c r="IO85" s="308"/>
      <c r="IP85" s="308"/>
      <c r="IQ85" s="308"/>
      <c r="IR85" s="308"/>
      <c r="IS85" s="308"/>
      <c r="IT85" s="308"/>
      <c r="IU85" s="308"/>
      <c r="IV85" s="308"/>
      <c r="IW85" s="308"/>
    </row>
    <row r="86" spans="1:258" s="308" customFormat="1" ht="17.399999999999999" x14ac:dyDescent="0.3">
      <c r="A86" s="144"/>
      <c r="B86" s="84"/>
      <c r="C86" s="64"/>
      <c r="D86" s="83" t="s">
        <v>164</v>
      </c>
      <c r="E86" s="270">
        <f>IF(AND($F$2="No",$F$3="No"),SUM(J86:K86)*'Input data plant-based products'!O$123,IF(AND($F$2="Yes", $F$3="No"), (SUM(J86:K86)+Q86)*'Input data plant-based products'!O$123, IF(AND($F$2="No", $F$3="Yes"),(SUM(J86:K86)+P86)*'Input data plant-based products'!O$123, (SUM(J86:K86)+Q86+P86)*'Input data plant-based products'!O$123)))</f>
        <v>0.1710494830763917</v>
      </c>
      <c r="F86" s="90">
        <f>IF(AND($F$2="No",$F$3="No"),SUM(H86:O86)*'Input data plant-based products'!O$123,IF(AND($F$2="Yes", $F$3="No"), (SUM(H86:O86)+Q86)*'Input data plant-based products'!O$123, IF(AND($F$2="No", $F$3="Yes"),(SUM(H86:O86)+P86)*'Input data plant-based products'!O$123, (SUM(H86:O86)+Q86+P86)*'Input data plant-based products'!O$123)))</f>
        <v>0.49675148273168618</v>
      </c>
      <c r="G86" s="278">
        <f>SUM(S86:U86)/(1-'Common input data'!$B$124)</f>
        <v>1.4705429718064971</v>
      </c>
      <c r="H86" s="85">
        <f>('Input data plant-based products'!$F$20*('Common input data'!$C$76*'Common input data'!B69+'Common input data'!$C$77*'Common input data'!C69))/'Input data plant-based products'!$E$20</f>
        <v>0.12664400435334702</v>
      </c>
      <c r="I86" s="90">
        <f>'Common input data'!$B$81</f>
        <v>0.03</v>
      </c>
      <c r="J86" s="85">
        <v>0</v>
      </c>
      <c r="K86" s="90">
        <v>0</v>
      </c>
      <c r="L86" s="85">
        <f>('Input data plant-based products'!$I$20*'Common input data'!$C$59*'Common input data'!H49)/'Input data plant-based products'!$E$20</f>
        <v>6.6181818181818175E-2</v>
      </c>
      <c r="M86" s="90">
        <v>0</v>
      </c>
      <c r="N86" s="90">
        <f>'Input data plant-based products'!G$152</f>
        <v>0.02</v>
      </c>
      <c r="O86" s="90">
        <f>'Input data plant-based products'!$B$123*'Common input data'!$B$59*'Common input data'!B49+'Input data plant-based products'!C$123*'Common input data'!C63</f>
        <v>6.1401320000000009E-2</v>
      </c>
      <c r="P86" s="90">
        <f>'Common input data'!D$13</f>
        <v>0.159771495181245</v>
      </c>
      <c r="Q86" s="90">
        <v>0</v>
      </c>
      <c r="R86" s="90">
        <f>'Input data plant-based products'!G$123*3.6*'Common input data'!C49+'Input data plant-based products'!H$123*3.6*'Common input data'!G49</f>
        <v>1.3347719999999999E-2</v>
      </c>
      <c r="S86" s="90">
        <f>(F86+R86)*'Input data plant-based products'!B$130*'Common input data'!D$26</f>
        <v>0.83921520833417018</v>
      </c>
      <c r="T86" s="90">
        <f>'Common input data'!B$87</f>
        <v>0.3</v>
      </c>
      <c r="U86" s="90">
        <f>'Common input data'!B102+'Common input data'!C102</f>
        <v>0.23000000000000004</v>
      </c>
      <c r="V86" s="430"/>
      <c r="W86" s="243"/>
      <c r="Z86" s="64"/>
    </row>
    <row r="87" spans="1:258" s="308" customFormat="1" ht="17.399999999999999" x14ac:dyDescent="0.3">
      <c r="A87" s="107"/>
      <c r="B87" s="84"/>
      <c r="C87" s="142"/>
      <c r="D87" s="83" t="s">
        <v>165</v>
      </c>
      <c r="E87" s="270">
        <f>SUM(J87:K87)*'Input data plant-based products'!O$123</f>
        <v>0</v>
      </c>
      <c r="F87" s="90">
        <f>SUM(H87:O87)*'Input data plant-based products'!O$123</f>
        <v>5.4220018489099411E-5</v>
      </c>
      <c r="G87" s="278">
        <f>SUM(S87:U87)/(1-'Common input data'!$B$124)</f>
        <v>1.9985401548313153E-4</v>
      </c>
      <c r="H87" s="85">
        <f>('Input data plant-based products'!$F$20*('Common input data'!$C$76*'Common input data'!B70+'Common input data'!$C$77*'Common input data'!C70))/'Input data plant-based products'!$E$20</f>
        <v>5.5839192971681563E-10</v>
      </c>
      <c r="I87" s="90">
        <v>0</v>
      </c>
      <c r="J87" s="85">
        <v>0</v>
      </c>
      <c r="K87" s="90">
        <v>0</v>
      </c>
      <c r="L87" s="85">
        <f>('Input data plant-based products'!$I$20*'Common input data'!$C$59*'Common input data'!H50)/'Input data plant-based products'!$E$20</f>
        <v>2.9316313823163137E-5</v>
      </c>
      <c r="M87" s="90">
        <v>0</v>
      </c>
      <c r="N87" s="90">
        <v>0</v>
      </c>
      <c r="O87" s="90">
        <f>'Input data plant-based products'!$B$123*'Common input data'!$B$59*'Common input data'!B50</f>
        <v>2.1328200000000007E-5</v>
      </c>
      <c r="P87" s="90">
        <v>0</v>
      </c>
      <c r="Q87" s="90">
        <v>0</v>
      </c>
      <c r="R87" s="90">
        <f>'Input data plant-based products'!G$123*3.6*'Common input data'!C50+'Input data plant-based products'!H$123*3.6*'Common input data'!G50</f>
        <v>5.8886639999999975E-5</v>
      </c>
      <c r="S87" s="90">
        <f>(F87+R87)*'Input data plant-based products'!B$130*'Common input data'!D$26</f>
        <v>1.8608307454626632E-4</v>
      </c>
      <c r="T87" s="90">
        <v>0</v>
      </c>
      <c r="U87" s="90">
        <v>0</v>
      </c>
      <c r="V87" s="430"/>
      <c r="W87" s="243"/>
      <c r="Z87" s="64"/>
    </row>
    <row r="88" spans="1:258" s="308" customFormat="1" ht="17.399999999999999" x14ac:dyDescent="0.3">
      <c r="A88" s="174"/>
      <c r="B88" s="206"/>
      <c r="C88" s="85"/>
      <c r="D88" s="84" t="s">
        <v>166</v>
      </c>
      <c r="E88" s="780">
        <f>SUM(J88:K88)*'Input data plant-based products'!O$123</f>
        <v>1.0665396045476362E-3</v>
      </c>
      <c r="F88" s="108">
        <f>SUM(H88:O88)*'Input data plant-based products'!O$123</f>
        <v>1.8111627866679459E-3</v>
      </c>
      <c r="G88" s="521">
        <f>SUM(S88:U88)/(1-'Common input data'!$B$124)</f>
        <v>3.2063860682664011E-3</v>
      </c>
      <c r="H88" s="85">
        <f>('Input data plant-based products'!$F$20*('Common input data'!$C$76*'Common input data'!B71+'Common input data'!$C$77*'Common input data'!C71))/'Input data plant-based products'!$E$20</f>
        <v>6.9176055467657174E-4</v>
      </c>
      <c r="I88" s="85">
        <v>0</v>
      </c>
      <c r="J88" s="85">
        <f>(SUM('Input data plant-based products'!F20:H20)*'Input data plant-based products'!$B$114*44/28)/'Input data plant-based products'!E20</f>
        <v>9.0565301085463617E-4</v>
      </c>
      <c r="K88" s="90">
        <f>J88*'Input data plant-based products'!$B$115</f>
        <v>9.056530108546362E-5</v>
      </c>
      <c r="L88" s="85">
        <f>('Input data plant-based products'!$I$20*'Common input data'!$C$59*'Common input data'!H51)/'Input data plant-based products'!$E$20</f>
        <v>1.7783312577833123E-6</v>
      </c>
      <c r="M88" s="90">
        <v>0</v>
      </c>
      <c r="N88" s="90">
        <v>0</v>
      </c>
      <c r="O88" s="90">
        <f>'Input data plant-based products'!$B$123*'Common input data'!$B$59*'Common input data'!B51</f>
        <v>1.9882622000000002E-6</v>
      </c>
      <c r="P88" s="90">
        <v>0</v>
      </c>
      <c r="Q88" s="90">
        <v>0</v>
      </c>
      <c r="R88" s="90">
        <f>'Input data plant-based products'!G$123*3.6*'Common input data'!C51+'Input data plant-based products'!H$123*3.6*'Common input data'!G51</f>
        <v>3.4798319999999972E-6</v>
      </c>
      <c r="S88" s="90">
        <f>(F88+R88)*'Input data plant-based products'!B$130*'Common input data'!D$26</f>
        <v>2.9854500362325046E-3</v>
      </c>
      <c r="T88" s="90">
        <v>0</v>
      </c>
      <c r="U88" s="90">
        <v>0</v>
      </c>
      <c r="V88" s="430"/>
      <c r="W88" s="243"/>
      <c r="Z88" s="64"/>
    </row>
    <row r="89" spans="1:258" s="427" customFormat="1" ht="17.399999999999999" x14ac:dyDescent="0.3">
      <c r="A89" s="426" t="s">
        <v>635</v>
      </c>
      <c r="B89" s="412"/>
      <c r="C89" s="413"/>
      <c r="D89" s="414"/>
      <c r="E89" s="767" t="s">
        <v>807</v>
      </c>
      <c r="F89" s="768" t="s">
        <v>807</v>
      </c>
      <c r="G89" s="590" t="s">
        <v>808</v>
      </c>
      <c r="H89" s="413"/>
      <c r="I89" s="413"/>
      <c r="J89" s="413"/>
      <c r="K89" s="416"/>
      <c r="L89" s="416"/>
      <c r="M89" s="417"/>
      <c r="N89" s="416"/>
      <c r="O89" s="416"/>
      <c r="P89" s="416"/>
      <c r="Q89" s="416"/>
      <c r="R89" s="416"/>
      <c r="S89" s="416"/>
      <c r="T89" s="416"/>
      <c r="U89" s="416"/>
      <c r="V89" s="430"/>
      <c r="W89" s="243"/>
      <c r="X89" s="308"/>
      <c r="Y89" s="308"/>
      <c r="Z89" s="64"/>
      <c r="AA89" s="308"/>
      <c r="AB89" s="308"/>
      <c r="AC89" s="308"/>
      <c r="AD89" s="308"/>
      <c r="AE89" s="308"/>
      <c r="AF89" s="308"/>
      <c r="AG89" s="308"/>
      <c r="AH89" s="308"/>
      <c r="AI89" s="308"/>
      <c r="AJ89" s="308"/>
      <c r="AK89" s="308"/>
      <c r="AL89" s="308"/>
      <c r="AM89" s="308"/>
      <c r="AN89" s="308"/>
      <c r="AO89" s="308"/>
      <c r="AP89" s="308"/>
      <c r="AQ89" s="308"/>
      <c r="AR89" s="308"/>
      <c r="AS89" s="308"/>
      <c r="AT89" s="308"/>
      <c r="AU89" s="308"/>
      <c r="AV89" s="308"/>
      <c r="AW89" s="308"/>
      <c r="AX89" s="308"/>
      <c r="AY89" s="308"/>
      <c r="AZ89" s="308"/>
      <c r="BA89" s="308"/>
      <c r="BB89" s="308"/>
      <c r="BC89" s="308"/>
      <c r="BD89" s="308"/>
      <c r="BE89" s="308"/>
      <c r="BF89" s="308"/>
      <c r="BG89" s="308"/>
      <c r="BH89" s="308"/>
      <c r="BI89" s="308"/>
      <c r="BJ89" s="308"/>
      <c r="BK89" s="308"/>
      <c r="BL89" s="308"/>
      <c r="BM89" s="308"/>
      <c r="BN89" s="308"/>
      <c r="BO89" s="308"/>
      <c r="BP89" s="308"/>
      <c r="BQ89" s="308"/>
      <c r="BR89" s="308"/>
      <c r="BS89" s="308"/>
      <c r="BT89" s="308"/>
      <c r="BU89" s="308"/>
      <c r="BV89" s="308"/>
      <c r="BW89" s="308"/>
      <c r="BX89" s="308"/>
      <c r="BY89" s="308"/>
      <c r="BZ89" s="308"/>
      <c r="CA89" s="308"/>
      <c r="CB89" s="308"/>
      <c r="CC89" s="308"/>
      <c r="CD89" s="308"/>
      <c r="CE89" s="308"/>
      <c r="CF89" s="308"/>
      <c r="CG89" s="308"/>
      <c r="CH89" s="308"/>
      <c r="CI89" s="308"/>
      <c r="CJ89" s="308"/>
      <c r="CK89" s="308"/>
      <c r="CL89" s="308"/>
      <c r="CM89" s="308"/>
      <c r="CN89" s="308"/>
      <c r="CO89" s="308"/>
      <c r="CP89" s="308"/>
      <c r="CQ89" s="308"/>
      <c r="CR89" s="308"/>
      <c r="CS89" s="308"/>
      <c r="CT89" s="308"/>
      <c r="CU89" s="308"/>
      <c r="CV89" s="308"/>
      <c r="CW89" s="308"/>
      <c r="CX89" s="308"/>
      <c r="CY89" s="308"/>
      <c r="CZ89" s="308"/>
      <c r="DA89" s="308"/>
      <c r="DB89" s="308"/>
      <c r="DC89" s="308"/>
      <c r="DD89" s="308"/>
      <c r="DE89" s="308"/>
      <c r="DF89" s="308"/>
      <c r="DG89" s="308"/>
      <c r="DH89" s="308"/>
      <c r="DI89" s="308"/>
      <c r="DJ89" s="308"/>
      <c r="DK89" s="308"/>
      <c r="DL89" s="308"/>
      <c r="DM89" s="308"/>
      <c r="DN89" s="308"/>
      <c r="DO89" s="308"/>
      <c r="DP89" s="308"/>
      <c r="DQ89" s="308"/>
      <c r="DR89" s="308"/>
      <c r="DS89" s="308"/>
      <c r="DT89" s="308"/>
      <c r="DU89" s="308"/>
      <c r="DV89" s="308"/>
      <c r="DW89" s="308"/>
      <c r="DX89" s="308"/>
      <c r="DY89" s="308"/>
      <c r="DZ89" s="308"/>
      <c r="EA89" s="308"/>
      <c r="EB89" s="308"/>
      <c r="EC89" s="308"/>
      <c r="ED89" s="308"/>
      <c r="EE89" s="308"/>
      <c r="EF89" s="308"/>
      <c r="EG89" s="308"/>
      <c r="EH89" s="308"/>
      <c r="EI89" s="308"/>
      <c r="EJ89" s="308"/>
      <c r="EK89" s="308"/>
      <c r="EL89" s="308"/>
      <c r="EM89" s="308"/>
      <c r="EN89" s="308"/>
      <c r="EO89" s="308"/>
      <c r="EP89" s="308"/>
      <c r="EQ89" s="308"/>
      <c r="ER89" s="308"/>
      <c r="ES89" s="308"/>
      <c r="ET89" s="308"/>
      <c r="EU89" s="308"/>
      <c r="EV89" s="308"/>
      <c r="EW89" s="308"/>
      <c r="EX89" s="308"/>
      <c r="EY89" s="308"/>
      <c r="EZ89" s="308"/>
      <c r="FA89" s="308"/>
      <c r="FB89" s="308"/>
      <c r="FC89" s="308"/>
      <c r="FD89" s="308"/>
      <c r="FE89" s="308"/>
      <c r="FF89" s="308"/>
      <c r="FG89" s="308"/>
      <c r="FH89" s="308"/>
      <c r="FI89" s="308"/>
      <c r="FJ89" s="308"/>
      <c r="FK89" s="308"/>
      <c r="FL89" s="308"/>
      <c r="FM89" s="308"/>
      <c r="FN89" s="308"/>
      <c r="FO89" s="308"/>
      <c r="FP89" s="308"/>
      <c r="FQ89" s="308"/>
      <c r="FR89" s="308"/>
      <c r="FS89" s="308"/>
      <c r="FT89" s="308"/>
      <c r="FU89" s="308"/>
      <c r="FV89" s="308"/>
      <c r="FW89" s="308"/>
      <c r="FX89" s="308"/>
      <c r="FY89" s="308"/>
      <c r="FZ89" s="308"/>
      <c r="GA89" s="308"/>
      <c r="GB89" s="308"/>
      <c r="GC89" s="308"/>
      <c r="GD89" s="308"/>
      <c r="GE89" s="308"/>
      <c r="GF89" s="308"/>
      <c r="GG89" s="308"/>
      <c r="GH89" s="308"/>
      <c r="GI89" s="308"/>
      <c r="GJ89" s="308"/>
      <c r="GK89" s="308"/>
      <c r="GL89" s="308"/>
      <c r="GM89" s="308"/>
      <c r="GN89" s="308"/>
      <c r="GO89" s="308"/>
      <c r="GP89" s="308"/>
      <c r="GQ89" s="308"/>
      <c r="GR89" s="308"/>
      <c r="GS89" s="308"/>
      <c r="GT89" s="308"/>
      <c r="GU89" s="308"/>
      <c r="GV89" s="308"/>
      <c r="GW89" s="308"/>
      <c r="GX89" s="308"/>
      <c r="GY89" s="308"/>
      <c r="GZ89" s="308"/>
      <c r="HA89" s="308"/>
      <c r="HB89" s="308"/>
      <c r="HC89" s="308"/>
      <c r="HD89" s="308"/>
      <c r="HE89" s="308"/>
      <c r="HF89" s="308"/>
      <c r="HG89" s="308"/>
      <c r="HH89" s="308"/>
      <c r="HI89" s="308"/>
      <c r="HJ89" s="308"/>
      <c r="HK89" s="308"/>
      <c r="HL89" s="308"/>
      <c r="HM89" s="308"/>
      <c r="HN89" s="308"/>
      <c r="HO89" s="308"/>
      <c r="HP89" s="308"/>
      <c r="HQ89" s="308"/>
      <c r="HR89" s="308"/>
      <c r="HS89" s="308"/>
      <c r="HT89" s="308"/>
      <c r="HU89" s="308"/>
      <c r="HV89" s="308"/>
      <c r="HW89" s="308"/>
      <c r="HX89" s="308"/>
      <c r="HY89" s="308"/>
      <c r="HZ89" s="308"/>
      <c r="IA89" s="308"/>
      <c r="IB89" s="308"/>
      <c r="IC89" s="308"/>
      <c r="ID89" s="308"/>
      <c r="IE89" s="308"/>
      <c r="IF89" s="308"/>
      <c r="IG89" s="308"/>
      <c r="IH89" s="308"/>
      <c r="II89" s="308"/>
      <c r="IJ89" s="308"/>
      <c r="IK89" s="308"/>
      <c r="IL89" s="308"/>
      <c r="IM89" s="308"/>
      <c r="IN89" s="308"/>
      <c r="IO89" s="308"/>
      <c r="IP89" s="308"/>
      <c r="IQ89" s="308"/>
      <c r="IR89" s="308"/>
      <c r="IS89" s="308"/>
      <c r="IT89" s="308"/>
      <c r="IU89" s="308"/>
      <c r="IV89" s="308"/>
      <c r="IW89" s="308"/>
      <c r="IX89" s="308"/>
    </row>
    <row r="90" spans="1:258" s="420" customFormat="1" ht="17.399999999999999" x14ac:dyDescent="0.3">
      <c r="A90" s="143" t="s">
        <v>249</v>
      </c>
      <c r="B90" s="150"/>
      <c r="C90" s="110">
        <f>SUM(C94:C109)</f>
        <v>1</v>
      </c>
      <c r="D90" s="269" t="s">
        <v>473</v>
      </c>
      <c r="E90" s="769">
        <f>IF($F$1="GWP100 without fb",E91+E92*'Common input data'!$C$5+E93*'Common input data'!$D$5,IF($F$1="GWP100 with fb",E91+E92*'Common input data'!$C$6+E93*'Common input data'!$D$6,IF($F$1="GTP100 without fb",E91+E92*'Common input data'!$C$7+E93*'Common input data'!$D$7,IF($F$1="GTP100 with fb",E91+E92*'Common input data'!$C$8+E93*'Common input data'!$D$8,E91+E92*'Common input data'!$C$9+E93*'Common input data'!$D$9))))</f>
        <v>5.0852452407109394E-3</v>
      </c>
      <c r="F90" s="326">
        <f>IF($F$1="GWP100 without fb",F91+F92*'Common input data'!$C$5+F93*'Common input data'!$D$5,IF($F$1="GWP100 with fb",F91+F92*'Common input data'!$C$6+F93*'Common input data'!$D$6,IF($F$1="GTP100 without fb",F91+F92*'Common input data'!$C$7+F93*'Common input data'!$D$7,IF($F$1="GTP100 with fb",F91+F92*'Common input data'!$C$8+F93*'Common input data'!$D$8,F91+F92*'Common input data'!$C$9+F93*'Common input data'!$D$9))))</f>
        <v>0.68933229800805673</v>
      </c>
      <c r="G90" s="770">
        <f>IF($F$1="GWP100 without fb",G91+G92*'Common input data'!$C$5+G93*'Common input data'!$D$5,IF($F$1="GWP100 with fb",G91+G92*'Common input data'!$C$6+G93*'Common input data'!$D$6,IF($F$1="GTP100 without fb",G91+G92*'Common input data'!$C$7+G93*'Common input data'!$D$7,IF($F$1="GTP100 with fb",G91+G92*'Common input data'!$C$8+G93*'Common input data'!$D$8,G91+G92*'Common input data'!$C$9+G93*'Common input data'!$D$9))))</f>
        <v>4.0448466938685526</v>
      </c>
      <c r="H90" s="302"/>
      <c r="I90" s="104"/>
      <c r="J90" s="104"/>
      <c r="K90" s="102"/>
      <c r="L90" s="102"/>
      <c r="M90" s="102"/>
      <c r="N90" s="102"/>
      <c r="O90" s="102"/>
      <c r="P90" s="102"/>
      <c r="Q90" s="102"/>
      <c r="R90" s="102"/>
      <c r="S90" s="102"/>
      <c r="T90" s="102"/>
      <c r="U90" s="102"/>
      <c r="V90" s="430"/>
      <c r="W90" s="243"/>
      <c r="X90" s="308"/>
      <c r="Y90" s="308"/>
      <c r="Z90" s="64"/>
      <c r="AA90" s="308"/>
      <c r="AB90" s="308"/>
      <c r="AC90" s="308"/>
      <c r="AD90" s="308"/>
      <c r="AE90" s="308"/>
      <c r="AF90" s="308"/>
      <c r="AG90" s="308"/>
      <c r="AH90" s="308"/>
      <c r="AI90" s="308"/>
      <c r="AJ90" s="308"/>
      <c r="AK90" s="308"/>
      <c r="AL90" s="308"/>
      <c r="AM90" s="308"/>
      <c r="AN90" s="308"/>
      <c r="AO90" s="308"/>
      <c r="AP90" s="308"/>
      <c r="AQ90" s="308"/>
      <c r="AR90" s="308"/>
      <c r="AS90" s="308"/>
      <c r="AT90" s="308"/>
      <c r="AU90" s="308"/>
      <c r="AV90" s="308"/>
      <c r="AW90" s="308"/>
      <c r="AX90" s="308"/>
      <c r="AY90" s="308"/>
      <c r="AZ90" s="308"/>
      <c r="BA90" s="308"/>
      <c r="BB90" s="308"/>
      <c r="BC90" s="308"/>
      <c r="BD90" s="308"/>
      <c r="BE90" s="308"/>
      <c r="BF90" s="308"/>
      <c r="BG90" s="308"/>
      <c r="BH90" s="308"/>
      <c r="BI90" s="308"/>
      <c r="BJ90" s="308"/>
      <c r="BK90" s="308"/>
      <c r="BL90" s="308"/>
      <c r="BM90" s="308"/>
      <c r="BN90" s="308"/>
      <c r="BO90" s="308"/>
      <c r="BP90" s="308"/>
      <c r="BQ90" s="308"/>
      <c r="BR90" s="308"/>
      <c r="BS90" s="308"/>
      <c r="BT90" s="308"/>
      <c r="BU90" s="308"/>
      <c r="BV90" s="308"/>
      <c r="BW90" s="308"/>
      <c r="BX90" s="308"/>
      <c r="BY90" s="308"/>
      <c r="BZ90" s="308"/>
      <c r="CA90" s="308"/>
      <c r="CB90" s="308"/>
      <c r="CC90" s="308"/>
      <c r="CD90" s="308"/>
      <c r="CE90" s="308"/>
      <c r="CF90" s="308"/>
      <c r="CG90" s="308"/>
      <c r="CH90" s="308"/>
      <c r="CI90" s="308"/>
      <c r="CJ90" s="308"/>
      <c r="CK90" s="308"/>
      <c r="CL90" s="308"/>
      <c r="CM90" s="308"/>
      <c r="CN90" s="308"/>
      <c r="CO90" s="308"/>
      <c r="CP90" s="308"/>
      <c r="CQ90" s="308"/>
      <c r="CR90" s="308"/>
      <c r="CS90" s="308"/>
      <c r="CT90" s="308"/>
      <c r="CU90" s="308"/>
      <c r="CV90" s="308"/>
      <c r="CW90" s="308"/>
      <c r="CX90" s="308"/>
      <c r="CY90" s="308"/>
      <c r="CZ90" s="308"/>
      <c r="DA90" s="308"/>
      <c r="DB90" s="308"/>
      <c r="DC90" s="308"/>
      <c r="DD90" s="308"/>
      <c r="DE90" s="308"/>
      <c r="DF90" s="308"/>
      <c r="DG90" s="308"/>
      <c r="DH90" s="308"/>
      <c r="DI90" s="308"/>
      <c r="DJ90" s="308"/>
      <c r="DK90" s="308"/>
      <c r="DL90" s="308"/>
      <c r="DM90" s="308"/>
      <c r="DN90" s="308"/>
      <c r="DO90" s="308"/>
      <c r="DP90" s="308"/>
      <c r="DQ90" s="308"/>
      <c r="DR90" s="308"/>
      <c r="DS90" s="308"/>
      <c r="DT90" s="308"/>
      <c r="DU90" s="308"/>
      <c r="DV90" s="308"/>
      <c r="DW90" s="308"/>
      <c r="DX90" s="308"/>
      <c r="DY90" s="308"/>
      <c r="DZ90" s="308"/>
      <c r="EA90" s="308"/>
      <c r="EB90" s="308"/>
      <c r="EC90" s="308"/>
      <c r="ED90" s="308"/>
      <c r="EE90" s="308"/>
      <c r="EF90" s="308"/>
      <c r="EG90" s="308"/>
      <c r="EH90" s="308"/>
      <c r="EI90" s="308"/>
      <c r="EJ90" s="308"/>
      <c r="EK90" s="308"/>
      <c r="EL90" s="308"/>
      <c r="EM90" s="308"/>
      <c r="EN90" s="308"/>
      <c r="EO90" s="308"/>
      <c r="EP90" s="308"/>
      <c r="EQ90" s="308"/>
      <c r="ER90" s="308"/>
      <c r="ES90" s="308"/>
      <c r="ET90" s="308"/>
      <c r="EU90" s="308"/>
      <c r="EV90" s="308"/>
      <c r="EW90" s="308"/>
      <c r="EX90" s="308"/>
      <c r="EY90" s="308"/>
      <c r="EZ90" s="308"/>
      <c r="FA90" s="308"/>
      <c r="FB90" s="308"/>
      <c r="FC90" s="308"/>
      <c r="FD90" s="308"/>
      <c r="FE90" s="308"/>
      <c r="FF90" s="308"/>
      <c r="FG90" s="308"/>
      <c r="FH90" s="308"/>
      <c r="FI90" s="308"/>
      <c r="FJ90" s="308"/>
      <c r="FK90" s="308"/>
      <c r="FL90" s="308"/>
      <c r="FM90" s="308"/>
      <c r="FN90" s="308"/>
      <c r="FO90" s="308"/>
      <c r="FP90" s="308"/>
      <c r="FQ90" s="308"/>
      <c r="FR90" s="308"/>
      <c r="FS90" s="308"/>
      <c r="FT90" s="308"/>
      <c r="FU90" s="308"/>
      <c r="FV90" s="308"/>
      <c r="FW90" s="308"/>
      <c r="FX90" s="308"/>
      <c r="FY90" s="308"/>
      <c r="FZ90" s="308"/>
      <c r="GA90" s="308"/>
      <c r="GB90" s="308"/>
      <c r="GC90" s="308"/>
      <c r="GD90" s="308"/>
      <c r="GE90" s="308"/>
      <c r="GF90" s="308"/>
      <c r="GG90" s="308"/>
      <c r="GH90" s="308"/>
      <c r="GI90" s="308"/>
      <c r="GJ90" s="308"/>
      <c r="GK90" s="308"/>
      <c r="GL90" s="308"/>
      <c r="GM90" s="308"/>
      <c r="GN90" s="308"/>
      <c r="GO90" s="308"/>
      <c r="GP90" s="308"/>
      <c r="GQ90" s="308"/>
      <c r="GR90" s="308"/>
      <c r="GS90" s="308"/>
      <c r="GT90" s="308"/>
      <c r="GU90" s="308"/>
      <c r="GV90" s="308"/>
      <c r="GW90" s="308"/>
      <c r="GX90" s="308"/>
      <c r="GY90" s="308"/>
      <c r="GZ90" s="308"/>
      <c r="HA90" s="308"/>
      <c r="HB90" s="308"/>
      <c r="HC90" s="308"/>
      <c r="HD90" s="308"/>
      <c r="HE90" s="308"/>
      <c r="HF90" s="308"/>
      <c r="HG90" s="308"/>
      <c r="HH90" s="308"/>
      <c r="HI90" s="308"/>
      <c r="HJ90" s="308"/>
      <c r="HK90" s="308"/>
      <c r="HL90" s="308"/>
      <c r="HM90" s="308"/>
      <c r="HN90" s="308"/>
      <c r="HO90" s="308"/>
      <c r="HP90" s="308"/>
      <c r="HQ90" s="308"/>
      <c r="HR90" s="308"/>
      <c r="HS90" s="308"/>
      <c r="HT90" s="308"/>
      <c r="HU90" s="308"/>
      <c r="HV90" s="308"/>
      <c r="HW90" s="308"/>
      <c r="HX90" s="308"/>
      <c r="HY90" s="308"/>
      <c r="HZ90" s="308"/>
      <c r="IA90" s="308"/>
      <c r="IB90" s="308"/>
      <c r="IC90" s="308"/>
      <c r="ID90" s="308"/>
      <c r="IE90" s="308"/>
      <c r="IF90" s="308"/>
      <c r="IG90" s="308"/>
      <c r="IH90" s="308"/>
      <c r="II90" s="308"/>
      <c r="IJ90" s="308"/>
      <c r="IK90" s="308"/>
      <c r="IL90" s="308"/>
      <c r="IM90" s="308"/>
      <c r="IN90" s="308"/>
      <c r="IO90" s="308"/>
      <c r="IP90" s="308"/>
      <c r="IQ90" s="308"/>
      <c r="IR90" s="308"/>
      <c r="IS90" s="308"/>
      <c r="IT90" s="308"/>
      <c r="IU90" s="308"/>
      <c r="IV90" s="308"/>
      <c r="IW90" s="308"/>
      <c r="IX90" s="308"/>
    </row>
    <row r="91" spans="1:258" s="308" customFormat="1" ht="17.399999999999999" x14ac:dyDescent="0.3">
      <c r="A91" s="141"/>
      <c r="B91" s="84"/>
      <c r="C91" s="64"/>
      <c r="D91" s="83" t="s">
        <v>164</v>
      </c>
      <c r="E91" s="270">
        <f t="shared" ref="E91:G93" si="20">E95*$C$94+E99*$C$98+$C$102*E103+$C$106*E107</f>
        <v>-0.18227809628276262</v>
      </c>
      <c r="F91" s="90">
        <f t="shared" si="20"/>
        <v>0.36231065518038025</v>
      </c>
      <c r="G91" s="278">
        <f t="shared" si="20"/>
        <v>2.4248425505177646</v>
      </c>
      <c r="H91" s="90">
        <f t="shared" ref="H91:U91" si="21">H95*$C$94+H99*$C$98+$C$102*H103+$C$106*H107</f>
        <v>4.0751566853703285E-2</v>
      </c>
      <c r="I91" s="90">
        <f t="shared" si="21"/>
        <v>3.0000000000000006E-2</v>
      </c>
      <c r="J91" s="90">
        <f t="shared" si="21"/>
        <v>0</v>
      </c>
      <c r="K91" s="90">
        <f t="shared" si="21"/>
        <v>0</v>
      </c>
      <c r="L91" s="90">
        <f t="shared" si="21"/>
        <v>0.15154280887786808</v>
      </c>
      <c r="M91" s="90">
        <f t="shared" si="21"/>
        <v>0</v>
      </c>
      <c r="N91" s="90">
        <f t="shared" si="21"/>
        <v>0.05</v>
      </c>
      <c r="O91" s="90">
        <f t="shared" si="21"/>
        <v>0</v>
      </c>
      <c r="P91" s="90">
        <f t="shared" si="21"/>
        <v>-9.113904814138131E-2</v>
      </c>
      <c r="Q91" s="90">
        <f t="shared" si="21"/>
        <v>0</v>
      </c>
      <c r="R91" s="90">
        <f t="shared" si="21"/>
        <v>1.3347720000000002E-2</v>
      </c>
      <c r="S91" s="90">
        <f t="shared" si="21"/>
        <v>1.7167587745743378</v>
      </c>
      <c r="T91" s="90">
        <f t="shared" si="21"/>
        <v>0.30000000000000004</v>
      </c>
      <c r="U91" s="90">
        <f t="shared" si="21"/>
        <v>0.24100000000000005</v>
      </c>
      <c r="V91" s="430"/>
      <c r="W91" s="243"/>
      <c r="Z91" s="64"/>
    </row>
    <row r="92" spans="1:258" s="308" customFormat="1" ht="17.399999999999999" x14ac:dyDescent="0.3">
      <c r="A92" s="141"/>
      <c r="B92" s="84"/>
      <c r="C92" s="142"/>
      <c r="D92" s="83" t="s">
        <v>165</v>
      </c>
      <c r="E92" s="270">
        <f t="shared" si="20"/>
        <v>0</v>
      </c>
      <c r="F92" s="90">
        <f t="shared" si="20"/>
        <v>1.3425706806741681E-4</v>
      </c>
      <c r="G92" s="278">
        <f t="shared" si="20"/>
        <v>9.4798784857409279E-4</v>
      </c>
      <c r="H92" s="90">
        <f t="shared" ref="H92:U92" si="22">H96*$C$94+H100*$C$98+$C$102*H104+$C$106*H108</f>
        <v>1.7967961586980413E-10</v>
      </c>
      <c r="I92" s="90">
        <f t="shared" si="22"/>
        <v>0</v>
      </c>
      <c r="J92" s="90">
        <f t="shared" si="22"/>
        <v>0</v>
      </c>
      <c r="K92" s="90">
        <f t="shared" si="22"/>
        <v>0</v>
      </c>
      <c r="L92" s="90">
        <f t="shared" si="22"/>
        <v>6.7128354354092535E-5</v>
      </c>
      <c r="M92" s="90">
        <f t="shared" si="22"/>
        <v>0</v>
      </c>
      <c r="N92" s="90">
        <f t="shared" si="22"/>
        <v>0</v>
      </c>
      <c r="O92" s="90">
        <f t="shared" si="22"/>
        <v>0</v>
      </c>
      <c r="P92" s="90">
        <f t="shared" si="22"/>
        <v>0</v>
      </c>
      <c r="Q92" s="90">
        <f t="shared" si="22"/>
        <v>0</v>
      </c>
      <c r="R92" s="90">
        <f t="shared" si="22"/>
        <v>5.8886639999999975E-5</v>
      </c>
      <c r="S92" s="90">
        <f t="shared" si="22"/>
        <v>8.8266674586809477E-4</v>
      </c>
      <c r="T92" s="90">
        <f t="shared" si="22"/>
        <v>0</v>
      </c>
      <c r="U92" s="90">
        <f t="shared" si="22"/>
        <v>0</v>
      </c>
      <c r="V92" s="430"/>
      <c r="W92" s="243"/>
      <c r="Z92" s="64"/>
    </row>
    <row r="93" spans="1:258" s="308" customFormat="1" ht="17.399999999999999" x14ac:dyDescent="0.3">
      <c r="A93" s="107"/>
      <c r="B93" s="206"/>
      <c r="C93" s="85"/>
      <c r="D93" s="84" t="s">
        <v>166</v>
      </c>
      <c r="E93" s="270">
        <f t="shared" si="20"/>
        <v>6.2873604538078373E-4</v>
      </c>
      <c r="F93" s="90">
        <f t="shared" si="20"/>
        <v>1.0820701426623633E-3</v>
      </c>
      <c r="G93" s="278">
        <f t="shared" si="20"/>
        <v>5.328095827178754E-3</v>
      </c>
      <c r="H93" s="90">
        <f t="shared" ref="H93:U93" si="23">H97*$C$94+H101*$C$98+$C$102*H105+$C$106*H109</f>
        <v>2.2259503428211167E-4</v>
      </c>
      <c r="I93" s="90">
        <f t="shared" si="23"/>
        <v>0</v>
      </c>
      <c r="J93" s="90">
        <f t="shared" si="23"/>
        <v>2.8578911153671991E-4</v>
      </c>
      <c r="K93" s="90">
        <f t="shared" si="23"/>
        <v>2.8578911153671989E-5</v>
      </c>
      <c r="L93" s="90">
        <f t="shared" si="23"/>
        <v>4.0720143586782268E-6</v>
      </c>
      <c r="M93" s="90">
        <f t="shared" si="23"/>
        <v>0</v>
      </c>
      <c r="N93" s="90">
        <f t="shared" si="23"/>
        <v>0</v>
      </c>
      <c r="O93" s="90">
        <f t="shared" si="23"/>
        <v>0</v>
      </c>
      <c r="P93" s="90">
        <f t="shared" si="23"/>
        <v>0</v>
      </c>
      <c r="Q93" s="90">
        <f t="shared" si="23"/>
        <v>0</v>
      </c>
      <c r="R93" s="90">
        <f t="shared" si="23"/>
        <v>3.479831999999998E-6</v>
      </c>
      <c r="S93" s="90">
        <f t="shared" si="23"/>
        <v>4.9609633842070018E-3</v>
      </c>
      <c r="T93" s="90">
        <f t="shared" si="23"/>
        <v>0</v>
      </c>
      <c r="U93" s="90">
        <f t="shared" si="23"/>
        <v>0</v>
      </c>
      <c r="V93" s="430"/>
      <c r="W93" s="243"/>
      <c r="Z93" s="64"/>
    </row>
    <row r="94" spans="1:258" s="420" customFormat="1" ht="17.399999999999999" x14ac:dyDescent="0.3">
      <c r="A94" s="143" t="s">
        <v>101</v>
      </c>
      <c r="B94" s="150" t="s">
        <v>225</v>
      </c>
      <c r="C94" s="104">
        <f>'Input data plant-based products'!D101</f>
        <v>0.11</v>
      </c>
      <c r="D94" s="269" t="s">
        <v>473</v>
      </c>
      <c r="E94" s="320">
        <f>IF($F$1="GWP100 without fb",E95+E96*'Common input data'!$C$5+E97*'Common input data'!$D$5,IF($F$1="GWP100 with fb",E95+E96*'Common input data'!$C$6+E97*'Common input data'!$D$6,IF($F$1="GTP100 without fb",E95+E96*'Common input data'!$C$7+E97*'Common input data'!$D$7,IF($F$1="GTP100 with fb",E95+E96*'Common input data'!$C$8+E97*'Common input data'!$D$8,E95+E96*'Common input data'!$C$9+E97*'Common input data'!$D$9))))</f>
        <v>-3.1494551251138481E-2</v>
      </c>
      <c r="F94" s="302">
        <f>IF($F$1="GWP100 without fb",F95+F96*'Common input data'!$C$5+F97*'Common input data'!$D$5,IF($F$1="GWP100 with fb",F95+F96*'Common input data'!$C$6+F97*'Common input data'!$D$6,IF($F$1="GTP100 without fb",F95+F96*'Common input data'!$C$7+F97*'Common input data'!$D$7,IF($F$1="GTP100 with fb",F95+F96*'Common input data'!$C$8+F97*'Common input data'!$D$8,F95+F96*'Common input data'!$C$9+F97*'Common input data'!$D$9))))</f>
        <v>0.61371959350678917</v>
      </c>
      <c r="G94" s="321">
        <f>IF($F$1="GWP100 without fb",G95+G96*'Common input data'!$C$5+G97*'Common input data'!$D$5,IF($F$1="GWP100 with fb",G95+G96*'Common input data'!$C$6+G97*'Common input data'!$D$6,IF($F$1="GTP100 without fb",G95+G96*'Common input data'!$C$7+G97*'Common input data'!$D$7,IF($F$1="GTP100 with fb",G95+G96*'Common input data'!$C$8+G97*'Common input data'!$D$8,G95+G96*'Common input data'!$C$9+G97*'Common input data'!$D$9))))</f>
        <v>3.7693108360121652</v>
      </c>
      <c r="H94" s="102"/>
      <c r="I94" s="102"/>
      <c r="J94" s="102"/>
      <c r="K94" s="102"/>
      <c r="L94" s="102"/>
      <c r="M94" s="102"/>
      <c r="N94" s="102"/>
      <c r="O94" s="102"/>
      <c r="P94" s="102"/>
      <c r="Q94" s="102"/>
      <c r="R94" s="102"/>
      <c r="S94" s="102"/>
      <c r="T94" s="102"/>
      <c r="U94" s="102"/>
      <c r="V94" s="430"/>
      <c r="W94" s="243"/>
      <c r="X94" s="308"/>
      <c r="Y94" s="308"/>
      <c r="Z94" s="64"/>
      <c r="AA94" s="308"/>
      <c r="AB94" s="308"/>
      <c r="AC94" s="308"/>
      <c r="AD94" s="308"/>
      <c r="AE94" s="308"/>
      <c r="AF94" s="308"/>
      <c r="AG94" s="308"/>
      <c r="AH94" s="308"/>
      <c r="AI94" s="308"/>
      <c r="AJ94" s="308"/>
      <c r="AK94" s="308"/>
      <c r="AL94" s="308"/>
      <c r="AM94" s="308"/>
      <c r="AN94" s="308"/>
      <c r="AO94" s="308"/>
      <c r="AP94" s="308"/>
      <c r="AQ94" s="308"/>
      <c r="AR94" s="308"/>
      <c r="AS94" s="308"/>
      <c r="AT94" s="308"/>
      <c r="AU94" s="308"/>
      <c r="AV94" s="308"/>
      <c r="AW94" s="308"/>
      <c r="AX94" s="308"/>
      <c r="AY94" s="308"/>
      <c r="AZ94" s="308"/>
      <c r="BA94" s="308"/>
      <c r="BB94" s="308"/>
      <c r="BC94" s="308"/>
      <c r="BD94" s="308"/>
      <c r="BE94" s="308"/>
      <c r="BF94" s="308"/>
      <c r="BG94" s="308"/>
      <c r="BH94" s="308"/>
      <c r="BI94" s="308"/>
      <c r="BJ94" s="308"/>
      <c r="BK94" s="308"/>
      <c r="BL94" s="308"/>
      <c r="BM94" s="308"/>
      <c r="BN94" s="308"/>
      <c r="BO94" s="308"/>
      <c r="BP94" s="308"/>
      <c r="BQ94" s="308"/>
      <c r="BR94" s="308"/>
      <c r="BS94" s="308"/>
      <c r="BT94" s="308"/>
      <c r="BU94" s="308"/>
      <c r="BV94" s="308"/>
      <c r="BW94" s="308"/>
      <c r="BX94" s="308"/>
      <c r="BY94" s="308"/>
      <c r="BZ94" s="308"/>
      <c r="CA94" s="308"/>
      <c r="CB94" s="308"/>
      <c r="CC94" s="308"/>
      <c r="CD94" s="308"/>
      <c r="CE94" s="308"/>
      <c r="CF94" s="308"/>
      <c r="CG94" s="308"/>
      <c r="CH94" s="308"/>
      <c r="CI94" s="308"/>
      <c r="CJ94" s="308"/>
      <c r="CK94" s="308"/>
      <c r="CL94" s="308"/>
      <c r="CM94" s="308"/>
      <c r="CN94" s="308"/>
      <c r="CO94" s="308"/>
      <c r="CP94" s="308"/>
      <c r="CQ94" s="308"/>
      <c r="CR94" s="308"/>
      <c r="CS94" s="308"/>
      <c r="CT94" s="308"/>
      <c r="CU94" s="308"/>
      <c r="CV94" s="308"/>
      <c r="CW94" s="308"/>
      <c r="CX94" s="308"/>
      <c r="CY94" s="308"/>
      <c r="CZ94" s="308"/>
      <c r="DA94" s="308"/>
      <c r="DB94" s="308"/>
      <c r="DC94" s="308"/>
      <c r="DD94" s="308"/>
      <c r="DE94" s="308"/>
      <c r="DF94" s="308"/>
      <c r="DG94" s="308"/>
      <c r="DH94" s="308"/>
      <c r="DI94" s="308"/>
      <c r="DJ94" s="308"/>
      <c r="DK94" s="308"/>
      <c r="DL94" s="308"/>
      <c r="DM94" s="308"/>
      <c r="DN94" s="308"/>
      <c r="DO94" s="308"/>
      <c r="DP94" s="308"/>
      <c r="DQ94" s="308"/>
      <c r="DR94" s="308"/>
      <c r="DS94" s="308"/>
      <c r="DT94" s="308"/>
      <c r="DU94" s="308"/>
      <c r="DV94" s="308"/>
      <c r="DW94" s="308"/>
      <c r="DX94" s="308"/>
      <c r="DY94" s="308"/>
      <c r="DZ94" s="308"/>
      <c r="EA94" s="308"/>
      <c r="EB94" s="308"/>
      <c r="EC94" s="308"/>
      <c r="ED94" s="308"/>
      <c r="EE94" s="308"/>
      <c r="EF94" s="308"/>
      <c r="EG94" s="308"/>
      <c r="EH94" s="308"/>
      <c r="EI94" s="308"/>
      <c r="EJ94" s="308"/>
      <c r="EK94" s="308"/>
      <c r="EL94" s="308"/>
      <c r="EM94" s="308"/>
      <c r="EN94" s="308"/>
      <c r="EO94" s="308"/>
      <c r="EP94" s="308"/>
      <c r="EQ94" s="308"/>
      <c r="ER94" s="308"/>
      <c r="ES94" s="308"/>
      <c r="ET94" s="308"/>
      <c r="EU94" s="308"/>
      <c r="EV94" s="308"/>
      <c r="EW94" s="308"/>
      <c r="EX94" s="308"/>
      <c r="EY94" s="308"/>
      <c r="EZ94" s="308"/>
      <c r="FA94" s="308"/>
      <c r="FB94" s="308"/>
      <c r="FC94" s="308"/>
      <c r="FD94" s="308"/>
      <c r="FE94" s="308"/>
      <c r="FF94" s="308"/>
      <c r="FG94" s="308"/>
      <c r="FH94" s="308"/>
      <c r="FI94" s="308"/>
      <c r="FJ94" s="308"/>
      <c r="FK94" s="308"/>
      <c r="FL94" s="308"/>
      <c r="FM94" s="308"/>
      <c r="FN94" s="308"/>
      <c r="FO94" s="308"/>
      <c r="FP94" s="308"/>
      <c r="FQ94" s="308"/>
      <c r="FR94" s="308"/>
      <c r="FS94" s="308"/>
      <c r="FT94" s="308"/>
      <c r="FU94" s="308"/>
      <c r="FV94" s="308"/>
      <c r="FW94" s="308"/>
      <c r="FX94" s="308"/>
      <c r="FY94" s="308"/>
      <c r="FZ94" s="308"/>
      <c r="GA94" s="308"/>
      <c r="GB94" s="308"/>
      <c r="GC94" s="308"/>
      <c r="GD94" s="308"/>
      <c r="GE94" s="308"/>
      <c r="GF94" s="308"/>
      <c r="GG94" s="308"/>
      <c r="GH94" s="308"/>
      <c r="GI94" s="308"/>
      <c r="GJ94" s="308"/>
      <c r="GK94" s="308"/>
      <c r="GL94" s="308"/>
      <c r="GM94" s="308"/>
      <c r="GN94" s="308"/>
      <c r="GO94" s="308"/>
      <c r="GP94" s="308"/>
      <c r="GQ94" s="308"/>
      <c r="GR94" s="308"/>
      <c r="GS94" s="308"/>
      <c r="GT94" s="308"/>
      <c r="GU94" s="308"/>
      <c r="GV94" s="308"/>
      <c r="GW94" s="308"/>
      <c r="GX94" s="308"/>
      <c r="GY94" s="308"/>
      <c r="GZ94" s="308"/>
      <c r="HA94" s="308"/>
      <c r="HB94" s="308"/>
      <c r="HC94" s="308"/>
      <c r="HD94" s="308"/>
      <c r="HE94" s="308"/>
      <c r="HF94" s="308"/>
      <c r="HG94" s="308"/>
      <c r="HH94" s="308"/>
      <c r="HI94" s="308"/>
      <c r="HJ94" s="308"/>
      <c r="HK94" s="308"/>
      <c r="HL94" s="308"/>
      <c r="HM94" s="308"/>
      <c r="HN94" s="308"/>
      <c r="HO94" s="308"/>
      <c r="HP94" s="308"/>
      <c r="HQ94" s="308"/>
      <c r="HR94" s="308"/>
      <c r="HS94" s="308"/>
      <c r="HT94" s="308"/>
      <c r="HU94" s="308"/>
      <c r="HV94" s="308"/>
      <c r="HW94" s="308"/>
      <c r="HX94" s="308"/>
      <c r="HY94" s="308"/>
      <c r="HZ94" s="308"/>
      <c r="IA94" s="308"/>
      <c r="IB94" s="308"/>
      <c r="IC94" s="308"/>
      <c r="ID94" s="308"/>
      <c r="IE94" s="308"/>
      <c r="IF94" s="308"/>
      <c r="IG94" s="308"/>
      <c r="IH94" s="308"/>
      <c r="II94" s="308"/>
      <c r="IJ94" s="308"/>
      <c r="IK94" s="308"/>
      <c r="IL94" s="308"/>
      <c r="IM94" s="308"/>
      <c r="IN94" s="308"/>
      <c r="IO94" s="308"/>
      <c r="IP94" s="308"/>
      <c r="IQ94" s="308"/>
      <c r="IR94" s="308"/>
      <c r="IS94" s="308"/>
      <c r="IT94" s="308"/>
      <c r="IU94" s="308"/>
      <c r="IV94" s="308"/>
      <c r="IW94" s="308"/>
      <c r="IX94" s="308"/>
    </row>
    <row r="95" spans="1:258" s="308" customFormat="1" ht="17.399999999999999" x14ac:dyDescent="0.3">
      <c r="A95" s="141"/>
      <c r="B95" s="84"/>
      <c r="C95" s="64"/>
      <c r="D95" s="83" t="s">
        <v>164</v>
      </c>
      <c r="E95" s="270">
        <f>IF(AND($F$2="No",$F$3="No"),SUM(J95:K95)*'Input data plant-based products'!O$125,IF(AND($F$2="Yes", $F$3="No"), (SUM(J95:K95)+Q95)*'Input data plant-based products'!O$125, IF(AND($F$2="No", $F$3="Yes"),(SUM(J95:K95)+P95)*'Input data plant-based products'!O$125, (SUM(J95:K95)+Q95+P95)*'Input data plant-based products'!O$125)))</f>
        <v>-0.18227809628276259</v>
      </c>
      <c r="F95" s="90">
        <f>IF(AND($F$2="No",$F$3="No"),SUM(H95:O95)*'Input data plant-based products'!O$125,IF(AND($F$2="Yes", $F$3="No"), (SUM(H95:O95)+Q95)*'Input data plant-based products'!O$125, IF(AND($F$2="No", $F$3="Yes"),(SUM(H95:O95)+P95)*'Input data plant-based products'!O$125, (SUM(H95:O95)+Q95+P95)*'Input data plant-based products'!O$125)))</f>
        <v>0.32956652891162597</v>
      </c>
      <c r="G95" s="278">
        <f>SUM(S95:U95)/(1-'Common input data'!$B$124)</f>
        <v>2.3597142262885429</v>
      </c>
      <c r="H95" s="90">
        <f>('Input data plant-based products'!$F$101*('Common input data'!$C$76*'Common input data'!B69+'Common input data'!$C$77*'Common input data'!C69))/'Input data plant-based products'!$E$101</f>
        <v>3.9027413219221367E-2</v>
      </c>
      <c r="I95" s="90">
        <f>'Common input data'!$B$81</f>
        <v>0.03</v>
      </c>
      <c r="J95" s="90">
        <v>0</v>
      </c>
      <c r="K95" s="90">
        <v>0</v>
      </c>
      <c r="L95" s="90">
        <f>('Input data plant-based products'!$I$101*'Common input data'!$C$59*'Common input data'!H49)/'Input data plant-based products'!$E$101</f>
        <v>0.13689489937797292</v>
      </c>
      <c r="M95" s="90">
        <v>0</v>
      </c>
      <c r="N95" s="90">
        <f>'Input data plant-based products'!F$152</f>
        <v>0.05</v>
      </c>
      <c r="O95" s="90">
        <v>0</v>
      </c>
      <c r="P95" s="90">
        <f>'Common input data'!$F$13</f>
        <v>-9.1139048141381296E-2</v>
      </c>
      <c r="Q95" s="90">
        <v>0</v>
      </c>
      <c r="R95" s="90">
        <f>'Input data plant-based products'!G$125*3.6*'Common input data'!C49+'Input data plant-based products'!H$125*3.6*'Common input data'!G49</f>
        <v>1.3347719999999999E-2</v>
      </c>
      <c r="S95" s="90">
        <f>(F95+R95)*'Input data plant-based products'!C$130</f>
        <v>1.5671181175261308</v>
      </c>
      <c r="T95" s="90">
        <f>'Common input data'!B$87</f>
        <v>0.3</v>
      </c>
      <c r="U95" s="90">
        <f>'Common input data'!B101+'Common input data'!C101</f>
        <v>0.32999999999999996</v>
      </c>
      <c r="V95" s="430"/>
      <c r="W95" s="243"/>
      <c r="Z95" s="64"/>
    </row>
    <row r="96" spans="1:258" s="308" customFormat="1" ht="17.399999999999999" x14ac:dyDescent="0.3">
      <c r="A96" s="141"/>
      <c r="B96" s="84"/>
      <c r="C96" s="142"/>
      <c r="D96" s="83" t="s">
        <v>165</v>
      </c>
      <c r="E96" s="270">
        <f>SUM(J96:K96)*'Input data plant-based products'!O$125</f>
        <v>0</v>
      </c>
      <c r="F96" s="90">
        <f>SUM(H96:O96)*'Input data plant-based products'!O$125</f>
        <v>1.212799928927918E-4</v>
      </c>
      <c r="G96" s="278">
        <f>SUM(S96:U96)/(1-'Common input data'!$B$124)</f>
        <v>8.8429377487802912E-4</v>
      </c>
      <c r="H96" s="90">
        <f>('Input data plant-based products'!$F$101*('Common input data'!$C$76*'Common input data'!B70+'Common input data'!$C$77*'Common input data'!C70))/'Input data plant-based products'!$E$101</f>
        <v>1.7207757043541895E-10</v>
      </c>
      <c r="I96" s="90">
        <v>0</v>
      </c>
      <c r="J96" s="90">
        <v>0</v>
      </c>
      <c r="K96" s="90">
        <v>0</v>
      </c>
      <c r="L96" s="90">
        <f>('Input data plant-based products'!$I$101*'Common input data'!$C$59*'Common input data'!H50)/'Input data plant-based products'!$E$101</f>
        <v>6.0639824368825468E-5</v>
      </c>
      <c r="M96" s="90">
        <v>0</v>
      </c>
      <c r="N96" s="90">
        <v>0</v>
      </c>
      <c r="O96" s="90">
        <v>0</v>
      </c>
      <c r="P96" s="90">
        <v>0</v>
      </c>
      <c r="Q96" s="90">
        <v>0</v>
      </c>
      <c r="R96" s="90">
        <f>'Input data plant-based products'!G$125*3.6*'Common input data'!C50+'Input data plant-based products'!H$125*3.6*'Common input data'!G50</f>
        <v>5.8886639999999975E-5</v>
      </c>
      <c r="S96" s="90">
        <f>(F96+R96)*'Input data plant-based products'!C$130</f>
        <v>8.2336151232005844E-4</v>
      </c>
      <c r="T96" s="90">
        <v>0</v>
      </c>
      <c r="U96" s="90">
        <v>0</v>
      </c>
      <c r="V96" s="430"/>
      <c r="W96" s="243"/>
      <c r="Z96" s="64"/>
    </row>
    <row r="97" spans="1:258" s="308" customFormat="1" ht="17.399999999999999" x14ac:dyDescent="0.3">
      <c r="A97" s="107"/>
      <c r="B97" s="206"/>
      <c r="C97" s="85"/>
      <c r="D97" s="84" t="s">
        <v>166</v>
      </c>
      <c r="E97" s="270">
        <f>SUM(J97:K97)*'Input data plant-based products'!O$125</f>
        <v>5.0598505044169165E-4</v>
      </c>
      <c r="F97" s="90">
        <f>SUM(H97:O97)*'Input data plant-based products'!O$125</f>
        <v>9.3969645918392066E-4</v>
      </c>
      <c r="G97" s="278">
        <f>SUM(S97:U97)/(1-'Common input data'!$B$124)</f>
        <v>4.6292973871737229E-3</v>
      </c>
      <c r="H97" s="90">
        <f>('Input data plant-based products'!$F$101*('Common input data'!$C$76*'Common input data'!B71+'Common input data'!$C$77*'Common input data'!C71))/'Input data plant-based products'!$E$101</f>
        <v>2.1317728505168538E-4</v>
      </c>
      <c r="I97" s="90">
        <v>0</v>
      </c>
      <c r="J97" s="90">
        <f>(SUM('Input data plant-based products'!F101:H101)*'Input data plant-based products'!$B$114*44/28)/'Input data plant-based products'!E101</f>
        <v>2.2999320474622345E-4</v>
      </c>
      <c r="K97" s="90">
        <f>J97*'Input data plant-based products'!$B$115</f>
        <v>2.2999320474622345E-5</v>
      </c>
      <c r="L97" s="90">
        <f>('Input data plant-based products'!$I$101*'Common input data'!$C$59*'Common input data'!H51)/'Input data plant-based products'!$E$101</f>
        <v>3.6784193194291989E-6</v>
      </c>
      <c r="M97" s="90">
        <v>0</v>
      </c>
      <c r="N97" s="90">
        <v>0</v>
      </c>
      <c r="O97" s="90">
        <v>0</v>
      </c>
      <c r="P97" s="90">
        <v>0</v>
      </c>
      <c r="Q97" s="90">
        <v>0</v>
      </c>
      <c r="R97" s="90">
        <f>'Input data plant-based products'!G$125*3.6*'Common input data'!C51+'Input data plant-based products'!H$125*3.6*'Common input data'!G51</f>
        <v>3.4798319999999972E-6</v>
      </c>
      <c r="S97" s="90">
        <f>(F97+R97)*'Input data plant-based products'!C$130</f>
        <v>4.310315650710517E-3</v>
      </c>
      <c r="T97" s="90">
        <v>0</v>
      </c>
      <c r="U97" s="90">
        <v>0</v>
      </c>
      <c r="V97" s="430"/>
      <c r="W97" s="243"/>
      <c r="Z97" s="64"/>
    </row>
    <row r="98" spans="1:258" s="420" customFormat="1" ht="17.399999999999999" x14ac:dyDescent="0.3">
      <c r="A98" s="143" t="s">
        <v>66</v>
      </c>
      <c r="B98" s="150" t="s">
        <v>225</v>
      </c>
      <c r="C98" s="104">
        <f>'Input data plant-based products'!D102</f>
        <v>0.56000000000000005</v>
      </c>
      <c r="D98" s="269" t="s">
        <v>473</v>
      </c>
      <c r="E98" s="320">
        <f>IF($F$1="GWP100 without fb",E99+E100*'Common input data'!$C$5+E101*'Common input data'!$D$5,IF($F$1="GWP100 with fb",E99+E100*'Common input data'!$C$6+E101*'Common input data'!$D$6,IF($F$1="GTP100 without fb",E99+E100*'Common input data'!$C$7+E101*'Common input data'!$D$7,IF($F$1="GTP100 with fb",E99+E100*'Common input data'!$C$8+E101*'Common input data'!$D$8,E99+E100*'Common input data'!$C$9+E101*'Common input data'!$D$9))))</f>
        <v>4.9233942240511946E-2</v>
      </c>
      <c r="F98" s="302">
        <f>IF($F$1="GWP100 without fb",F99+F100*'Common input data'!$C$5+F101*'Common input data'!$D$5,IF($F$1="GWP100 with fb",F99+F100*'Common input data'!$C$6+F101*'Common input data'!$D$6,IF($F$1="GTP100 without fb",F99+F100*'Common input data'!$C$7+F101*'Common input data'!$D$7,IF($F$1="GTP100 with fb",F99+F100*'Common input data'!$C$8+F101*'Common input data'!$D$8,F99+F100*'Common input data'!$C$9+F101*'Common input data'!$D$9))))</f>
        <v>0.78230665512876452</v>
      </c>
      <c r="G98" s="321">
        <f>IF($F$1="GWP100 without fb",G99+G100*'Common input data'!$C$5+G101*'Common input data'!$D$5,IF($F$1="GWP100 with fb",G99+G100*'Common input data'!$C$6+G101*'Common input data'!$D$6,IF($F$1="GTP100 without fb",G99+G100*'Common input data'!$C$7+G101*'Common input data'!$D$7,IF($F$1="GTP100 with fb",G99+G100*'Common input data'!$C$8+G101*'Common input data'!$D$8,G99+G100*'Common input data'!$C$9+G101*'Common input data'!$D$9))))</f>
        <v>4.4893693387561688</v>
      </c>
      <c r="H98" s="102"/>
      <c r="I98" s="102"/>
      <c r="J98" s="102"/>
      <c r="K98" s="102"/>
      <c r="L98" s="102"/>
      <c r="M98" s="102"/>
      <c r="N98" s="102"/>
      <c r="O98" s="102"/>
      <c r="P98" s="102"/>
      <c r="Q98" s="102"/>
      <c r="R98" s="102"/>
      <c r="S98" s="102"/>
      <c r="T98" s="102"/>
      <c r="U98" s="102"/>
      <c r="V98" s="430"/>
      <c r="W98" s="243"/>
      <c r="X98" s="308"/>
      <c r="Y98" s="308"/>
      <c r="Z98" s="64"/>
      <c r="AA98" s="308"/>
      <c r="AB98" s="308"/>
      <c r="AC98" s="308"/>
      <c r="AD98" s="308"/>
      <c r="AE98" s="308"/>
      <c r="AF98" s="308"/>
      <c r="AG98" s="308"/>
      <c r="AH98" s="308"/>
      <c r="AI98" s="308"/>
      <c r="AJ98" s="308"/>
      <c r="AK98" s="308"/>
      <c r="AL98" s="308"/>
      <c r="AM98" s="308"/>
      <c r="AN98" s="308"/>
      <c r="AO98" s="308"/>
      <c r="AP98" s="308"/>
      <c r="AQ98" s="308"/>
      <c r="AR98" s="308"/>
      <c r="AS98" s="308"/>
      <c r="AT98" s="308"/>
      <c r="AU98" s="308"/>
      <c r="AV98" s="308"/>
      <c r="AW98" s="308"/>
      <c r="AX98" s="308"/>
      <c r="AY98" s="308"/>
      <c r="AZ98" s="308"/>
      <c r="BA98" s="308"/>
      <c r="BB98" s="308"/>
      <c r="BC98" s="308"/>
      <c r="BD98" s="308"/>
      <c r="BE98" s="308"/>
      <c r="BF98" s="308"/>
      <c r="BG98" s="308"/>
      <c r="BH98" s="308"/>
      <c r="BI98" s="308"/>
      <c r="BJ98" s="308"/>
      <c r="BK98" s="308"/>
      <c r="BL98" s="308"/>
      <c r="BM98" s="308"/>
      <c r="BN98" s="308"/>
      <c r="BO98" s="308"/>
      <c r="BP98" s="308"/>
      <c r="BQ98" s="308"/>
      <c r="BR98" s="308"/>
      <c r="BS98" s="308"/>
      <c r="BT98" s="308"/>
      <c r="BU98" s="308"/>
      <c r="BV98" s="308"/>
      <c r="BW98" s="308"/>
      <c r="BX98" s="308"/>
      <c r="BY98" s="308"/>
      <c r="BZ98" s="308"/>
      <c r="CA98" s="308"/>
      <c r="CB98" s="308"/>
      <c r="CC98" s="308"/>
      <c r="CD98" s="308"/>
      <c r="CE98" s="308"/>
      <c r="CF98" s="308"/>
      <c r="CG98" s="308"/>
      <c r="CH98" s="308"/>
      <c r="CI98" s="308"/>
      <c r="CJ98" s="308"/>
      <c r="CK98" s="308"/>
      <c r="CL98" s="308"/>
      <c r="CM98" s="308"/>
      <c r="CN98" s="308"/>
      <c r="CO98" s="308"/>
      <c r="CP98" s="308"/>
      <c r="CQ98" s="308"/>
      <c r="CR98" s="308"/>
      <c r="CS98" s="308"/>
      <c r="CT98" s="308"/>
      <c r="CU98" s="308"/>
      <c r="CV98" s="308"/>
      <c r="CW98" s="308"/>
      <c r="CX98" s="308"/>
      <c r="CY98" s="308"/>
      <c r="CZ98" s="308"/>
      <c r="DA98" s="308"/>
      <c r="DB98" s="308"/>
      <c r="DC98" s="308"/>
      <c r="DD98" s="308"/>
      <c r="DE98" s="308"/>
      <c r="DF98" s="308"/>
      <c r="DG98" s="308"/>
      <c r="DH98" s="308"/>
      <c r="DI98" s="308"/>
      <c r="DJ98" s="308"/>
      <c r="DK98" s="308"/>
      <c r="DL98" s="308"/>
      <c r="DM98" s="308"/>
      <c r="DN98" s="308"/>
      <c r="DO98" s="308"/>
      <c r="DP98" s="308"/>
      <c r="DQ98" s="308"/>
      <c r="DR98" s="308"/>
      <c r="DS98" s="308"/>
      <c r="DT98" s="308"/>
      <c r="DU98" s="308"/>
      <c r="DV98" s="308"/>
      <c r="DW98" s="308"/>
      <c r="DX98" s="308"/>
      <c r="DY98" s="308"/>
      <c r="DZ98" s="308"/>
      <c r="EA98" s="308"/>
      <c r="EB98" s="308"/>
      <c r="EC98" s="308"/>
      <c r="ED98" s="308"/>
      <c r="EE98" s="308"/>
      <c r="EF98" s="308"/>
      <c r="EG98" s="308"/>
      <c r="EH98" s="308"/>
      <c r="EI98" s="308"/>
      <c r="EJ98" s="308"/>
      <c r="EK98" s="308"/>
      <c r="EL98" s="308"/>
      <c r="EM98" s="308"/>
      <c r="EN98" s="308"/>
      <c r="EO98" s="308"/>
      <c r="EP98" s="308"/>
      <c r="EQ98" s="308"/>
      <c r="ER98" s="308"/>
      <c r="ES98" s="308"/>
      <c r="ET98" s="308"/>
      <c r="EU98" s="308"/>
      <c r="EV98" s="308"/>
      <c r="EW98" s="308"/>
      <c r="EX98" s="308"/>
      <c r="EY98" s="308"/>
      <c r="EZ98" s="308"/>
      <c r="FA98" s="308"/>
      <c r="FB98" s="308"/>
      <c r="FC98" s="308"/>
      <c r="FD98" s="308"/>
      <c r="FE98" s="308"/>
      <c r="FF98" s="308"/>
      <c r="FG98" s="308"/>
      <c r="FH98" s="308"/>
      <c r="FI98" s="308"/>
      <c r="FJ98" s="308"/>
      <c r="FK98" s="308"/>
      <c r="FL98" s="308"/>
      <c r="FM98" s="308"/>
      <c r="FN98" s="308"/>
      <c r="FO98" s="308"/>
      <c r="FP98" s="308"/>
      <c r="FQ98" s="308"/>
      <c r="FR98" s="308"/>
      <c r="FS98" s="308"/>
      <c r="FT98" s="308"/>
      <c r="FU98" s="308"/>
      <c r="FV98" s="308"/>
      <c r="FW98" s="308"/>
      <c r="FX98" s="308"/>
      <c r="FY98" s="308"/>
      <c r="FZ98" s="308"/>
      <c r="GA98" s="308"/>
      <c r="GB98" s="308"/>
      <c r="GC98" s="308"/>
      <c r="GD98" s="308"/>
      <c r="GE98" s="308"/>
      <c r="GF98" s="308"/>
      <c r="GG98" s="308"/>
      <c r="GH98" s="308"/>
      <c r="GI98" s="308"/>
      <c r="GJ98" s="308"/>
      <c r="GK98" s="308"/>
      <c r="GL98" s="308"/>
      <c r="GM98" s="308"/>
      <c r="GN98" s="308"/>
      <c r="GO98" s="308"/>
      <c r="GP98" s="308"/>
      <c r="GQ98" s="308"/>
      <c r="GR98" s="308"/>
      <c r="GS98" s="308"/>
      <c r="GT98" s="308"/>
      <c r="GU98" s="308"/>
      <c r="GV98" s="308"/>
      <c r="GW98" s="308"/>
      <c r="GX98" s="308"/>
      <c r="GY98" s="308"/>
      <c r="GZ98" s="308"/>
      <c r="HA98" s="308"/>
      <c r="HB98" s="308"/>
      <c r="HC98" s="308"/>
      <c r="HD98" s="308"/>
      <c r="HE98" s="308"/>
      <c r="HF98" s="308"/>
      <c r="HG98" s="308"/>
      <c r="HH98" s="308"/>
      <c r="HI98" s="308"/>
      <c r="HJ98" s="308"/>
      <c r="HK98" s="308"/>
      <c r="HL98" s="308"/>
      <c r="HM98" s="308"/>
      <c r="HN98" s="308"/>
      <c r="HO98" s="308"/>
      <c r="HP98" s="308"/>
      <c r="HQ98" s="308"/>
      <c r="HR98" s="308"/>
      <c r="HS98" s="308"/>
      <c r="HT98" s="308"/>
      <c r="HU98" s="308"/>
      <c r="HV98" s="308"/>
      <c r="HW98" s="308"/>
      <c r="HX98" s="308"/>
      <c r="HY98" s="308"/>
      <c r="HZ98" s="308"/>
      <c r="IA98" s="308"/>
      <c r="IB98" s="308"/>
      <c r="IC98" s="308"/>
      <c r="ID98" s="308"/>
      <c r="IE98" s="308"/>
      <c r="IF98" s="308"/>
      <c r="IG98" s="308"/>
      <c r="IH98" s="308"/>
      <c r="II98" s="308"/>
      <c r="IJ98" s="308"/>
      <c r="IK98" s="308"/>
      <c r="IL98" s="308"/>
      <c r="IM98" s="308"/>
      <c r="IN98" s="308"/>
      <c r="IO98" s="308"/>
      <c r="IP98" s="308"/>
      <c r="IQ98" s="308"/>
      <c r="IR98" s="308"/>
      <c r="IS98" s="308"/>
      <c r="IT98" s="308"/>
      <c r="IU98" s="308"/>
      <c r="IV98" s="308"/>
      <c r="IW98" s="308"/>
      <c r="IX98" s="308"/>
    </row>
    <row r="99" spans="1:258" s="308" customFormat="1" ht="17.399999999999999" x14ac:dyDescent="0.3">
      <c r="A99" s="141"/>
      <c r="B99" s="84"/>
      <c r="C99" s="64"/>
      <c r="D99" s="83" t="s">
        <v>164</v>
      </c>
      <c r="E99" s="270">
        <f>IF(AND($F$2="No",$F$3="No"),SUM(J99:K99)*'Input data plant-based products'!O$125,IF(AND($F$2="Yes", $F$3="No"), (SUM(J99:K99)+Q99)*'Input data plant-based products'!O$125, IF(AND($F$2="No", $F$3="Yes"),(SUM(J99:K99)+P99)*'Input data plant-based products'!O$125, (SUM(J99:K99)+Q99+P99)*'Input data plant-based products'!O$125)))</f>
        <v>-0.18227809628276259</v>
      </c>
      <c r="F99" s="90">
        <f>IF(AND($F$2="No",$F$3="No"),SUM(H99:O99)*'Input data plant-based products'!O$125,IF(AND($F$2="Yes", $F$3="No"), (SUM(H99:O99)+Q99)*'Input data plant-based products'!O$125, IF(AND($F$2="No", $F$3="Yes"),(SUM(H99:O99)+P99)*'Input data plant-based products'!O$125, (SUM(H99:O99)+Q99+P99)*'Input data plant-based products'!O$125)))</f>
        <v>0.39327564643818125</v>
      </c>
      <c r="G99" s="278">
        <f>SUM(S99:U99)/(1-'Common input data'!$B$124)</f>
        <v>2.5650108577776582</v>
      </c>
      <c r="H99" s="90">
        <f>('Input data plant-based products'!$F$102*('Common input data'!$C$76*'Common input data'!B69+'Common input data'!$C$77*'Common input data'!C69))/'Input data plant-based products'!$E$102</f>
        <v>4.6094174731258424E-2</v>
      </c>
      <c r="I99" s="90">
        <f>'Common input data'!$B$81</f>
        <v>0.03</v>
      </c>
      <c r="J99" s="90">
        <v>0</v>
      </c>
      <c r="K99" s="90">
        <v>0</v>
      </c>
      <c r="L99" s="90">
        <f>('Input data plant-based products'!$I$102*'Common input data'!$C$59*'Common input data'!H49)/'Input data plant-based products'!$E$102</f>
        <v>0.16168269662921347</v>
      </c>
      <c r="M99" s="90">
        <v>0</v>
      </c>
      <c r="N99" s="90">
        <f>'Input data plant-based products'!F$152</f>
        <v>0.05</v>
      </c>
      <c r="O99" s="90">
        <v>0</v>
      </c>
      <c r="P99" s="90">
        <f>'Common input data'!$F$13</f>
        <v>-9.1139048141381296E-2</v>
      </c>
      <c r="Q99" s="90">
        <v>0</v>
      </c>
      <c r="R99" s="90">
        <f>'Input data plant-based products'!G$125*3.6*'Common input data'!C49+'Input data plant-based products'!H$125*3.6*'Common input data'!G49</f>
        <v>1.3347719999999999E-2</v>
      </c>
      <c r="S99" s="90">
        <f>(F99+R99)*'Input data plant-based products'!C$130</f>
        <v>1.8582687846224883</v>
      </c>
      <c r="T99" s="90">
        <f>'Common input data'!B$87</f>
        <v>0.3</v>
      </c>
      <c r="U99" s="90">
        <f>'Common input data'!B100+'Common input data'!C100</f>
        <v>0.23</v>
      </c>
      <c r="V99" s="430"/>
      <c r="W99" s="243"/>
      <c r="Z99" s="64"/>
    </row>
    <row r="100" spans="1:258" s="308" customFormat="1" ht="17.399999999999999" x14ac:dyDescent="0.3">
      <c r="A100" s="141"/>
      <c r="B100" s="84"/>
      <c r="C100" s="142"/>
      <c r="D100" s="83" t="s">
        <v>165</v>
      </c>
      <c r="E100" s="270">
        <f>SUM(J100:K100)*'Input data plant-based products'!O$125</f>
        <v>0</v>
      </c>
      <c r="F100" s="90">
        <f>SUM(H100:O100)*'Input data plant-based products'!O$125</f>
        <v>1.4324037189974073E-4</v>
      </c>
      <c r="G100" s="278">
        <f>SUM(S100:U100)/(1-'Common input data'!$B$124)</f>
        <v>9.9207969582246203E-4</v>
      </c>
      <c r="H100" s="90">
        <f>('Input data plant-based products'!$F$102*('Common input data'!$C$76*'Common input data'!B70+'Common input data'!$C$77*'Common input data'!C70))/'Input data plant-based products'!$E$102</f>
        <v>2.0323595505617977E-10</v>
      </c>
      <c r="I100" s="90">
        <v>0</v>
      </c>
      <c r="J100" s="90">
        <v>0</v>
      </c>
      <c r="K100" s="90">
        <v>0</v>
      </c>
      <c r="L100" s="90">
        <f>('Input data plant-based products'!$I$102*'Common input data'!$C$59*'Common input data'!H50)/'Input data plant-based products'!$E$102</f>
        <v>7.1619982713915309E-5</v>
      </c>
      <c r="M100" s="90">
        <v>0</v>
      </c>
      <c r="N100" s="90">
        <v>0</v>
      </c>
      <c r="O100" s="90">
        <v>0</v>
      </c>
      <c r="P100" s="90">
        <v>0</v>
      </c>
      <c r="Q100" s="90">
        <v>0</v>
      </c>
      <c r="R100" s="90">
        <f>'Input data plant-based products'!G$125*3.6*'Common input data'!C50+'Input data plant-based products'!H$125*3.6*'Common input data'!G50</f>
        <v>5.8886639999999975E-5</v>
      </c>
      <c r="S100" s="90">
        <f>(F100+R100)*'Input data plant-based products'!C$130</f>
        <v>9.2372044438181514E-4</v>
      </c>
      <c r="T100" s="90">
        <v>0</v>
      </c>
      <c r="U100" s="90">
        <v>0</v>
      </c>
      <c r="V100" s="430"/>
      <c r="W100" s="243"/>
      <c r="Z100" s="64"/>
    </row>
    <row r="101" spans="1:258" s="308" customFormat="1" ht="17.399999999999999" x14ac:dyDescent="0.3">
      <c r="A101" s="107"/>
      <c r="B101" s="206"/>
      <c r="C101" s="85"/>
      <c r="D101" s="84" t="s">
        <v>166</v>
      </c>
      <c r="E101" s="270">
        <f>SUM(J101:K101)*'Input data plant-based products'!O$125</f>
        <v>7.7688603531300183E-4</v>
      </c>
      <c r="F101" s="90">
        <f>SUM(H101:O101)*'Input data plant-based products'!O$125</f>
        <v>1.2891303223019871E-3</v>
      </c>
      <c r="G101" s="278">
        <f>SUM(S101:U101)/(1-'Common input data'!$B$124)</f>
        <v>6.3443884943642503E-3</v>
      </c>
      <c r="H101" s="90">
        <f>('Input data plant-based products'!$F$102*('Common input data'!$C$76*'Common input data'!B71+'Common input data'!$C$77*'Common input data'!C71))/'Input data plant-based products'!$E$102</f>
        <v>2.5177766639855495E-4</v>
      </c>
      <c r="I101" s="90">
        <v>0</v>
      </c>
      <c r="J101" s="90">
        <f>(SUM('Input data plant-based products'!F102:H102)*'Input data plant-based products'!$B$114*44/28)/'Input data plant-based products'!E102</f>
        <v>3.5313001605136445E-4</v>
      </c>
      <c r="K101" s="90">
        <f>J101*'Input data plant-based products'!$B$115</f>
        <v>3.5313001605136446E-5</v>
      </c>
      <c r="L101" s="90">
        <f>('Input data plant-based products'!$I$102*'Common input data'!$C$59*'Common input data'!H51)/'Input data plant-based products'!$E$102</f>
        <v>4.3444770959377706E-6</v>
      </c>
      <c r="M101" s="90">
        <v>0</v>
      </c>
      <c r="N101" s="90">
        <v>0</v>
      </c>
      <c r="O101" s="90">
        <v>0</v>
      </c>
      <c r="P101" s="90">
        <v>0</v>
      </c>
      <c r="Q101" s="90">
        <v>0</v>
      </c>
      <c r="R101" s="90">
        <f>'Input data plant-based products'!G$125*3.6*'Common input data'!C51+'Input data plant-based products'!H$125*3.6*'Common input data'!G51</f>
        <v>3.4798319999999972E-6</v>
      </c>
      <c r="S101" s="90">
        <f>(F101+R101)*'Input data plant-based products'!C$130</f>
        <v>5.9072284051600813E-3</v>
      </c>
      <c r="T101" s="90">
        <v>0</v>
      </c>
      <c r="U101" s="90">
        <v>0</v>
      </c>
      <c r="V101" s="430"/>
      <c r="W101" s="243"/>
      <c r="Z101" s="64"/>
    </row>
    <row r="102" spans="1:258" s="420" customFormat="1" ht="17.399999999999999" x14ac:dyDescent="0.3">
      <c r="A102" s="143" t="s">
        <v>74</v>
      </c>
      <c r="B102" s="150" t="s">
        <v>225</v>
      </c>
      <c r="C102" s="104">
        <f>'Input data plant-based products'!D103</f>
        <v>0.28000000000000003</v>
      </c>
      <c r="D102" s="269" t="s">
        <v>473</v>
      </c>
      <c r="E102" s="320">
        <f>IF($F$1="GWP100 without fb",E103+E104*'Common input data'!$C$5+E105*'Common input data'!$D$5,IF($F$1="GWP100 with fb",E103+E104*'Common input data'!$C$6+E105*'Common input data'!$D$6,IF($F$1="GTP100 without fb",E103+E104*'Common input data'!$C$7+E105*'Common input data'!$D$7,IF($F$1="GTP100 with fb",E103+E104*'Common input data'!$C$8+E105*'Common input data'!$D$8,E103+E104*'Common input data'!$C$9+E105*'Common input data'!$D$9))))</f>
        <v>-5.7424835698323171E-2</v>
      </c>
      <c r="F102" s="302">
        <f>IF($F$1="GWP100 without fb",F103+F104*'Common input data'!$C$5+F105*'Common input data'!$D$5,IF($F$1="GWP100 with fb",F103+F104*'Common input data'!$C$6+F105*'Common input data'!$D$6,IF($F$1="GTP100 without fb",F103+F104*'Common input data'!$C$7+F105*'Common input data'!$D$7,IF($F$1="GTP100 with fb",F103+F104*'Common input data'!$C$8+F105*'Common input data'!$D$8,F103+F104*'Common input data'!$C$9+F105*'Common input data'!$D$9))))</f>
        <v>0.55354541394226398</v>
      </c>
      <c r="G102" s="321">
        <f>IF($F$1="GWP100 without fb",G103+G104*'Common input data'!$C$5+G105*'Common input data'!$D$5,IF($F$1="GWP100 with fb",G103+G104*'Common input data'!$C$6+G105*'Common input data'!$D$6,IF($F$1="GTP100 without fb",G103+G104*'Common input data'!$C$7+G105*'Common input data'!$D$7,IF($F$1="GTP100 with fb",G103+G104*'Common input data'!$C$8+G105*'Common input data'!$D$8,G103+G104*'Common input data'!$C$9+G105*'Common input data'!$D$9))))</f>
        <v>3.3665635324503591</v>
      </c>
      <c r="H102" s="102"/>
      <c r="I102" s="102"/>
      <c r="J102" s="102"/>
      <c r="K102" s="102"/>
      <c r="L102" s="102"/>
      <c r="M102" s="102"/>
      <c r="N102" s="102"/>
      <c r="O102" s="102"/>
      <c r="P102" s="102"/>
      <c r="Q102" s="102"/>
      <c r="R102" s="102"/>
      <c r="S102" s="102"/>
      <c r="T102" s="102"/>
      <c r="U102" s="102"/>
      <c r="V102" s="430"/>
      <c r="W102" s="243"/>
      <c r="X102" s="308"/>
      <c r="Y102" s="308"/>
      <c r="Z102" s="64"/>
      <c r="AA102" s="308"/>
      <c r="AB102" s="308"/>
      <c r="AC102" s="308"/>
      <c r="AD102" s="308"/>
      <c r="AE102" s="308"/>
      <c r="AF102" s="308"/>
      <c r="AG102" s="308"/>
      <c r="AH102" s="308"/>
      <c r="AI102" s="308"/>
      <c r="AJ102" s="308"/>
      <c r="AK102" s="308"/>
      <c r="AL102" s="308"/>
      <c r="AM102" s="308"/>
      <c r="AN102" s="308"/>
      <c r="AO102" s="308"/>
      <c r="AP102" s="308"/>
      <c r="AQ102" s="308"/>
      <c r="AR102" s="308"/>
      <c r="AS102" s="308"/>
      <c r="AT102" s="308"/>
      <c r="AU102" s="308"/>
      <c r="AV102" s="308"/>
      <c r="AW102" s="308"/>
      <c r="AX102" s="308"/>
      <c r="AY102" s="308"/>
      <c r="AZ102" s="308"/>
      <c r="BA102" s="308"/>
      <c r="BB102" s="308"/>
      <c r="BC102" s="308"/>
      <c r="BD102" s="308"/>
      <c r="BE102" s="308"/>
      <c r="BF102" s="308"/>
      <c r="BG102" s="308"/>
      <c r="BH102" s="308"/>
      <c r="BI102" s="308"/>
      <c r="BJ102" s="308"/>
      <c r="BK102" s="308"/>
      <c r="BL102" s="308"/>
      <c r="BM102" s="308"/>
      <c r="BN102" s="308"/>
      <c r="BO102" s="308"/>
      <c r="BP102" s="308"/>
      <c r="BQ102" s="308"/>
      <c r="BR102" s="308"/>
      <c r="BS102" s="308"/>
      <c r="BT102" s="308"/>
      <c r="BU102" s="308"/>
      <c r="BV102" s="308"/>
      <c r="BW102" s="308"/>
      <c r="BX102" s="308"/>
      <c r="BY102" s="308"/>
      <c r="BZ102" s="308"/>
      <c r="CA102" s="308"/>
      <c r="CB102" s="308"/>
      <c r="CC102" s="308"/>
      <c r="CD102" s="308"/>
      <c r="CE102" s="308"/>
      <c r="CF102" s="308"/>
      <c r="CG102" s="308"/>
      <c r="CH102" s="308"/>
      <c r="CI102" s="308"/>
      <c r="CJ102" s="308"/>
      <c r="CK102" s="308"/>
      <c r="CL102" s="308"/>
      <c r="CM102" s="308"/>
      <c r="CN102" s="308"/>
      <c r="CO102" s="308"/>
      <c r="CP102" s="308"/>
      <c r="CQ102" s="308"/>
      <c r="CR102" s="308"/>
      <c r="CS102" s="308"/>
      <c r="CT102" s="308"/>
      <c r="CU102" s="308"/>
      <c r="CV102" s="308"/>
      <c r="CW102" s="308"/>
      <c r="CX102" s="308"/>
      <c r="CY102" s="308"/>
      <c r="CZ102" s="308"/>
      <c r="DA102" s="308"/>
      <c r="DB102" s="308"/>
      <c r="DC102" s="308"/>
      <c r="DD102" s="308"/>
      <c r="DE102" s="308"/>
      <c r="DF102" s="308"/>
      <c r="DG102" s="308"/>
      <c r="DH102" s="308"/>
      <c r="DI102" s="308"/>
      <c r="DJ102" s="308"/>
      <c r="DK102" s="308"/>
      <c r="DL102" s="308"/>
      <c r="DM102" s="308"/>
      <c r="DN102" s="308"/>
      <c r="DO102" s="308"/>
      <c r="DP102" s="308"/>
      <c r="DQ102" s="308"/>
      <c r="DR102" s="308"/>
      <c r="DS102" s="308"/>
      <c r="DT102" s="308"/>
      <c r="DU102" s="308"/>
      <c r="DV102" s="308"/>
      <c r="DW102" s="308"/>
      <c r="DX102" s="308"/>
      <c r="DY102" s="308"/>
      <c r="DZ102" s="308"/>
      <c r="EA102" s="308"/>
      <c r="EB102" s="308"/>
      <c r="EC102" s="308"/>
      <c r="ED102" s="308"/>
      <c r="EE102" s="308"/>
      <c r="EF102" s="308"/>
      <c r="EG102" s="308"/>
      <c r="EH102" s="308"/>
      <c r="EI102" s="308"/>
      <c r="EJ102" s="308"/>
      <c r="EK102" s="308"/>
      <c r="EL102" s="308"/>
      <c r="EM102" s="308"/>
      <c r="EN102" s="308"/>
      <c r="EO102" s="308"/>
      <c r="EP102" s="308"/>
      <c r="EQ102" s="308"/>
      <c r="ER102" s="308"/>
      <c r="ES102" s="308"/>
      <c r="ET102" s="308"/>
      <c r="EU102" s="308"/>
      <c r="EV102" s="308"/>
      <c r="EW102" s="308"/>
      <c r="EX102" s="308"/>
      <c r="EY102" s="308"/>
      <c r="EZ102" s="308"/>
      <c r="FA102" s="308"/>
      <c r="FB102" s="308"/>
      <c r="FC102" s="308"/>
      <c r="FD102" s="308"/>
      <c r="FE102" s="308"/>
      <c r="FF102" s="308"/>
      <c r="FG102" s="308"/>
      <c r="FH102" s="308"/>
      <c r="FI102" s="308"/>
      <c r="FJ102" s="308"/>
      <c r="FK102" s="308"/>
      <c r="FL102" s="308"/>
      <c r="FM102" s="308"/>
      <c r="FN102" s="308"/>
      <c r="FO102" s="308"/>
      <c r="FP102" s="308"/>
      <c r="FQ102" s="308"/>
      <c r="FR102" s="308"/>
      <c r="FS102" s="308"/>
      <c r="FT102" s="308"/>
      <c r="FU102" s="308"/>
      <c r="FV102" s="308"/>
      <c r="FW102" s="308"/>
      <c r="FX102" s="308"/>
      <c r="FY102" s="308"/>
      <c r="FZ102" s="308"/>
      <c r="GA102" s="308"/>
      <c r="GB102" s="308"/>
      <c r="GC102" s="308"/>
      <c r="GD102" s="308"/>
      <c r="GE102" s="308"/>
      <c r="GF102" s="308"/>
      <c r="GG102" s="308"/>
      <c r="GH102" s="308"/>
      <c r="GI102" s="308"/>
      <c r="GJ102" s="308"/>
      <c r="GK102" s="308"/>
      <c r="GL102" s="308"/>
      <c r="GM102" s="308"/>
      <c r="GN102" s="308"/>
      <c r="GO102" s="308"/>
      <c r="GP102" s="308"/>
      <c r="GQ102" s="308"/>
      <c r="GR102" s="308"/>
      <c r="GS102" s="308"/>
      <c r="GT102" s="308"/>
      <c r="GU102" s="308"/>
      <c r="GV102" s="308"/>
      <c r="GW102" s="308"/>
      <c r="GX102" s="308"/>
      <c r="GY102" s="308"/>
      <c r="GZ102" s="308"/>
      <c r="HA102" s="308"/>
      <c r="HB102" s="308"/>
      <c r="HC102" s="308"/>
      <c r="HD102" s="308"/>
      <c r="HE102" s="308"/>
      <c r="HF102" s="308"/>
      <c r="HG102" s="308"/>
      <c r="HH102" s="308"/>
      <c r="HI102" s="308"/>
      <c r="HJ102" s="308"/>
      <c r="HK102" s="308"/>
      <c r="HL102" s="308"/>
      <c r="HM102" s="308"/>
      <c r="HN102" s="308"/>
      <c r="HO102" s="308"/>
      <c r="HP102" s="308"/>
      <c r="HQ102" s="308"/>
      <c r="HR102" s="308"/>
      <c r="HS102" s="308"/>
      <c r="HT102" s="308"/>
      <c r="HU102" s="308"/>
      <c r="HV102" s="308"/>
      <c r="HW102" s="308"/>
      <c r="HX102" s="308"/>
      <c r="HY102" s="308"/>
      <c r="HZ102" s="308"/>
      <c r="IA102" s="308"/>
      <c r="IB102" s="308"/>
      <c r="IC102" s="308"/>
      <c r="ID102" s="308"/>
      <c r="IE102" s="308"/>
      <c r="IF102" s="308"/>
      <c r="IG102" s="308"/>
      <c r="IH102" s="308"/>
      <c r="II102" s="308"/>
      <c r="IJ102" s="308"/>
      <c r="IK102" s="308"/>
      <c r="IL102" s="308"/>
      <c r="IM102" s="308"/>
      <c r="IN102" s="308"/>
      <c r="IO102" s="308"/>
      <c r="IP102" s="308"/>
      <c r="IQ102" s="308"/>
      <c r="IR102" s="308"/>
      <c r="IS102" s="308"/>
      <c r="IT102" s="308"/>
      <c r="IU102" s="308"/>
      <c r="IV102" s="308"/>
      <c r="IW102" s="308"/>
      <c r="IX102" s="308"/>
    </row>
    <row r="103" spans="1:258" s="308" customFormat="1" ht="17.399999999999999" x14ac:dyDescent="0.3">
      <c r="A103" s="144"/>
      <c r="B103" s="84"/>
      <c r="C103" s="64"/>
      <c r="D103" s="83" t="s">
        <v>164</v>
      </c>
      <c r="E103" s="270">
        <f>IF(AND($F$2="No",$F$3="No"),SUM(J103:K103)*'Input data plant-based products'!O$125,IF(AND($F$2="Yes", $F$3="No"), (SUM(J103:K103)+Q103)*'Input data plant-based products'!O$125, IF(AND($F$2="No", $F$3="Yes"),(SUM(J103:K103)+P103)*'Input data plant-based products'!O$125, (SUM(J103:K103)+Q103+P103)*'Input data plant-based products'!O$125)))</f>
        <v>-0.18227809628276259</v>
      </c>
      <c r="F103" s="90">
        <f>IF(AND($F$2="No",$F$3="No"),SUM(H103:O103)*'Input data plant-based products'!O$125,IF(AND($F$2="Yes", $F$3="No"), (SUM(H103:O103)+Q103)*'Input data plant-based products'!O$125, IF(AND($F$2="No", $F$3="Yes"),(SUM(H103:O103)+P103)*'Input data plant-based products'!O$125, (SUM(H103:O103)+Q103+P103)*'Input data plant-based products'!O$125)))</f>
        <v>0.31714889179708239</v>
      </c>
      <c r="G103" s="278">
        <f>SUM(S103:U103)/(1-'Common input data'!$B$124)</f>
        <v>2.191365559811477</v>
      </c>
      <c r="H103" s="85">
        <f>('Input data plant-based products'!$F$103*('Common input data'!$C$76*'Common input data'!B69+'Common input data'!$C$77*'Common input data'!C69))/'Input data plant-based products'!$E$103</f>
        <v>3.2315859078482889E-2</v>
      </c>
      <c r="I103" s="90">
        <f>'Common input data'!$B$81</f>
        <v>0.03</v>
      </c>
      <c r="J103" s="85">
        <v>0</v>
      </c>
      <c r="K103" s="90">
        <v>0</v>
      </c>
      <c r="L103" s="85">
        <f>('Input data plant-based products'!$I$103*'Common input data'!$C$59*'Common input data'!H49)/'Input data plant-based products'!$E$103</f>
        <v>0.13739763496143959</v>
      </c>
      <c r="M103" s="90">
        <v>0</v>
      </c>
      <c r="N103" s="90">
        <f>'Input data plant-based products'!F$152</f>
        <v>0.05</v>
      </c>
      <c r="O103" s="90">
        <v>0</v>
      </c>
      <c r="P103" s="90">
        <f>'Common input data'!$F$13</f>
        <v>-9.1139048141381296E-2</v>
      </c>
      <c r="Q103" s="90">
        <v>0</v>
      </c>
      <c r="R103" s="90">
        <f>'Input data plant-based products'!G$125*3.6*'Common input data'!C49+'Input data plant-based products'!H$125*3.6*'Common input data'!G49</f>
        <v>1.3347719999999999E-2</v>
      </c>
      <c r="S103" s="90">
        <f>(F103+R103)*'Input data plant-based products'!C$130</f>
        <v>1.5103695159126667</v>
      </c>
      <c r="T103" s="90">
        <f>'Common input data'!B$87</f>
        <v>0.3</v>
      </c>
      <c r="U103" s="90">
        <f>'Common input data'!B100+'Common input data'!C100</f>
        <v>0.23</v>
      </c>
      <c r="V103" s="430"/>
      <c r="W103" s="243"/>
      <c r="Z103" s="64"/>
    </row>
    <row r="104" spans="1:258" s="308" customFormat="1" ht="17.399999999999999" x14ac:dyDescent="0.3">
      <c r="A104" s="144"/>
      <c r="B104" s="84"/>
      <c r="C104" s="142"/>
      <c r="D104" s="83" t="s">
        <v>165</v>
      </c>
      <c r="E104" s="270">
        <f>SUM(J104:K104)*'Input data plant-based products'!O$125</f>
        <v>0</v>
      </c>
      <c r="F104" s="90">
        <f>SUM(H104:O104)*'Input data plant-based products'!O$125</f>
        <v>1.2172532353110541E-4</v>
      </c>
      <c r="G104" s="278">
        <f>SUM(S104:U104)/(1-'Common input data'!$B$124)</f>
        <v>8.8647954648790064E-4</v>
      </c>
      <c r="H104" s="85">
        <f>('Input data plant-based products'!$F$103*('Common input data'!$C$76*'Common input data'!B70+'Common input data'!$C$77*'Common input data'!C70))/'Input data plant-based products'!$E$103</f>
        <v>1.4248534704370179E-10</v>
      </c>
      <c r="I104" s="90">
        <v>0</v>
      </c>
      <c r="J104" s="85">
        <v>0</v>
      </c>
      <c r="K104" s="90">
        <v>0</v>
      </c>
      <c r="L104" s="85">
        <f>('Input data plant-based products'!$I$103*'Common input data'!$C$59*'Common input data'!H50)/'Input data plant-based products'!$E$103</f>
        <v>6.0862519280205662E-5</v>
      </c>
      <c r="M104" s="90">
        <v>0</v>
      </c>
      <c r="N104" s="90">
        <v>0</v>
      </c>
      <c r="O104" s="90">
        <v>0</v>
      </c>
      <c r="P104" s="90">
        <v>0</v>
      </c>
      <c r="Q104" s="90">
        <v>0</v>
      </c>
      <c r="R104" s="90">
        <f>'Input data plant-based products'!G$125*3.6*'Common input data'!C50+'Input data plant-based products'!H$125*3.6*'Common input data'!G50</f>
        <v>5.8886639999999975E-5</v>
      </c>
      <c r="S104" s="90">
        <f>(F104+R104)*'Input data plant-based products'!C$130</f>
        <v>8.2539667333715171E-4</v>
      </c>
      <c r="T104" s="90">
        <v>0</v>
      </c>
      <c r="U104" s="90">
        <v>0</v>
      </c>
      <c r="V104" s="430"/>
      <c r="W104" s="243"/>
      <c r="Z104" s="64"/>
    </row>
    <row r="105" spans="1:258" s="308" customFormat="1" ht="17.399999999999999" x14ac:dyDescent="0.3">
      <c r="A105" s="107"/>
      <c r="B105" s="206"/>
      <c r="C105" s="85"/>
      <c r="D105" s="84" t="s">
        <v>166</v>
      </c>
      <c r="E105" s="270">
        <f>SUM(J105:K105)*'Input data plant-based products'!O$125</f>
        <v>4.189706731021457E-4</v>
      </c>
      <c r="F105" s="90">
        <f>SUM(H105:O105)*'Input data plant-based products'!O$125</f>
        <v>7.7938879578900674E-4</v>
      </c>
      <c r="G105" s="278">
        <f>SUM(S105:U105)/(1-'Common input data'!$B$124)</f>
        <v>3.8424753961687707E-3</v>
      </c>
      <c r="H105" s="85">
        <f>('Input data plant-based products'!$F$103*('Common input data'!$C$76*'Common input data'!B71+'Common input data'!$C$77*'Common input data'!C71))/'Input data plant-based products'!$E$103</f>
        <v>1.7651713332286496E-4</v>
      </c>
      <c r="I105" s="85">
        <v>0</v>
      </c>
      <c r="J105" s="85">
        <f>(SUM('Input data plant-based products'!F103:H103)*'Input data plant-based products'!$B$114*44/28)/'Input data plant-based products'!E103</f>
        <v>1.9044121504642987E-4</v>
      </c>
      <c r="K105" s="90">
        <f>J105*'Input data plant-based products'!$B$115</f>
        <v>1.9044121504642989E-5</v>
      </c>
      <c r="L105" s="85">
        <f>('Input data plant-based products'!$I$103*'Common input data'!$C$59*'Common input data'!H51)/'Input data plant-based products'!$E$103</f>
        <v>3.6919280205655531E-6</v>
      </c>
      <c r="M105" s="90">
        <v>0</v>
      </c>
      <c r="N105" s="90">
        <v>0</v>
      </c>
      <c r="O105" s="90">
        <v>0</v>
      </c>
      <c r="P105" s="90">
        <v>0</v>
      </c>
      <c r="Q105" s="90">
        <v>0</v>
      </c>
      <c r="R105" s="90">
        <f>'Input data plant-based products'!G$125*3.6*'Common input data'!C51+'Input data plant-based products'!H$125*3.6*'Common input data'!G51</f>
        <v>3.4798319999999972E-6</v>
      </c>
      <c r="S105" s="90">
        <f>(F105+R105)*'Input data plant-based products'!C$130</f>
        <v>3.577709628995761E-3</v>
      </c>
      <c r="T105" s="90">
        <v>0</v>
      </c>
      <c r="U105" s="90">
        <v>0</v>
      </c>
      <c r="V105" s="430"/>
      <c r="W105" s="243"/>
      <c r="Z105" s="64"/>
    </row>
    <row r="106" spans="1:258" s="420" customFormat="1" ht="17.399999999999999" x14ac:dyDescent="0.3">
      <c r="A106" s="143" t="s">
        <v>70</v>
      </c>
      <c r="B106" s="150" t="s">
        <v>225</v>
      </c>
      <c r="C106" s="104">
        <f>'Input data plant-based products'!D104</f>
        <v>0.05</v>
      </c>
      <c r="D106" s="269" t="s">
        <v>473</v>
      </c>
      <c r="E106" s="320">
        <f>IF($F$1="GWP100 without fb",E107+E108*'Common input data'!$C$5+E109*'Common input data'!$D$5,IF($F$1="GWP100 with fb",E107+E108*'Common input data'!$C$6+E109*'Common input data'!$D$6,IF($F$1="GTP100 without fb",E107+E108*'Common input data'!$C$7+E109*'Common input data'!$D$7,IF($F$1="GTP100 with fb",E107+E108*'Common input data'!$C$8+E109*'Common input data'!$D$8,E107+E108*'Common input data'!$C$9+E109*'Common input data'!$D$9))))</f>
        <v>-5.8848155616400208E-2</v>
      </c>
      <c r="F106" s="302">
        <f>IF($F$1="GWP100 without fb",F107+F108*'Common input data'!$C$5+F109*'Common input data'!$D$5,IF($F$1="GWP100 with fb",F107+F108*'Common input data'!$C$6+F109*'Common input data'!$D$6,IF($F$1="GTP100 without fb",F107+F108*'Common input data'!$C$7+F109*'Common input data'!$D$7,IF($F$1="GTP100 with fb",F107+F108*'Common input data'!$C$8+F109*'Common input data'!$D$8,F107+F108*'Common input data'!$C$9+F109*'Common input data'!$D$9))))</f>
        <v>0.5747739989273547</v>
      </c>
      <c r="G106" s="321">
        <f>IF($F$1="GWP100 without fb",G107+G108*'Common input data'!$C$5+G109*'Common input data'!$D$5,IF($F$1="GWP100 with fb",G107+G108*'Common input data'!$C$6+G109*'Common input data'!$D$6,IF($F$1="GTP100 without fb",G107+G108*'Common input data'!$C$7+G109*'Common input data'!$D$7,IF($F$1="GTP100 with fb",G107+G108*'Common input data'!$C$8+G109*'Common input data'!$D$8,G107+G108*'Common input data'!$C$9+G109*'Common input data'!$D$9))))</f>
        <v>3.4707576623531775</v>
      </c>
      <c r="H106" s="102"/>
      <c r="I106" s="102"/>
      <c r="J106" s="102"/>
      <c r="K106" s="102"/>
      <c r="L106" s="102"/>
      <c r="M106" s="102"/>
      <c r="N106" s="102"/>
      <c r="O106" s="102"/>
      <c r="P106" s="102"/>
      <c r="Q106" s="102"/>
      <c r="R106" s="102"/>
      <c r="S106" s="102"/>
      <c r="T106" s="102"/>
      <c r="U106" s="102"/>
      <c r="V106" s="430"/>
      <c r="W106" s="243"/>
      <c r="X106" s="308"/>
      <c r="Y106" s="308"/>
      <c r="Z106" s="64"/>
      <c r="AA106" s="308"/>
      <c r="AB106" s="308"/>
      <c r="AC106" s="308"/>
      <c r="AD106" s="308"/>
      <c r="AE106" s="308"/>
      <c r="AF106" s="308"/>
      <c r="AG106" s="308"/>
      <c r="AH106" s="308"/>
      <c r="AI106" s="308"/>
      <c r="AJ106" s="308"/>
      <c r="AK106" s="308"/>
      <c r="AL106" s="308"/>
      <c r="AM106" s="308"/>
      <c r="AN106" s="308"/>
      <c r="AO106" s="308"/>
      <c r="AP106" s="308"/>
      <c r="AQ106" s="308"/>
      <c r="AR106" s="308"/>
      <c r="AS106" s="308"/>
      <c r="AT106" s="308"/>
      <c r="AU106" s="308"/>
      <c r="AV106" s="308"/>
      <c r="AW106" s="308"/>
      <c r="AX106" s="308"/>
      <c r="AY106" s="308"/>
      <c r="AZ106" s="308"/>
      <c r="BA106" s="308"/>
      <c r="BB106" s="308"/>
      <c r="BC106" s="308"/>
      <c r="BD106" s="308"/>
      <c r="BE106" s="308"/>
      <c r="BF106" s="308"/>
      <c r="BG106" s="308"/>
      <c r="BH106" s="308"/>
      <c r="BI106" s="308"/>
      <c r="BJ106" s="308"/>
      <c r="BK106" s="308"/>
      <c r="BL106" s="308"/>
      <c r="BM106" s="308"/>
      <c r="BN106" s="308"/>
      <c r="BO106" s="308"/>
      <c r="BP106" s="308"/>
      <c r="BQ106" s="308"/>
      <c r="BR106" s="308"/>
      <c r="BS106" s="308"/>
      <c r="BT106" s="308"/>
      <c r="BU106" s="308"/>
      <c r="BV106" s="308"/>
      <c r="BW106" s="308"/>
      <c r="BX106" s="308"/>
      <c r="BY106" s="308"/>
      <c r="BZ106" s="308"/>
      <c r="CA106" s="308"/>
      <c r="CB106" s="308"/>
      <c r="CC106" s="308"/>
      <c r="CD106" s="308"/>
      <c r="CE106" s="308"/>
      <c r="CF106" s="308"/>
      <c r="CG106" s="308"/>
      <c r="CH106" s="308"/>
      <c r="CI106" s="308"/>
      <c r="CJ106" s="308"/>
      <c r="CK106" s="308"/>
      <c r="CL106" s="308"/>
      <c r="CM106" s="308"/>
      <c r="CN106" s="308"/>
      <c r="CO106" s="308"/>
      <c r="CP106" s="308"/>
      <c r="CQ106" s="308"/>
      <c r="CR106" s="308"/>
      <c r="CS106" s="308"/>
      <c r="CT106" s="308"/>
      <c r="CU106" s="308"/>
      <c r="CV106" s="308"/>
      <c r="CW106" s="308"/>
      <c r="CX106" s="308"/>
      <c r="CY106" s="308"/>
      <c r="CZ106" s="308"/>
      <c r="DA106" s="308"/>
      <c r="DB106" s="308"/>
      <c r="DC106" s="308"/>
      <c r="DD106" s="308"/>
      <c r="DE106" s="308"/>
      <c r="DF106" s="308"/>
      <c r="DG106" s="308"/>
      <c r="DH106" s="308"/>
      <c r="DI106" s="308"/>
      <c r="DJ106" s="308"/>
      <c r="DK106" s="308"/>
      <c r="DL106" s="308"/>
      <c r="DM106" s="308"/>
      <c r="DN106" s="308"/>
      <c r="DO106" s="308"/>
      <c r="DP106" s="308"/>
      <c r="DQ106" s="308"/>
      <c r="DR106" s="308"/>
      <c r="DS106" s="308"/>
      <c r="DT106" s="308"/>
      <c r="DU106" s="308"/>
      <c r="DV106" s="308"/>
      <c r="DW106" s="308"/>
      <c r="DX106" s="308"/>
      <c r="DY106" s="308"/>
      <c r="DZ106" s="308"/>
      <c r="EA106" s="308"/>
      <c r="EB106" s="308"/>
      <c r="EC106" s="308"/>
      <c r="ED106" s="308"/>
      <c r="EE106" s="308"/>
      <c r="EF106" s="308"/>
      <c r="EG106" s="308"/>
      <c r="EH106" s="308"/>
      <c r="EI106" s="308"/>
      <c r="EJ106" s="308"/>
      <c r="EK106" s="308"/>
      <c r="EL106" s="308"/>
      <c r="EM106" s="308"/>
      <c r="EN106" s="308"/>
      <c r="EO106" s="308"/>
      <c r="EP106" s="308"/>
      <c r="EQ106" s="308"/>
      <c r="ER106" s="308"/>
      <c r="ES106" s="308"/>
      <c r="ET106" s="308"/>
      <c r="EU106" s="308"/>
      <c r="EV106" s="308"/>
      <c r="EW106" s="308"/>
      <c r="EX106" s="308"/>
      <c r="EY106" s="308"/>
      <c r="EZ106" s="308"/>
      <c r="FA106" s="308"/>
      <c r="FB106" s="308"/>
      <c r="FC106" s="308"/>
      <c r="FD106" s="308"/>
      <c r="FE106" s="308"/>
      <c r="FF106" s="308"/>
      <c r="FG106" s="308"/>
      <c r="FH106" s="308"/>
      <c r="FI106" s="308"/>
      <c r="FJ106" s="308"/>
      <c r="FK106" s="308"/>
      <c r="FL106" s="308"/>
      <c r="FM106" s="308"/>
      <c r="FN106" s="308"/>
      <c r="FO106" s="308"/>
      <c r="FP106" s="308"/>
      <c r="FQ106" s="308"/>
      <c r="FR106" s="308"/>
      <c r="FS106" s="308"/>
      <c r="FT106" s="308"/>
      <c r="FU106" s="308"/>
      <c r="FV106" s="308"/>
      <c r="FW106" s="308"/>
      <c r="FX106" s="308"/>
      <c r="FY106" s="308"/>
      <c r="FZ106" s="308"/>
      <c r="GA106" s="308"/>
      <c r="GB106" s="308"/>
      <c r="GC106" s="308"/>
      <c r="GD106" s="308"/>
      <c r="GE106" s="308"/>
      <c r="GF106" s="308"/>
      <c r="GG106" s="308"/>
      <c r="GH106" s="308"/>
      <c r="GI106" s="308"/>
      <c r="GJ106" s="308"/>
      <c r="GK106" s="308"/>
      <c r="GL106" s="308"/>
      <c r="GM106" s="308"/>
      <c r="GN106" s="308"/>
      <c r="GO106" s="308"/>
      <c r="GP106" s="308"/>
      <c r="GQ106" s="308"/>
      <c r="GR106" s="308"/>
      <c r="GS106" s="308"/>
      <c r="GT106" s="308"/>
      <c r="GU106" s="308"/>
      <c r="GV106" s="308"/>
      <c r="GW106" s="308"/>
      <c r="GX106" s="308"/>
      <c r="GY106" s="308"/>
      <c r="GZ106" s="308"/>
      <c r="HA106" s="308"/>
      <c r="HB106" s="308"/>
      <c r="HC106" s="308"/>
      <c r="HD106" s="308"/>
      <c r="HE106" s="308"/>
      <c r="HF106" s="308"/>
      <c r="HG106" s="308"/>
      <c r="HH106" s="308"/>
      <c r="HI106" s="308"/>
      <c r="HJ106" s="308"/>
      <c r="HK106" s="308"/>
      <c r="HL106" s="308"/>
      <c r="HM106" s="308"/>
      <c r="HN106" s="308"/>
      <c r="HO106" s="308"/>
      <c r="HP106" s="308"/>
      <c r="HQ106" s="308"/>
      <c r="HR106" s="308"/>
      <c r="HS106" s="308"/>
      <c r="HT106" s="308"/>
      <c r="HU106" s="308"/>
      <c r="HV106" s="308"/>
      <c r="HW106" s="308"/>
      <c r="HX106" s="308"/>
      <c r="HY106" s="308"/>
      <c r="HZ106" s="308"/>
      <c r="IA106" s="308"/>
      <c r="IB106" s="308"/>
      <c r="IC106" s="308"/>
      <c r="ID106" s="308"/>
      <c r="IE106" s="308"/>
      <c r="IF106" s="308"/>
      <c r="IG106" s="308"/>
      <c r="IH106" s="308"/>
      <c r="II106" s="308"/>
      <c r="IJ106" s="308"/>
      <c r="IK106" s="308"/>
      <c r="IL106" s="308"/>
      <c r="IM106" s="308"/>
      <c r="IN106" s="308"/>
      <c r="IO106" s="308"/>
      <c r="IP106" s="308"/>
      <c r="IQ106" s="308"/>
      <c r="IR106" s="308"/>
      <c r="IS106" s="308"/>
      <c r="IT106" s="308"/>
      <c r="IU106" s="308"/>
      <c r="IV106" s="308"/>
      <c r="IW106" s="308"/>
      <c r="IX106" s="308"/>
    </row>
    <row r="107" spans="1:258" s="308" customFormat="1" ht="17.399999999999999" x14ac:dyDescent="0.3">
      <c r="A107" s="144"/>
      <c r="B107" s="84"/>
      <c r="C107" s="64"/>
      <c r="D107" s="83" t="s">
        <v>164</v>
      </c>
      <c r="E107" s="270">
        <f>IF(AND($F$2="No",$F$3="No"),SUM(J107:K107)*'Input data plant-based products'!O$125,IF(AND($F$2="Yes", $F$3="No"), (SUM(J107:K107)+Q107)*'Input data plant-based products'!O$125, IF(AND($F$2="No", $F$3="Yes"),(SUM(J107:K107)+P107)*'Input data plant-based products'!O$125, (SUM(J107:K107)+Q107+P107)*'Input data plant-based products'!O$125)))</f>
        <v>-0.18227809628276259</v>
      </c>
      <c r="F107" s="90">
        <f>IF(AND($F$2="No",$F$3="No"),SUM(H107:O107)*'Input data plant-based products'!O$125,IF(AND($F$2="Yes", $F$3="No"), (SUM(H107:O107)+Q107)*'Input data plant-based products'!O$125, IF(AND($F$2="No", $F$3="Yes"),(SUM(H107:O107)+P107)*'Input data plant-based products'!O$125, (SUM(H107:O107)+Q107+P107)*'Input data plant-based products'!O$125)))</f>
        <v>0.34044570583073497</v>
      </c>
      <c r="G107" s="278">
        <f>SUM(S107:U107)/(1-'Common input data'!$B$124)</f>
        <v>2.3057109704664502</v>
      </c>
      <c r="H107" s="85">
        <f>('Input data plant-based products'!$F$104*('Common input data'!$C$76*'Common input data'!B69+'Common input data'!$C$77*'Common input data'!C69))/'Input data plant-based products'!$E$104</f>
        <v>3.1947460162180114E-2</v>
      </c>
      <c r="I107" s="90">
        <f>'Common input data'!$B$81</f>
        <v>0.03</v>
      </c>
      <c r="J107" s="85">
        <v>0</v>
      </c>
      <c r="K107" s="90">
        <v>0</v>
      </c>
      <c r="L107" s="85">
        <f>('Input data plant-based products'!$I$104*'Common input data'!$C$59*'Common input data'!H49)/'Input data plant-based products'!$E$104</f>
        <v>0.14941444089456868</v>
      </c>
      <c r="M107" s="90">
        <v>0</v>
      </c>
      <c r="N107" s="90">
        <f>'Input data plant-based products'!F$152</f>
        <v>0.05</v>
      </c>
      <c r="O107" s="90">
        <v>0</v>
      </c>
      <c r="P107" s="90">
        <f>'Common input data'!$F$13</f>
        <v>-9.1139048141381296E-2</v>
      </c>
      <c r="Q107" s="90">
        <v>0</v>
      </c>
      <c r="R107" s="90">
        <f>'Input data plant-based products'!G$125*3.6*'Common input data'!C49+'Input data plant-based products'!H$125*3.6*'Common input data'!G49</f>
        <v>1.3347719999999999E-2</v>
      </c>
      <c r="S107" s="90">
        <f>(F107+R107)*'Input data plant-based products'!C$130</f>
        <v>1.6168359560464589</v>
      </c>
      <c r="T107" s="90">
        <f>'Common input data'!B$87</f>
        <v>0.3</v>
      </c>
      <c r="U107" s="85">
        <f>'Common input data'!B102+'Common input data'!C102</f>
        <v>0.23000000000000004</v>
      </c>
      <c r="V107" s="430"/>
      <c r="W107" s="243"/>
      <c r="Z107" s="64"/>
    </row>
    <row r="108" spans="1:258" s="308" customFormat="1" ht="17.399999999999999" x14ac:dyDescent="0.3">
      <c r="A108" s="107"/>
      <c r="B108" s="84"/>
      <c r="C108" s="142"/>
      <c r="D108" s="83" t="s">
        <v>165</v>
      </c>
      <c r="E108" s="270">
        <f>SUM(J108:K108)*'Input data plant-based products'!O$125</f>
        <v>0</v>
      </c>
      <c r="F108" s="90">
        <f>SUM(H108:O108)*'Input data plant-based products'!O$125</f>
        <v>1.3237139993290734E-4</v>
      </c>
      <c r="G108" s="278">
        <f>SUM(S108:U108)/(1-'Common input data'!$B$124)</f>
        <v>9.387326132063716E-4</v>
      </c>
      <c r="H108" s="85">
        <f>('Input data plant-based products'!$F$104*('Common input data'!$C$76*'Common input data'!B70+'Common input data'!$C$77*'Common input data'!C70))/'Input data plant-based products'!$E$104</f>
        <v>1.4086102236421724E-10</v>
      </c>
      <c r="I108" s="85">
        <v>0</v>
      </c>
      <c r="J108" s="85">
        <v>0</v>
      </c>
      <c r="K108" s="85">
        <v>0</v>
      </c>
      <c r="L108" s="85">
        <f>('Input data plant-based products'!$I$104*'Common input data'!$C$59*'Common input data'!H50)/'Input data plant-based products'!$E$104</f>
        <v>6.6185559105431309E-5</v>
      </c>
      <c r="M108" s="90">
        <v>0</v>
      </c>
      <c r="N108" s="90">
        <v>0</v>
      </c>
      <c r="O108" s="90">
        <v>0</v>
      </c>
      <c r="P108" s="90">
        <v>0</v>
      </c>
      <c r="Q108" s="90">
        <v>0</v>
      </c>
      <c r="R108" s="90">
        <f>'Input data plant-based products'!G$125*3.6*'Common input data'!C50+'Input data plant-based products'!H$125*3.6*'Common input data'!G50</f>
        <v>5.8886639999999975E-5</v>
      </c>
      <c r="S108" s="90">
        <f>(F108+R108)*'Input data plant-based products'!C$130</f>
        <v>8.7404924249338649E-4</v>
      </c>
      <c r="T108" s="90">
        <v>0</v>
      </c>
      <c r="U108" s="90">
        <v>0</v>
      </c>
      <c r="V108" s="430"/>
      <c r="W108" s="243"/>
      <c r="Z108" s="64"/>
    </row>
    <row r="109" spans="1:258" s="308" customFormat="1" ht="17.399999999999999" x14ac:dyDescent="0.3">
      <c r="A109" s="174"/>
      <c r="B109" s="206"/>
      <c r="C109" s="85"/>
      <c r="D109" s="84" t="s">
        <v>166</v>
      </c>
      <c r="E109" s="780">
        <f>SUM(J109:K109)*'Input data plant-based products'!O$125</f>
        <v>4.1419443176631671E-4</v>
      </c>
      <c r="F109" s="108">
        <f>SUM(H109:O109)*'Input data plant-based products'!O$125</f>
        <v>7.7123377684194935E-4</v>
      </c>
      <c r="G109" s="521">
        <f>SUM(S109:U109)/(1-'Common input data'!$B$124)</f>
        <v>3.8024489363681566E-3</v>
      </c>
      <c r="H109" s="85">
        <f>('Input data plant-based products'!$F$104*('Common input data'!$C$76*'Common input data'!B71+'Common input data'!$C$77*'Common input data'!C71))/'Input data plant-based products'!$E$104</f>
        <v>1.7450484825666616E-4</v>
      </c>
      <c r="I109" s="85">
        <v>0</v>
      </c>
      <c r="J109" s="85">
        <f>(SUM('Input data plant-based products'!F104:H104)*'Input data plant-based products'!$B$114*44/28)/'Input data plant-based products'!E104</f>
        <v>1.8827019625741669E-4</v>
      </c>
      <c r="K109" s="90">
        <f>J109*'Input data plant-based products'!$B$115</f>
        <v>1.882701962574167E-5</v>
      </c>
      <c r="L109" s="85">
        <f>('Input data plant-based products'!$I$104*'Common input data'!$C$59*'Common input data'!H51)/'Input data plant-based products'!$E$104</f>
        <v>4.0148242811501598E-6</v>
      </c>
      <c r="M109" s="90">
        <v>0</v>
      </c>
      <c r="N109" s="90">
        <v>0</v>
      </c>
      <c r="O109" s="90">
        <v>0</v>
      </c>
      <c r="P109" s="90">
        <v>0</v>
      </c>
      <c r="Q109" s="90">
        <v>0</v>
      </c>
      <c r="R109" s="90">
        <f>'Input data plant-based products'!G$125*3.6*'Common input data'!C51+'Input data plant-based products'!H$125*3.6*'Common input data'!G51</f>
        <v>3.4798319999999972E-6</v>
      </c>
      <c r="S109" s="90">
        <f>(F109+R109)*'Input data plant-based products'!C$130</f>
        <v>3.5404411924077083E-3</v>
      </c>
      <c r="T109" s="90">
        <v>0</v>
      </c>
      <c r="U109" s="90">
        <v>0</v>
      </c>
      <c r="V109" s="430"/>
      <c r="W109" s="243"/>
      <c r="Z109" s="64"/>
    </row>
    <row r="110" spans="1:258" s="427" customFormat="1" ht="17.399999999999999" x14ac:dyDescent="0.3">
      <c r="A110" s="426" t="s">
        <v>633</v>
      </c>
      <c r="B110" s="412"/>
      <c r="C110" s="413"/>
      <c r="D110" s="414"/>
      <c r="E110" s="767" t="s">
        <v>592</v>
      </c>
      <c r="F110" s="768" t="s">
        <v>592</v>
      </c>
      <c r="G110" s="590" t="s">
        <v>593</v>
      </c>
      <c r="H110" s="413"/>
      <c r="I110" s="413"/>
      <c r="J110" s="413"/>
      <c r="K110" s="416"/>
      <c r="L110" s="416"/>
      <c r="M110" s="417"/>
      <c r="N110" s="416"/>
      <c r="O110" s="416"/>
      <c r="P110" s="416"/>
      <c r="Q110" s="416"/>
      <c r="R110" s="416"/>
      <c r="S110" s="416"/>
      <c r="T110" s="416"/>
      <c r="U110" s="416"/>
      <c r="V110" s="107"/>
      <c r="W110" s="64"/>
      <c r="X110" s="64"/>
      <c r="Y110" s="64"/>
      <c r="Z110" s="64"/>
      <c r="AA110" s="64"/>
      <c r="AB110" s="64"/>
      <c r="AC110" s="64"/>
      <c r="AD110" s="64"/>
      <c r="AE110" s="64"/>
      <c r="AF110" s="64"/>
      <c r="AG110" s="64"/>
      <c r="AH110" s="64"/>
      <c r="AI110" s="64"/>
      <c r="AJ110" s="64"/>
      <c r="AK110" s="64"/>
      <c r="AL110" s="308"/>
      <c r="AM110" s="308"/>
      <c r="AN110" s="308"/>
      <c r="AO110" s="308"/>
      <c r="AP110" s="308"/>
      <c r="AQ110" s="308"/>
      <c r="AR110" s="308"/>
      <c r="AS110" s="308"/>
      <c r="AT110" s="308"/>
      <c r="AU110" s="308"/>
      <c r="AV110" s="308"/>
      <c r="AW110" s="308"/>
      <c r="AX110" s="308"/>
      <c r="AY110" s="308"/>
      <c r="AZ110" s="308"/>
      <c r="BA110" s="308"/>
      <c r="BB110" s="308"/>
      <c r="BC110" s="308"/>
      <c r="BD110" s="308"/>
      <c r="BE110" s="308"/>
      <c r="BF110" s="308"/>
      <c r="BG110" s="308"/>
      <c r="BH110" s="308"/>
      <c r="BI110" s="308"/>
      <c r="BJ110" s="308"/>
      <c r="BK110" s="308"/>
      <c r="BL110" s="308"/>
      <c r="BM110" s="308"/>
      <c r="BN110" s="308"/>
      <c r="BO110" s="308"/>
      <c r="BP110" s="308"/>
      <c r="BQ110" s="308"/>
      <c r="BR110" s="308"/>
      <c r="BS110" s="308"/>
      <c r="BT110" s="308"/>
      <c r="BU110" s="308"/>
      <c r="BV110" s="308"/>
      <c r="BW110" s="308"/>
      <c r="BX110" s="308"/>
      <c r="BY110" s="308"/>
      <c r="BZ110" s="308"/>
      <c r="CA110" s="308"/>
      <c r="CB110" s="308"/>
      <c r="CC110" s="308"/>
      <c r="CD110" s="308"/>
      <c r="CE110" s="308"/>
      <c r="CF110" s="308"/>
      <c r="CG110" s="308"/>
      <c r="CH110" s="308"/>
      <c r="CI110" s="308"/>
      <c r="CJ110" s="308"/>
      <c r="CK110" s="308"/>
      <c r="CL110" s="308"/>
      <c r="CM110" s="308"/>
      <c r="CN110" s="308"/>
      <c r="CO110" s="308"/>
      <c r="CP110" s="308"/>
      <c r="CQ110" s="308"/>
      <c r="CR110" s="308"/>
      <c r="CS110" s="308"/>
      <c r="CT110" s="308"/>
      <c r="CU110" s="308"/>
      <c r="CV110" s="308"/>
      <c r="CW110" s="308"/>
      <c r="CX110" s="308"/>
      <c r="CY110" s="308"/>
      <c r="CZ110" s="308"/>
      <c r="DA110" s="308"/>
      <c r="DB110" s="308"/>
      <c r="DC110" s="308"/>
      <c r="DD110" s="308"/>
      <c r="DE110" s="308"/>
      <c r="DF110" s="308"/>
      <c r="DG110" s="308"/>
      <c r="DH110" s="308"/>
      <c r="DI110" s="308"/>
      <c r="DJ110" s="308"/>
      <c r="DK110" s="308"/>
      <c r="DL110" s="308"/>
      <c r="DM110" s="308"/>
      <c r="DN110" s="308"/>
      <c r="DO110" s="308"/>
      <c r="DP110" s="308"/>
      <c r="DQ110" s="308"/>
      <c r="DR110" s="308"/>
      <c r="DS110" s="308"/>
      <c r="DT110" s="308"/>
      <c r="DU110" s="308"/>
      <c r="DV110" s="308"/>
      <c r="DW110" s="308"/>
      <c r="DX110" s="308"/>
      <c r="DY110" s="308"/>
      <c r="DZ110" s="308"/>
      <c r="EA110" s="308"/>
      <c r="EB110" s="308"/>
      <c r="EC110" s="308"/>
      <c r="ED110" s="308"/>
      <c r="EE110" s="308"/>
      <c r="EF110" s="308"/>
      <c r="EG110" s="308"/>
      <c r="EH110" s="308"/>
      <c r="EI110" s="308"/>
      <c r="EJ110" s="308"/>
      <c r="EK110" s="308"/>
      <c r="EL110" s="308"/>
      <c r="EM110" s="308"/>
      <c r="EN110" s="308"/>
      <c r="EO110" s="308"/>
      <c r="EP110" s="308"/>
      <c r="EQ110" s="308"/>
      <c r="ER110" s="308"/>
      <c r="ES110" s="308"/>
      <c r="ET110" s="308"/>
      <c r="EU110" s="308"/>
      <c r="EV110" s="308"/>
      <c r="EW110" s="308"/>
      <c r="EX110" s="308"/>
      <c r="EY110" s="308"/>
      <c r="EZ110" s="308"/>
      <c r="FA110" s="308"/>
      <c r="FB110" s="308"/>
      <c r="FC110" s="308"/>
      <c r="FD110" s="308"/>
      <c r="FE110" s="308"/>
      <c r="FF110" s="308"/>
      <c r="FG110" s="308"/>
      <c r="FH110" s="308"/>
      <c r="FI110" s="308"/>
      <c r="FJ110" s="308"/>
      <c r="FK110" s="308"/>
      <c r="FL110" s="308"/>
      <c r="FM110" s="308"/>
      <c r="FN110" s="308"/>
      <c r="FO110" s="308"/>
      <c r="FP110" s="308"/>
      <c r="FQ110" s="308"/>
      <c r="FR110" s="308"/>
      <c r="FS110" s="308"/>
      <c r="FT110" s="308"/>
      <c r="FU110" s="308"/>
      <c r="FV110" s="308"/>
      <c r="FW110" s="308"/>
      <c r="FX110" s="308"/>
      <c r="FY110" s="308"/>
      <c r="FZ110" s="308"/>
      <c r="GA110" s="308"/>
      <c r="GB110" s="308"/>
      <c r="GC110" s="308"/>
      <c r="GD110" s="308"/>
      <c r="GE110" s="308"/>
      <c r="GF110" s="308"/>
      <c r="GG110" s="308"/>
      <c r="GH110" s="308"/>
      <c r="GI110" s="308"/>
      <c r="GJ110" s="308"/>
      <c r="GK110" s="308"/>
      <c r="GL110" s="308"/>
      <c r="GM110" s="308"/>
      <c r="GN110" s="308"/>
      <c r="GO110" s="308"/>
      <c r="GP110" s="308"/>
      <c r="GQ110" s="308"/>
      <c r="GR110" s="308"/>
      <c r="GS110" s="308"/>
      <c r="GT110" s="308"/>
      <c r="GU110" s="308"/>
      <c r="GV110" s="308"/>
      <c r="GW110" s="308"/>
      <c r="GX110" s="308"/>
      <c r="GY110" s="308"/>
      <c r="GZ110" s="308"/>
      <c r="HA110" s="308"/>
      <c r="HB110" s="308"/>
      <c r="HC110" s="308"/>
      <c r="HD110" s="308"/>
      <c r="HE110" s="308"/>
      <c r="HF110" s="308"/>
      <c r="HG110" s="308"/>
      <c r="HH110" s="308"/>
      <c r="HI110" s="308"/>
      <c r="HJ110" s="308"/>
      <c r="HK110" s="308"/>
      <c r="HL110" s="308"/>
      <c r="HM110" s="308"/>
      <c r="HN110" s="308"/>
      <c r="HO110" s="308"/>
      <c r="HP110" s="308"/>
      <c r="HQ110" s="308"/>
      <c r="HR110" s="308"/>
      <c r="HS110" s="308"/>
      <c r="HT110" s="308"/>
      <c r="HU110" s="308"/>
      <c r="HV110" s="308"/>
      <c r="HW110" s="308"/>
      <c r="HX110" s="308"/>
      <c r="HY110" s="308"/>
      <c r="HZ110" s="308"/>
      <c r="IA110" s="308"/>
      <c r="IB110" s="308"/>
      <c r="IC110" s="308"/>
      <c r="ID110" s="308"/>
      <c r="IE110" s="308"/>
      <c r="IF110" s="308"/>
      <c r="IG110" s="308"/>
      <c r="IH110" s="308"/>
      <c r="II110" s="308"/>
      <c r="IJ110" s="308"/>
      <c r="IK110" s="308"/>
      <c r="IL110" s="308"/>
      <c r="IM110" s="308"/>
      <c r="IN110" s="308"/>
      <c r="IO110" s="308"/>
      <c r="IP110" s="308"/>
      <c r="IQ110" s="308"/>
      <c r="IR110" s="308"/>
      <c r="IS110" s="308"/>
      <c r="IT110" s="308"/>
      <c r="IU110" s="308"/>
      <c r="IV110" s="308"/>
      <c r="IW110" s="308"/>
      <c r="IX110" s="308"/>
    </row>
    <row r="111" spans="1:258" s="420" customFormat="1" ht="17.399999999999999" x14ac:dyDescent="0.3">
      <c r="A111" s="139" t="s">
        <v>1</v>
      </c>
      <c r="B111" s="146" t="s">
        <v>225</v>
      </c>
      <c r="C111" s="136">
        <f>'Input data plant-based products'!D38</f>
        <v>1</v>
      </c>
      <c r="D111" s="325" t="s">
        <v>473</v>
      </c>
      <c r="E111" s="769">
        <f>IF($F$1="GWP100 without fb",E112+E113*'Common input data'!$C$5+E114*'Common input data'!$D$5,IF($F$1="GWP100 with fb",E112+E113*'Common input data'!$C$6+E114*'Common input data'!$D$6,IF($F$1="GTP100 without fb",E112+E113*'Common input data'!$C$7+E114*'Common input data'!$D$7,IF($F$1="GTP100 with fb",E112+E113*'Common input data'!$C$8+E114*'Common input data'!$D$8,E112+E113*'Common input data'!$C$9+E114*'Common input data'!$D$9))))</f>
        <v>0.40028722032645803</v>
      </c>
      <c r="F111" s="326">
        <f>IF($F$1="GWP100 without fb",F112+F113*'Common input data'!$C$5+F114*'Common input data'!$D$5,IF($F$1="GWP100 with fb",F112+F113*'Common input data'!$C$6+F114*'Common input data'!$D$6,IF($F$1="GTP100 without fb",F112+F113*'Common input data'!$C$7+F114*'Common input data'!$D$7,IF($F$1="GTP100 with fb",F112+F113*'Common input data'!$C$8+F114*'Common input data'!$D$8,F112+F113*'Common input data'!$C$9+F114*'Common input data'!$D$9))))</f>
        <v>0.82478628100541451</v>
      </c>
      <c r="G111" s="770">
        <f>IF($F$1="GWP100 without fb",G112+G113*'Common input data'!$C$5+G114*'Common input data'!$D$5,IF($F$1="GWP100 with fb",G112+G113*'Common input data'!$C$6+G114*'Common input data'!$D$6,IF($F$1="GTP100 without fb",G112+G113*'Common input data'!$C$7+G114*'Common input data'!$D$7,IF($F$1="GTP100 with fb",G112+G113*'Common input data'!$C$8+G114*'Common input data'!$D$8,G112+G113*'Common input data'!$C$9+G114*'Common input data'!$D$9))))</f>
        <v>1.523165460977991</v>
      </c>
      <c r="H111" s="326"/>
      <c r="I111" s="137"/>
      <c r="J111" s="137"/>
      <c r="K111" s="408"/>
      <c r="L111" s="408"/>
      <c r="M111" s="408"/>
      <c r="N111" s="408"/>
      <c r="O111" s="408"/>
      <c r="P111" s="408"/>
      <c r="Q111" s="408"/>
      <c r="R111" s="408"/>
      <c r="S111" s="445"/>
      <c r="T111" s="408"/>
      <c r="U111" s="409"/>
      <c r="V111" s="107"/>
      <c r="W111" s="64"/>
      <c r="X111" s="64"/>
      <c r="Y111" s="64"/>
      <c r="Z111" s="64"/>
      <c r="AA111" s="64"/>
      <c r="AB111" s="64"/>
      <c r="AC111" s="64"/>
      <c r="AD111" s="64"/>
      <c r="AE111" s="64"/>
      <c r="AF111" s="64"/>
      <c r="AG111" s="64"/>
      <c r="AH111" s="64"/>
      <c r="AI111" s="64"/>
      <c r="AJ111" s="64"/>
      <c r="AK111" s="64"/>
      <c r="AL111" s="308"/>
      <c r="AM111" s="308"/>
      <c r="AN111" s="308"/>
      <c r="AO111" s="308"/>
      <c r="AP111" s="308"/>
      <c r="AQ111" s="308"/>
      <c r="AR111" s="308"/>
      <c r="AS111" s="308"/>
      <c r="AT111" s="308"/>
      <c r="AU111" s="308"/>
      <c r="AV111" s="308"/>
      <c r="AW111" s="308"/>
      <c r="AX111" s="308"/>
      <c r="AY111" s="308"/>
      <c r="AZ111" s="308"/>
      <c r="BA111" s="308"/>
      <c r="BB111" s="308"/>
      <c r="BC111" s="308"/>
      <c r="BD111" s="308"/>
      <c r="BE111" s="308"/>
      <c r="BF111" s="308"/>
      <c r="BG111" s="308"/>
      <c r="BH111" s="308"/>
      <c r="BI111" s="308"/>
      <c r="BJ111" s="308"/>
      <c r="BK111" s="308"/>
      <c r="BL111" s="308"/>
      <c r="BM111" s="308"/>
      <c r="BN111" s="308"/>
      <c r="BO111" s="308"/>
      <c r="BP111" s="308"/>
      <c r="BQ111" s="308"/>
      <c r="BR111" s="308"/>
      <c r="BS111" s="308"/>
      <c r="BT111" s="308"/>
      <c r="BU111" s="308"/>
      <c r="BV111" s="308"/>
      <c r="BW111" s="308"/>
      <c r="BX111" s="308"/>
      <c r="BY111" s="308"/>
      <c r="BZ111" s="308"/>
      <c r="CA111" s="308"/>
      <c r="CB111" s="308"/>
      <c r="CC111" s="308"/>
      <c r="CD111" s="308"/>
      <c r="CE111" s="308"/>
      <c r="CF111" s="308"/>
      <c r="CG111" s="308"/>
      <c r="CH111" s="308"/>
      <c r="CI111" s="308"/>
      <c r="CJ111" s="308"/>
      <c r="CK111" s="308"/>
      <c r="CL111" s="308"/>
      <c r="CM111" s="308"/>
      <c r="CN111" s="308"/>
      <c r="CO111" s="308"/>
      <c r="CP111" s="308"/>
      <c r="CQ111" s="308"/>
      <c r="CR111" s="308"/>
      <c r="CS111" s="308"/>
      <c r="CT111" s="308"/>
      <c r="CU111" s="308"/>
      <c r="CV111" s="308"/>
      <c r="CW111" s="308"/>
      <c r="CX111" s="308"/>
      <c r="CY111" s="308"/>
      <c r="CZ111" s="308"/>
      <c r="DA111" s="308"/>
      <c r="DB111" s="308"/>
      <c r="DC111" s="308"/>
      <c r="DD111" s="308"/>
      <c r="DE111" s="308"/>
      <c r="DF111" s="308"/>
      <c r="DG111" s="308"/>
      <c r="DH111" s="308"/>
      <c r="DI111" s="308"/>
      <c r="DJ111" s="308"/>
      <c r="DK111" s="308"/>
      <c r="DL111" s="308"/>
      <c r="DM111" s="308"/>
      <c r="DN111" s="308"/>
      <c r="DO111" s="308"/>
      <c r="DP111" s="308"/>
      <c r="DQ111" s="308"/>
      <c r="DR111" s="308"/>
      <c r="DS111" s="308"/>
      <c r="DT111" s="308"/>
      <c r="DU111" s="308"/>
      <c r="DV111" s="308"/>
      <c r="DW111" s="308"/>
      <c r="DX111" s="308"/>
      <c r="DY111" s="308"/>
      <c r="DZ111" s="308"/>
      <c r="EA111" s="308"/>
      <c r="EB111" s="308"/>
      <c r="EC111" s="308"/>
      <c r="ED111" s="308"/>
      <c r="EE111" s="308"/>
      <c r="EF111" s="308"/>
      <c r="EG111" s="308"/>
      <c r="EH111" s="308"/>
      <c r="EI111" s="308"/>
      <c r="EJ111" s="308"/>
      <c r="EK111" s="308"/>
      <c r="EL111" s="308"/>
      <c r="EM111" s="308"/>
      <c r="EN111" s="308"/>
      <c r="EO111" s="308"/>
      <c r="EP111" s="308"/>
      <c r="EQ111" s="308"/>
      <c r="ER111" s="308"/>
      <c r="ES111" s="308"/>
      <c r="ET111" s="308"/>
      <c r="EU111" s="308"/>
      <c r="EV111" s="308"/>
      <c r="EW111" s="308"/>
      <c r="EX111" s="308"/>
      <c r="EY111" s="308"/>
      <c r="EZ111" s="308"/>
      <c r="FA111" s="308"/>
      <c r="FB111" s="308"/>
      <c r="FC111" s="308"/>
      <c r="FD111" s="308"/>
      <c r="FE111" s="308"/>
      <c r="FF111" s="308"/>
      <c r="FG111" s="308"/>
      <c r="FH111" s="308"/>
      <c r="FI111" s="308"/>
      <c r="FJ111" s="308"/>
      <c r="FK111" s="308"/>
      <c r="FL111" s="308"/>
      <c r="FM111" s="308"/>
      <c r="FN111" s="308"/>
      <c r="FO111" s="308"/>
      <c r="FP111" s="308"/>
      <c r="FQ111" s="308"/>
      <c r="FR111" s="308"/>
      <c r="FS111" s="308"/>
      <c r="FT111" s="308"/>
      <c r="FU111" s="308"/>
      <c r="FV111" s="308"/>
      <c r="FW111" s="308"/>
      <c r="FX111" s="308"/>
      <c r="FY111" s="308"/>
      <c r="FZ111" s="308"/>
      <c r="GA111" s="308"/>
      <c r="GB111" s="308"/>
      <c r="GC111" s="308"/>
      <c r="GD111" s="308"/>
      <c r="GE111" s="308"/>
      <c r="GF111" s="308"/>
      <c r="GG111" s="308"/>
      <c r="GH111" s="308"/>
      <c r="GI111" s="308"/>
      <c r="GJ111" s="308"/>
      <c r="GK111" s="308"/>
      <c r="GL111" s="308"/>
      <c r="GM111" s="308"/>
      <c r="GN111" s="308"/>
      <c r="GO111" s="308"/>
      <c r="GP111" s="308"/>
      <c r="GQ111" s="308"/>
      <c r="GR111" s="308"/>
      <c r="GS111" s="308"/>
      <c r="GT111" s="308"/>
      <c r="GU111" s="308"/>
      <c r="GV111" s="308"/>
      <c r="GW111" s="308"/>
      <c r="GX111" s="308"/>
      <c r="GY111" s="308"/>
      <c r="GZ111" s="308"/>
      <c r="HA111" s="308"/>
      <c r="HB111" s="308"/>
      <c r="HC111" s="308"/>
      <c r="HD111" s="308"/>
      <c r="HE111" s="308"/>
      <c r="HF111" s="308"/>
      <c r="HG111" s="308"/>
      <c r="HH111" s="308"/>
      <c r="HI111" s="308"/>
      <c r="HJ111" s="308"/>
      <c r="HK111" s="308"/>
      <c r="HL111" s="308"/>
      <c r="HM111" s="308"/>
      <c r="HN111" s="308"/>
      <c r="HO111" s="308"/>
      <c r="HP111" s="308"/>
      <c r="HQ111" s="308"/>
      <c r="HR111" s="308"/>
      <c r="HS111" s="308"/>
      <c r="HT111" s="308"/>
      <c r="HU111" s="308"/>
      <c r="HV111" s="308"/>
      <c r="HW111" s="308"/>
      <c r="HX111" s="308"/>
      <c r="HY111" s="308"/>
      <c r="HZ111" s="308"/>
      <c r="IA111" s="308"/>
      <c r="IB111" s="308"/>
      <c r="IC111" s="308"/>
      <c r="ID111" s="308"/>
      <c r="IE111" s="308"/>
      <c r="IF111" s="308"/>
      <c r="IG111" s="308"/>
      <c r="IH111" s="308"/>
      <c r="II111" s="308"/>
      <c r="IJ111" s="308"/>
      <c r="IK111" s="308"/>
      <c r="IL111" s="308"/>
      <c r="IM111" s="308"/>
      <c r="IN111" s="308"/>
      <c r="IO111" s="308"/>
      <c r="IP111" s="308"/>
      <c r="IQ111" s="308"/>
      <c r="IR111" s="308"/>
      <c r="IS111" s="308"/>
      <c r="IT111" s="308"/>
      <c r="IU111" s="308"/>
      <c r="IV111" s="308"/>
      <c r="IW111" s="308"/>
      <c r="IX111" s="308"/>
    </row>
    <row r="112" spans="1:258" s="308" customFormat="1" ht="17.399999999999999" x14ac:dyDescent="0.3">
      <c r="A112" s="144"/>
      <c r="B112" s="84"/>
      <c r="C112" s="64"/>
      <c r="D112" s="83" t="s">
        <v>164</v>
      </c>
      <c r="E112" s="270">
        <f>IF(AND($F$2="No",$F$3="No"),SUM(J112:K112)*'Input data plant-based products'!O$126,IF(AND($F$2="Yes", $F$3="No"), (SUM(J112:K112)+Q112)*'Input data plant-based products'!O$126, IF(AND($F$2="No", $F$3="Yes"),(SUM(J112:K112)+P112)*'Input data plant-based products'!O$126, (SUM(J112:K112)+Q112+P112)*'Input data plant-based products'!O$126)))</f>
        <v>0.25993166525922118</v>
      </c>
      <c r="F112" s="90">
        <f>IF(AND($F$2="No",$F$3="No"),SUM(H112:O112)*'Input data plant-based products'!O$126,IF(AND($F$2="Yes", $F$3="No"), (SUM(H112:O112)+Q112)*'Input data plant-based products'!O$126, IF(AND($F$2="No", $F$3="Yes"),(SUM(H112:O112)+P112)*'Input data plant-based products'!O$126, (SUM(H112:O112)+Q112+P112)*'Input data plant-based products'!O$126)))</f>
        <v>0.65031220088894826</v>
      </c>
      <c r="G112" s="278">
        <f>SUM(S112:U112)/(1-'Common input data'!$B$123)</f>
        <v>1.2367417381069723</v>
      </c>
      <c r="H112" s="85">
        <f>('Input data plant-based products'!$F$21*('Common input data'!$B$76*'Common input data'!B69+'Common input data'!$B$77*'Common input data'!C69))/'Input data plant-based products'!$E$21</f>
        <v>4.2254638058350606E-3</v>
      </c>
      <c r="I112" s="85">
        <f>'Common input data'!B81</f>
        <v>0.03</v>
      </c>
      <c r="J112" s="85">
        <v>0</v>
      </c>
      <c r="K112" s="85">
        <v>0</v>
      </c>
      <c r="L112" s="85">
        <f>('Input data plant-based products'!$I$21*'Common input data'!$C$59*'Common input data'!H49)/'Input data plant-based products'!$E$21</f>
        <v>5.8330801371998756E-3</v>
      </c>
      <c r="M112" s="85">
        <v>0</v>
      </c>
      <c r="N112" s="85">
        <f>'Input data plant-based products'!G152</f>
        <v>0.02</v>
      </c>
      <c r="O112" s="85">
        <v>0</v>
      </c>
      <c r="P112" s="85">
        <f>'Common input data'!E13</f>
        <v>3.9989486962957101E-2</v>
      </c>
      <c r="Q112" s="85">
        <v>0</v>
      </c>
      <c r="R112" s="85">
        <f>'Input data plant-based products'!I$126*3.6*'Common input data'!B49+'Input data plant-based products'!J$126*3.6*'Common input data'!C49+'Input data plant-based products'!K$126*'Common input data'!B63+'Input data plant-based products'!L$126*3.6*'Common input data'!G49</f>
        <v>5.8137108000000007E-2</v>
      </c>
      <c r="S112" s="85">
        <f>(F112+R112)*'Common input data'!D$29/'Common input data'!$C$29</f>
        <v>0.80965635301594097</v>
      </c>
      <c r="T112" s="90">
        <f>'Common input data'!B88</f>
        <v>0.05</v>
      </c>
      <c r="U112" s="109">
        <f>'Common input data'!C98</f>
        <v>0.03</v>
      </c>
      <c r="V112" s="107"/>
      <c r="W112" s="64"/>
      <c r="X112" s="64"/>
      <c r="Y112" s="64"/>
      <c r="Z112" s="64"/>
      <c r="AA112" s="64"/>
      <c r="AB112" s="64"/>
      <c r="AC112" s="64"/>
      <c r="AD112" s="64"/>
      <c r="AE112" s="64"/>
      <c r="AF112" s="64"/>
      <c r="AG112" s="64"/>
      <c r="AH112" s="64"/>
      <c r="AI112" s="64"/>
      <c r="AJ112" s="64"/>
      <c r="AK112" s="64"/>
    </row>
    <row r="113" spans="1:37" s="308" customFormat="1" ht="17.399999999999999" x14ac:dyDescent="0.3">
      <c r="A113" s="144"/>
      <c r="B113" s="84"/>
      <c r="C113" s="142"/>
      <c r="D113" s="83" t="s">
        <v>165</v>
      </c>
      <c r="E113" s="258">
        <f>SUM(J113:K113)*'Input data plant-based products'!O$126</f>
        <v>0</v>
      </c>
      <c r="F113" s="85">
        <f>SUM(H113:O113)*'Input data plant-based products'!O$126</f>
        <v>1.6795149303348924E-5</v>
      </c>
      <c r="G113" s="278">
        <f>SUM(S113:U113)/(1-'Common input data'!$B$123)</f>
        <v>2.7067519939525032E-4</v>
      </c>
      <c r="H113" s="85">
        <f>('Input data plant-based products'!$F$21*('Common input data'!$B$76*'Common input data'!B70+'Common input data'!$B$77*'Common input data'!C70))/'Input data plant-based products'!$E$21</f>
        <v>1.1312553788587465E-11</v>
      </c>
      <c r="I113" s="85">
        <v>0</v>
      </c>
      <c r="J113" s="85">
        <v>0</v>
      </c>
      <c r="K113" s="85">
        <v>0</v>
      </c>
      <c r="L113" s="85">
        <f>('Input data plant-based products'!$I$21*'Common input data'!$C$59*'Common input data'!H50)/'Input data plant-based products'!$E$21</f>
        <v>2.583857811038354E-6</v>
      </c>
      <c r="M113" s="85">
        <v>0</v>
      </c>
      <c r="N113" s="85">
        <v>0</v>
      </c>
      <c r="O113" s="85">
        <v>0</v>
      </c>
      <c r="P113" s="85">
        <v>0</v>
      </c>
      <c r="Q113" s="85">
        <v>0</v>
      </c>
      <c r="R113" s="85">
        <f>'Input data plant-based products'!I$126*3.6*'Common input data'!B50+'Input data plant-based products'!J$126*3.6*'Common input data'!C50+'Input data plant-based products'!L$126*3.6*'Common input data'!G50</f>
        <v>1.5357746400000003E-4</v>
      </c>
      <c r="S113" s="85">
        <f>(F113+R113)*'Common input data'!D$29/'Common input data'!$C$29</f>
        <v>1.9471155806097026E-4</v>
      </c>
      <c r="T113" s="90">
        <v>0</v>
      </c>
      <c r="U113" s="109">
        <v>0</v>
      </c>
      <c r="V113" s="107"/>
      <c r="W113" s="64"/>
      <c r="X113" s="64"/>
      <c r="Y113" s="64"/>
      <c r="Z113" s="64"/>
      <c r="AA113" s="64"/>
      <c r="AB113" s="64"/>
      <c r="AC113" s="64"/>
      <c r="AD113" s="64"/>
      <c r="AE113" s="64"/>
      <c r="AF113" s="64"/>
      <c r="AG113" s="64"/>
      <c r="AH113" s="64"/>
      <c r="AI113" s="64"/>
      <c r="AJ113" s="64"/>
      <c r="AK113" s="64"/>
    </row>
    <row r="114" spans="1:37" s="308" customFormat="1" ht="18" thickBot="1" x14ac:dyDescent="0.35">
      <c r="A114" s="172"/>
      <c r="B114" s="333"/>
      <c r="C114" s="101"/>
      <c r="D114" s="100" t="s">
        <v>166</v>
      </c>
      <c r="E114" s="263">
        <f>SUM(J114:K114)*'Input data plant-based products'!O$126</f>
        <v>4.7099179552764038E-4</v>
      </c>
      <c r="F114" s="264">
        <f>SUM(H114:O114)*'Input data plant-based products'!O$126</f>
        <v>5.83567265235411E-4</v>
      </c>
      <c r="G114" s="478">
        <f>SUM(S114:U114)/(1-'Common input data'!$B$123)</f>
        <v>9.3027102715295326E-4</v>
      </c>
      <c r="H114" s="101">
        <f>('Input data plant-based products'!$F$21*('Common input data'!$B$76*'Common input data'!B71+'Common input data'!$B$77*'Common input data'!C71))/'Input data plant-based products'!$E$21</f>
        <v>1.7162565894453011E-5</v>
      </c>
      <c r="I114" s="101">
        <v>0</v>
      </c>
      <c r="J114" s="101">
        <f>(SUM('Input data plant-based products'!F21:H21)*'Input data plant-based products'!B114*44/28)/'Input data plant-based products'!E21</f>
        <v>6.5872978395474185E-5</v>
      </c>
      <c r="K114" s="101">
        <f>J114*'Input data plant-based products'!B115</f>
        <v>6.5872978395474187E-6</v>
      </c>
      <c r="L114" s="101">
        <f>('Input data plant-based products'!$I$21*'Common input data'!$C$59*'Common input data'!H51)/'Input data plant-based products'!$E$21</f>
        <v>1.5673713751169319E-7</v>
      </c>
      <c r="M114" s="101">
        <v>0</v>
      </c>
      <c r="N114" s="101">
        <v>0</v>
      </c>
      <c r="O114" s="101">
        <v>0</v>
      </c>
      <c r="P114" s="101">
        <v>0</v>
      </c>
      <c r="Q114" s="101">
        <v>0</v>
      </c>
      <c r="R114" s="101">
        <f>'Input data plant-based products'!I$126*3.6*'Common input data'!B51+'Input data plant-based products'!J$126*3.6*'Common input data'!C51+'Input data plant-based products'!L$126*3.6*'Common input data'!G51</f>
        <v>1.9784601600000001E-6</v>
      </c>
      <c r="S114" s="101">
        <f>(F114+R114)*'Common input data'!D$29/'Common input data'!$C$29</f>
        <v>6.6919511473761267E-4</v>
      </c>
      <c r="T114" s="108">
        <v>0</v>
      </c>
      <c r="U114" s="442">
        <v>0</v>
      </c>
      <c r="V114" s="107"/>
      <c r="W114" s="64"/>
      <c r="X114" s="64"/>
      <c r="Y114" s="64"/>
      <c r="Z114" s="64"/>
      <c r="AA114" s="64"/>
      <c r="AB114" s="64"/>
      <c r="AC114" s="64"/>
      <c r="AD114" s="64"/>
      <c r="AE114" s="64"/>
      <c r="AF114" s="64"/>
      <c r="AG114" s="64"/>
      <c r="AH114" s="64"/>
      <c r="AI114" s="64"/>
      <c r="AJ114" s="64"/>
      <c r="AK114" s="64"/>
    </row>
  </sheetData>
  <dataValidations count="2">
    <dataValidation type="list" allowBlank="1" showInputMessage="1" showErrorMessage="1" sqref="F2:F3">
      <formula1>"Yes, No"</formula1>
    </dataValidation>
    <dataValidation type="list" allowBlank="1" showInputMessage="1" showErrorMessage="1" sqref="F1">
      <formula1>"GWP100 without fb, GWP100 with fb, GTP100 without fb, GTP100 with fb, GTP climate goal"</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X247"/>
  <sheetViews>
    <sheetView zoomScale="50" zoomScaleNormal="50" workbookViewId="0"/>
  </sheetViews>
  <sheetFormatPr defaultColWidth="8.88671875" defaultRowHeight="14.4" x14ac:dyDescent="0.3"/>
  <cols>
    <col min="1" max="1" width="52.88671875" style="64" bestFit="1" customWidth="1"/>
    <col min="2" max="2" width="37.6640625" style="64" customWidth="1"/>
    <col min="3" max="3" width="19.88671875" style="64" bestFit="1" customWidth="1"/>
    <col min="4" max="4" width="28" style="64" customWidth="1"/>
    <col min="5" max="7" width="38.88671875" style="64" customWidth="1"/>
    <col min="8" max="8" width="45.44140625" style="64" bestFit="1" customWidth="1"/>
    <col min="9" max="9" width="40.6640625" style="64" bestFit="1" customWidth="1"/>
    <col min="10" max="10" width="18.44140625" style="64" bestFit="1" customWidth="1"/>
    <col min="11" max="11" width="23.109375" style="64" bestFit="1" customWidth="1"/>
    <col min="12" max="12" width="19" style="64" bestFit="1" customWidth="1"/>
    <col min="13" max="13" width="29.33203125" style="64" bestFit="1" customWidth="1"/>
    <col min="14" max="14" width="28.6640625" style="64" bestFit="1" customWidth="1"/>
    <col min="15" max="17" width="28.6640625" style="64" customWidth="1"/>
    <col min="18" max="18" width="27.6640625" style="64" bestFit="1" customWidth="1"/>
    <col min="19" max="19" width="27.109375" style="64" bestFit="1" customWidth="1"/>
    <col min="20" max="20" width="19" style="64" bestFit="1" customWidth="1"/>
    <col min="21" max="21" width="22.33203125" style="64" bestFit="1" customWidth="1"/>
    <col min="22" max="26" width="8.88671875" style="64"/>
    <col min="27" max="27" width="39.6640625" style="64" bestFit="1" customWidth="1"/>
    <col min="28" max="31" width="8.88671875" style="64"/>
    <col min="32" max="32" width="33.88671875" style="64" bestFit="1" customWidth="1"/>
    <col min="33" max="33" width="27.6640625" style="64" bestFit="1" customWidth="1"/>
    <col min="34" max="34" width="19" style="64" bestFit="1" customWidth="1"/>
    <col min="35" max="35" width="17.6640625" style="64" bestFit="1" customWidth="1"/>
    <col min="36" max="36" width="8.88671875" style="64"/>
    <col min="37" max="37" width="28.6640625" style="64" bestFit="1" customWidth="1"/>
    <col min="38" max="38" width="27.6640625" style="64" bestFit="1" customWidth="1"/>
    <col min="39" max="16384" width="8.88671875" style="64"/>
  </cols>
  <sheetData>
    <row r="1" spans="1:258" ht="31.2" x14ac:dyDescent="0.6">
      <c r="A1" s="362" t="s">
        <v>661</v>
      </c>
      <c r="E1" s="291" t="s">
        <v>550</v>
      </c>
      <c r="F1" s="292" t="s">
        <v>1243</v>
      </c>
    </row>
    <row r="2" spans="1:258" ht="17.399999999999999" x14ac:dyDescent="0.35">
      <c r="C2" s="524"/>
      <c r="E2" s="291" t="s">
        <v>551</v>
      </c>
      <c r="F2" s="292" t="s">
        <v>1339</v>
      </c>
      <c r="G2" s="291"/>
      <c r="H2" s="76"/>
      <c r="I2" s="243"/>
      <c r="J2" s="242"/>
      <c r="K2" s="243"/>
      <c r="L2" s="243"/>
      <c r="M2" s="243"/>
      <c r="N2" s="243"/>
      <c r="O2" s="243"/>
      <c r="P2" s="243"/>
      <c r="Q2" s="243"/>
      <c r="R2" s="243"/>
      <c r="S2" s="243"/>
      <c r="T2" s="243"/>
      <c r="U2" s="243"/>
      <c r="V2" s="360"/>
    </row>
    <row r="3" spans="1:258" ht="69.599999999999994" x14ac:dyDescent="0.35">
      <c r="E3" s="763" t="s">
        <v>1251</v>
      </c>
      <c r="F3" s="292" t="s">
        <v>1339</v>
      </c>
      <c r="G3" s="291"/>
    </row>
    <row r="4" spans="1:258" ht="18" thickBot="1" x14ac:dyDescent="0.4">
      <c r="G4" s="291"/>
    </row>
    <row r="5" spans="1:258" ht="17.399999999999999" x14ac:dyDescent="0.35">
      <c r="A5" s="487"/>
      <c r="B5" s="297"/>
      <c r="C5" s="297"/>
      <c r="D5" s="297"/>
      <c r="E5" s="298" t="s">
        <v>531</v>
      </c>
      <c r="F5" s="304"/>
      <c r="G5" s="472"/>
      <c r="H5" s="332"/>
      <c r="I5" s="299"/>
      <c r="J5" s="536" t="s">
        <v>286</v>
      </c>
      <c r="K5" s="537"/>
      <c r="L5" s="533"/>
      <c r="M5" s="533"/>
      <c r="N5" s="533"/>
      <c r="O5" s="533"/>
      <c r="P5" s="533"/>
      <c r="Q5" s="533"/>
      <c r="R5" s="533"/>
      <c r="S5" s="533"/>
      <c r="T5" s="533"/>
      <c r="U5" s="533"/>
      <c r="V5" s="107"/>
    </row>
    <row r="6" spans="1:258" s="404" customFormat="1" ht="34.799999999999997" x14ac:dyDescent="0.3">
      <c r="A6" s="344"/>
      <c r="B6" s="343" t="s">
        <v>17</v>
      </c>
      <c r="C6" s="310" t="s">
        <v>621</v>
      </c>
      <c r="D6" s="310" t="s">
        <v>178</v>
      </c>
      <c r="E6" s="294" t="s">
        <v>554</v>
      </c>
      <c r="F6" s="293" t="s">
        <v>532</v>
      </c>
      <c r="G6" s="473" t="s">
        <v>533</v>
      </c>
      <c r="H6" s="310" t="s">
        <v>590</v>
      </c>
      <c r="I6" s="343" t="s">
        <v>5</v>
      </c>
      <c r="J6" s="518" t="s">
        <v>246</v>
      </c>
      <c r="K6" s="535" t="s">
        <v>247</v>
      </c>
      <c r="L6" s="310" t="s">
        <v>459</v>
      </c>
      <c r="M6" s="310" t="s">
        <v>224</v>
      </c>
      <c r="N6" s="310" t="s">
        <v>223</v>
      </c>
      <c r="O6" s="310" t="s">
        <v>222</v>
      </c>
      <c r="P6" s="343" t="s">
        <v>177</v>
      </c>
      <c r="Q6" s="343" t="s">
        <v>176</v>
      </c>
      <c r="R6" s="310" t="s">
        <v>488</v>
      </c>
      <c r="S6" s="343" t="s">
        <v>175</v>
      </c>
      <c r="T6" s="343" t="s">
        <v>3</v>
      </c>
      <c r="U6" s="343" t="s">
        <v>4</v>
      </c>
      <c r="V6" s="430"/>
      <c r="W6" s="243"/>
      <c r="X6" s="308"/>
      <c r="Y6" s="308"/>
      <c r="Z6" s="64"/>
      <c r="AA6" s="308"/>
      <c r="AB6" s="308"/>
      <c r="AC6" s="308"/>
      <c r="AD6" s="308"/>
      <c r="AE6" s="308"/>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c r="BD6" s="308"/>
      <c r="BE6" s="308"/>
      <c r="BF6" s="308"/>
      <c r="BG6" s="308"/>
      <c r="BH6" s="308"/>
      <c r="BI6" s="308"/>
      <c r="BJ6" s="308"/>
      <c r="BK6" s="308"/>
      <c r="BL6" s="308"/>
      <c r="BM6" s="308"/>
      <c r="BN6" s="308"/>
      <c r="BO6" s="308"/>
      <c r="BP6" s="308"/>
      <c r="BQ6" s="308"/>
      <c r="BR6" s="308"/>
      <c r="BS6" s="308"/>
      <c r="BT6" s="308"/>
      <c r="BU6" s="308"/>
      <c r="BV6" s="308"/>
      <c r="BW6" s="308"/>
      <c r="BX6" s="308"/>
      <c r="BY6" s="308"/>
      <c r="BZ6" s="308"/>
      <c r="CA6" s="308"/>
      <c r="CB6" s="308"/>
      <c r="CC6" s="308"/>
      <c r="CD6" s="308"/>
      <c r="CE6" s="308"/>
      <c r="CF6" s="308"/>
      <c r="CG6" s="308"/>
      <c r="CH6" s="308"/>
      <c r="CI6" s="308"/>
      <c r="CJ6" s="308"/>
      <c r="CK6" s="308"/>
      <c r="CL6" s="308"/>
      <c r="CM6" s="308"/>
      <c r="CN6" s="308"/>
      <c r="CO6" s="308"/>
      <c r="CP6" s="308"/>
      <c r="CQ6" s="308"/>
      <c r="CR6" s="308"/>
      <c r="CS6" s="308"/>
      <c r="CT6" s="308"/>
      <c r="CU6" s="308"/>
      <c r="CV6" s="308"/>
      <c r="CW6" s="308"/>
      <c r="CX6" s="308"/>
      <c r="CY6" s="308"/>
      <c r="CZ6" s="308"/>
      <c r="DA6" s="308"/>
      <c r="DB6" s="308"/>
      <c r="DC6" s="308"/>
      <c r="DD6" s="308"/>
      <c r="DE6" s="308"/>
      <c r="DF6" s="308"/>
      <c r="DG6" s="308"/>
      <c r="DH6" s="308"/>
      <c r="DI6" s="308"/>
      <c r="DJ6" s="308"/>
      <c r="DK6" s="308"/>
      <c r="DL6" s="308"/>
      <c r="DM6" s="308"/>
      <c r="DN6" s="308"/>
      <c r="DO6" s="308"/>
      <c r="DP6" s="308"/>
      <c r="DQ6" s="308"/>
      <c r="DR6" s="308"/>
      <c r="DS6" s="308"/>
      <c r="DT6" s="308"/>
      <c r="DU6" s="308"/>
      <c r="DV6" s="308"/>
      <c r="DW6" s="308"/>
      <c r="DX6" s="308"/>
      <c r="DY6" s="308"/>
      <c r="DZ6" s="308"/>
      <c r="EA6" s="308"/>
      <c r="EB6" s="308"/>
      <c r="EC6" s="308"/>
      <c r="ED6" s="308"/>
      <c r="EE6" s="308"/>
      <c r="EF6" s="308"/>
      <c r="EG6" s="308"/>
      <c r="EH6" s="308"/>
      <c r="EI6" s="308"/>
      <c r="EJ6" s="308"/>
      <c r="EK6" s="308"/>
      <c r="EL6" s="308"/>
      <c r="EM6" s="308"/>
      <c r="EN6" s="308"/>
      <c r="EO6" s="308"/>
      <c r="EP6" s="308"/>
      <c r="EQ6" s="308"/>
      <c r="ER6" s="308"/>
      <c r="ES6" s="308"/>
      <c r="ET6" s="308"/>
      <c r="EU6" s="308"/>
      <c r="EV6" s="308"/>
      <c r="EW6" s="308"/>
      <c r="EX6" s="308"/>
      <c r="EY6" s="308"/>
      <c r="EZ6" s="308"/>
      <c r="FA6" s="308"/>
      <c r="FB6" s="308"/>
      <c r="FC6" s="308"/>
      <c r="FD6" s="308"/>
      <c r="FE6" s="308"/>
      <c r="FF6" s="308"/>
      <c r="FG6" s="308"/>
      <c r="FH6" s="308"/>
      <c r="FI6" s="308"/>
      <c r="FJ6" s="308"/>
      <c r="FK6" s="308"/>
      <c r="FL6" s="308"/>
      <c r="FM6" s="308"/>
      <c r="FN6" s="308"/>
      <c r="FO6" s="308"/>
      <c r="FP6" s="308"/>
      <c r="FQ6" s="308"/>
      <c r="FR6" s="308"/>
      <c r="FS6" s="308"/>
      <c r="FT6" s="308"/>
      <c r="FU6" s="308"/>
      <c r="FV6" s="308"/>
      <c r="FW6" s="308"/>
      <c r="FX6" s="308"/>
      <c r="FY6" s="308"/>
      <c r="FZ6" s="308"/>
      <c r="GA6" s="308"/>
      <c r="GB6" s="308"/>
      <c r="GC6" s="308"/>
      <c r="GD6" s="308"/>
      <c r="GE6" s="308"/>
      <c r="GF6" s="308"/>
      <c r="GG6" s="308"/>
      <c r="GH6" s="308"/>
      <c r="GI6" s="308"/>
      <c r="GJ6" s="308"/>
      <c r="GK6" s="308"/>
      <c r="GL6" s="308"/>
      <c r="GM6" s="308"/>
      <c r="GN6" s="308"/>
      <c r="GO6" s="308"/>
      <c r="GP6" s="308"/>
      <c r="GQ6" s="308"/>
      <c r="GR6" s="308"/>
      <c r="GS6" s="308"/>
      <c r="GT6" s="308"/>
      <c r="GU6" s="308"/>
      <c r="GV6" s="308"/>
      <c r="GW6" s="308"/>
      <c r="GX6" s="308"/>
      <c r="GY6" s="308"/>
      <c r="GZ6" s="308"/>
      <c r="HA6" s="308"/>
      <c r="HB6" s="308"/>
      <c r="HC6" s="308"/>
      <c r="HD6" s="308"/>
      <c r="HE6" s="308"/>
      <c r="HF6" s="308"/>
      <c r="HG6" s="308"/>
      <c r="HH6" s="308"/>
      <c r="HI6" s="308"/>
      <c r="HJ6" s="308"/>
      <c r="HK6" s="308"/>
      <c r="HL6" s="308"/>
      <c r="HM6" s="308"/>
      <c r="HN6" s="308"/>
      <c r="HO6" s="308"/>
      <c r="HP6" s="308"/>
      <c r="HQ6" s="308"/>
      <c r="HR6" s="308"/>
      <c r="HS6" s="308"/>
      <c r="HT6" s="308"/>
      <c r="HU6" s="308"/>
      <c r="HV6" s="308"/>
      <c r="HW6" s="308"/>
      <c r="HX6" s="308"/>
      <c r="HY6" s="308"/>
      <c r="HZ6" s="308"/>
      <c r="IA6" s="308"/>
      <c r="IB6" s="308"/>
      <c r="IC6" s="308"/>
      <c r="ID6" s="308"/>
      <c r="IE6" s="308"/>
      <c r="IF6" s="308"/>
      <c r="IG6" s="308"/>
      <c r="IH6" s="308"/>
      <c r="II6" s="308"/>
      <c r="IJ6" s="308"/>
      <c r="IK6" s="308"/>
      <c r="IL6" s="308"/>
      <c r="IM6" s="308"/>
      <c r="IN6" s="308"/>
      <c r="IO6" s="308"/>
      <c r="IP6" s="308"/>
      <c r="IQ6" s="308"/>
      <c r="IR6" s="308"/>
      <c r="IS6" s="308"/>
      <c r="IT6" s="308"/>
      <c r="IU6" s="308"/>
      <c r="IV6" s="308"/>
      <c r="IW6" s="308"/>
      <c r="IX6" s="308"/>
    </row>
    <row r="7" spans="1:258" s="427" customFormat="1" ht="17.399999999999999" x14ac:dyDescent="0.3">
      <c r="A7" s="426" t="s">
        <v>624</v>
      </c>
      <c r="B7" s="412"/>
      <c r="C7" s="413"/>
      <c r="D7" s="414"/>
      <c r="E7" s="764" t="s">
        <v>809</v>
      </c>
      <c r="F7" s="765" t="s">
        <v>809</v>
      </c>
      <c r="G7" s="766" t="s">
        <v>809</v>
      </c>
      <c r="H7" s="413"/>
      <c r="I7" s="413"/>
      <c r="J7" s="413"/>
      <c r="K7" s="416"/>
      <c r="L7" s="416"/>
      <c r="M7" s="417"/>
      <c r="N7" s="416"/>
      <c r="O7" s="416"/>
      <c r="P7" s="416"/>
      <c r="Q7" s="416"/>
      <c r="R7" s="416"/>
      <c r="S7" s="416"/>
      <c r="T7" s="416"/>
      <c r="U7" s="416"/>
      <c r="V7" s="430"/>
      <c r="W7" s="243"/>
      <c r="X7" s="308"/>
      <c r="Y7" s="308"/>
      <c r="Z7" s="64"/>
      <c r="AA7" s="308"/>
      <c r="AB7" s="308"/>
      <c r="AC7" s="308"/>
      <c r="AD7" s="308"/>
      <c r="AE7" s="308"/>
      <c r="AF7" s="308"/>
      <c r="AG7" s="308"/>
      <c r="AH7" s="308"/>
      <c r="AI7" s="308"/>
      <c r="AJ7" s="308"/>
      <c r="AK7" s="308"/>
      <c r="AL7" s="308"/>
      <c r="AM7" s="308"/>
      <c r="AN7" s="308"/>
      <c r="AO7" s="308"/>
      <c r="AP7" s="308"/>
      <c r="AQ7" s="308"/>
      <c r="AR7" s="308"/>
      <c r="AS7" s="308"/>
      <c r="AT7" s="308"/>
      <c r="AU7" s="308"/>
      <c r="AV7" s="308"/>
      <c r="AW7" s="308"/>
      <c r="AX7" s="308"/>
      <c r="AY7" s="308"/>
      <c r="AZ7" s="308"/>
      <c r="BA7" s="308"/>
      <c r="BB7" s="308"/>
      <c r="BC7" s="308"/>
      <c r="BD7" s="308"/>
      <c r="BE7" s="308"/>
      <c r="BF7" s="308"/>
      <c r="BG7" s="308"/>
      <c r="BH7" s="308"/>
      <c r="BI7" s="308"/>
      <c r="BJ7" s="308"/>
      <c r="BK7" s="308"/>
      <c r="BL7" s="308"/>
      <c r="BM7" s="308"/>
      <c r="BN7" s="308"/>
      <c r="BO7" s="308"/>
      <c r="BP7" s="308"/>
      <c r="BQ7" s="308"/>
      <c r="BR7" s="308"/>
      <c r="BS7" s="308"/>
      <c r="BT7" s="308"/>
      <c r="BU7" s="308"/>
      <c r="BV7" s="308"/>
      <c r="BW7" s="308"/>
      <c r="BX7" s="308"/>
      <c r="BY7" s="308"/>
      <c r="BZ7" s="308"/>
      <c r="CA7" s="308"/>
      <c r="CB7" s="308"/>
      <c r="CC7" s="308"/>
      <c r="CD7" s="308"/>
      <c r="CE7" s="308"/>
      <c r="CF7" s="308"/>
      <c r="CG7" s="308"/>
      <c r="CH7" s="308"/>
      <c r="CI7" s="308"/>
      <c r="CJ7" s="308"/>
      <c r="CK7" s="308"/>
      <c r="CL7" s="308"/>
      <c r="CM7" s="308"/>
      <c r="CN7" s="308"/>
      <c r="CO7" s="308"/>
      <c r="CP7" s="308"/>
      <c r="CQ7" s="308"/>
      <c r="CR7" s="308"/>
      <c r="CS7" s="308"/>
      <c r="CT7" s="308"/>
      <c r="CU7" s="308"/>
      <c r="CV7" s="308"/>
      <c r="CW7" s="308"/>
      <c r="CX7" s="308"/>
      <c r="CY7" s="308"/>
      <c r="CZ7" s="308"/>
      <c r="DA7" s="308"/>
      <c r="DB7" s="308"/>
      <c r="DC7" s="308"/>
      <c r="DD7" s="308"/>
      <c r="DE7" s="308"/>
      <c r="DF7" s="308"/>
      <c r="DG7" s="308"/>
      <c r="DH7" s="308"/>
      <c r="DI7" s="308"/>
      <c r="DJ7" s="308"/>
      <c r="DK7" s="308"/>
      <c r="DL7" s="308"/>
      <c r="DM7" s="308"/>
      <c r="DN7" s="308"/>
      <c r="DO7" s="308"/>
      <c r="DP7" s="308"/>
      <c r="DQ7" s="308"/>
      <c r="DR7" s="308"/>
      <c r="DS7" s="308"/>
      <c r="DT7" s="308"/>
      <c r="DU7" s="308"/>
      <c r="DV7" s="308"/>
      <c r="DW7" s="308"/>
      <c r="DX7" s="308"/>
      <c r="DY7" s="308"/>
      <c r="DZ7" s="308"/>
      <c r="EA7" s="308"/>
      <c r="EB7" s="308"/>
      <c r="EC7" s="308"/>
      <c r="ED7" s="308"/>
      <c r="EE7" s="308"/>
      <c r="EF7" s="308"/>
      <c r="EG7" s="308"/>
      <c r="EH7" s="308"/>
      <c r="EI7" s="308"/>
      <c r="EJ7" s="308"/>
      <c r="EK7" s="308"/>
      <c r="EL7" s="308"/>
      <c r="EM7" s="308"/>
      <c r="EN7" s="308"/>
      <c r="EO7" s="308"/>
      <c r="EP7" s="308"/>
      <c r="EQ7" s="308"/>
      <c r="ER7" s="308"/>
      <c r="ES7" s="308"/>
      <c r="ET7" s="308"/>
      <c r="EU7" s="308"/>
      <c r="EV7" s="308"/>
      <c r="EW7" s="308"/>
      <c r="EX7" s="308"/>
      <c r="EY7" s="308"/>
      <c r="EZ7" s="308"/>
      <c r="FA7" s="308"/>
      <c r="FB7" s="308"/>
      <c r="FC7" s="308"/>
      <c r="FD7" s="308"/>
      <c r="FE7" s="308"/>
      <c r="FF7" s="308"/>
      <c r="FG7" s="308"/>
      <c r="FH7" s="308"/>
      <c r="FI7" s="308"/>
      <c r="FJ7" s="308"/>
      <c r="FK7" s="308"/>
      <c r="FL7" s="308"/>
      <c r="FM7" s="308"/>
      <c r="FN7" s="308"/>
      <c r="FO7" s="308"/>
      <c r="FP7" s="308"/>
      <c r="FQ7" s="308"/>
      <c r="FR7" s="308"/>
      <c r="FS7" s="308"/>
      <c r="FT7" s="308"/>
      <c r="FU7" s="308"/>
      <c r="FV7" s="308"/>
      <c r="FW7" s="308"/>
      <c r="FX7" s="308"/>
      <c r="FY7" s="308"/>
      <c r="FZ7" s="308"/>
      <c r="GA7" s="308"/>
      <c r="GB7" s="308"/>
      <c r="GC7" s="308"/>
      <c r="GD7" s="308"/>
      <c r="GE7" s="308"/>
      <c r="GF7" s="308"/>
      <c r="GG7" s="308"/>
      <c r="GH7" s="308"/>
      <c r="GI7" s="308"/>
      <c r="GJ7" s="308"/>
      <c r="GK7" s="308"/>
      <c r="GL7" s="308"/>
      <c r="GM7" s="308"/>
      <c r="GN7" s="308"/>
      <c r="GO7" s="308"/>
      <c r="GP7" s="308"/>
      <c r="GQ7" s="308"/>
      <c r="GR7" s="308"/>
      <c r="GS7" s="308"/>
      <c r="GT7" s="308"/>
      <c r="GU7" s="308"/>
      <c r="GV7" s="308"/>
      <c r="GW7" s="308"/>
      <c r="GX7" s="308"/>
      <c r="GY7" s="308"/>
      <c r="GZ7" s="308"/>
      <c r="HA7" s="308"/>
      <c r="HB7" s="308"/>
      <c r="HC7" s="308"/>
      <c r="HD7" s="308"/>
      <c r="HE7" s="308"/>
      <c r="HF7" s="308"/>
      <c r="HG7" s="308"/>
      <c r="HH7" s="308"/>
      <c r="HI7" s="308"/>
      <c r="HJ7" s="308"/>
      <c r="HK7" s="308"/>
      <c r="HL7" s="308"/>
      <c r="HM7" s="308"/>
      <c r="HN7" s="308"/>
      <c r="HO7" s="308"/>
      <c r="HP7" s="308"/>
      <c r="HQ7" s="308"/>
      <c r="HR7" s="308"/>
      <c r="HS7" s="308"/>
      <c r="HT7" s="308"/>
      <c r="HU7" s="308"/>
      <c r="HV7" s="308"/>
      <c r="HW7" s="308"/>
      <c r="HX7" s="308"/>
      <c r="HY7" s="308"/>
      <c r="HZ7" s="308"/>
      <c r="IA7" s="308"/>
      <c r="IB7" s="308"/>
      <c r="IC7" s="308"/>
      <c r="ID7" s="308"/>
      <c r="IE7" s="308"/>
      <c r="IF7" s="308"/>
      <c r="IG7" s="308"/>
      <c r="IH7" s="308"/>
      <c r="II7" s="308"/>
      <c r="IJ7" s="308"/>
      <c r="IK7" s="308"/>
      <c r="IL7" s="308"/>
      <c r="IM7" s="308"/>
      <c r="IN7" s="308"/>
      <c r="IO7" s="308"/>
      <c r="IP7" s="308"/>
      <c r="IQ7" s="308"/>
      <c r="IR7" s="308"/>
      <c r="IS7" s="308"/>
      <c r="IT7" s="308"/>
      <c r="IU7" s="308"/>
      <c r="IV7" s="308"/>
      <c r="IW7" s="308"/>
      <c r="IX7" s="308"/>
    </row>
    <row r="8" spans="1:258" s="420" customFormat="1" ht="17.399999999999999" x14ac:dyDescent="0.3">
      <c r="A8" s="122" t="s">
        <v>249</v>
      </c>
      <c r="B8" s="150"/>
      <c r="C8" s="110">
        <f>SUM(C12:C35)</f>
        <v>1.0000000000000002</v>
      </c>
      <c r="D8" s="269" t="s">
        <v>473</v>
      </c>
      <c r="E8" s="769">
        <f>IF($F$1="GWP100 without fb",E9+E10*'Common input data'!$C$5+E11*'Common input data'!$D$5,IF($F$1="GWP100 with fb",E9+E10*'Common input data'!$C$6+E11*'Common input data'!$D$6,IF($F$1="GTP100 without fb",E9+E10*'Common input data'!$C$7+E11*'Common input data'!$D$7,IF($F$1="GTP100 with fb",E9+E10*'Common input data'!$C$8+E11*'Common input data'!$D$8,E9+E10*'Common input data'!$C$9+E11*'Common input data'!$D$9))))</f>
        <v>1.8676906932218667E-2</v>
      </c>
      <c r="F8" s="326">
        <f>IF($F$1="GWP100 without fb",F9+F10*'Common input data'!$C$5+F11*'Common input data'!$D$5,IF($F$1="GWP100 with fb",F9+F10*'Common input data'!$C$6+F11*'Common input data'!$D$6,IF($F$1="GTP100 without fb",F9+F10*'Common input data'!$C$7+F11*'Common input data'!$D$7,IF($F$1="GTP100 with fb",F9+F10*'Common input data'!$C$8+F11*'Common input data'!$D$8,F9+F10*'Common input data'!$C$9+F11*'Common input data'!$D$9))))</f>
        <v>1.0558136752040366</v>
      </c>
      <c r="G8" s="770">
        <f>IF($F$1="GWP100 without fb",G9+G10*'Common input data'!$C$5+G11*'Common input data'!$D$5,IF($F$1="GWP100 with fb",G9+G10*'Common input data'!$C$6+G11*'Common input data'!$D$6,IF($F$1="GTP100 without fb",G9+G10*'Common input data'!$C$7+G11*'Common input data'!$D$7,IF($F$1="GTP100 with fb",G9+G10*'Common input data'!$C$8+G11*'Common input data'!$D$8,G9+G10*'Common input data'!$C$9+G11*'Common input data'!$D$9))))</f>
        <v>1.4939893486144373</v>
      </c>
      <c r="H8" s="302"/>
      <c r="I8" s="104"/>
      <c r="J8" s="104"/>
      <c r="K8" s="102"/>
      <c r="L8" s="102"/>
      <c r="M8" s="102"/>
      <c r="N8" s="102"/>
      <c r="O8" s="102"/>
      <c r="P8" s="102"/>
      <c r="Q8" s="102"/>
      <c r="R8" s="102"/>
      <c r="S8" s="102"/>
      <c r="T8" s="102"/>
      <c r="U8" s="102"/>
      <c r="V8" s="430"/>
      <c r="W8" s="243"/>
      <c r="X8" s="308"/>
      <c r="Y8" s="308"/>
      <c r="Z8" s="64"/>
      <c r="AA8" s="308"/>
      <c r="AB8" s="308"/>
      <c r="AC8" s="308"/>
      <c r="AD8" s="308"/>
      <c r="AE8" s="308"/>
      <c r="AF8" s="308"/>
      <c r="AG8" s="308"/>
      <c r="AH8" s="308"/>
      <c r="AI8" s="308"/>
      <c r="AJ8" s="308"/>
      <c r="AK8" s="308"/>
      <c r="AL8" s="308"/>
      <c r="AM8" s="308"/>
      <c r="AN8" s="308"/>
      <c r="AO8" s="308"/>
      <c r="AP8" s="308"/>
      <c r="AQ8" s="308"/>
      <c r="AR8" s="308"/>
      <c r="AS8" s="308"/>
      <c r="AT8" s="308"/>
      <c r="AU8" s="308"/>
      <c r="AV8" s="308"/>
      <c r="AW8" s="308"/>
      <c r="AX8" s="308"/>
      <c r="AY8" s="308"/>
      <c r="AZ8" s="308"/>
      <c r="BA8" s="308"/>
      <c r="BB8" s="308"/>
      <c r="BC8" s="308"/>
      <c r="BD8" s="308"/>
      <c r="BE8" s="308"/>
      <c r="BF8" s="308"/>
      <c r="BG8" s="308"/>
      <c r="BH8" s="308"/>
      <c r="BI8" s="308"/>
      <c r="BJ8" s="308"/>
      <c r="BK8" s="308"/>
      <c r="BL8" s="308"/>
      <c r="BM8" s="308"/>
      <c r="BN8" s="308"/>
      <c r="BO8" s="308"/>
      <c r="BP8" s="308"/>
      <c r="BQ8" s="308"/>
      <c r="BR8" s="308"/>
      <c r="BS8" s="308"/>
      <c r="BT8" s="308"/>
      <c r="BU8" s="308"/>
      <c r="BV8" s="308"/>
      <c r="BW8" s="308"/>
      <c r="BX8" s="308"/>
      <c r="BY8" s="308"/>
      <c r="BZ8" s="308"/>
      <c r="CA8" s="308"/>
      <c r="CB8" s="308"/>
      <c r="CC8" s="308"/>
      <c r="CD8" s="308"/>
      <c r="CE8" s="308"/>
      <c r="CF8" s="308"/>
      <c r="CG8" s="308"/>
      <c r="CH8" s="308"/>
      <c r="CI8" s="308"/>
      <c r="CJ8" s="308"/>
      <c r="CK8" s="308"/>
      <c r="CL8" s="308"/>
      <c r="CM8" s="308"/>
      <c r="CN8" s="308"/>
      <c r="CO8" s="308"/>
      <c r="CP8" s="308"/>
      <c r="CQ8" s="308"/>
      <c r="CR8" s="308"/>
      <c r="CS8" s="308"/>
      <c r="CT8" s="308"/>
      <c r="CU8" s="308"/>
      <c r="CV8" s="308"/>
      <c r="CW8" s="308"/>
      <c r="CX8" s="308"/>
      <c r="CY8" s="308"/>
      <c r="CZ8" s="308"/>
      <c r="DA8" s="308"/>
      <c r="DB8" s="308"/>
      <c r="DC8" s="308"/>
      <c r="DD8" s="308"/>
      <c r="DE8" s="308"/>
      <c r="DF8" s="308"/>
      <c r="DG8" s="308"/>
      <c r="DH8" s="308"/>
      <c r="DI8" s="308"/>
      <c r="DJ8" s="308"/>
      <c r="DK8" s="308"/>
      <c r="DL8" s="308"/>
      <c r="DM8" s="308"/>
      <c r="DN8" s="308"/>
      <c r="DO8" s="308"/>
      <c r="DP8" s="308"/>
      <c r="DQ8" s="308"/>
      <c r="DR8" s="308"/>
      <c r="DS8" s="308"/>
      <c r="DT8" s="308"/>
      <c r="DU8" s="308"/>
      <c r="DV8" s="308"/>
      <c r="DW8" s="308"/>
      <c r="DX8" s="308"/>
      <c r="DY8" s="308"/>
      <c r="DZ8" s="308"/>
      <c r="EA8" s="308"/>
      <c r="EB8" s="308"/>
      <c r="EC8" s="308"/>
      <c r="ED8" s="308"/>
      <c r="EE8" s="308"/>
      <c r="EF8" s="308"/>
      <c r="EG8" s="308"/>
      <c r="EH8" s="308"/>
      <c r="EI8" s="308"/>
      <c r="EJ8" s="308"/>
      <c r="EK8" s="308"/>
      <c r="EL8" s="308"/>
      <c r="EM8" s="308"/>
      <c r="EN8" s="308"/>
      <c r="EO8" s="308"/>
      <c r="EP8" s="308"/>
      <c r="EQ8" s="308"/>
      <c r="ER8" s="308"/>
      <c r="ES8" s="308"/>
      <c r="ET8" s="308"/>
      <c r="EU8" s="308"/>
      <c r="EV8" s="308"/>
      <c r="EW8" s="308"/>
      <c r="EX8" s="308"/>
      <c r="EY8" s="308"/>
      <c r="EZ8" s="308"/>
      <c r="FA8" s="308"/>
      <c r="FB8" s="308"/>
      <c r="FC8" s="308"/>
      <c r="FD8" s="308"/>
      <c r="FE8" s="308"/>
      <c r="FF8" s="308"/>
      <c r="FG8" s="308"/>
      <c r="FH8" s="308"/>
      <c r="FI8" s="308"/>
      <c r="FJ8" s="308"/>
      <c r="FK8" s="308"/>
      <c r="FL8" s="308"/>
      <c r="FM8" s="308"/>
      <c r="FN8" s="308"/>
      <c r="FO8" s="308"/>
      <c r="FP8" s="308"/>
      <c r="FQ8" s="308"/>
      <c r="FR8" s="308"/>
      <c r="FS8" s="308"/>
      <c r="FT8" s="308"/>
      <c r="FU8" s="308"/>
      <c r="FV8" s="308"/>
      <c r="FW8" s="308"/>
      <c r="FX8" s="308"/>
      <c r="FY8" s="308"/>
      <c r="FZ8" s="308"/>
      <c r="GA8" s="308"/>
      <c r="GB8" s="308"/>
      <c r="GC8" s="308"/>
      <c r="GD8" s="308"/>
      <c r="GE8" s="308"/>
      <c r="GF8" s="308"/>
      <c r="GG8" s="308"/>
      <c r="GH8" s="308"/>
      <c r="GI8" s="308"/>
      <c r="GJ8" s="308"/>
      <c r="GK8" s="308"/>
      <c r="GL8" s="308"/>
      <c r="GM8" s="308"/>
      <c r="GN8" s="308"/>
      <c r="GO8" s="308"/>
      <c r="GP8" s="308"/>
      <c r="GQ8" s="308"/>
      <c r="GR8" s="308"/>
      <c r="GS8" s="308"/>
      <c r="GT8" s="308"/>
      <c r="GU8" s="308"/>
      <c r="GV8" s="308"/>
      <c r="GW8" s="308"/>
      <c r="GX8" s="308"/>
      <c r="GY8" s="308"/>
      <c r="GZ8" s="308"/>
      <c r="HA8" s="308"/>
      <c r="HB8" s="308"/>
      <c r="HC8" s="308"/>
      <c r="HD8" s="308"/>
      <c r="HE8" s="308"/>
      <c r="HF8" s="308"/>
      <c r="HG8" s="308"/>
      <c r="HH8" s="308"/>
      <c r="HI8" s="308"/>
      <c r="HJ8" s="308"/>
      <c r="HK8" s="308"/>
      <c r="HL8" s="308"/>
      <c r="HM8" s="308"/>
      <c r="HN8" s="308"/>
      <c r="HO8" s="308"/>
      <c r="HP8" s="308"/>
      <c r="HQ8" s="308"/>
      <c r="HR8" s="308"/>
      <c r="HS8" s="308"/>
      <c r="HT8" s="308"/>
      <c r="HU8" s="308"/>
      <c r="HV8" s="308"/>
      <c r="HW8" s="308"/>
      <c r="HX8" s="308"/>
      <c r="HY8" s="308"/>
      <c r="HZ8" s="308"/>
      <c r="IA8" s="308"/>
      <c r="IB8" s="308"/>
      <c r="IC8" s="308"/>
      <c r="ID8" s="308"/>
      <c r="IE8" s="308"/>
      <c r="IF8" s="308"/>
      <c r="IG8" s="308"/>
      <c r="IH8" s="308"/>
      <c r="II8" s="308"/>
      <c r="IJ8" s="308"/>
      <c r="IK8" s="308"/>
      <c r="IL8" s="308"/>
      <c r="IM8" s="308"/>
      <c r="IN8" s="308"/>
      <c r="IO8" s="308"/>
      <c r="IP8" s="308"/>
      <c r="IQ8" s="308"/>
      <c r="IR8" s="308"/>
      <c r="IS8" s="308"/>
      <c r="IT8" s="308"/>
      <c r="IU8" s="308"/>
      <c r="IV8" s="308"/>
      <c r="IW8" s="308"/>
      <c r="IX8" s="308"/>
    </row>
    <row r="9" spans="1:258" s="308" customFormat="1" ht="17.399999999999999" x14ac:dyDescent="0.3">
      <c r="A9" s="103"/>
      <c r="B9" s="84"/>
      <c r="C9" s="64"/>
      <c r="D9" s="83" t="s">
        <v>164</v>
      </c>
      <c r="E9" s="270">
        <f>E13*$C$12+E17*$C$16+$C$20*E21+$C$24*E25+$C$28*E29+$C$32*E33</f>
        <v>5.1986333051844231E-3</v>
      </c>
      <c r="F9" s="90">
        <f t="shared" ref="F9:G11" si="0">F13*$C$12+F17*$C$16+$C$20*F21+$C$24*F25+$C$28*F29+$C$32*F33</f>
        <v>0.89974436074144137</v>
      </c>
      <c r="G9" s="278">
        <f t="shared" si="0"/>
        <v>1.3077268895350778</v>
      </c>
      <c r="H9" s="90">
        <f t="shared" ref="H9:U11" si="1">H13*$C$12+H17*$C$16+$C$20*H21+$C$24*H25+$C$28*H29+$C$32*H33</f>
        <v>7.0009708040295665E-3</v>
      </c>
      <c r="I9" s="90">
        <f t="shared" si="1"/>
        <v>3.0000000000000006E-2</v>
      </c>
      <c r="J9" s="90">
        <f t="shared" si="1"/>
        <v>0</v>
      </c>
      <c r="K9" s="90">
        <f t="shared" si="1"/>
        <v>0</v>
      </c>
      <c r="L9" s="90">
        <f t="shared" si="1"/>
        <v>8.4299313532958358E-4</v>
      </c>
      <c r="M9" s="90">
        <f t="shared" si="1"/>
        <v>0.85150176349689788</v>
      </c>
      <c r="N9" s="90">
        <f t="shared" si="1"/>
        <v>5.1999999999999998E-3</v>
      </c>
      <c r="O9" s="90">
        <f t="shared" si="1"/>
        <v>0</v>
      </c>
      <c r="P9" s="90">
        <f t="shared" si="1"/>
        <v>5.1986333051844231E-3</v>
      </c>
      <c r="Q9" s="90">
        <f t="shared" si="1"/>
        <v>0</v>
      </c>
      <c r="R9" s="90">
        <f t="shared" si="1"/>
        <v>0</v>
      </c>
      <c r="S9" s="90">
        <f t="shared" si="1"/>
        <v>0.89974436074144137</v>
      </c>
      <c r="T9" s="90">
        <f t="shared" si="1"/>
        <v>5.000000000000001E-2</v>
      </c>
      <c r="U9" s="90">
        <f t="shared" si="1"/>
        <v>0.14600000000000002</v>
      </c>
      <c r="V9" s="430"/>
      <c r="W9" s="243"/>
      <c r="Z9" s="64"/>
    </row>
    <row r="10" spans="1:258" s="308" customFormat="1" ht="17.399999999999999" x14ac:dyDescent="0.3">
      <c r="A10" s="103"/>
      <c r="B10" s="84"/>
      <c r="C10" s="142"/>
      <c r="D10" s="83" t="s">
        <v>165</v>
      </c>
      <c r="E10" s="270">
        <f>E14*$C$12+E18*$C$16+$C$20*E22+$C$24*E26+$C$28*E30+$C$32*E34</f>
        <v>0</v>
      </c>
      <c r="F10" s="90">
        <f t="shared" si="0"/>
        <v>3.5985947517807081E-3</v>
      </c>
      <c r="G10" s="278">
        <f t="shared" si="0"/>
        <v>4.2947783169599097E-3</v>
      </c>
      <c r="H10" s="90">
        <f t="shared" si="1"/>
        <v>2.9053592021895382E-11</v>
      </c>
      <c r="I10" s="90">
        <f t="shared" si="1"/>
        <v>0</v>
      </c>
      <c r="J10" s="90">
        <f t="shared" si="1"/>
        <v>0</v>
      </c>
      <c r="K10" s="90">
        <f t="shared" si="1"/>
        <v>0</v>
      </c>
      <c r="L10" s="90">
        <f t="shared" si="1"/>
        <v>3.7341753347120524E-7</v>
      </c>
      <c r="M10" s="90">
        <f t="shared" si="1"/>
        <v>3.5982213051936455E-3</v>
      </c>
      <c r="N10" s="90">
        <f t="shared" si="1"/>
        <v>0</v>
      </c>
      <c r="O10" s="90">
        <f t="shared" si="1"/>
        <v>0</v>
      </c>
      <c r="P10" s="90">
        <f t="shared" si="1"/>
        <v>0</v>
      </c>
      <c r="Q10" s="90">
        <f t="shared" si="1"/>
        <v>0</v>
      </c>
      <c r="R10" s="90">
        <f t="shared" si="1"/>
        <v>0</v>
      </c>
      <c r="S10" s="90">
        <f t="shared" si="1"/>
        <v>3.5985947517807081E-3</v>
      </c>
      <c r="T10" s="90">
        <f t="shared" si="1"/>
        <v>0</v>
      </c>
      <c r="U10" s="90">
        <f t="shared" si="1"/>
        <v>0</v>
      </c>
      <c r="V10" s="430"/>
      <c r="W10" s="243"/>
      <c r="Z10" s="64"/>
    </row>
    <row r="11" spans="1:258" s="308" customFormat="1" ht="17.399999999999999" x14ac:dyDescent="0.3">
      <c r="A11" s="107"/>
      <c r="B11" s="206"/>
      <c r="C11" s="85"/>
      <c r="D11" s="84" t="s">
        <v>166</v>
      </c>
      <c r="E11" s="270">
        <f>E15*$C$12+E19*$C$16+$C$20*E23+$C$24*E27+$C$28*E31+$C$32*E35</f>
        <v>4.5229106130987398E-5</v>
      </c>
      <c r="F11" s="90">
        <f t="shared" si="0"/>
        <v>1.1314460705386325E-4</v>
      </c>
      <c r="G11" s="278">
        <f t="shared" si="0"/>
        <v>1.3503354464000866E-4</v>
      </c>
      <c r="H11" s="90">
        <f t="shared" si="1"/>
        <v>3.6773514309806042E-5</v>
      </c>
      <c r="I11" s="90">
        <f t="shared" si="1"/>
        <v>0</v>
      </c>
      <c r="J11" s="90">
        <f t="shared" si="1"/>
        <v>4.3431610563401065E-5</v>
      </c>
      <c r="K11" s="90">
        <f t="shared" si="1"/>
        <v>1.7974955675863237E-6</v>
      </c>
      <c r="L11" s="90">
        <f t="shared" si="1"/>
        <v>2.2651554215916103E-8</v>
      </c>
      <c r="M11" s="90">
        <f t="shared" si="1"/>
        <v>3.1119335058853897E-5</v>
      </c>
      <c r="N11" s="90">
        <f t="shared" si="1"/>
        <v>0</v>
      </c>
      <c r="O11" s="90">
        <f t="shared" si="1"/>
        <v>0</v>
      </c>
      <c r="P11" s="90">
        <f t="shared" si="1"/>
        <v>0</v>
      </c>
      <c r="Q11" s="90">
        <f t="shared" si="1"/>
        <v>0</v>
      </c>
      <c r="R11" s="90">
        <f t="shared" si="1"/>
        <v>0</v>
      </c>
      <c r="S11" s="90">
        <f t="shared" si="1"/>
        <v>1.1314460705386325E-4</v>
      </c>
      <c r="T11" s="90">
        <f t="shared" si="1"/>
        <v>0</v>
      </c>
      <c r="U11" s="90">
        <f t="shared" si="1"/>
        <v>0</v>
      </c>
      <c r="V11" s="430"/>
      <c r="W11" s="243"/>
      <c r="Z11" s="64"/>
    </row>
    <row r="12" spans="1:258" s="420" customFormat="1" ht="17.399999999999999" x14ac:dyDescent="0.3">
      <c r="A12" s="122" t="s">
        <v>1</v>
      </c>
      <c r="B12" s="132" t="s">
        <v>102</v>
      </c>
      <c r="C12" s="132">
        <f>'Input data plant-based products'!D23</f>
        <v>0.14000000000000001</v>
      </c>
      <c r="D12" s="269" t="s">
        <v>473</v>
      </c>
      <c r="E12" s="320">
        <f>IF($F$1="GWP100 without fb",E13+E14*'Common input data'!$C$5+E15*'Common input data'!$D$5,IF($F$1="GWP100 with fb",E13+E14*'Common input data'!$C$6+E15*'Common input data'!$D$6,IF($F$1="GTP100 without fb",E13+E14*'Common input data'!$C$7+E15*'Common input data'!$D$7,IF($F$1="GTP100 with fb",E13+E14*'Common input data'!$C$8+E15*'Common input data'!$D$8,E13+E14*'Common input data'!$C$9+E15*'Common input data'!$D$9))))</f>
        <v>1.4650770426065177E-2</v>
      </c>
      <c r="F12" s="302">
        <f>IF($F$1="GWP100 without fb",F13+F14*'Common input data'!$C$5+F15*'Common input data'!$D$5,IF($F$1="GWP100 with fb",F13+F14*'Common input data'!$C$6+F15*'Common input data'!$D$6,IF($F$1="GTP100 without fb",F13+F14*'Common input data'!$C$7+F15*'Common input data'!$D$7,IF($F$1="GTP100 with fb",F13+F14*'Common input data'!$C$8+F15*'Common input data'!$D$8,F13+F14*'Common input data'!$C$9+F15*'Common input data'!$D$9))))</f>
        <v>0.84282399719809176</v>
      </c>
      <c r="G12" s="321">
        <f>IF($F$1="GWP100 without fb",G13+G14*'Common input data'!$C$5+G15*'Common input data'!$D$5,IF($F$1="GWP100 with fb",G13+G14*'Common input data'!$C$6+G15*'Common input data'!$D$6,IF($F$1="GTP100 without fb",G13+G14*'Common input data'!$C$7+G15*'Common input data'!$D$7,IF($F$1="GTP100 with fb",G13+G14*'Common input data'!$C$8+G15*'Common input data'!$D$8,G13+G14*'Common input data'!$C$9+G15*'Common input data'!$D$9))))</f>
        <v>1.1013533801146818</v>
      </c>
      <c r="H12" s="102"/>
      <c r="I12" s="102"/>
      <c r="J12" s="102"/>
      <c r="K12" s="102"/>
      <c r="L12" s="102"/>
      <c r="M12" s="102"/>
      <c r="N12" s="102"/>
      <c r="O12" s="102"/>
      <c r="P12" s="102"/>
      <c r="Q12" s="102"/>
      <c r="R12" s="102"/>
      <c r="S12" s="102"/>
      <c r="T12" s="102"/>
      <c r="U12" s="102"/>
      <c r="V12" s="430"/>
      <c r="W12" s="243"/>
      <c r="X12" s="308"/>
      <c r="Y12" s="308"/>
      <c r="Z12" s="64"/>
      <c r="AA12" s="308"/>
      <c r="AB12" s="308"/>
      <c r="AC12" s="308"/>
      <c r="AD12" s="308"/>
      <c r="AE12" s="308"/>
      <c r="AF12" s="308"/>
      <c r="AG12" s="308"/>
      <c r="AH12" s="308"/>
      <c r="AI12" s="308"/>
      <c r="AJ12" s="308"/>
      <c r="AK12" s="308"/>
      <c r="AL12" s="308"/>
      <c r="AM12" s="308"/>
      <c r="AN12" s="308"/>
      <c r="AO12" s="308"/>
      <c r="AP12" s="308"/>
      <c r="AQ12" s="308"/>
      <c r="AR12" s="308"/>
      <c r="AS12" s="308"/>
      <c r="AT12" s="308"/>
      <c r="AU12" s="308"/>
      <c r="AV12" s="308"/>
      <c r="AW12" s="308"/>
      <c r="AX12" s="308"/>
      <c r="AY12" s="308"/>
      <c r="AZ12" s="308"/>
      <c r="BA12" s="308"/>
      <c r="BB12" s="308"/>
      <c r="BC12" s="308"/>
      <c r="BD12" s="308"/>
      <c r="BE12" s="308"/>
      <c r="BF12" s="308"/>
      <c r="BG12" s="308"/>
      <c r="BH12" s="308"/>
      <c r="BI12" s="308"/>
      <c r="BJ12" s="308"/>
      <c r="BK12" s="308"/>
      <c r="BL12" s="308"/>
      <c r="BM12" s="308"/>
      <c r="BN12" s="308"/>
      <c r="BO12" s="308"/>
      <c r="BP12" s="308"/>
      <c r="BQ12" s="308"/>
      <c r="BR12" s="308"/>
      <c r="BS12" s="308"/>
      <c r="BT12" s="308"/>
      <c r="BU12" s="308"/>
      <c r="BV12" s="308"/>
      <c r="BW12" s="308"/>
      <c r="BX12" s="308"/>
      <c r="BY12" s="308"/>
      <c r="BZ12" s="308"/>
      <c r="CA12" s="308"/>
      <c r="CB12" s="308"/>
      <c r="CC12" s="308"/>
      <c r="CD12" s="308"/>
      <c r="CE12" s="308"/>
      <c r="CF12" s="308"/>
      <c r="CG12" s="308"/>
      <c r="CH12" s="308"/>
      <c r="CI12" s="308"/>
      <c r="CJ12" s="308"/>
      <c r="CK12" s="308"/>
      <c r="CL12" s="308"/>
      <c r="CM12" s="308"/>
      <c r="CN12" s="308"/>
      <c r="CO12" s="308"/>
      <c r="CP12" s="308"/>
      <c r="CQ12" s="308"/>
      <c r="CR12" s="308"/>
      <c r="CS12" s="308"/>
      <c r="CT12" s="308"/>
      <c r="CU12" s="308"/>
      <c r="CV12" s="308"/>
      <c r="CW12" s="308"/>
      <c r="CX12" s="308"/>
      <c r="CY12" s="308"/>
      <c r="CZ12" s="308"/>
      <c r="DA12" s="308"/>
      <c r="DB12" s="308"/>
      <c r="DC12" s="308"/>
      <c r="DD12" s="308"/>
      <c r="DE12" s="308"/>
      <c r="DF12" s="308"/>
      <c r="DG12" s="308"/>
      <c r="DH12" s="308"/>
      <c r="DI12" s="308"/>
      <c r="DJ12" s="308"/>
      <c r="DK12" s="308"/>
      <c r="DL12" s="308"/>
      <c r="DM12" s="308"/>
      <c r="DN12" s="308"/>
      <c r="DO12" s="308"/>
      <c r="DP12" s="308"/>
      <c r="DQ12" s="308"/>
      <c r="DR12" s="308"/>
      <c r="DS12" s="308"/>
      <c r="DT12" s="308"/>
      <c r="DU12" s="308"/>
      <c r="DV12" s="308"/>
      <c r="DW12" s="308"/>
      <c r="DX12" s="308"/>
      <c r="DY12" s="308"/>
      <c r="DZ12" s="308"/>
      <c r="EA12" s="308"/>
      <c r="EB12" s="308"/>
      <c r="EC12" s="308"/>
      <c r="ED12" s="308"/>
      <c r="EE12" s="308"/>
      <c r="EF12" s="308"/>
      <c r="EG12" s="308"/>
      <c r="EH12" s="308"/>
      <c r="EI12" s="308"/>
      <c r="EJ12" s="308"/>
      <c r="EK12" s="308"/>
      <c r="EL12" s="308"/>
      <c r="EM12" s="308"/>
      <c r="EN12" s="308"/>
      <c r="EO12" s="308"/>
      <c r="EP12" s="308"/>
      <c r="EQ12" s="308"/>
      <c r="ER12" s="308"/>
      <c r="ES12" s="308"/>
      <c r="ET12" s="308"/>
      <c r="EU12" s="308"/>
      <c r="EV12" s="308"/>
      <c r="EW12" s="308"/>
      <c r="EX12" s="308"/>
      <c r="EY12" s="308"/>
      <c r="EZ12" s="308"/>
      <c r="FA12" s="308"/>
      <c r="FB12" s="308"/>
      <c r="FC12" s="308"/>
      <c r="FD12" s="308"/>
      <c r="FE12" s="308"/>
      <c r="FF12" s="308"/>
      <c r="FG12" s="308"/>
      <c r="FH12" s="308"/>
      <c r="FI12" s="308"/>
      <c r="FJ12" s="308"/>
      <c r="FK12" s="308"/>
      <c r="FL12" s="308"/>
      <c r="FM12" s="308"/>
      <c r="FN12" s="308"/>
      <c r="FO12" s="308"/>
      <c r="FP12" s="308"/>
      <c r="FQ12" s="308"/>
      <c r="FR12" s="308"/>
      <c r="FS12" s="308"/>
      <c r="FT12" s="308"/>
      <c r="FU12" s="308"/>
      <c r="FV12" s="308"/>
      <c r="FW12" s="308"/>
      <c r="FX12" s="308"/>
      <c r="FY12" s="308"/>
      <c r="FZ12" s="308"/>
      <c r="GA12" s="308"/>
      <c r="GB12" s="308"/>
      <c r="GC12" s="308"/>
      <c r="GD12" s="308"/>
      <c r="GE12" s="308"/>
      <c r="GF12" s="308"/>
      <c r="GG12" s="308"/>
      <c r="GH12" s="308"/>
      <c r="GI12" s="308"/>
      <c r="GJ12" s="308"/>
      <c r="GK12" s="308"/>
      <c r="GL12" s="308"/>
      <c r="GM12" s="308"/>
      <c r="GN12" s="308"/>
      <c r="GO12" s="308"/>
      <c r="GP12" s="308"/>
      <c r="GQ12" s="308"/>
      <c r="GR12" s="308"/>
      <c r="GS12" s="308"/>
      <c r="GT12" s="308"/>
      <c r="GU12" s="308"/>
      <c r="GV12" s="308"/>
      <c r="GW12" s="308"/>
      <c r="GX12" s="308"/>
      <c r="GY12" s="308"/>
      <c r="GZ12" s="308"/>
      <c r="HA12" s="308"/>
      <c r="HB12" s="308"/>
      <c r="HC12" s="308"/>
      <c r="HD12" s="308"/>
      <c r="HE12" s="308"/>
      <c r="HF12" s="308"/>
      <c r="HG12" s="308"/>
      <c r="HH12" s="308"/>
      <c r="HI12" s="308"/>
      <c r="HJ12" s="308"/>
      <c r="HK12" s="308"/>
      <c r="HL12" s="308"/>
      <c r="HM12" s="308"/>
      <c r="HN12" s="308"/>
      <c r="HO12" s="308"/>
      <c r="HP12" s="308"/>
      <c r="HQ12" s="308"/>
      <c r="HR12" s="308"/>
      <c r="HS12" s="308"/>
      <c r="HT12" s="308"/>
      <c r="HU12" s="308"/>
      <c r="HV12" s="308"/>
      <c r="HW12" s="308"/>
      <c r="HX12" s="308"/>
      <c r="HY12" s="308"/>
      <c r="HZ12" s="308"/>
      <c r="IA12" s="308"/>
      <c r="IB12" s="308"/>
      <c r="IC12" s="308"/>
      <c r="ID12" s="308"/>
      <c r="IE12" s="308"/>
      <c r="IF12" s="308"/>
      <c r="IG12" s="308"/>
      <c r="IH12" s="308"/>
      <c r="II12" s="308"/>
      <c r="IJ12" s="308"/>
      <c r="IK12" s="308"/>
      <c r="IL12" s="308"/>
      <c r="IM12" s="308"/>
      <c r="IN12" s="308"/>
      <c r="IO12" s="308"/>
      <c r="IP12" s="308"/>
      <c r="IQ12" s="308"/>
      <c r="IR12" s="308"/>
      <c r="IS12" s="308"/>
      <c r="IT12" s="308"/>
      <c r="IU12" s="308"/>
      <c r="IV12" s="308"/>
      <c r="IW12" s="308"/>
      <c r="IX12" s="308"/>
    </row>
    <row r="13" spans="1:258" s="308" customFormat="1" ht="17.399999999999999" x14ac:dyDescent="0.3">
      <c r="A13" s="103"/>
      <c r="B13" s="64"/>
      <c r="C13" s="64"/>
      <c r="D13" s="83" t="s">
        <v>164</v>
      </c>
      <c r="E13" s="270">
        <f>IF(AND($F$2="No",$F$3="No"),SUM(J13:K13),IF(AND($F$2="Yes", $F$3="No"), SUM(J13:K13)+Q13, IF(AND($F$2="No", $F$3="Yes"),SUM(J13:K13)+P13, SUM(J13:K13)+Q13+P13)))</f>
        <v>0</v>
      </c>
      <c r="F13" s="90">
        <f>IF(AND($F$2="No",$F$3="No"),SUM(H13:O13),IF(AND($F$2="Yes", $F$3="No"), SUM(H13:O13)+Q13, IF(AND($F$2="No", $F$3="Yes"),SUM(H13:O13)+P13, SUM(H13:O13)+Q13+P13)))</f>
        <v>0.75111395085778365</v>
      </c>
      <c r="G13" s="278">
        <f>SUM(S13:U13)/(1-'Common input data'!$B$121)</f>
        <v>0.99190112287598009</v>
      </c>
      <c r="H13" s="90">
        <f>('Input data plant-based products'!$F$23*('Common input data'!$B$76*'Common input data'!B69+'Common input data'!$B$77*'Common input data'!C69))/'Input data plant-based products'!$E$23</f>
        <v>7.4843424701209194E-3</v>
      </c>
      <c r="I13" s="90">
        <f>'Common input data'!$B$81</f>
        <v>0.03</v>
      </c>
      <c r="J13" s="90">
        <v>0</v>
      </c>
      <c r="K13" s="90">
        <v>0</v>
      </c>
      <c r="L13" s="90">
        <v>0</v>
      </c>
      <c r="M13" s="90">
        <f>'Input data plant-based products'!M139/'Input data plant-based products'!E$23</f>
        <v>0.71362960838766276</v>
      </c>
      <c r="N13" s="90">
        <v>0</v>
      </c>
      <c r="O13" s="90">
        <v>0</v>
      </c>
      <c r="P13" s="90">
        <v>0</v>
      </c>
      <c r="Q13" s="90">
        <v>0</v>
      </c>
      <c r="R13" s="90">
        <v>0</v>
      </c>
      <c r="S13" s="90">
        <f>(F13+R13)</f>
        <v>0.75111395085778365</v>
      </c>
      <c r="T13" s="90">
        <f>'Common input data'!$B$88</f>
        <v>0.05</v>
      </c>
      <c r="U13" s="90">
        <f>'Common input data'!C$98</f>
        <v>0.03</v>
      </c>
      <c r="V13" s="430"/>
      <c r="W13" s="243"/>
      <c r="Z13" s="64"/>
    </row>
    <row r="14" spans="1:258" s="308" customFormat="1" ht="17.399999999999999" x14ac:dyDescent="0.3">
      <c r="A14" s="103"/>
      <c r="B14" s="64"/>
      <c r="C14" s="142"/>
      <c r="D14" s="83" t="s">
        <v>165</v>
      </c>
      <c r="E14" s="270">
        <f>SUM(J14:K14)</f>
        <v>0</v>
      </c>
      <c r="F14" s="90">
        <f>SUM(H14:O14)</f>
        <v>1.6817582613405167E-3</v>
      </c>
      <c r="G14" s="278">
        <f>SUM(S14:U14)/(1-'Common input data'!$B$121)</f>
        <v>2.0071109456265865E-3</v>
      </c>
      <c r="H14" s="90">
        <f>('Input data plant-based products'!$F$23*('Common input data'!$B$76*'Common input data'!B70+'Common input data'!$B$77*'Common input data'!C70))/'Input data plant-based products'!$E$23</f>
        <v>2.0037333333333351E-11</v>
      </c>
      <c r="I14" s="90">
        <v>0</v>
      </c>
      <c r="J14" s="90">
        <v>0</v>
      </c>
      <c r="K14" s="90">
        <v>0</v>
      </c>
      <c r="L14" s="90">
        <v>0</v>
      </c>
      <c r="M14" s="90">
        <f>'Input data plant-based products'!N139/'Input data plant-based products'!E$23</f>
        <v>1.6817582413031834E-3</v>
      </c>
      <c r="N14" s="90">
        <v>0</v>
      </c>
      <c r="O14" s="90">
        <v>0</v>
      </c>
      <c r="P14" s="90">
        <v>0</v>
      </c>
      <c r="Q14" s="90">
        <v>0</v>
      </c>
      <c r="R14" s="90">
        <v>0</v>
      </c>
      <c r="S14" s="90">
        <f>(F14+R14)</f>
        <v>1.6817582613405167E-3</v>
      </c>
      <c r="T14" s="90">
        <v>0</v>
      </c>
      <c r="U14" s="90">
        <v>0</v>
      </c>
      <c r="V14" s="430"/>
      <c r="W14" s="243"/>
      <c r="Z14" s="64"/>
    </row>
    <row r="15" spans="1:258" s="308" customFormat="1" ht="17.399999999999999" x14ac:dyDescent="0.3">
      <c r="A15" s="107"/>
      <c r="B15" s="64"/>
      <c r="C15" s="85"/>
      <c r="D15" s="84" t="s">
        <v>166</v>
      </c>
      <c r="E15" s="270">
        <f>SUM(J15:K15)</f>
        <v>4.9163659147869719E-5</v>
      </c>
      <c r="F15" s="90">
        <f>SUM(H15:O15)</f>
        <v>1.1587337400916303E-4</v>
      </c>
      <c r="G15" s="278">
        <f>SUM(S15:U15)/(1-'Common input data'!$B$121)</f>
        <v>1.3829021841408644E-4</v>
      </c>
      <c r="H15" s="90">
        <f>('Input data plant-based products'!$F$23*('Common input data'!$B$76*'Common input data'!B71+'Common input data'!$B$77*'Common input data'!C71))/'Input data plant-based products'!$E$23</f>
        <v>3.0399153021432244E-5</v>
      </c>
      <c r="I15" s="90">
        <v>0</v>
      </c>
      <c r="J15" s="90">
        <f>(SUM('Input data plant-based products'!F23:H23)*'Input data plant-based products'!$B$114*44/28)/'Input data plant-based products'!E23</f>
        <v>4.6867167919799543E-5</v>
      </c>
      <c r="K15" s="90">
        <f>J15*'Input data plant-based products'!$B$115*(1-'Input data plant-based products'!L139)</f>
        <v>2.2964912280701774E-6</v>
      </c>
      <c r="L15" s="90">
        <v>0</v>
      </c>
      <c r="M15" s="90">
        <f>'Input data plant-based products'!O139/'Input data plant-based products'!E$23</f>
        <v>3.6310561839861069E-5</v>
      </c>
      <c r="N15" s="90">
        <v>0</v>
      </c>
      <c r="O15" s="90">
        <v>0</v>
      </c>
      <c r="P15" s="90">
        <v>0</v>
      </c>
      <c r="Q15" s="90">
        <v>0</v>
      </c>
      <c r="R15" s="90">
        <v>0</v>
      </c>
      <c r="S15" s="90">
        <f>(F15+R15)</f>
        <v>1.1587337400916303E-4</v>
      </c>
      <c r="T15" s="90">
        <v>0</v>
      </c>
      <c r="U15" s="90">
        <v>0</v>
      </c>
      <c r="V15" s="430"/>
      <c r="W15" s="243"/>
      <c r="Z15" s="64"/>
    </row>
    <row r="16" spans="1:258" s="420" customFormat="1" ht="17.399999999999999" x14ac:dyDescent="0.3">
      <c r="A16" s="122" t="s">
        <v>79</v>
      </c>
      <c r="B16" s="132" t="s">
        <v>102</v>
      </c>
      <c r="C16" s="132">
        <f>'Input data plant-based products'!D24</f>
        <v>0.56000000000000005</v>
      </c>
      <c r="D16" s="269" t="s">
        <v>473</v>
      </c>
      <c r="E16" s="320">
        <f>IF($F$1="GWP100 without fb",E17+E18*'Common input data'!$C$5+E19*'Common input data'!$D$5,IF($F$1="GWP100 with fb",E17+E18*'Common input data'!$C$6+E19*'Common input data'!$D$6,IF($F$1="GTP100 without fb",E17+E18*'Common input data'!$C$7+E19*'Common input data'!$D$7,IF($F$1="GTP100 with fb",E17+E18*'Common input data'!$C$8+E19*'Common input data'!$D$8,E17+E18*'Common input data'!$C$9+E19*'Common input data'!$D$9))))</f>
        <v>9.9336369803503383E-3</v>
      </c>
      <c r="F16" s="302">
        <f>IF($F$1="GWP100 without fb",F17+F18*'Common input data'!$C$5+F19*'Common input data'!$D$5,IF($F$1="GWP100 with fb",F17+F18*'Common input data'!$C$6+F19*'Common input data'!$D$6,IF($F$1="GTP100 without fb",F17+F18*'Common input data'!$C$7+F19*'Common input data'!$D$7,IF($F$1="GTP100 with fb",F17+F18*'Common input data'!$C$8+F19*'Common input data'!$D$8,F17+F18*'Common input data'!$C$9+F19*'Common input data'!$D$9))))</f>
        <v>1.5342010168996014</v>
      </c>
      <c r="G16" s="321">
        <f>IF($F$1="GWP100 without fb",G17+G18*'Common input data'!$C$5+G19*'Common input data'!$D$5,IF($F$1="GWP100 with fb",G17+G18*'Common input data'!$C$6+G19*'Common input data'!$D$6,IF($F$1="GTP100 without fb",G17+G18*'Common input data'!$C$7+G19*'Common input data'!$D$7,IF($F$1="GTP100 with fb",G17+G18*'Common input data'!$C$8+G19*'Common input data'!$D$8,G17+G18*'Common input data'!$C$9+G19*'Common input data'!$D$9))))</f>
        <v>2.0458300714877691</v>
      </c>
      <c r="H16" s="102"/>
      <c r="I16" s="102"/>
      <c r="J16" s="102"/>
      <c r="K16" s="102"/>
      <c r="L16" s="102"/>
      <c r="M16" s="102"/>
      <c r="N16" s="102"/>
      <c r="O16" s="102"/>
      <c r="P16" s="102"/>
      <c r="Q16" s="102"/>
      <c r="R16" s="102"/>
      <c r="S16" s="102"/>
      <c r="T16" s="102"/>
      <c r="U16" s="102"/>
      <c r="V16" s="430"/>
      <c r="W16" s="243"/>
      <c r="X16" s="308"/>
      <c r="Y16" s="308"/>
      <c r="Z16" s="64"/>
      <c r="AA16" s="308"/>
      <c r="AB16" s="308"/>
      <c r="AC16" s="308"/>
      <c r="AD16" s="308"/>
      <c r="AE16" s="308"/>
      <c r="AF16" s="308"/>
      <c r="AG16" s="308"/>
      <c r="AH16" s="308"/>
      <c r="AI16" s="308"/>
      <c r="AJ16" s="308"/>
      <c r="AK16" s="308"/>
      <c r="AL16" s="308"/>
      <c r="AM16" s="308"/>
      <c r="AN16" s="308"/>
      <c r="AO16" s="308"/>
      <c r="AP16" s="308"/>
      <c r="AQ16" s="308"/>
      <c r="AR16" s="308"/>
      <c r="AS16" s="308"/>
      <c r="AT16" s="308"/>
      <c r="AU16" s="308"/>
      <c r="AV16" s="308"/>
      <c r="AW16" s="308"/>
      <c r="AX16" s="308"/>
      <c r="AY16" s="308"/>
      <c r="AZ16" s="308"/>
      <c r="BA16" s="308"/>
      <c r="BB16" s="308"/>
      <c r="BC16" s="308"/>
      <c r="BD16" s="308"/>
      <c r="BE16" s="308"/>
      <c r="BF16" s="308"/>
      <c r="BG16" s="308"/>
      <c r="BH16" s="308"/>
      <c r="BI16" s="308"/>
      <c r="BJ16" s="308"/>
      <c r="BK16" s="308"/>
      <c r="BL16" s="308"/>
      <c r="BM16" s="308"/>
      <c r="BN16" s="308"/>
      <c r="BO16" s="308"/>
      <c r="BP16" s="308"/>
      <c r="BQ16" s="308"/>
      <c r="BR16" s="308"/>
      <c r="BS16" s="308"/>
      <c r="BT16" s="308"/>
      <c r="BU16" s="308"/>
      <c r="BV16" s="308"/>
      <c r="BW16" s="308"/>
      <c r="BX16" s="308"/>
      <c r="BY16" s="308"/>
      <c r="BZ16" s="308"/>
      <c r="CA16" s="308"/>
      <c r="CB16" s="308"/>
      <c r="CC16" s="308"/>
      <c r="CD16" s="308"/>
      <c r="CE16" s="308"/>
      <c r="CF16" s="308"/>
      <c r="CG16" s="308"/>
      <c r="CH16" s="308"/>
      <c r="CI16" s="308"/>
      <c r="CJ16" s="308"/>
      <c r="CK16" s="308"/>
      <c r="CL16" s="308"/>
      <c r="CM16" s="308"/>
      <c r="CN16" s="308"/>
      <c r="CO16" s="308"/>
      <c r="CP16" s="308"/>
      <c r="CQ16" s="308"/>
      <c r="CR16" s="308"/>
      <c r="CS16" s="308"/>
      <c r="CT16" s="308"/>
      <c r="CU16" s="308"/>
      <c r="CV16" s="308"/>
      <c r="CW16" s="308"/>
      <c r="CX16" s="308"/>
      <c r="CY16" s="308"/>
      <c r="CZ16" s="308"/>
      <c r="DA16" s="308"/>
      <c r="DB16" s="308"/>
      <c r="DC16" s="308"/>
      <c r="DD16" s="308"/>
      <c r="DE16" s="308"/>
      <c r="DF16" s="308"/>
      <c r="DG16" s="308"/>
      <c r="DH16" s="308"/>
      <c r="DI16" s="308"/>
      <c r="DJ16" s="308"/>
      <c r="DK16" s="308"/>
      <c r="DL16" s="308"/>
      <c r="DM16" s="308"/>
      <c r="DN16" s="308"/>
      <c r="DO16" s="308"/>
      <c r="DP16" s="308"/>
      <c r="DQ16" s="308"/>
      <c r="DR16" s="308"/>
      <c r="DS16" s="308"/>
      <c r="DT16" s="308"/>
      <c r="DU16" s="308"/>
      <c r="DV16" s="308"/>
      <c r="DW16" s="308"/>
      <c r="DX16" s="308"/>
      <c r="DY16" s="308"/>
      <c r="DZ16" s="308"/>
      <c r="EA16" s="308"/>
      <c r="EB16" s="308"/>
      <c r="EC16" s="308"/>
      <c r="ED16" s="308"/>
      <c r="EE16" s="308"/>
      <c r="EF16" s="308"/>
      <c r="EG16" s="308"/>
      <c r="EH16" s="308"/>
      <c r="EI16" s="308"/>
      <c r="EJ16" s="308"/>
      <c r="EK16" s="308"/>
      <c r="EL16" s="308"/>
      <c r="EM16" s="308"/>
      <c r="EN16" s="308"/>
      <c r="EO16" s="308"/>
      <c r="EP16" s="308"/>
      <c r="EQ16" s="308"/>
      <c r="ER16" s="308"/>
      <c r="ES16" s="308"/>
      <c r="ET16" s="308"/>
      <c r="EU16" s="308"/>
      <c r="EV16" s="308"/>
      <c r="EW16" s="308"/>
      <c r="EX16" s="308"/>
      <c r="EY16" s="308"/>
      <c r="EZ16" s="308"/>
      <c r="FA16" s="308"/>
      <c r="FB16" s="308"/>
      <c r="FC16" s="308"/>
      <c r="FD16" s="308"/>
      <c r="FE16" s="308"/>
      <c r="FF16" s="308"/>
      <c r="FG16" s="308"/>
      <c r="FH16" s="308"/>
      <c r="FI16" s="308"/>
      <c r="FJ16" s="308"/>
      <c r="FK16" s="308"/>
      <c r="FL16" s="308"/>
      <c r="FM16" s="308"/>
      <c r="FN16" s="308"/>
      <c r="FO16" s="308"/>
      <c r="FP16" s="308"/>
      <c r="FQ16" s="308"/>
      <c r="FR16" s="308"/>
      <c r="FS16" s="308"/>
      <c r="FT16" s="308"/>
      <c r="FU16" s="308"/>
      <c r="FV16" s="308"/>
      <c r="FW16" s="308"/>
      <c r="FX16" s="308"/>
      <c r="FY16" s="308"/>
      <c r="FZ16" s="308"/>
      <c r="GA16" s="308"/>
      <c r="GB16" s="308"/>
      <c r="GC16" s="308"/>
      <c r="GD16" s="308"/>
      <c r="GE16" s="308"/>
      <c r="GF16" s="308"/>
      <c r="GG16" s="308"/>
      <c r="GH16" s="308"/>
      <c r="GI16" s="308"/>
      <c r="GJ16" s="308"/>
      <c r="GK16" s="308"/>
      <c r="GL16" s="308"/>
      <c r="GM16" s="308"/>
      <c r="GN16" s="308"/>
      <c r="GO16" s="308"/>
      <c r="GP16" s="308"/>
      <c r="GQ16" s="308"/>
      <c r="GR16" s="308"/>
      <c r="GS16" s="308"/>
      <c r="GT16" s="308"/>
      <c r="GU16" s="308"/>
      <c r="GV16" s="308"/>
      <c r="GW16" s="308"/>
      <c r="GX16" s="308"/>
      <c r="GY16" s="308"/>
      <c r="GZ16" s="308"/>
      <c r="HA16" s="308"/>
      <c r="HB16" s="308"/>
      <c r="HC16" s="308"/>
      <c r="HD16" s="308"/>
      <c r="HE16" s="308"/>
      <c r="HF16" s="308"/>
      <c r="HG16" s="308"/>
      <c r="HH16" s="308"/>
      <c r="HI16" s="308"/>
      <c r="HJ16" s="308"/>
      <c r="HK16" s="308"/>
      <c r="HL16" s="308"/>
      <c r="HM16" s="308"/>
      <c r="HN16" s="308"/>
      <c r="HO16" s="308"/>
      <c r="HP16" s="308"/>
      <c r="HQ16" s="308"/>
      <c r="HR16" s="308"/>
      <c r="HS16" s="308"/>
      <c r="HT16" s="308"/>
      <c r="HU16" s="308"/>
      <c r="HV16" s="308"/>
      <c r="HW16" s="308"/>
      <c r="HX16" s="308"/>
      <c r="HY16" s="308"/>
      <c r="HZ16" s="308"/>
      <c r="IA16" s="308"/>
      <c r="IB16" s="308"/>
      <c r="IC16" s="308"/>
      <c r="ID16" s="308"/>
      <c r="IE16" s="308"/>
      <c r="IF16" s="308"/>
      <c r="IG16" s="308"/>
      <c r="IH16" s="308"/>
      <c r="II16" s="308"/>
      <c r="IJ16" s="308"/>
      <c r="IK16" s="308"/>
      <c r="IL16" s="308"/>
      <c r="IM16" s="308"/>
      <c r="IN16" s="308"/>
      <c r="IO16" s="308"/>
      <c r="IP16" s="308"/>
      <c r="IQ16" s="308"/>
      <c r="IR16" s="308"/>
      <c r="IS16" s="308"/>
      <c r="IT16" s="308"/>
      <c r="IU16" s="308"/>
      <c r="IV16" s="308"/>
      <c r="IW16" s="308"/>
      <c r="IX16" s="308"/>
    </row>
    <row r="17" spans="1:258" s="308" customFormat="1" ht="17.399999999999999" x14ac:dyDescent="0.3">
      <c r="A17" s="103"/>
      <c r="B17" s="64"/>
      <c r="C17" s="64"/>
      <c r="D17" s="83" t="s">
        <v>164</v>
      </c>
      <c r="E17" s="270">
        <f>IF(AND($F$2="No",$F$3="No"),SUM(J17:K17),IF(AND($F$2="Yes", $F$3="No"), SUM(J17:K17)+Q17, IF(AND($F$2="No", $F$3="Yes"),SUM(J17:K17)+P17, SUM(J17:K17)+Q17+P17)))</f>
        <v>0</v>
      </c>
      <c r="F17" s="90">
        <f>IF(AND($F$2="No",$F$3="No"),SUM(H17:O17),IF(AND($F$2="Yes", $F$3="No"), SUM(H17:O17)+Q17, IF(AND($F$2="No", $F$3="Yes"),SUM(H17:O17)+P17, SUM(H17:O17)+Q17+P17)))</f>
        <v>1.3068996354046631</v>
      </c>
      <c r="G17" s="278">
        <f>SUM(S17:U17)/(1-'Common input data'!$B$121)</f>
        <v>1.7745550010796793</v>
      </c>
      <c r="H17" s="90">
        <f>('Input data plant-based products'!$F$24*('Common input data'!$C$76*'Common input data'!B69+'Common input data'!$C$77*'Common input data'!C69))/'Input data plant-based products'!$E$24</f>
        <v>5.6564868617808069E-3</v>
      </c>
      <c r="I17" s="90">
        <f>'Common input data'!$B$81</f>
        <v>0.03</v>
      </c>
      <c r="J17" s="90">
        <v>0</v>
      </c>
      <c r="K17" s="90">
        <v>0</v>
      </c>
      <c r="L17" s="90">
        <v>0</v>
      </c>
      <c r="M17" s="90">
        <f>'Input data plant-based products'!M140/'Input data plant-based products'!E$24*'Common input data'!D$33</f>
        <v>1.2712431485428823</v>
      </c>
      <c r="N17" s="90">
        <v>0</v>
      </c>
      <c r="O17" s="90">
        <v>0</v>
      </c>
      <c r="P17" s="90">
        <v>0</v>
      </c>
      <c r="Q17" s="90">
        <v>0</v>
      </c>
      <c r="R17" s="90">
        <v>0</v>
      </c>
      <c r="S17" s="90">
        <f>(F17+R17)</f>
        <v>1.3068996354046631</v>
      </c>
      <c r="T17" s="90">
        <f>'Common input data'!$B$88</f>
        <v>0.05</v>
      </c>
      <c r="U17" s="90">
        <f>'Common input data'!B99+'Common input data'!C99</f>
        <v>0.13</v>
      </c>
      <c r="V17" s="430"/>
      <c r="W17" s="243"/>
      <c r="Z17" s="64"/>
    </row>
    <row r="18" spans="1:258" s="308" customFormat="1" ht="17.399999999999999" x14ac:dyDescent="0.3">
      <c r="A18" s="103"/>
      <c r="B18" s="64"/>
      <c r="C18" s="142"/>
      <c r="D18" s="83" t="s">
        <v>165</v>
      </c>
      <c r="E18" s="270">
        <f>SUM(J18:K18)</f>
        <v>0</v>
      </c>
      <c r="F18" s="90">
        <f>SUM(H18:O18)</f>
        <v>5.7398965535353386E-3</v>
      </c>
      <c r="G18" s="278">
        <f>SUM(S18:U18)/(1-'Common input data'!$B$121)</f>
        <v>6.8503360228372584E-3</v>
      </c>
      <c r="H18" s="90">
        <f>('Input data plant-based products'!$F$24*('Common input data'!$C$76*'Common input data'!B70+'Common input data'!$C$77*'Common input data'!C70))/'Input data plant-based products'!$E$24</f>
        <v>2.4940277514875688E-11</v>
      </c>
      <c r="I18" s="90">
        <v>0</v>
      </c>
      <c r="J18" s="90">
        <v>0</v>
      </c>
      <c r="K18" s="90">
        <v>0</v>
      </c>
      <c r="L18" s="90">
        <v>0</v>
      </c>
      <c r="M18" s="90">
        <f>'Input data plant-based products'!N140/'Input data plant-based products'!E$24*'Common input data'!D$33</f>
        <v>5.7398965285950614E-3</v>
      </c>
      <c r="N18" s="90">
        <v>0</v>
      </c>
      <c r="O18" s="90">
        <v>0</v>
      </c>
      <c r="P18" s="90">
        <v>0</v>
      </c>
      <c r="Q18" s="90">
        <v>0</v>
      </c>
      <c r="R18" s="90">
        <v>0</v>
      </c>
      <c r="S18" s="90">
        <f>(F18+R18)</f>
        <v>5.7398965535353386E-3</v>
      </c>
      <c r="T18" s="90">
        <v>0</v>
      </c>
      <c r="U18" s="90">
        <v>0</v>
      </c>
      <c r="V18" s="430"/>
      <c r="W18" s="243"/>
      <c r="Z18" s="64"/>
    </row>
    <row r="19" spans="1:258" s="308" customFormat="1" ht="17.399999999999999" x14ac:dyDescent="0.3">
      <c r="A19" s="107"/>
      <c r="B19" s="64"/>
      <c r="C19" s="85"/>
      <c r="D19" s="84" t="s">
        <v>166</v>
      </c>
      <c r="E19" s="270">
        <f>SUM(J19:K19)</f>
        <v>3.3334352283054829E-5</v>
      </c>
      <c r="F19" s="90">
        <f>SUM(H19:O19)</f>
        <v>1.0786878749911697E-4</v>
      </c>
      <c r="G19" s="278">
        <f>SUM(S19:U19)/(1-'Common input data'!$B$121)</f>
        <v>1.2873706587792933E-4</v>
      </c>
      <c r="H19" s="90">
        <f>('Input data plant-based products'!$F$24*('Common input data'!$C$76*'Common input data'!B71+'Common input data'!$C$77*'Common input data'!C71))/'Input data plant-based products'!$E$24</f>
        <v>3.0897115966965379E-5</v>
      </c>
      <c r="I19" s="90">
        <v>0</v>
      </c>
      <c r="J19" s="90">
        <f>(SUM('Input data plant-based products'!F24:H24)*'Input data plant-based products'!$B$114*44/28)/'Input data plant-based products'!E24</f>
        <v>3.3334352283054829E-5</v>
      </c>
      <c r="K19" s="90">
        <f>J19*'Input data plant-based products'!$B$115*(1-'Input data plant-based products'!L140)</f>
        <v>0</v>
      </c>
      <c r="L19" s="90">
        <v>0</v>
      </c>
      <c r="M19" s="90">
        <f>'Input data plant-based products'!O140/'Input data plant-based products'!E$24*'Common input data'!D$33</f>
        <v>4.3637319249096759E-5</v>
      </c>
      <c r="N19" s="90">
        <v>0</v>
      </c>
      <c r="O19" s="90">
        <v>0</v>
      </c>
      <c r="P19" s="90">
        <v>0</v>
      </c>
      <c r="Q19" s="90">
        <v>0</v>
      </c>
      <c r="R19" s="90">
        <v>0</v>
      </c>
      <c r="S19" s="90">
        <f>(F19+R19)</f>
        <v>1.0786878749911697E-4</v>
      </c>
      <c r="T19" s="90">
        <v>0</v>
      </c>
      <c r="U19" s="90">
        <v>0</v>
      </c>
      <c r="V19" s="430"/>
      <c r="W19" s="243"/>
      <c r="Z19" s="64"/>
    </row>
    <row r="20" spans="1:258" s="420" customFormat="1" ht="17.399999999999999" x14ac:dyDescent="0.3">
      <c r="A20" s="122" t="s">
        <v>74</v>
      </c>
      <c r="B20" s="132" t="s">
        <v>102</v>
      </c>
      <c r="C20" s="132">
        <f>'Input data plant-based products'!D25</f>
        <v>0.11</v>
      </c>
      <c r="D20" s="269" t="s">
        <v>473</v>
      </c>
      <c r="E20" s="320">
        <f>IF($F$1="GWP100 without fb",E21+E22*'Common input data'!$C$5+E23*'Common input data'!$D$5,IF($F$1="GWP100 with fb",E21+E22*'Common input data'!$C$6+E23*'Common input data'!$D$6,IF($F$1="GTP100 without fb",E21+E22*'Common input data'!$C$7+E23*'Common input data'!$D$7,IF($F$1="GTP100 with fb",E21+E22*'Common input data'!$C$8+E23*'Common input data'!$D$8,E21+E22*'Common input data'!$C$9+E23*'Common input data'!$D$9))))</f>
        <v>1.8497345429372973E-2</v>
      </c>
      <c r="F20" s="302">
        <f>IF($F$1="GWP100 without fb",F21+F22*'Common input data'!$C$5+F23*'Common input data'!$D$5,IF($F$1="GWP100 with fb",F21+F22*'Common input data'!$C$6+F23*'Common input data'!$D$6,IF($F$1="GTP100 without fb",F21+F22*'Common input data'!$C$7+F23*'Common input data'!$D$7,IF($F$1="GTP100 with fb",F21+F22*'Common input data'!$C$8+F23*'Common input data'!$D$8,F21+F22*'Common input data'!$C$9+F23*'Common input data'!$D$9))))</f>
        <v>9.3658995361196817E-2</v>
      </c>
      <c r="G20" s="321">
        <f>IF($F$1="GWP100 without fb",G21+G22*'Common input data'!$C$5+G23*'Common input data'!$D$5,IF($F$1="GWP100 with fb",G21+G22*'Common input data'!$C$6+G23*'Common input data'!$D$6,IF($F$1="GTP100 without fb",G21+G22*'Common input data'!$C$7+G23*'Common input data'!$D$7,IF($F$1="GTP100 with fb",G21+G22*'Common input data'!$C$8+G23*'Common input data'!$D$8,G21+G22*'Common input data'!$C$9+G23*'Common input data'!$D$9))))</f>
        <v>0.44594700484687533</v>
      </c>
      <c r="H20" s="102"/>
      <c r="I20" s="102"/>
      <c r="J20" s="102"/>
      <c r="K20" s="102"/>
      <c r="L20" s="102"/>
      <c r="M20" s="102"/>
      <c r="N20" s="102"/>
      <c r="O20" s="102"/>
      <c r="P20" s="102"/>
      <c r="Q20" s="102"/>
      <c r="R20" s="102"/>
      <c r="S20" s="102"/>
      <c r="T20" s="102"/>
      <c r="U20" s="102"/>
      <c r="V20" s="430"/>
      <c r="W20" s="243"/>
      <c r="X20" s="308"/>
      <c r="Y20" s="308"/>
      <c r="Z20" s="64"/>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8"/>
      <c r="AY20" s="308"/>
      <c r="AZ20" s="308"/>
      <c r="BA20" s="308"/>
      <c r="BB20" s="308"/>
      <c r="BC20" s="308"/>
      <c r="BD20" s="308"/>
      <c r="BE20" s="308"/>
      <c r="BF20" s="308"/>
      <c r="BG20" s="308"/>
      <c r="BH20" s="308"/>
      <c r="BI20" s="308"/>
      <c r="BJ20" s="308"/>
      <c r="BK20" s="308"/>
      <c r="BL20" s="308"/>
      <c r="BM20" s="308"/>
      <c r="BN20" s="308"/>
      <c r="BO20" s="308"/>
      <c r="BP20" s="308"/>
      <c r="BQ20" s="308"/>
      <c r="BR20" s="308"/>
      <c r="BS20" s="308"/>
      <c r="BT20" s="308"/>
      <c r="BU20" s="308"/>
      <c r="BV20" s="308"/>
      <c r="BW20" s="308"/>
      <c r="BX20" s="308"/>
      <c r="BY20" s="308"/>
      <c r="BZ20" s="308"/>
      <c r="CA20" s="308"/>
      <c r="CB20" s="308"/>
      <c r="CC20" s="308"/>
      <c r="CD20" s="308"/>
      <c r="CE20" s="308"/>
      <c r="CF20" s="308"/>
      <c r="CG20" s="308"/>
      <c r="CH20" s="308"/>
      <c r="CI20" s="308"/>
      <c r="CJ20" s="308"/>
      <c r="CK20" s="308"/>
      <c r="CL20" s="308"/>
      <c r="CM20" s="308"/>
      <c r="CN20" s="308"/>
      <c r="CO20" s="308"/>
      <c r="CP20" s="308"/>
      <c r="CQ20" s="308"/>
      <c r="CR20" s="308"/>
      <c r="CS20" s="308"/>
      <c r="CT20" s="308"/>
      <c r="CU20" s="308"/>
      <c r="CV20" s="308"/>
      <c r="CW20" s="308"/>
      <c r="CX20" s="308"/>
      <c r="CY20" s="308"/>
      <c r="CZ20" s="308"/>
      <c r="DA20" s="308"/>
      <c r="DB20" s="308"/>
      <c r="DC20" s="308"/>
      <c r="DD20" s="308"/>
      <c r="DE20" s="308"/>
      <c r="DF20" s="308"/>
      <c r="DG20" s="308"/>
      <c r="DH20" s="308"/>
      <c r="DI20" s="308"/>
      <c r="DJ20" s="308"/>
      <c r="DK20" s="308"/>
      <c r="DL20" s="308"/>
      <c r="DM20" s="308"/>
      <c r="DN20" s="308"/>
      <c r="DO20" s="308"/>
      <c r="DP20" s="308"/>
      <c r="DQ20" s="308"/>
      <c r="DR20" s="308"/>
      <c r="DS20" s="308"/>
      <c r="DT20" s="308"/>
      <c r="DU20" s="308"/>
      <c r="DV20" s="308"/>
      <c r="DW20" s="308"/>
      <c r="DX20" s="308"/>
      <c r="DY20" s="308"/>
      <c r="DZ20" s="308"/>
      <c r="EA20" s="308"/>
      <c r="EB20" s="308"/>
      <c r="EC20" s="308"/>
      <c r="ED20" s="308"/>
      <c r="EE20" s="308"/>
      <c r="EF20" s="308"/>
      <c r="EG20" s="308"/>
      <c r="EH20" s="308"/>
      <c r="EI20" s="308"/>
      <c r="EJ20" s="308"/>
      <c r="EK20" s="308"/>
      <c r="EL20" s="308"/>
      <c r="EM20" s="308"/>
      <c r="EN20" s="308"/>
      <c r="EO20" s="308"/>
      <c r="EP20" s="308"/>
      <c r="EQ20" s="308"/>
      <c r="ER20" s="308"/>
      <c r="ES20" s="308"/>
      <c r="ET20" s="308"/>
      <c r="EU20" s="308"/>
      <c r="EV20" s="308"/>
      <c r="EW20" s="308"/>
      <c r="EX20" s="308"/>
      <c r="EY20" s="308"/>
      <c r="EZ20" s="308"/>
      <c r="FA20" s="308"/>
      <c r="FB20" s="308"/>
      <c r="FC20" s="308"/>
      <c r="FD20" s="308"/>
      <c r="FE20" s="308"/>
      <c r="FF20" s="308"/>
      <c r="FG20" s="308"/>
      <c r="FH20" s="308"/>
      <c r="FI20" s="308"/>
      <c r="FJ20" s="308"/>
      <c r="FK20" s="308"/>
      <c r="FL20" s="308"/>
      <c r="FM20" s="308"/>
      <c r="FN20" s="308"/>
      <c r="FO20" s="308"/>
      <c r="FP20" s="308"/>
      <c r="FQ20" s="308"/>
      <c r="FR20" s="308"/>
      <c r="FS20" s="308"/>
      <c r="FT20" s="308"/>
      <c r="FU20" s="308"/>
      <c r="FV20" s="308"/>
      <c r="FW20" s="308"/>
      <c r="FX20" s="308"/>
      <c r="FY20" s="308"/>
      <c r="FZ20" s="308"/>
      <c r="GA20" s="308"/>
      <c r="GB20" s="308"/>
      <c r="GC20" s="308"/>
      <c r="GD20" s="308"/>
      <c r="GE20" s="308"/>
      <c r="GF20" s="308"/>
      <c r="GG20" s="308"/>
      <c r="GH20" s="308"/>
      <c r="GI20" s="308"/>
      <c r="GJ20" s="308"/>
      <c r="GK20" s="308"/>
      <c r="GL20" s="308"/>
      <c r="GM20" s="308"/>
      <c r="GN20" s="308"/>
      <c r="GO20" s="308"/>
      <c r="GP20" s="308"/>
      <c r="GQ20" s="308"/>
      <c r="GR20" s="308"/>
      <c r="GS20" s="308"/>
      <c r="GT20" s="308"/>
      <c r="GU20" s="308"/>
      <c r="GV20" s="308"/>
      <c r="GW20" s="308"/>
      <c r="GX20" s="308"/>
      <c r="GY20" s="308"/>
      <c r="GZ20" s="308"/>
      <c r="HA20" s="308"/>
      <c r="HB20" s="308"/>
      <c r="HC20" s="308"/>
      <c r="HD20" s="308"/>
      <c r="HE20" s="308"/>
      <c r="HF20" s="308"/>
      <c r="HG20" s="308"/>
      <c r="HH20" s="308"/>
      <c r="HI20" s="308"/>
      <c r="HJ20" s="308"/>
      <c r="HK20" s="308"/>
      <c r="HL20" s="308"/>
      <c r="HM20" s="308"/>
      <c r="HN20" s="308"/>
      <c r="HO20" s="308"/>
      <c r="HP20" s="308"/>
      <c r="HQ20" s="308"/>
      <c r="HR20" s="308"/>
      <c r="HS20" s="308"/>
      <c r="HT20" s="308"/>
      <c r="HU20" s="308"/>
      <c r="HV20" s="308"/>
      <c r="HW20" s="308"/>
      <c r="HX20" s="308"/>
      <c r="HY20" s="308"/>
      <c r="HZ20" s="308"/>
      <c r="IA20" s="308"/>
      <c r="IB20" s="308"/>
      <c r="IC20" s="308"/>
      <c r="ID20" s="308"/>
      <c r="IE20" s="308"/>
      <c r="IF20" s="308"/>
      <c r="IG20" s="308"/>
      <c r="IH20" s="308"/>
      <c r="II20" s="308"/>
      <c r="IJ20" s="308"/>
      <c r="IK20" s="308"/>
      <c r="IL20" s="308"/>
      <c r="IM20" s="308"/>
      <c r="IN20" s="308"/>
      <c r="IO20" s="308"/>
      <c r="IP20" s="308"/>
      <c r="IQ20" s="308"/>
      <c r="IR20" s="308"/>
      <c r="IS20" s="308"/>
      <c r="IT20" s="308"/>
      <c r="IU20" s="308"/>
      <c r="IV20" s="308"/>
      <c r="IW20" s="308"/>
      <c r="IX20" s="308"/>
    </row>
    <row r="21" spans="1:258" s="308" customFormat="1" ht="17.399999999999999" x14ac:dyDescent="0.3">
      <c r="A21" s="144"/>
      <c r="B21" s="64"/>
      <c r="C21" s="64"/>
      <c r="D21" s="83" t="s">
        <v>164</v>
      </c>
      <c r="E21" s="270">
        <f>IF(AND($F$2="No",$F$3="No"),SUM(J21:K21),IF(AND($F$2="Yes", $F$3="No"), SUM(J21:K21)+Q21, IF(AND($F$2="No", $F$3="Yes"),SUM(J21:K21)+P21, SUM(J21:K21)+Q21+P21)))</f>
        <v>0</v>
      </c>
      <c r="F21" s="90">
        <f>IF(AND($F$2="No",$F$3="No"),SUM(H21:O21),IF(AND($F$2="Yes", $F$3="No"), SUM(H21:O21)+Q21, IF(AND($F$2="No", $F$3="Yes"),SUM(H21:O21)+P21, SUM(H21:O21)+Q21+P21)))</f>
        <v>5.9575362396200579E-2</v>
      </c>
      <c r="G21" s="278">
        <f>SUM(S21:U21)/(1-'Common input data'!$B$121)</f>
        <v>0.40526955769924883</v>
      </c>
      <c r="H21" s="85">
        <f>('Input data plant-based products'!$F$25*('Common input data'!$C$76*'Common input data'!B69+'Common input data'!$C$77*'Common input data'!C69))/'Input data plant-based products'!$E$25</f>
        <v>9.575362396200578E-3</v>
      </c>
      <c r="I21" s="90">
        <f>'Common input data'!$B$81</f>
        <v>0.03</v>
      </c>
      <c r="J21" s="85">
        <v>0</v>
      </c>
      <c r="K21" s="90">
        <v>0</v>
      </c>
      <c r="L21" s="85">
        <v>0</v>
      </c>
      <c r="M21" s="90">
        <v>0</v>
      </c>
      <c r="N21" s="90">
        <f>'Input data plant-based products'!G$152</f>
        <v>0.02</v>
      </c>
      <c r="O21" s="90">
        <v>0</v>
      </c>
      <c r="P21" s="90">
        <v>0</v>
      </c>
      <c r="Q21" s="90">
        <v>0</v>
      </c>
      <c r="R21" s="90">
        <v>0</v>
      </c>
      <c r="S21" s="90">
        <f>(F21+R21)</f>
        <v>5.9575362396200579E-2</v>
      </c>
      <c r="T21" s="90">
        <f>'Common input data'!$B$88</f>
        <v>0.05</v>
      </c>
      <c r="U21" s="90">
        <f>'Common input data'!B100+'Common input data'!C100</f>
        <v>0.23</v>
      </c>
      <c r="V21" s="430"/>
      <c r="W21" s="243"/>
      <c r="Z21" s="64"/>
    </row>
    <row r="22" spans="1:258" s="308" customFormat="1" ht="17.399999999999999" x14ac:dyDescent="0.3">
      <c r="A22" s="107"/>
      <c r="B22" s="68"/>
      <c r="C22" s="142"/>
      <c r="D22" s="83" t="s">
        <v>165</v>
      </c>
      <c r="E22" s="270">
        <f>SUM(J22:K22)</f>
        <v>0</v>
      </c>
      <c r="F22" s="90">
        <f>SUM(H22:O22)</f>
        <v>4.2219172660035701E-11</v>
      </c>
      <c r="G22" s="278">
        <f>SUM(S22:U22)/(1-'Common input data'!$B$121)</f>
        <v>5.0386887051003342E-11</v>
      </c>
      <c r="H22" s="85">
        <f>('Input data plant-based products'!$F$25*('Common input data'!$C$76*'Common input data'!B70+'Common input data'!$C$77*'Common input data'!C70))/'Input data plant-based products'!$E$25</f>
        <v>4.2219172660035701E-11</v>
      </c>
      <c r="I22" s="90">
        <v>0</v>
      </c>
      <c r="J22" s="149">
        <v>0</v>
      </c>
      <c r="K22" s="90">
        <v>0</v>
      </c>
      <c r="L22" s="85">
        <v>0</v>
      </c>
      <c r="M22" s="90">
        <v>0</v>
      </c>
      <c r="N22" s="90">
        <v>0</v>
      </c>
      <c r="O22" s="90">
        <v>0</v>
      </c>
      <c r="P22" s="90">
        <v>0</v>
      </c>
      <c r="Q22" s="90">
        <v>0</v>
      </c>
      <c r="R22" s="90">
        <v>0</v>
      </c>
      <c r="S22" s="90">
        <f>(F22+R22)</f>
        <v>4.2219172660035701E-11</v>
      </c>
      <c r="T22" s="90">
        <v>0</v>
      </c>
      <c r="U22" s="90">
        <v>0</v>
      </c>
      <c r="V22" s="430"/>
      <c r="W22" s="243"/>
      <c r="Z22" s="64"/>
    </row>
    <row r="23" spans="1:258" s="308" customFormat="1" ht="17.399999999999999" x14ac:dyDescent="0.3">
      <c r="A23" s="174"/>
      <c r="B23" s="64"/>
      <c r="C23" s="85"/>
      <c r="D23" s="84" t="s">
        <v>166</v>
      </c>
      <c r="E23" s="270">
        <f>SUM(J23:K23)</f>
        <v>6.2071628957627431E-5</v>
      </c>
      <c r="F23" s="90">
        <f>SUM(H23:O23)</f>
        <v>1.143746024481355E-4</v>
      </c>
      <c r="G23" s="278">
        <f>SUM(S23:U23)/(1-'Common input data'!$B$121)</f>
        <v>1.3650149474655151E-4</v>
      </c>
      <c r="H23" s="85">
        <f>('Input data plant-based products'!$F$25*('Common input data'!$C$76*'Common input data'!B71+'Common input data'!$C$77*'Common input data'!C71))/'Input data plant-based products'!$E$25</f>
        <v>5.2302973490508069E-5</v>
      </c>
      <c r="I23" s="85">
        <v>0</v>
      </c>
      <c r="J23" s="85">
        <f>(SUM('Input data plant-based products'!F25:H25)*'Input data plant-based products'!$B$114*44/28)/'Input data plant-based products'!E25</f>
        <v>5.6428753597843114E-5</v>
      </c>
      <c r="K23" s="90">
        <f>J23*'Input data plant-based products'!$B$115</f>
        <v>5.6428753597843117E-6</v>
      </c>
      <c r="L23" s="85">
        <v>0</v>
      </c>
      <c r="M23" s="90">
        <v>0</v>
      </c>
      <c r="N23" s="90">
        <v>0</v>
      </c>
      <c r="O23" s="90">
        <v>0</v>
      </c>
      <c r="P23" s="90">
        <v>0</v>
      </c>
      <c r="Q23" s="90">
        <v>0</v>
      </c>
      <c r="R23" s="90">
        <v>0</v>
      </c>
      <c r="S23" s="90">
        <f>(F23+R23)</f>
        <v>1.143746024481355E-4</v>
      </c>
      <c r="T23" s="90">
        <v>0</v>
      </c>
      <c r="U23" s="90">
        <v>0</v>
      </c>
      <c r="V23" s="430"/>
      <c r="W23" s="243"/>
      <c r="Z23" s="64"/>
    </row>
    <row r="24" spans="1:258" s="420" customFormat="1" ht="17.399999999999999" x14ac:dyDescent="0.3">
      <c r="A24" s="122" t="s">
        <v>74</v>
      </c>
      <c r="B24" s="132" t="s">
        <v>225</v>
      </c>
      <c r="C24" s="132">
        <f>'Input data plant-based products'!D26</f>
        <v>7.0000000000000007E-2</v>
      </c>
      <c r="D24" s="269" t="s">
        <v>473</v>
      </c>
      <c r="E24" s="320">
        <f>IF($F$1="GWP100 without fb",E25+E26*'Common input data'!$C$5+E27*'Common input data'!$D$5,IF($F$1="GWP100 with fb",E25+E26*'Common input data'!$C$6+E27*'Common input data'!$D$6,IF($F$1="GTP100 without fb",E25+E26*'Common input data'!$C$7+E27*'Common input data'!$D$7,IF($F$1="GTP100 with fb",E25+E26*'Common input data'!$C$8+E27*'Common input data'!$D$8,E25+E26*'Common input data'!$C$9+E27*'Common input data'!$D$9))))</f>
        <v>6.3413805642438384E-2</v>
      </c>
      <c r="F24" s="302">
        <f>IF($F$1="GWP100 without fb",F25+F26*'Common input data'!$C$5+F27*'Common input data'!$D$5,IF($F$1="GWP100 with fb",F25+F26*'Common input data'!$C$6+F27*'Common input data'!$D$6,IF($F$1="GTP100 without fb",F25+F26*'Common input data'!$C$7+F27*'Common input data'!$D$7,IF($F$1="GTP100 with fb",F25+F26*'Common input data'!$C$8+F27*'Common input data'!$D$8,F25+F26*'Common input data'!$C$9+F27*'Common input data'!$D$9))))</f>
        <v>0.14380091747404777</v>
      </c>
      <c r="G24" s="321">
        <f>IF($F$1="GWP100 without fb",G25+G26*'Common input data'!$C$5+G27*'Common input data'!$D$5,IF($F$1="GWP100 with fb",G25+G26*'Common input data'!$C$6+G27*'Common input data'!$D$6,IF($F$1="GTP100 without fb",G25+G26*'Common input data'!$C$7+G27*'Common input data'!$D$7,IF($F$1="GTP100 with fb",G25+G26*'Common input data'!$C$8+G27*'Common input data'!$D$8,G25+G26*'Common input data'!$C$9+G27*'Common input data'!$D$9))))</f>
        <v>0.50578937519280076</v>
      </c>
      <c r="H24" s="102"/>
      <c r="I24" s="102"/>
      <c r="J24" s="102"/>
      <c r="K24" s="102"/>
      <c r="L24" s="102"/>
      <c r="M24" s="102"/>
      <c r="N24" s="102"/>
      <c r="O24" s="102"/>
      <c r="P24" s="102"/>
      <c r="Q24" s="102"/>
      <c r="R24" s="102"/>
      <c r="S24" s="102"/>
      <c r="T24" s="102"/>
      <c r="U24" s="102"/>
      <c r="V24" s="430"/>
      <c r="W24" s="243"/>
      <c r="X24" s="308"/>
      <c r="Y24" s="308"/>
      <c r="Z24" s="64"/>
      <c r="AA24" s="308"/>
      <c r="AB24" s="308"/>
      <c r="AC24" s="308"/>
      <c r="AD24" s="308"/>
      <c r="AE24" s="308"/>
      <c r="AF24" s="308"/>
      <c r="AG24" s="308"/>
      <c r="AH24" s="308"/>
      <c r="AI24" s="308"/>
      <c r="AJ24" s="308"/>
      <c r="AK24" s="308"/>
      <c r="AL24" s="308"/>
      <c r="AM24" s="308"/>
      <c r="AN24" s="308"/>
      <c r="AO24" s="308"/>
      <c r="AP24" s="308"/>
      <c r="AQ24" s="308"/>
      <c r="AR24" s="308"/>
      <c r="AS24" s="308"/>
      <c r="AT24" s="308"/>
      <c r="AU24" s="308"/>
      <c r="AV24" s="308"/>
      <c r="AW24" s="308"/>
      <c r="AX24" s="308"/>
      <c r="AY24" s="308"/>
      <c r="AZ24" s="308"/>
      <c r="BA24" s="308"/>
      <c r="BB24" s="308"/>
      <c r="BC24" s="308"/>
      <c r="BD24" s="308"/>
      <c r="BE24" s="308"/>
      <c r="BF24" s="308"/>
      <c r="BG24" s="308"/>
      <c r="BH24" s="308"/>
      <c r="BI24" s="308"/>
      <c r="BJ24" s="308"/>
      <c r="BK24" s="308"/>
      <c r="BL24" s="308"/>
      <c r="BM24" s="308"/>
      <c r="BN24" s="308"/>
      <c r="BO24" s="308"/>
      <c r="BP24" s="308"/>
      <c r="BQ24" s="308"/>
      <c r="BR24" s="308"/>
      <c r="BS24" s="308"/>
      <c r="BT24" s="308"/>
      <c r="BU24" s="308"/>
      <c r="BV24" s="308"/>
      <c r="BW24" s="308"/>
      <c r="BX24" s="308"/>
      <c r="BY24" s="308"/>
      <c r="BZ24" s="308"/>
      <c r="CA24" s="308"/>
      <c r="CB24" s="308"/>
      <c r="CC24" s="308"/>
      <c r="CD24" s="308"/>
      <c r="CE24" s="308"/>
      <c r="CF24" s="308"/>
      <c r="CG24" s="308"/>
      <c r="CH24" s="308"/>
      <c r="CI24" s="308"/>
      <c r="CJ24" s="308"/>
      <c r="CK24" s="308"/>
      <c r="CL24" s="308"/>
      <c r="CM24" s="308"/>
      <c r="CN24" s="308"/>
      <c r="CO24" s="308"/>
      <c r="CP24" s="308"/>
      <c r="CQ24" s="308"/>
      <c r="CR24" s="308"/>
      <c r="CS24" s="308"/>
      <c r="CT24" s="308"/>
      <c r="CU24" s="308"/>
      <c r="CV24" s="308"/>
      <c r="CW24" s="308"/>
      <c r="CX24" s="308"/>
      <c r="CY24" s="308"/>
      <c r="CZ24" s="308"/>
      <c r="DA24" s="308"/>
      <c r="DB24" s="308"/>
      <c r="DC24" s="308"/>
      <c r="DD24" s="308"/>
      <c r="DE24" s="308"/>
      <c r="DF24" s="308"/>
      <c r="DG24" s="308"/>
      <c r="DH24" s="308"/>
      <c r="DI24" s="308"/>
      <c r="DJ24" s="308"/>
      <c r="DK24" s="308"/>
      <c r="DL24" s="308"/>
      <c r="DM24" s="308"/>
      <c r="DN24" s="308"/>
      <c r="DO24" s="308"/>
      <c r="DP24" s="308"/>
      <c r="DQ24" s="308"/>
      <c r="DR24" s="308"/>
      <c r="DS24" s="308"/>
      <c r="DT24" s="308"/>
      <c r="DU24" s="308"/>
      <c r="DV24" s="308"/>
      <c r="DW24" s="308"/>
      <c r="DX24" s="308"/>
      <c r="DY24" s="308"/>
      <c r="DZ24" s="308"/>
      <c r="EA24" s="308"/>
      <c r="EB24" s="308"/>
      <c r="EC24" s="308"/>
      <c r="ED24" s="308"/>
      <c r="EE24" s="308"/>
      <c r="EF24" s="308"/>
      <c r="EG24" s="308"/>
      <c r="EH24" s="308"/>
      <c r="EI24" s="308"/>
      <c r="EJ24" s="308"/>
      <c r="EK24" s="308"/>
      <c r="EL24" s="308"/>
      <c r="EM24" s="308"/>
      <c r="EN24" s="308"/>
      <c r="EO24" s="308"/>
      <c r="EP24" s="308"/>
      <c r="EQ24" s="308"/>
      <c r="ER24" s="308"/>
      <c r="ES24" s="308"/>
      <c r="ET24" s="308"/>
      <c r="EU24" s="308"/>
      <c r="EV24" s="308"/>
      <c r="EW24" s="308"/>
      <c r="EX24" s="308"/>
      <c r="EY24" s="308"/>
      <c r="EZ24" s="308"/>
      <c r="FA24" s="308"/>
      <c r="FB24" s="308"/>
      <c r="FC24" s="308"/>
      <c r="FD24" s="308"/>
      <c r="FE24" s="308"/>
      <c r="FF24" s="308"/>
      <c r="FG24" s="308"/>
      <c r="FH24" s="308"/>
      <c r="FI24" s="308"/>
      <c r="FJ24" s="308"/>
      <c r="FK24" s="308"/>
      <c r="FL24" s="308"/>
      <c r="FM24" s="308"/>
      <c r="FN24" s="308"/>
      <c r="FO24" s="308"/>
      <c r="FP24" s="308"/>
      <c r="FQ24" s="308"/>
      <c r="FR24" s="308"/>
      <c r="FS24" s="308"/>
      <c r="FT24" s="308"/>
      <c r="FU24" s="308"/>
      <c r="FV24" s="308"/>
      <c r="FW24" s="308"/>
      <c r="FX24" s="308"/>
      <c r="FY24" s="308"/>
      <c r="FZ24" s="308"/>
      <c r="GA24" s="308"/>
      <c r="GB24" s="308"/>
      <c r="GC24" s="308"/>
      <c r="GD24" s="308"/>
      <c r="GE24" s="308"/>
      <c r="GF24" s="308"/>
      <c r="GG24" s="308"/>
      <c r="GH24" s="308"/>
      <c r="GI24" s="308"/>
      <c r="GJ24" s="308"/>
      <c r="GK24" s="308"/>
      <c r="GL24" s="308"/>
      <c r="GM24" s="308"/>
      <c r="GN24" s="308"/>
      <c r="GO24" s="308"/>
      <c r="GP24" s="308"/>
      <c r="GQ24" s="308"/>
      <c r="GR24" s="308"/>
      <c r="GS24" s="308"/>
      <c r="GT24" s="308"/>
      <c r="GU24" s="308"/>
      <c r="GV24" s="308"/>
      <c r="GW24" s="308"/>
      <c r="GX24" s="308"/>
      <c r="GY24" s="308"/>
      <c r="GZ24" s="308"/>
      <c r="HA24" s="308"/>
      <c r="HB24" s="308"/>
      <c r="HC24" s="308"/>
      <c r="HD24" s="308"/>
      <c r="HE24" s="308"/>
      <c r="HF24" s="308"/>
      <c r="HG24" s="308"/>
      <c r="HH24" s="308"/>
      <c r="HI24" s="308"/>
      <c r="HJ24" s="308"/>
      <c r="HK24" s="308"/>
      <c r="HL24" s="308"/>
      <c r="HM24" s="308"/>
      <c r="HN24" s="308"/>
      <c r="HO24" s="308"/>
      <c r="HP24" s="308"/>
      <c r="HQ24" s="308"/>
      <c r="HR24" s="308"/>
      <c r="HS24" s="308"/>
      <c r="HT24" s="308"/>
      <c r="HU24" s="308"/>
      <c r="HV24" s="308"/>
      <c r="HW24" s="308"/>
      <c r="HX24" s="308"/>
      <c r="HY24" s="308"/>
      <c r="HZ24" s="308"/>
      <c r="IA24" s="308"/>
      <c r="IB24" s="308"/>
      <c r="IC24" s="308"/>
      <c r="ID24" s="308"/>
      <c r="IE24" s="308"/>
      <c r="IF24" s="308"/>
      <c r="IG24" s="308"/>
      <c r="IH24" s="308"/>
      <c r="II24" s="308"/>
      <c r="IJ24" s="308"/>
      <c r="IK24" s="308"/>
      <c r="IL24" s="308"/>
      <c r="IM24" s="308"/>
      <c r="IN24" s="308"/>
      <c r="IO24" s="308"/>
      <c r="IP24" s="308"/>
      <c r="IQ24" s="308"/>
      <c r="IR24" s="308"/>
      <c r="IS24" s="308"/>
      <c r="IT24" s="308"/>
      <c r="IU24" s="308"/>
      <c r="IV24" s="308"/>
      <c r="IW24" s="308"/>
      <c r="IX24" s="308"/>
    </row>
    <row r="25" spans="1:258" s="308" customFormat="1" ht="17.399999999999999" x14ac:dyDescent="0.3">
      <c r="A25" s="107"/>
      <c r="B25" s="64"/>
      <c r="C25" s="64"/>
      <c r="D25" s="83" t="s">
        <v>164</v>
      </c>
      <c r="E25" s="270">
        <f>IF(AND($F$2="No",$F$3="No"),SUM(J25:K25),IF(AND($F$2="Yes", $F$3="No"), SUM(J25:K25)+Q25, IF(AND($F$2="No", $F$3="Yes"),SUM(J25:K25)+P25, SUM(J25:K25)+Q25+P25)))</f>
        <v>3.9989486962957101E-2</v>
      </c>
      <c r="F25" s="90">
        <f>IF(AND($F$2="No",$F$3="No"),SUM(H25:O25),IF(AND($F$2="Yes", $F$3="No"), SUM(H25:O25)+Q25, IF(AND($F$2="No", $F$3="Yes"),SUM(H25:O25)+P25, SUM(H25:O25)+Q25+P25)))</f>
        <v>0.10433169233144249</v>
      </c>
      <c r="G25" s="278">
        <f>SUM(S25:U25)/(1-'Common input data'!$B$121)</f>
        <v>0.45868444006616838</v>
      </c>
      <c r="H25" s="85">
        <f>('Input data plant-based products'!$F$26*('Common input data'!$C$76*'Common input data'!B69+'Common input data'!$C$77*'Common input data'!C69))/'Input data plant-based products'!$E$26</f>
        <v>9.7926369365525217E-3</v>
      </c>
      <c r="I25" s="90">
        <f>'Common input data'!$B$81</f>
        <v>0.03</v>
      </c>
      <c r="J25" s="85">
        <v>0</v>
      </c>
      <c r="K25" s="85">
        <v>0</v>
      </c>
      <c r="L25" s="85">
        <f>('Input data plant-based products'!$I$26*'Common input data'!$C$59*'Common input data'!H49)/'Input data plant-based products'!$E$26</f>
        <v>4.5495684319328752E-3</v>
      </c>
      <c r="M25" s="90">
        <v>0</v>
      </c>
      <c r="N25" s="90">
        <f>'Input data plant-based products'!G$152</f>
        <v>0.02</v>
      </c>
      <c r="O25" s="90">
        <v>0</v>
      </c>
      <c r="P25" s="90">
        <f>'Common input data'!E$13</f>
        <v>3.9989486962957101E-2</v>
      </c>
      <c r="Q25" s="90">
        <v>0</v>
      </c>
      <c r="R25" s="90">
        <v>0</v>
      </c>
      <c r="S25" s="90">
        <f>(F25+R25)</f>
        <v>0.10433169233144249</v>
      </c>
      <c r="T25" s="90">
        <f>'Common input data'!$B$88</f>
        <v>0.05</v>
      </c>
      <c r="U25" s="90">
        <f>'Common input data'!B100+'Common input data'!C100</f>
        <v>0.23</v>
      </c>
      <c r="V25" s="430"/>
      <c r="W25" s="243"/>
      <c r="Z25" s="64"/>
    </row>
    <row r="26" spans="1:258" s="308" customFormat="1" ht="17.399999999999999" x14ac:dyDescent="0.3">
      <c r="A26" s="107"/>
      <c r="B26" s="64"/>
      <c r="C26" s="142"/>
      <c r="D26" s="83" t="s">
        <v>165</v>
      </c>
      <c r="E26" s="270">
        <f>SUM(J26:K26)</f>
        <v>0</v>
      </c>
      <c r="F26" s="90">
        <f>SUM(H26:O26)</f>
        <v>2.0153485824089499E-6</v>
      </c>
      <c r="G26" s="278">
        <f>SUM(S26:U26)/(1-'Common input data'!$B$121)</f>
        <v>2.4052375968599475E-6</v>
      </c>
      <c r="H26" s="85">
        <f>('Input data plant-based products'!$F$26*('Common input data'!$C$76*'Common input data'!B70+'Common input data'!$C$77*'Common input data'!C70))/'Input data plant-based products'!$E$26</f>
        <v>4.3177167872560348E-11</v>
      </c>
      <c r="I26" s="90">
        <v>0</v>
      </c>
      <c r="J26" s="85">
        <v>0</v>
      </c>
      <c r="K26" s="85">
        <v>0</v>
      </c>
      <c r="L26" s="85">
        <f>('Input data plant-based products'!$I$26*'Common input data'!$C$59*'Common input data'!H50)/'Input data plant-based products'!$E$26</f>
        <v>2.0153054052410775E-6</v>
      </c>
      <c r="M26" s="90">
        <v>0</v>
      </c>
      <c r="N26" s="90">
        <v>0</v>
      </c>
      <c r="O26" s="85">
        <v>0</v>
      </c>
      <c r="P26" s="85">
        <v>0</v>
      </c>
      <c r="Q26" s="90">
        <v>0</v>
      </c>
      <c r="R26" s="90">
        <v>0</v>
      </c>
      <c r="S26" s="90">
        <f>(F26+R26)</f>
        <v>2.0153485824089499E-6</v>
      </c>
      <c r="T26" s="90">
        <v>0</v>
      </c>
      <c r="U26" s="90">
        <v>0</v>
      </c>
      <c r="V26" s="430"/>
      <c r="W26" s="243"/>
      <c r="Z26" s="64"/>
    </row>
    <row r="27" spans="1:258" s="308" customFormat="1" ht="17.399999999999999" x14ac:dyDescent="0.3">
      <c r="A27" s="107"/>
      <c r="B27" s="64"/>
      <c r="C27" s="85"/>
      <c r="D27" s="84" t="s">
        <v>166</v>
      </c>
      <c r="E27" s="270">
        <f>SUM(J27:K27)</f>
        <v>7.8605096239870074E-5</v>
      </c>
      <c r="F27" s="90">
        <f>SUM(H27:O27)</f>
        <v>1.3221712513692403E-4</v>
      </c>
      <c r="G27" s="278">
        <f>SUM(S27:U27)/(1-'Common input data'!$B$121)</f>
        <v>1.5779582902127227E-4</v>
      </c>
      <c r="H27" s="85">
        <f>('Input data plant-based products'!$F$26*('Common input data'!$C$76*'Common input data'!B71+'Common input data'!$C$77*'Common input data'!C71))/'Input data plant-based products'!$E$26</f>
        <v>5.3489780219483593E-5</v>
      </c>
      <c r="I27" s="85">
        <v>0</v>
      </c>
      <c r="J27" s="85">
        <f>(SUM('Input data plant-based products'!F26:H26)*'Input data plant-based products'!$B$114*44/28)/'Input data plant-based products'!E26</f>
        <v>7.1459178399881884E-5</v>
      </c>
      <c r="K27" s="90">
        <f>J27*'Input data plant-based products'!$B$115</f>
        <v>7.1459178399881889E-6</v>
      </c>
      <c r="L27" s="85">
        <f>('Input data plant-based products'!$I$26*'Common input data'!$C$59*'Common input data'!H51)/'Input data plant-based products'!$E$26</f>
        <v>1.2224867757037758E-7</v>
      </c>
      <c r="M27" s="90">
        <v>0</v>
      </c>
      <c r="N27" s="90">
        <v>0</v>
      </c>
      <c r="O27" s="85">
        <v>0</v>
      </c>
      <c r="P27" s="85">
        <v>0</v>
      </c>
      <c r="Q27" s="90">
        <v>0</v>
      </c>
      <c r="R27" s="90">
        <v>0</v>
      </c>
      <c r="S27" s="90">
        <f>(F27+R27)</f>
        <v>1.3221712513692403E-4</v>
      </c>
      <c r="T27" s="90">
        <v>0</v>
      </c>
      <c r="U27" s="90">
        <v>0</v>
      </c>
      <c r="V27" s="430"/>
      <c r="W27" s="243"/>
      <c r="Z27" s="64"/>
    </row>
    <row r="28" spans="1:258" s="420" customFormat="1" ht="17.399999999999999" x14ac:dyDescent="0.3">
      <c r="A28" s="122" t="s">
        <v>70</v>
      </c>
      <c r="B28" s="132" t="s">
        <v>102</v>
      </c>
      <c r="C28" s="132">
        <f>'Input data plant-based products'!D27</f>
        <v>0.06</v>
      </c>
      <c r="D28" s="269" t="s">
        <v>473</v>
      </c>
      <c r="E28" s="320">
        <f>IF($F$1="GWP100 without fb",E29+E30*'Common input data'!$C$5+E31*'Common input data'!$D$5,IF($F$1="GWP100 with fb",E29+E30*'Common input data'!$C$6+E31*'Common input data'!$D$6,IF($F$1="GTP100 without fb",E29+E30*'Common input data'!$C$7+E31*'Common input data'!$D$7,IF($F$1="GTP100 with fb",E29+E30*'Common input data'!$C$8+E31*'Common input data'!$D$8,E29+E30*'Common input data'!$C$9+E31*'Common input data'!$D$9))))</f>
        <v>2.3204910123873834E-2</v>
      </c>
      <c r="F28" s="302">
        <f>IF($F$1="GWP100 without fb",F29+F30*'Common input data'!$C$5+F31*'Common input data'!$D$5,IF($F$1="GWP100 with fb",F29+F30*'Common input data'!$C$6+F31*'Common input data'!$D$6,IF($F$1="GTP100 without fb",F29+F30*'Common input data'!$C$7+F31*'Common input data'!$D$7,IF($F$1="GTP100 with fb",F29+F30*'Common input data'!$C$8+F31*'Common input data'!$D$8,F29+F30*'Common input data'!$C$9+F31*'Common input data'!$D$9))))</f>
        <v>0.8474408694437251</v>
      </c>
      <c r="G28" s="321">
        <f>IF($F$1="GWP100 without fb",G29+G30*'Common input data'!$C$5+G31*'Common input data'!$D$5,IF($F$1="GWP100 with fb",G29+G30*'Common input data'!$C$6+G31*'Common input data'!$D$6,IF($F$1="GTP100 without fb",G29+G30*'Common input data'!$C$7+G31*'Common input data'!$D$7,IF($F$1="GTP100 with fb",G29+G30*'Common input data'!$C$8+G31*'Common input data'!$D$8,G29+G30*'Common input data'!$C$9+G31*'Common input data'!$D$9))))</f>
        <v>1.345555399741885</v>
      </c>
      <c r="H28" s="102"/>
      <c r="I28" s="102"/>
      <c r="J28" s="102"/>
      <c r="K28" s="102"/>
      <c r="L28" s="102"/>
      <c r="M28" s="102"/>
      <c r="N28" s="102"/>
      <c r="O28" s="102"/>
      <c r="P28" s="102"/>
      <c r="Q28" s="102"/>
      <c r="R28" s="102"/>
      <c r="S28" s="102"/>
      <c r="T28" s="102"/>
      <c r="U28" s="102"/>
      <c r="V28" s="430"/>
      <c r="W28" s="243"/>
      <c r="X28" s="308"/>
      <c r="Y28" s="308"/>
      <c r="Z28" s="64"/>
      <c r="AA28" s="308"/>
      <c r="AB28" s="308"/>
      <c r="AC28" s="308"/>
      <c r="AD28" s="308"/>
      <c r="AE28" s="308"/>
      <c r="AF28" s="308"/>
      <c r="AG28" s="308"/>
      <c r="AH28" s="308"/>
      <c r="AI28" s="308"/>
      <c r="AJ28" s="308"/>
      <c r="AK28" s="308"/>
      <c r="AL28" s="308"/>
      <c r="AM28" s="308"/>
      <c r="AN28" s="308"/>
      <c r="AO28" s="308"/>
      <c r="AP28" s="308"/>
      <c r="AQ28" s="308"/>
      <c r="AR28" s="308"/>
      <c r="AS28" s="308"/>
      <c r="AT28" s="308"/>
      <c r="AU28" s="308"/>
      <c r="AV28" s="308"/>
      <c r="AW28" s="308"/>
      <c r="AX28" s="308"/>
      <c r="AY28" s="308"/>
      <c r="AZ28" s="308"/>
      <c r="BA28" s="308"/>
      <c r="BB28" s="308"/>
      <c r="BC28" s="308"/>
      <c r="BD28" s="308"/>
      <c r="BE28" s="308"/>
      <c r="BF28" s="308"/>
      <c r="BG28" s="308"/>
      <c r="BH28" s="308"/>
      <c r="BI28" s="308"/>
      <c r="BJ28" s="308"/>
      <c r="BK28" s="308"/>
      <c r="BL28" s="308"/>
      <c r="BM28" s="308"/>
      <c r="BN28" s="308"/>
      <c r="BO28" s="308"/>
      <c r="BP28" s="308"/>
      <c r="BQ28" s="308"/>
      <c r="BR28" s="308"/>
      <c r="BS28" s="308"/>
      <c r="BT28" s="308"/>
      <c r="BU28" s="308"/>
      <c r="BV28" s="308"/>
      <c r="BW28" s="308"/>
      <c r="BX28" s="308"/>
      <c r="BY28" s="308"/>
      <c r="BZ28" s="308"/>
      <c r="CA28" s="308"/>
      <c r="CB28" s="308"/>
      <c r="CC28" s="308"/>
      <c r="CD28" s="308"/>
      <c r="CE28" s="308"/>
      <c r="CF28" s="308"/>
      <c r="CG28" s="308"/>
      <c r="CH28" s="308"/>
      <c r="CI28" s="308"/>
      <c r="CJ28" s="308"/>
      <c r="CK28" s="308"/>
      <c r="CL28" s="308"/>
      <c r="CM28" s="308"/>
      <c r="CN28" s="308"/>
      <c r="CO28" s="308"/>
      <c r="CP28" s="308"/>
      <c r="CQ28" s="308"/>
      <c r="CR28" s="308"/>
      <c r="CS28" s="308"/>
      <c r="CT28" s="308"/>
      <c r="CU28" s="308"/>
      <c r="CV28" s="308"/>
      <c r="CW28" s="308"/>
      <c r="CX28" s="308"/>
      <c r="CY28" s="308"/>
      <c r="CZ28" s="308"/>
      <c r="DA28" s="308"/>
      <c r="DB28" s="308"/>
      <c r="DC28" s="308"/>
      <c r="DD28" s="308"/>
      <c r="DE28" s="308"/>
      <c r="DF28" s="308"/>
      <c r="DG28" s="308"/>
      <c r="DH28" s="308"/>
      <c r="DI28" s="308"/>
      <c r="DJ28" s="308"/>
      <c r="DK28" s="308"/>
      <c r="DL28" s="308"/>
      <c r="DM28" s="308"/>
      <c r="DN28" s="308"/>
      <c r="DO28" s="308"/>
      <c r="DP28" s="308"/>
      <c r="DQ28" s="308"/>
      <c r="DR28" s="308"/>
      <c r="DS28" s="308"/>
      <c r="DT28" s="308"/>
      <c r="DU28" s="308"/>
      <c r="DV28" s="308"/>
      <c r="DW28" s="308"/>
      <c r="DX28" s="308"/>
      <c r="DY28" s="308"/>
      <c r="DZ28" s="308"/>
      <c r="EA28" s="308"/>
      <c r="EB28" s="308"/>
      <c r="EC28" s="308"/>
      <c r="ED28" s="308"/>
      <c r="EE28" s="308"/>
      <c r="EF28" s="308"/>
      <c r="EG28" s="308"/>
      <c r="EH28" s="308"/>
      <c r="EI28" s="308"/>
      <c r="EJ28" s="308"/>
      <c r="EK28" s="308"/>
      <c r="EL28" s="308"/>
      <c r="EM28" s="308"/>
      <c r="EN28" s="308"/>
      <c r="EO28" s="308"/>
      <c r="EP28" s="308"/>
      <c r="EQ28" s="308"/>
      <c r="ER28" s="308"/>
      <c r="ES28" s="308"/>
      <c r="ET28" s="308"/>
      <c r="EU28" s="308"/>
      <c r="EV28" s="308"/>
      <c r="EW28" s="308"/>
      <c r="EX28" s="308"/>
      <c r="EY28" s="308"/>
      <c r="EZ28" s="308"/>
      <c r="FA28" s="308"/>
      <c r="FB28" s="308"/>
      <c r="FC28" s="308"/>
      <c r="FD28" s="308"/>
      <c r="FE28" s="308"/>
      <c r="FF28" s="308"/>
      <c r="FG28" s="308"/>
      <c r="FH28" s="308"/>
      <c r="FI28" s="308"/>
      <c r="FJ28" s="308"/>
      <c r="FK28" s="308"/>
      <c r="FL28" s="308"/>
      <c r="FM28" s="308"/>
      <c r="FN28" s="308"/>
      <c r="FO28" s="308"/>
      <c r="FP28" s="308"/>
      <c r="FQ28" s="308"/>
      <c r="FR28" s="308"/>
      <c r="FS28" s="308"/>
      <c r="FT28" s="308"/>
      <c r="FU28" s="308"/>
      <c r="FV28" s="308"/>
      <c r="FW28" s="308"/>
      <c r="FX28" s="308"/>
      <c r="FY28" s="308"/>
      <c r="FZ28" s="308"/>
      <c r="GA28" s="308"/>
      <c r="GB28" s="308"/>
      <c r="GC28" s="308"/>
      <c r="GD28" s="308"/>
      <c r="GE28" s="308"/>
      <c r="GF28" s="308"/>
      <c r="GG28" s="308"/>
      <c r="GH28" s="308"/>
      <c r="GI28" s="308"/>
      <c r="GJ28" s="308"/>
      <c r="GK28" s="308"/>
      <c r="GL28" s="308"/>
      <c r="GM28" s="308"/>
      <c r="GN28" s="308"/>
      <c r="GO28" s="308"/>
      <c r="GP28" s="308"/>
      <c r="GQ28" s="308"/>
      <c r="GR28" s="308"/>
      <c r="GS28" s="308"/>
      <c r="GT28" s="308"/>
      <c r="GU28" s="308"/>
      <c r="GV28" s="308"/>
      <c r="GW28" s="308"/>
      <c r="GX28" s="308"/>
      <c r="GY28" s="308"/>
      <c r="GZ28" s="308"/>
      <c r="HA28" s="308"/>
      <c r="HB28" s="308"/>
      <c r="HC28" s="308"/>
      <c r="HD28" s="308"/>
      <c r="HE28" s="308"/>
      <c r="HF28" s="308"/>
      <c r="HG28" s="308"/>
      <c r="HH28" s="308"/>
      <c r="HI28" s="308"/>
      <c r="HJ28" s="308"/>
      <c r="HK28" s="308"/>
      <c r="HL28" s="308"/>
      <c r="HM28" s="308"/>
      <c r="HN28" s="308"/>
      <c r="HO28" s="308"/>
      <c r="HP28" s="308"/>
      <c r="HQ28" s="308"/>
      <c r="HR28" s="308"/>
      <c r="HS28" s="308"/>
      <c r="HT28" s="308"/>
      <c r="HU28" s="308"/>
      <c r="HV28" s="308"/>
      <c r="HW28" s="308"/>
      <c r="HX28" s="308"/>
      <c r="HY28" s="308"/>
      <c r="HZ28" s="308"/>
      <c r="IA28" s="308"/>
      <c r="IB28" s="308"/>
      <c r="IC28" s="308"/>
      <c r="ID28" s="308"/>
      <c r="IE28" s="308"/>
      <c r="IF28" s="308"/>
      <c r="IG28" s="308"/>
      <c r="IH28" s="308"/>
      <c r="II28" s="308"/>
      <c r="IJ28" s="308"/>
      <c r="IK28" s="308"/>
      <c r="IL28" s="308"/>
      <c r="IM28" s="308"/>
      <c r="IN28" s="308"/>
      <c r="IO28" s="308"/>
      <c r="IP28" s="308"/>
      <c r="IQ28" s="308"/>
      <c r="IR28" s="308"/>
      <c r="IS28" s="308"/>
      <c r="IT28" s="308"/>
      <c r="IU28" s="308"/>
      <c r="IV28" s="308"/>
      <c r="IW28" s="308"/>
      <c r="IX28" s="308"/>
    </row>
    <row r="29" spans="1:258" s="308" customFormat="1" ht="17.399999999999999" x14ac:dyDescent="0.3">
      <c r="A29" s="144"/>
      <c r="B29" s="64"/>
      <c r="C29" s="64"/>
      <c r="D29" s="83" t="s">
        <v>164</v>
      </c>
      <c r="E29" s="270">
        <f>IF(AND($F$2="No",$F$3="No"),SUM(J29:K29),IF(AND($F$2="Yes", $F$3="No"), SUM(J29:K29)+Q29, IF(AND($F$2="No", $F$3="Yes"),SUM(J29:K29)+P29, SUM(J29:K29)+Q29+P29)))</f>
        <v>0</v>
      </c>
      <c r="F29" s="90">
        <f>IF(AND($F$2="No",$F$3="No"),SUM(H29:O29),IF(AND($F$2="Yes", $F$3="No"), SUM(H29:O29)+Q29, IF(AND($F$2="No", $F$3="Yes"),SUM(H29:O29)+P29, SUM(H29:O29)+Q29+P29)))</f>
        <v>0.71118844538519677</v>
      </c>
      <c r="G29" s="278">
        <f>SUM(S29:U29)/(1-'Common input data'!$B$121)</f>
        <v>1.1829436035149743</v>
      </c>
      <c r="H29" s="85">
        <f>('Input data plant-based products'!$F$27*('Common input data'!$C$76*'Common input data'!B69+'Common input data'!$C$77*'Common input data'!C69))/'Input data plant-based products'!$E$27</f>
        <v>1.289752640834832E-2</v>
      </c>
      <c r="I29" s="90">
        <f>'Common input data'!$B$81</f>
        <v>0.03</v>
      </c>
      <c r="J29" s="85">
        <v>0</v>
      </c>
      <c r="K29" s="85">
        <v>0</v>
      </c>
      <c r="L29" s="85">
        <v>0</v>
      </c>
      <c r="M29" s="90">
        <f>AVERAGE(M13,M17,M21)</f>
        <v>0.66162425231018174</v>
      </c>
      <c r="N29" s="90">
        <f>AVERAGE(N13,N17,N21)</f>
        <v>6.6666666666666671E-3</v>
      </c>
      <c r="O29" s="85">
        <v>0</v>
      </c>
      <c r="P29" s="90">
        <v>0</v>
      </c>
      <c r="Q29" s="90">
        <v>0</v>
      </c>
      <c r="R29" s="90">
        <v>0</v>
      </c>
      <c r="S29" s="90">
        <f>(F29+R29)</f>
        <v>0.71118844538519677</v>
      </c>
      <c r="T29" s="90">
        <f>'Common input data'!$B$88</f>
        <v>0.05</v>
      </c>
      <c r="U29" s="90">
        <f>'Common input data'!B102+'Common input data'!C102</f>
        <v>0.23000000000000004</v>
      </c>
      <c r="V29" s="430"/>
      <c r="W29" s="243"/>
      <c r="Z29" s="64"/>
    </row>
    <row r="30" spans="1:258" s="308" customFormat="1" ht="17.399999999999999" x14ac:dyDescent="0.3">
      <c r="A30" s="107"/>
      <c r="B30" s="68"/>
      <c r="C30" s="142"/>
      <c r="D30" s="83" t="s">
        <v>165</v>
      </c>
      <c r="E30" s="270">
        <f>SUM(J30:K30)</f>
        <v>0</v>
      </c>
      <c r="F30" s="90">
        <f>SUM(H30:O30)</f>
        <v>2.4738849801664944E-3</v>
      </c>
      <c r="G30" s="278">
        <f>SUM(S30:U30)/(1-'Common input data'!$B$121)</f>
        <v>2.9524823727968665E-3</v>
      </c>
      <c r="H30" s="85">
        <f>('Input data plant-based products'!$F$27*('Common input data'!$C$76*'Common input data'!B70+'Common input data'!$C$77*'Common input data'!C70))/'Input data plant-based products'!$E$27</f>
        <v>5.6867079468187025E-11</v>
      </c>
      <c r="I30" s="90">
        <v>0</v>
      </c>
      <c r="J30" s="85">
        <v>0</v>
      </c>
      <c r="K30" s="85">
        <v>0</v>
      </c>
      <c r="L30" s="85">
        <v>0</v>
      </c>
      <c r="M30" s="90">
        <f>AVERAGE(M14,M18,M22)</f>
        <v>2.4738849232994148E-3</v>
      </c>
      <c r="N30" s="90">
        <v>0</v>
      </c>
      <c r="O30" s="85">
        <v>0</v>
      </c>
      <c r="P30" s="85">
        <v>0</v>
      </c>
      <c r="Q30" s="90">
        <v>0</v>
      </c>
      <c r="R30" s="90">
        <v>0</v>
      </c>
      <c r="S30" s="90">
        <f>(F30+R30)</f>
        <v>2.4738849801664944E-3</v>
      </c>
      <c r="T30" s="90">
        <v>0</v>
      </c>
      <c r="U30" s="90">
        <v>0</v>
      </c>
      <c r="V30" s="430"/>
      <c r="W30" s="243"/>
      <c r="Z30" s="64"/>
    </row>
    <row r="31" spans="1:258" s="308" customFormat="1" ht="17.399999999999999" x14ac:dyDescent="0.3">
      <c r="A31" s="174"/>
      <c r="B31" s="64"/>
      <c r="C31" s="85"/>
      <c r="D31" s="84" t="s">
        <v>166</v>
      </c>
      <c r="E31" s="270">
        <f>SUM(J31:K31)</f>
        <v>7.786882591903971E-5</v>
      </c>
      <c r="F31" s="90">
        <f>SUM(H31:O31)</f>
        <v>1.7496756621767634E-4</v>
      </c>
      <c r="G31" s="278">
        <f>SUM(S31:U31)/(1-'Common input data'!$B$121)</f>
        <v>2.0881676359670167E-4</v>
      </c>
      <c r="H31" s="85">
        <f>('Input data plant-based products'!$F$27*('Common input data'!$C$76*'Common input data'!B71+'Common input data'!$C$77*'Common input data'!C71))/'Input data plant-based products'!$E$27</f>
        <v>7.0449446602317332E-5</v>
      </c>
      <c r="I31" s="85">
        <v>0</v>
      </c>
      <c r="J31" s="85">
        <f>(SUM('Input data plant-based products'!F27:H27)*'Input data plant-based products'!$B$114*44/28)/'Input data plant-based products'!E27</f>
        <v>7.6006662683298891E-5</v>
      </c>
      <c r="K31" s="90">
        <f>J31*'Input data plant-based products'!$B$115*(1-AVERAGE('Input data plant-based products'!L139:L144))</f>
        <v>1.8621632357408238E-6</v>
      </c>
      <c r="L31" s="85">
        <v>0</v>
      </c>
      <c r="M31" s="90">
        <f>AVERAGE(M15,M19,M23)</f>
        <v>2.6649293696319277E-5</v>
      </c>
      <c r="N31" s="90">
        <v>0</v>
      </c>
      <c r="O31" s="85">
        <v>0</v>
      </c>
      <c r="P31" s="85">
        <v>0</v>
      </c>
      <c r="Q31" s="90">
        <v>0</v>
      </c>
      <c r="R31" s="90">
        <v>0</v>
      </c>
      <c r="S31" s="90">
        <f>(F31+R31)</f>
        <v>1.7496756621767634E-4</v>
      </c>
      <c r="T31" s="90">
        <v>0</v>
      </c>
      <c r="U31" s="90">
        <v>0</v>
      </c>
      <c r="V31" s="430"/>
      <c r="W31" s="243"/>
      <c r="Z31" s="64"/>
    </row>
    <row r="32" spans="1:258" s="420" customFormat="1" ht="17.399999999999999" x14ac:dyDescent="0.3">
      <c r="A32" s="122" t="s">
        <v>70</v>
      </c>
      <c r="B32" s="132" t="s">
        <v>225</v>
      </c>
      <c r="C32" s="132">
        <f>'Input data plant-based products'!D28</f>
        <v>0.06</v>
      </c>
      <c r="D32" s="269" t="s">
        <v>473</v>
      </c>
      <c r="E32" s="320">
        <f>IF($F$1="GWP100 without fb",E33+E34*'Common input data'!$C$5+E35*'Common input data'!$D$5,IF($F$1="GWP100 with fb",E33+E34*'Common input data'!$C$6+E35*'Common input data'!$D$6,IF($F$1="GTP100 without fb",E33+E34*'Common input data'!$C$7+E35*'Common input data'!$D$7,IF($F$1="GTP100 with fb",E33+E34*'Common input data'!$C$8+E35*'Common input data'!$D$8,E33+E34*'Common input data'!$C$9+E35*'Common input data'!$D$9))))</f>
        <v>5.3283222732320112E-2</v>
      </c>
      <c r="F32" s="302">
        <f>IF($F$1="GWP100 without fb",F33+F34*'Common input data'!$C$5+F35*'Common input data'!$D$5,IF($F$1="GWP100 with fb",F33+F34*'Common input data'!$C$6+F35*'Common input data'!$D$6,IF($F$1="GTP100 without fb",F33+F34*'Common input data'!$C$7+F35*'Common input data'!$D$7,IF($F$1="GTP100 with fb",F33+F34*'Common input data'!$C$8+F35*'Common input data'!$D$8,F33+F34*'Common input data'!$C$9+F35*'Common input data'!$D$9))))</f>
        <v>0.12417900421647478</v>
      </c>
      <c r="G32" s="321">
        <f>IF($F$1="GWP100 without fb",G33+G34*'Common input data'!$C$5+G35*'Common input data'!$D$5,IF($F$1="GWP100 with fb",G33+G34*'Common input data'!$C$6+G35*'Common input data'!$D$6,IF($F$1="GTP100 without fb",G33+G34*'Common input data'!$C$7+G35*'Common input data'!$D$7,IF($F$1="GTP100 with fb",G33+G34*'Common input data'!$C$8+G35*'Common input data'!$D$8,G33+G34*'Common input data'!$C$9+G35*'Common input data'!$D$9))))</f>
        <v>0.48237140973442516</v>
      </c>
      <c r="H32" s="102"/>
      <c r="I32" s="102"/>
      <c r="J32" s="102"/>
      <c r="K32" s="102"/>
      <c r="L32" s="102"/>
      <c r="M32" s="102"/>
      <c r="N32" s="102"/>
      <c r="O32" s="102"/>
      <c r="P32" s="102"/>
      <c r="Q32" s="102"/>
      <c r="R32" s="102"/>
      <c r="S32" s="102"/>
      <c r="T32" s="102"/>
      <c r="U32" s="102"/>
      <c r="V32" s="430"/>
      <c r="W32" s="243"/>
      <c r="X32" s="308"/>
      <c r="Y32" s="308"/>
      <c r="Z32" s="64"/>
      <c r="AA32" s="308"/>
      <c r="AB32" s="308"/>
      <c r="AC32" s="308"/>
      <c r="AD32" s="308"/>
      <c r="AE32" s="308"/>
      <c r="AF32" s="308"/>
      <c r="AG32" s="308"/>
      <c r="AH32" s="308"/>
      <c r="AI32" s="308"/>
      <c r="AJ32" s="308"/>
      <c r="AK32" s="308"/>
      <c r="AL32" s="308"/>
      <c r="AM32" s="308"/>
      <c r="AN32" s="308"/>
      <c r="AO32" s="308"/>
      <c r="AP32" s="308"/>
      <c r="AQ32" s="308"/>
      <c r="AR32" s="308"/>
      <c r="AS32" s="308"/>
      <c r="AT32" s="308"/>
      <c r="AU32" s="308"/>
      <c r="AV32" s="308"/>
      <c r="AW32" s="308"/>
      <c r="AX32" s="308"/>
      <c r="AY32" s="308"/>
      <c r="AZ32" s="308"/>
      <c r="BA32" s="308"/>
      <c r="BB32" s="308"/>
      <c r="BC32" s="308"/>
      <c r="BD32" s="308"/>
      <c r="BE32" s="308"/>
      <c r="BF32" s="308"/>
      <c r="BG32" s="308"/>
      <c r="BH32" s="308"/>
      <c r="BI32" s="308"/>
      <c r="BJ32" s="308"/>
      <c r="BK32" s="308"/>
      <c r="BL32" s="308"/>
      <c r="BM32" s="308"/>
      <c r="BN32" s="308"/>
      <c r="BO32" s="308"/>
      <c r="BP32" s="308"/>
      <c r="BQ32" s="308"/>
      <c r="BR32" s="308"/>
      <c r="BS32" s="308"/>
      <c r="BT32" s="308"/>
      <c r="BU32" s="308"/>
      <c r="BV32" s="308"/>
      <c r="BW32" s="308"/>
      <c r="BX32" s="308"/>
      <c r="BY32" s="308"/>
      <c r="BZ32" s="308"/>
      <c r="CA32" s="308"/>
      <c r="CB32" s="308"/>
      <c r="CC32" s="308"/>
      <c r="CD32" s="308"/>
      <c r="CE32" s="308"/>
      <c r="CF32" s="308"/>
      <c r="CG32" s="308"/>
      <c r="CH32" s="308"/>
      <c r="CI32" s="308"/>
      <c r="CJ32" s="308"/>
      <c r="CK32" s="308"/>
      <c r="CL32" s="308"/>
      <c r="CM32" s="308"/>
      <c r="CN32" s="308"/>
      <c r="CO32" s="308"/>
      <c r="CP32" s="308"/>
      <c r="CQ32" s="308"/>
      <c r="CR32" s="308"/>
      <c r="CS32" s="308"/>
      <c r="CT32" s="308"/>
      <c r="CU32" s="308"/>
      <c r="CV32" s="308"/>
      <c r="CW32" s="308"/>
      <c r="CX32" s="308"/>
      <c r="CY32" s="308"/>
      <c r="CZ32" s="308"/>
      <c r="DA32" s="308"/>
      <c r="DB32" s="308"/>
      <c r="DC32" s="308"/>
      <c r="DD32" s="308"/>
      <c r="DE32" s="308"/>
      <c r="DF32" s="308"/>
      <c r="DG32" s="308"/>
      <c r="DH32" s="308"/>
      <c r="DI32" s="308"/>
      <c r="DJ32" s="308"/>
      <c r="DK32" s="308"/>
      <c r="DL32" s="308"/>
      <c r="DM32" s="308"/>
      <c r="DN32" s="308"/>
      <c r="DO32" s="308"/>
      <c r="DP32" s="308"/>
      <c r="DQ32" s="308"/>
      <c r="DR32" s="308"/>
      <c r="DS32" s="308"/>
      <c r="DT32" s="308"/>
      <c r="DU32" s="308"/>
      <c r="DV32" s="308"/>
      <c r="DW32" s="308"/>
      <c r="DX32" s="308"/>
      <c r="DY32" s="308"/>
      <c r="DZ32" s="308"/>
      <c r="EA32" s="308"/>
      <c r="EB32" s="308"/>
      <c r="EC32" s="308"/>
      <c r="ED32" s="308"/>
      <c r="EE32" s="308"/>
      <c r="EF32" s="308"/>
      <c r="EG32" s="308"/>
      <c r="EH32" s="308"/>
      <c r="EI32" s="308"/>
      <c r="EJ32" s="308"/>
      <c r="EK32" s="308"/>
      <c r="EL32" s="308"/>
      <c r="EM32" s="308"/>
      <c r="EN32" s="308"/>
      <c r="EO32" s="308"/>
      <c r="EP32" s="308"/>
      <c r="EQ32" s="308"/>
      <c r="ER32" s="308"/>
      <c r="ES32" s="308"/>
      <c r="ET32" s="308"/>
      <c r="EU32" s="308"/>
      <c r="EV32" s="308"/>
      <c r="EW32" s="308"/>
      <c r="EX32" s="308"/>
      <c r="EY32" s="308"/>
      <c r="EZ32" s="308"/>
      <c r="FA32" s="308"/>
      <c r="FB32" s="308"/>
      <c r="FC32" s="308"/>
      <c r="FD32" s="308"/>
      <c r="FE32" s="308"/>
      <c r="FF32" s="308"/>
      <c r="FG32" s="308"/>
      <c r="FH32" s="308"/>
      <c r="FI32" s="308"/>
      <c r="FJ32" s="308"/>
      <c r="FK32" s="308"/>
      <c r="FL32" s="308"/>
      <c r="FM32" s="308"/>
      <c r="FN32" s="308"/>
      <c r="FO32" s="308"/>
      <c r="FP32" s="308"/>
      <c r="FQ32" s="308"/>
      <c r="FR32" s="308"/>
      <c r="FS32" s="308"/>
      <c r="FT32" s="308"/>
      <c r="FU32" s="308"/>
      <c r="FV32" s="308"/>
      <c r="FW32" s="308"/>
      <c r="FX32" s="308"/>
      <c r="FY32" s="308"/>
      <c r="FZ32" s="308"/>
      <c r="GA32" s="308"/>
      <c r="GB32" s="308"/>
      <c r="GC32" s="308"/>
      <c r="GD32" s="308"/>
      <c r="GE32" s="308"/>
      <c r="GF32" s="308"/>
      <c r="GG32" s="308"/>
      <c r="GH32" s="308"/>
      <c r="GI32" s="308"/>
      <c r="GJ32" s="308"/>
      <c r="GK32" s="308"/>
      <c r="GL32" s="308"/>
      <c r="GM32" s="308"/>
      <c r="GN32" s="308"/>
      <c r="GO32" s="308"/>
      <c r="GP32" s="308"/>
      <c r="GQ32" s="308"/>
      <c r="GR32" s="308"/>
      <c r="GS32" s="308"/>
      <c r="GT32" s="308"/>
      <c r="GU32" s="308"/>
      <c r="GV32" s="308"/>
      <c r="GW32" s="308"/>
      <c r="GX32" s="308"/>
      <c r="GY32" s="308"/>
      <c r="GZ32" s="308"/>
      <c r="HA32" s="308"/>
      <c r="HB32" s="308"/>
      <c r="HC32" s="308"/>
      <c r="HD32" s="308"/>
      <c r="HE32" s="308"/>
      <c r="HF32" s="308"/>
      <c r="HG32" s="308"/>
      <c r="HH32" s="308"/>
      <c r="HI32" s="308"/>
      <c r="HJ32" s="308"/>
      <c r="HK32" s="308"/>
      <c r="HL32" s="308"/>
      <c r="HM32" s="308"/>
      <c r="HN32" s="308"/>
      <c r="HO32" s="308"/>
      <c r="HP32" s="308"/>
      <c r="HQ32" s="308"/>
      <c r="HR32" s="308"/>
      <c r="HS32" s="308"/>
      <c r="HT32" s="308"/>
      <c r="HU32" s="308"/>
      <c r="HV32" s="308"/>
      <c r="HW32" s="308"/>
      <c r="HX32" s="308"/>
      <c r="HY32" s="308"/>
      <c r="HZ32" s="308"/>
      <c r="IA32" s="308"/>
      <c r="IB32" s="308"/>
      <c r="IC32" s="308"/>
      <c r="ID32" s="308"/>
      <c r="IE32" s="308"/>
      <c r="IF32" s="308"/>
      <c r="IG32" s="308"/>
      <c r="IH32" s="308"/>
      <c r="II32" s="308"/>
      <c r="IJ32" s="308"/>
      <c r="IK32" s="308"/>
      <c r="IL32" s="308"/>
      <c r="IM32" s="308"/>
      <c r="IN32" s="308"/>
      <c r="IO32" s="308"/>
      <c r="IP32" s="308"/>
      <c r="IQ32" s="308"/>
      <c r="IR32" s="308"/>
      <c r="IS32" s="308"/>
      <c r="IT32" s="308"/>
      <c r="IU32" s="308"/>
      <c r="IV32" s="308"/>
      <c r="IW32" s="308"/>
      <c r="IX32" s="308"/>
    </row>
    <row r="33" spans="1:258" s="308" customFormat="1" ht="17.399999999999999" x14ac:dyDescent="0.3">
      <c r="A33" s="144"/>
      <c r="B33" s="84"/>
      <c r="C33" s="64"/>
      <c r="D33" s="83" t="s">
        <v>164</v>
      </c>
      <c r="E33" s="270">
        <f>IF(AND($F$2="No",$F$3="No"),SUM(J33:K33),IF(AND($F$2="Yes", $F$3="No"), SUM(J33:K33)+Q33, IF(AND($F$2="No", $F$3="Yes"),SUM(J33:K33)+P33, SUM(J33:K33)+Q33+P33)))</f>
        <v>3.9989486962957101E-2</v>
      </c>
      <c r="F33" s="90">
        <f>IF(AND($F$2="No",$F$3="No"),SUM(H33:O33),IF(AND($F$2="Yes", $F$3="No"), SUM(H33:O33)+Q33, IF(AND($F$2="No", $F$3="Yes"),SUM(H33:O33)+P33, SUM(H33:O33)+Q33+P33)))</f>
        <v>0.10327994574742425</v>
      </c>
      <c r="G33" s="278">
        <f>SUM(S33:U33)/(1-'Common input data'!$B$121)</f>
        <v>0.45742922275620518</v>
      </c>
      <c r="H33" s="85">
        <f>('Input data plant-based products'!$F$28*('Common input data'!$C$76*'Common input data'!B69+'Common input data'!$C$77*'Common input data'!C69))/'Input data plant-based products'!$E$28</f>
        <v>4.5484030328957845E-3</v>
      </c>
      <c r="I33" s="90">
        <f>'Common input data'!$B$81</f>
        <v>0.03</v>
      </c>
      <c r="J33" s="85">
        <v>0</v>
      </c>
      <c r="K33" s="85">
        <v>0</v>
      </c>
      <c r="L33" s="85">
        <f>('Input data plant-based products'!$I$28*'Common input data'!$C$59*'Common input data'!H49)/'Input data plant-based products'!$E$28</f>
        <v>8.7420557515713714E-3</v>
      </c>
      <c r="M33" s="90">
        <v>0</v>
      </c>
      <c r="N33" s="90">
        <f>'Input data plant-based products'!G$152</f>
        <v>0.02</v>
      </c>
      <c r="O33" s="85">
        <v>0</v>
      </c>
      <c r="P33" s="90">
        <f>'Common input data'!E$13</f>
        <v>3.9989486962957101E-2</v>
      </c>
      <c r="Q33" s="90">
        <v>0</v>
      </c>
      <c r="R33" s="90">
        <v>0</v>
      </c>
      <c r="S33" s="90">
        <f>(F33+R33)</f>
        <v>0.10327994574742425</v>
      </c>
      <c r="T33" s="90">
        <f>'Common input data'!$B$88</f>
        <v>0.05</v>
      </c>
      <c r="U33" s="90">
        <f>'Common input data'!B102+'Common input data'!C102</f>
        <v>0.23000000000000004</v>
      </c>
      <c r="V33" s="430"/>
      <c r="W33" s="243"/>
      <c r="Z33" s="64"/>
    </row>
    <row r="34" spans="1:258" s="308" customFormat="1" ht="17.399999999999999" x14ac:dyDescent="0.3">
      <c r="A34" s="107"/>
      <c r="B34" s="84"/>
      <c r="C34" s="142"/>
      <c r="D34" s="83" t="s">
        <v>165</v>
      </c>
      <c r="E34" s="270">
        <f>SUM(J34:K34)</f>
        <v>0</v>
      </c>
      <c r="F34" s="90">
        <f>SUM(H34:O34)</f>
        <v>3.8724559729794155E-6</v>
      </c>
      <c r="G34" s="278">
        <f>SUM(S34:U34)/(1-'Common input data'!$B$121)</f>
        <v>4.6216206862148412E-6</v>
      </c>
      <c r="H34" s="85">
        <f>('Input data plant-based products'!$F$28*('Common input data'!$C$76*'Common input data'!B70+'Common input data'!$C$77*'Common input data'!C70))/'Input data plant-based products'!$E$28</f>
        <v>2.0054573918732621E-11</v>
      </c>
      <c r="I34" s="90">
        <v>0</v>
      </c>
      <c r="J34" s="85">
        <v>0</v>
      </c>
      <c r="K34" s="85">
        <v>0</v>
      </c>
      <c r="L34" s="85">
        <f>('Input data plant-based products'!$I$28*'Common input data'!$C$59*'Common input data'!H50)/'Input data plant-based products'!$E$28</f>
        <v>3.8724359184054963E-6</v>
      </c>
      <c r="M34" s="90">
        <v>0</v>
      </c>
      <c r="N34" s="90">
        <v>0</v>
      </c>
      <c r="O34" s="85">
        <v>0</v>
      </c>
      <c r="P34" s="85">
        <v>0</v>
      </c>
      <c r="Q34" s="90">
        <v>0</v>
      </c>
      <c r="R34" s="90">
        <v>0</v>
      </c>
      <c r="S34" s="90">
        <f>(F34+R34)</f>
        <v>3.8724559729794155E-6</v>
      </c>
      <c r="T34" s="90">
        <v>0</v>
      </c>
      <c r="U34" s="90">
        <v>0</v>
      </c>
      <c r="V34" s="430"/>
      <c r="W34" s="243"/>
      <c r="Z34" s="64"/>
    </row>
    <row r="35" spans="1:258" s="308" customFormat="1" ht="17.399999999999999" x14ac:dyDescent="0.3">
      <c r="A35" s="174"/>
      <c r="B35" s="206"/>
      <c r="C35" s="85"/>
      <c r="D35" s="84" t="s">
        <v>166</v>
      </c>
      <c r="E35" s="780">
        <f>SUM(J35:K35)</f>
        <v>4.4609851575043662E-5</v>
      </c>
      <c r="F35" s="108">
        <f>SUM(H35:O35)</f>
        <v>6.9689244852245727E-5</v>
      </c>
      <c r="G35" s="521">
        <f>SUM(S35:U35)/(1-'Common input data'!$B$121)</f>
        <v>8.3171315016404977E-5</v>
      </c>
      <c r="H35" s="85">
        <f>('Input data plant-based products'!$F$28*('Common input data'!$C$76*'Common input data'!B71+'Common input data'!$C$77*'Common input data'!C71))/'Input data plant-based products'!$E$28</f>
        <v>2.484449083076892E-5</v>
      </c>
      <c r="I35" s="85">
        <v>0</v>
      </c>
      <c r="J35" s="85">
        <f>(SUM('Input data plant-based products'!F28:H28)*'Input data plant-based products'!$B$114*44/28)/'Input data plant-based products'!E28</f>
        <v>4.0554410522766963E-5</v>
      </c>
      <c r="K35" s="90">
        <f>J35*'Input data plant-based products'!$B$115</f>
        <v>4.0554410522766964E-6</v>
      </c>
      <c r="L35" s="85">
        <f>('Input data plant-based products'!$I$28*'Common input data'!$C$59*'Common input data'!H51)/'Input data plant-based products'!$E$28</f>
        <v>2.3490244643316121E-7</v>
      </c>
      <c r="M35" s="90">
        <v>0</v>
      </c>
      <c r="N35" s="90">
        <v>0</v>
      </c>
      <c r="O35" s="85">
        <v>0</v>
      </c>
      <c r="P35" s="85">
        <v>0</v>
      </c>
      <c r="Q35" s="90">
        <v>0</v>
      </c>
      <c r="R35" s="90">
        <v>0</v>
      </c>
      <c r="S35" s="90">
        <f>(F35+R35)</f>
        <v>6.9689244852245727E-5</v>
      </c>
      <c r="T35" s="90">
        <v>0</v>
      </c>
      <c r="U35" s="90">
        <v>0</v>
      </c>
      <c r="V35" s="430"/>
      <c r="W35" s="243"/>
      <c r="Z35" s="64"/>
    </row>
    <row r="36" spans="1:258" s="427" customFormat="1" ht="17.399999999999999" x14ac:dyDescent="0.3">
      <c r="A36" s="426" t="s">
        <v>623</v>
      </c>
      <c r="B36" s="412"/>
      <c r="C36" s="413"/>
      <c r="D36" s="414"/>
      <c r="E36" s="767" t="s">
        <v>810</v>
      </c>
      <c r="F36" s="768" t="s">
        <v>810</v>
      </c>
      <c r="G36" s="590" t="s">
        <v>810</v>
      </c>
      <c r="H36" s="413"/>
      <c r="I36" s="413"/>
      <c r="J36" s="413"/>
      <c r="K36" s="416"/>
      <c r="L36" s="416"/>
      <c r="M36" s="417"/>
      <c r="N36" s="416"/>
      <c r="O36" s="416"/>
      <c r="P36" s="416"/>
      <c r="Q36" s="416"/>
      <c r="R36" s="416"/>
      <c r="S36" s="416"/>
      <c r="T36" s="416"/>
      <c r="U36" s="416"/>
      <c r="V36" s="430"/>
      <c r="W36" s="243"/>
      <c r="X36" s="308"/>
      <c r="Y36" s="308"/>
      <c r="Z36" s="64"/>
      <c r="AA36" s="308"/>
      <c r="AB36" s="308"/>
      <c r="AC36" s="308"/>
      <c r="AD36" s="308"/>
      <c r="AE36" s="308"/>
      <c r="AF36" s="308"/>
      <c r="AG36" s="308"/>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8"/>
      <c r="BI36" s="308"/>
      <c r="BJ36" s="308"/>
      <c r="BK36" s="308"/>
      <c r="BL36" s="308"/>
      <c r="BM36" s="308"/>
      <c r="BN36" s="308"/>
      <c r="BO36" s="308"/>
      <c r="BP36" s="308"/>
      <c r="BQ36" s="308"/>
      <c r="BR36" s="308"/>
      <c r="BS36" s="308"/>
      <c r="BT36" s="308"/>
      <c r="BU36" s="308"/>
      <c r="BV36" s="308"/>
      <c r="BW36" s="308"/>
      <c r="BX36" s="308"/>
      <c r="BY36" s="308"/>
      <c r="BZ36" s="308"/>
      <c r="CA36" s="308"/>
      <c r="CB36" s="308"/>
      <c r="CC36" s="308"/>
      <c r="CD36" s="308"/>
      <c r="CE36" s="308"/>
      <c r="CF36" s="308"/>
      <c r="CG36" s="308"/>
      <c r="CH36" s="308"/>
      <c r="CI36" s="308"/>
      <c r="CJ36" s="308"/>
      <c r="CK36" s="308"/>
      <c r="CL36" s="308"/>
      <c r="CM36" s="308"/>
      <c r="CN36" s="308"/>
      <c r="CO36" s="308"/>
      <c r="CP36" s="308"/>
      <c r="CQ36" s="308"/>
      <c r="CR36" s="308"/>
      <c r="CS36" s="308"/>
      <c r="CT36" s="308"/>
      <c r="CU36" s="308"/>
      <c r="CV36" s="308"/>
      <c r="CW36" s="308"/>
      <c r="CX36" s="308"/>
      <c r="CY36" s="308"/>
      <c r="CZ36" s="308"/>
      <c r="DA36" s="308"/>
      <c r="DB36" s="308"/>
      <c r="DC36" s="308"/>
      <c r="DD36" s="308"/>
      <c r="DE36" s="308"/>
      <c r="DF36" s="308"/>
      <c r="DG36" s="308"/>
      <c r="DH36" s="308"/>
      <c r="DI36" s="308"/>
      <c r="DJ36" s="308"/>
      <c r="DK36" s="308"/>
      <c r="DL36" s="308"/>
      <c r="DM36" s="308"/>
      <c r="DN36" s="308"/>
      <c r="DO36" s="308"/>
      <c r="DP36" s="308"/>
      <c r="DQ36" s="308"/>
      <c r="DR36" s="308"/>
      <c r="DS36" s="308"/>
      <c r="DT36" s="308"/>
      <c r="DU36" s="308"/>
      <c r="DV36" s="308"/>
      <c r="DW36" s="308"/>
      <c r="DX36" s="308"/>
      <c r="DY36" s="308"/>
      <c r="DZ36" s="308"/>
      <c r="EA36" s="308"/>
      <c r="EB36" s="308"/>
      <c r="EC36" s="308"/>
      <c r="ED36" s="308"/>
      <c r="EE36" s="308"/>
      <c r="EF36" s="308"/>
      <c r="EG36" s="308"/>
      <c r="EH36" s="308"/>
      <c r="EI36" s="308"/>
      <c r="EJ36" s="308"/>
      <c r="EK36" s="308"/>
      <c r="EL36" s="308"/>
      <c r="EM36" s="308"/>
      <c r="EN36" s="308"/>
      <c r="EO36" s="308"/>
      <c r="EP36" s="308"/>
      <c r="EQ36" s="308"/>
      <c r="ER36" s="308"/>
      <c r="ES36" s="308"/>
      <c r="ET36" s="308"/>
      <c r="EU36" s="308"/>
      <c r="EV36" s="308"/>
      <c r="EW36" s="308"/>
      <c r="EX36" s="308"/>
      <c r="EY36" s="308"/>
      <c r="EZ36" s="308"/>
      <c r="FA36" s="308"/>
      <c r="FB36" s="308"/>
      <c r="FC36" s="308"/>
      <c r="FD36" s="308"/>
      <c r="FE36" s="308"/>
      <c r="FF36" s="308"/>
      <c r="FG36" s="308"/>
      <c r="FH36" s="308"/>
      <c r="FI36" s="308"/>
      <c r="FJ36" s="308"/>
      <c r="FK36" s="308"/>
      <c r="FL36" s="308"/>
      <c r="FM36" s="308"/>
      <c r="FN36" s="308"/>
      <c r="FO36" s="308"/>
      <c r="FP36" s="308"/>
      <c r="FQ36" s="308"/>
      <c r="FR36" s="308"/>
      <c r="FS36" s="308"/>
      <c r="FT36" s="308"/>
      <c r="FU36" s="308"/>
      <c r="FV36" s="308"/>
      <c r="FW36" s="308"/>
      <c r="FX36" s="308"/>
      <c r="FY36" s="308"/>
      <c r="FZ36" s="308"/>
      <c r="GA36" s="308"/>
      <c r="GB36" s="308"/>
      <c r="GC36" s="308"/>
      <c r="GD36" s="308"/>
      <c r="GE36" s="308"/>
      <c r="GF36" s="308"/>
      <c r="GG36" s="308"/>
      <c r="GH36" s="308"/>
      <c r="GI36" s="308"/>
      <c r="GJ36" s="308"/>
      <c r="GK36" s="308"/>
      <c r="GL36" s="308"/>
      <c r="GM36" s="308"/>
      <c r="GN36" s="308"/>
      <c r="GO36" s="308"/>
      <c r="GP36" s="308"/>
      <c r="GQ36" s="308"/>
      <c r="GR36" s="308"/>
      <c r="GS36" s="308"/>
      <c r="GT36" s="308"/>
      <c r="GU36" s="308"/>
      <c r="GV36" s="308"/>
      <c r="GW36" s="308"/>
      <c r="GX36" s="308"/>
      <c r="GY36" s="308"/>
      <c r="GZ36" s="308"/>
      <c r="HA36" s="308"/>
      <c r="HB36" s="308"/>
      <c r="HC36" s="308"/>
      <c r="HD36" s="308"/>
      <c r="HE36" s="308"/>
      <c r="HF36" s="308"/>
      <c r="HG36" s="308"/>
      <c r="HH36" s="308"/>
      <c r="HI36" s="308"/>
      <c r="HJ36" s="308"/>
      <c r="HK36" s="308"/>
      <c r="HL36" s="308"/>
      <c r="HM36" s="308"/>
      <c r="HN36" s="308"/>
      <c r="HO36" s="308"/>
      <c r="HP36" s="308"/>
      <c r="HQ36" s="308"/>
      <c r="HR36" s="308"/>
      <c r="HS36" s="308"/>
      <c r="HT36" s="308"/>
      <c r="HU36" s="308"/>
      <c r="HV36" s="308"/>
      <c r="HW36" s="308"/>
      <c r="HX36" s="308"/>
      <c r="HY36" s="308"/>
      <c r="HZ36" s="308"/>
      <c r="IA36" s="308"/>
      <c r="IB36" s="308"/>
      <c r="IC36" s="308"/>
      <c r="ID36" s="308"/>
      <c r="IE36" s="308"/>
      <c r="IF36" s="308"/>
      <c r="IG36" s="308"/>
      <c r="IH36" s="308"/>
      <c r="II36" s="308"/>
      <c r="IJ36" s="308"/>
      <c r="IK36" s="308"/>
      <c r="IL36" s="308"/>
      <c r="IM36" s="308"/>
      <c r="IN36" s="308"/>
      <c r="IO36" s="308"/>
      <c r="IP36" s="308"/>
      <c r="IQ36" s="308"/>
      <c r="IR36" s="308"/>
      <c r="IS36" s="308"/>
      <c r="IT36" s="308"/>
      <c r="IU36" s="308"/>
      <c r="IV36" s="308"/>
      <c r="IW36" s="308"/>
      <c r="IX36" s="308"/>
    </row>
    <row r="37" spans="1:258" s="420" customFormat="1" ht="17.399999999999999" x14ac:dyDescent="0.3">
      <c r="A37" s="122" t="s">
        <v>249</v>
      </c>
      <c r="B37" s="150"/>
      <c r="C37" s="110">
        <f>SUM(C41:C64)</f>
        <v>1</v>
      </c>
      <c r="D37" s="269" t="s">
        <v>473</v>
      </c>
      <c r="E37" s="769">
        <f>IF($F$1="GWP100 without fb",E38+E39*'Common input data'!$C$5+E40*'Common input data'!$D$5,IF($F$1="GWP100 with fb",E38+E39*'Common input data'!$C$6+E40*'Common input data'!$D$6,IF($F$1="GTP100 without fb",E38+E39*'Common input data'!$C$7+E40*'Common input data'!$D$7,IF($F$1="GTP100 with fb",E38+E39*'Common input data'!$C$8+E40*'Common input data'!$D$8,E38+E39*'Common input data'!$C$9+E40*'Common input data'!$D$9))))</f>
        <v>2.4766295422202281E-2</v>
      </c>
      <c r="F37" s="326">
        <f>IF($F$1="GWP100 without fb",F38+F39*'Common input data'!$C$5+F40*'Common input data'!$D$5,IF($F$1="GWP100 with fb",F38+F39*'Common input data'!$C$6+F40*'Common input data'!$D$6,IF($F$1="GTP100 without fb",F38+F39*'Common input data'!$C$7+F40*'Common input data'!$D$7,IF($F$1="GTP100 with fb",F38+F39*'Common input data'!$C$8+F40*'Common input data'!$D$8,F38+F39*'Common input data'!$C$9+F40*'Common input data'!$D$9))))</f>
        <v>0.44610242501044678</v>
      </c>
      <c r="G37" s="770">
        <f>IF($F$1="GWP100 without fb",G38+G39*'Common input data'!$C$5+G40*'Common input data'!$D$5,IF($F$1="GWP100 with fb",G38+G39*'Common input data'!$C$6+G40*'Common input data'!$D$6,IF($F$1="GTP100 without fb",G38+G39*'Common input data'!$C$7+G40*'Common input data'!$D$7,IF($F$1="GTP100 with fb",G38+G39*'Common input data'!$C$8+G40*'Common input data'!$D$8,G38+G39*'Common input data'!$C$9+G40*'Common input data'!$D$9))))</f>
        <v>0.73410004178356225</v>
      </c>
      <c r="H37" s="302"/>
      <c r="I37" s="104"/>
      <c r="J37" s="104"/>
      <c r="K37" s="102"/>
      <c r="L37" s="102"/>
      <c r="M37" s="102"/>
      <c r="N37" s="102"/>
      <c r="O37" s="102"/>
      <c r="P37" s="102"/>
      <c r="Q37" s="102"/>
      <c r="R37" s="102"/>
      <c r="S37" s="102"/>
      <c r="T37" s="102"/>
      <c r="U37" s="102"/>
      <c r="V37" s="430"/>
      <c r="W37" s="243"/>
      <c r="X37" s="308"/>
      <c r="Y37" s="308"/>
      <c r="Z37" s="64"/>
      <c r="AA37" s="308"/>
      <c r="AB37" s="308"/>
      <c r="AC37" s="308"/>
      <c r="AD37" s="308"/>
      <c r="AE37" s="308"/>
      <c r="AF37" s="308"/>
      <c r="AG37" s="308"/>
      <c r="AH37" s="308"/>
      <c r="AI37" s="308"/>
      <c r="AJ37" s="308"/>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8"/>
      <c r="CK37" s="308"/>
      <c r="CL37" s="308"/>
      <c r="CM37" s="308"/>
      <c r="CN37" s="308"/>
      <c r="CO37" s="308"/>
      <c r="CP37" s="308"/>
      <c r="CQ37" s="308"/>
      <c r="CR37" s="308"/>
      <c r="CS37" s="308"/>
      <c r="CT37" s="308"/>
      <c r="CU37" s="308"/>
      <c r="CV37" s="308"/>
      <c r="CW37" s="308"/>
      <c r="CX37" s="308"/>
      <c r="CY37" s="308"/>
      <c r="CZ37" s="308"/>
      <c r="DA37" s="308"/>
      <c r="DB37" s="308"/>
      <c r="DC37" s="308"/>
      <c r="DD37" s="308"/>
      <c r="DE37" s="308"/>
      <c r="DF37" s="308"/>
      <c r="DG37" s="308"/>
      <c r="DH37" s="308"/>
      <c r="DI37" s="308"/>
      <c r="DJ37" s="308"/>
      <c r="DK37" s="308"/>
      <c r="DL37" s="308"/>
      <c r="DM37" s="308"/>
      <c r="DN37" s="308"/>
      <c r="DO37" s="308"/>
      <c r="DP37" s="308"/>
      <c r="DQ37" s="308"/>
      <c r="DR37" s="308"/>
      <c r="DS37" s="308"/>
      <c r="DT37" s="308"/>
      <c r="DU37" s="308"/>
      <c r="DV37" s="308"/>
      <c r="DW37" s="308"/>
      <c r="DX37" s="308"/>
      <c r="DY37" s="308"/>
      <c r="DZ37" s="308"/>
      <c r="EA37" s="308"/>
      <c r="EB37" s="308"/>
      <c r="EC37" s="308"/>
      <c r="ED37" s="308"/>
      <c r="EE37" s="308"/>
      <c r="EF37" s="308"/>
      <c r="EG37" s="308"/>
      <c r="EH37" s="308"/>
      <c r="EI37" s="308"/>
      <c r="EJ37" s="308"/>
      <c r="EK37" s="308"/>
      <c r="EL37" s="308"/>
      <c r="EM37" s="308"/>
      <c r="EN37" s="308"/>
      <c r="EO37" s="308"/>
      <c r="EP37" s="308"/>
      <c r="EQ37" s="308"/>
      <c r="ER37" s="308"/>
      <c r="ES37" s="308"/>
      <c r="ET37" s="308"/>
      <c r="EU37" s="308"/>
      <c r="EV37" s="308"/>
      <c r="EW37" s="308"/>
      <c r="EX37" s="308"/>
      <c r="EY37" s="308"/>
      <c r="EZ37" s="308"/>
      <c r="FA37" s="308"/>
      <c r="FB37" s="308"/>
      <c r="FC37" s="308"/>
      <c r="FD37" s="308"/>
      <c r="FE37" s="308"/>
      <c r="FF37" s="308"/>
      <c r="FG37" s="308"/>
      <c r="FH37" s="308"/>
      <c r="FI37" s="308"/>
      <c r="FJ37" s="308"/>
      <c r="FK37" s="308"/>
      <c r="FL37" s="308"/>
      <c r="FM37" s="308"/>
      <c r="FN37" s="308"/>
      <c r="FO37" s="308"/>
      <c r="FP37" s="308"/>
      <c r="FQ37" s="308"/>
      <c r="FR37" s="308"/>
      <c r="FS37" s="308"/>
      <c r="FT37" s="308"/>
      <c r="FU37" s="308"/>
      <c r="FV37" s="308"/>
      <c r="FW37" s="308"/>
      <c r="FX37" s="308"/>
      <c r="FY37" s="308"/>
      <c r="FZ37" s="308"/>
      <c r="GA37" s="308"/>
      <c r="GB37" s="308"/>
      <c r="GC37" s="308"/>
      <c r="GD37" s="308"/>
      <c r="GE37" s="308"/>
      <c r="GF37" s="308"/>
      <c r="GG37" s="308"/>
      <c r="GH37" s="308"/>
      <c r="GI37" s="308"/>
      <c r="GJ37" s="308"/>
      <c r="GK37" s="308"/>
      <c r="GL37" s="308"/>
      <c r="GM37" s="308"/>
      <c r="GN37" s="308"/>
      <c r="GO37" s="308"/>
      <c r="GP37" s="308"/>
      <c r="GQ37" s="308"/>
      <c r="GR37" s="308"/>
      <c r="GS37" s="308"/>
      <c r="GT37" s="308"/>
      <c r="GU37" s="308"/>
      <c r="GV37" s="308"/>
      <c r="GW37" s="308"/>
      <c r="GX37" s="308"/>
      <c r="GY37" s="308"/>
      <c r="GZ37" s="308"/>
      <c r="HA37" s="308"/>
      <c r="HB37" s="308"/>
      <c r="HC37" s="308"/>
      <c r="HD37" s="308"/>
      <c r="HE37" s="308"/>
      <c r="HF37" s="308"/>
      <c r="HG37" s="308"/>
      <c r="HH37" s="308"/>
      <c r="HI37" s="308"/>
      <c r="HJ37" s="308"/>
      <c r="HK37" s="308"/>
      <c r="HL37" s="308"/>
      <c r="HM37" s="308"/>
      <c r="HN37" s="308"/>
      <c r="HO37" s="308"/>
      <c r="HP37" s="308"/>
      <c r="HQ37" s="308"/>
      <c r="HR37" s="308"/>
      <c r="HS37" s="308"/>
      <c r="HT37" s="308"/>
      <c r="HU37" s="308"/>
      <c r="HV37" s="308"/>
      <c r="HW37" s="308"/>
      <c r="HX37" s="308"/>
      <c r="HY37" s="308"/>
      <c r="HZ37" s="308"/>
      <c r="IA37" s="308"/>
      <c r="IB37" s="308"/>
      <c r="IC37" s="308"/>
      <c r="ID37" s="308"/>
      <c r="IE37" s="308"/>
      <c r="IF37" s="308"/>
      <c r="IG37" s="308"/>
      <c r="IH37" s="308"/>
      <c r="II37" s="308"/>
      <c r="IJ37" s="308"/>
      <c r="IK37" s="308"/>
      <c r="IL37" s="308"/>
      <c r="IM37" s="308"/>
      <c r="IN37" s="308"/>
      <c r="IO37" s="308"/>
      <c r="IP37" s="308"/>
      <c r="IQ37" s="308"/>
      <c r="IR37" s="308"/>
      <c r="IS37" s="308"/>
      <c r="IT37" s="308"/>
      <c r="IU37" s="308"/>
      <c r="IV37" s="308"/>
      <c r="IW37" s="308"/>
      <c r="IX37" s="308"/>
    </row>
    <row r="38" spans="1:258" s="308" customFormat="1" ht="17.399999999999999" x14ac:dyDescent="0.3">
      <c r="A38" s="103"/>
      <c r="B38" s="84"/>
      <c r="C38" s="64"/>
      <c r="D38" s="83" t="s">
        <v>164</v>
      </c>
      <c r="E38" s="270">
        <f>E42*$C$41+E46*$C$45+$C$49*E50+$C$53*E54+$C$57*E58+$C$61*E62</f>
        <v>8.7976871318505619E-3</v>
      </c>
      <c r="F38" s="90">
        <f t="shared" ref="E38:G40" si="2">F42*$C$41+F46*$C$45+$C$49*F50+$C$53*F54+$C$57*F58+$C$61*F62</f>
        <v>0.3755492770938334</v>
      </c>
      <c r="G38" s="278">
        <f>G42*$C$41+G46*$C$45+$C$49*G50+$C$53*G54+$C$57*G58+$C$61*G62</f>
        <v>0.64989769315411561</v>
      </c>
      <c r="H38" s="90">
        <f t="shared" ref="H38:U40" si="3">H42*$C$41+H46*$C$45+$C$49*H50+$C$53*H54+$C$57*H58+$C$61*H62</f>
        <v>7.2150037558934045E-3</v>
      </c>
      <c r="I38" s="90">
        <f t="shared" si="3"/>
        <v>0.03</v>
      </c>
      <c r="J38" s="90">
        <f t="shared" si="3"/>
        <v>0</v>
      </c>
      <c r="K38" s="90">
        <f t="shared" si="3"/>
        <v>0</v>
      </c>
      <c r="L38" s="90">
        <f t="shared" si="3"/>
        <v>1.6032137911971642E-3</v>
      </c>
      <c r="M38" s="90">
        <f t="shared" si="3"/>
        <v>0.31900003908155899</v>
      </c>
      <c r="N38" s="90">
        <f t="shared" si="3"/>
        <v>8.9333333333333331E-3</v>
      </c>
      <c r="O38" s="90">
        <f t="shared" si="3"/>
        <v>0</v>
      </c>
      <c r="P38" s="90">
        <f t="shared" si="3"/>
        <v>8.7976871318505619E-3</v>
      </c>
      <c r="Q38" s="90">
        <f t="shared" si="3"/>
        <v>0</v>
      </c>
      <c r="R38" s="90">
        <f t="shared" si="3"/>
        <v>0</v>
      </c>
      <c r="S38" s="90">
        <f t="shared" si="3"/>
        <v>0.3755492770938334</v>
      </c>
      <c r="T38" s="90">
        <f t="shared" si="3"/>
        <v>0.05</v>
      </c>
      <c r="U38" s="90">
        <f t="shared" si="3"/>
        <v>0.11899999999999999</v>
      </c>
      <c r="V38" s="430"/>
      <c r="W38" s="243"/>
      <c r="Z38" s="64"/>
    </row>
    <row r="39" spans="1:258" s="308" customFormat="1" ht="17.399999999999999" x14ac:dyDescent="0.3">
      <c r="A39" s="103"/>
      <c r="B39" s="84"/>
      <c r="C39" s="142"/>
      <c r="D39" s="83" t="s">
        <v>165</v>
      </c>
      <c r="E39" s="270">
        <f t="shared" si="2"/>
        <v>0</v>
      </c>
      <c r="F39" s="90">
        <f>F43*$C$41+F47*$C$45+$C$49*F51+$C$53*F55+$C$57*F59+$C$61*F63</f>
        <v>1.1847554951698619E-3</v>
      </c>
      <c r="G39" s="278">
        <f t="shared" si="2"/>
        <v>1.4139581037950376E-3</v>
      </c>
      <c r="H39" s="90">
        <f t="shared" si="3"/>
        <v>2.5550433864539711E-11</v>
      </c>
      <c r="I39" s="90">
        <f t="shared" si="3"/>
        <v>0</v>
      </c>
      <c r="J39" s="90">
        <f t="shared" si="3"/>
        <v>0</v>
      </c>
      <c r="K39" s="90">
        <f t="shared" si="3"/>
        <v>0</v>
      </c>
      <c r="L39" s="90">
        <f t="shared" si="3"/>
        <v>7.1016964960432879E-7</v>
      </c>
      <c r="M39" s="90">
        <f t="shared" si="3"/>
        <v>1.184045299969824E-3</v>
      </c>
      <c r="N39" s="90">
        <f t="shared" si="3"/>
        <v>0</v>
      </c>
      <c r="O39" s="90">
        <f t="shared" si="3"/>
        <v>0</v>
      </c>
      <c r="P39" s="90">
        <f t="shared" si="3"/>
        <v>0</v>
      </c>
      <c r="Q39" s="90">
        <f t="shared" si="3"/>
        <v>0</v>
      </c>
      <c r="R39" s="90">
        <f t="shared" si="3"/>
        <v>0</v>
      </c>
      <c r="S39" s="90">
        <f t="shared" si="3"/>
        <v>1.1847554951698619E-3</v>
      </c>
      <c r="T39" s="90">
        <f t="shared" si="3"/>
        <v>0</v>
      </c>
      <c r="U39" s="90">
        <f t="shared" si="3"/>
        <v>0</v>
      </c>
      <c r="V39" s="430"/>
      <c r="W39" s="243"/>
      <c r="Z39" s="64"/>
    </row>
    <row r="40" spans="1:258" s="308" customFormat="1" ht="17.399999999999999" x14ac:dyDescent="0.3">
      <c r="A40" s="107"/>
      <c r="B40" s="206"/>
      <c r="C40" s="85"/>
      <c r="D40" s="84" t="s">
        <v>166</v>
      </c>
      <c r="E40" s="270">
        <f t="shared" si="2"/>
        <v>5.3585933860240659E-5</v>
      </c>
      <c r="F40" s="90">
        <f t="shared" si="2"/>
        <v>1.0158208416388608E-4</v>
      </c>
      <c r="G40" s="278">
        <f>G44*$C$41+G48*$C$45+$C$49*G52+$C$53*G56+$C$57*G60+$C$61*G64</f>
        <v>1.21234137920857E-4</v>
      </c>
      <c r="H40" s="90">
        <f t="shared" si="3"/>
        <v>3.4346573942596248E-5</v>
      </c>
      <c r="I40" s="90">
        <f t="shared" si="3"/>
        <v>0</v>
      </c>
      <c r="J40" s="90">
        <f t="shared" si="3"/>
        <v>4.9847366991834978E-5</v>
      </c>
      <c r="K40" s="90">
        <f t="shared" si="3"/>
        <v>3.7385668684056866E-6</v>
      </c>
      <c r="L40" s="90">
        <f t="shared" si="3"/>
        <v>4.3078979637015484E-8</v>
      </c>
      <c r="M40" s="90">
        <f t="shared" si="3"/>
        <v>1.3606497381412168E-5</v>
      </c>
      <c r="N40" s="90">
        <f t="shared" si="3"/>
        <v>0</v>
      </c>
      <c r="O40" s="90">
        <f t="shared" si="3"/>
        <v>0</v>
      </c>
      <c r="P40" s="90">
        <f t="shared" si="3"/>
        <v>0</v>
      </c>
      <c r="Q40" s="90">
        <f t="shared" si="3"/>
        <v>0</v>
      </c>
      <c r="R40" s="90">
        <f t="shared" si="3"/>
        <v>0</v>
      </c>
      <c r="S40" s="90">
        <f t="shared" si="3"/>
        <v>1.0158208416388608E-4</v>
      </c>
      <c r="T40" s="90">
        <f t="shared" si="3"/>
        <v>0</v>
      </c>
      <c r="U40" s="90">
        <f t="shared" si="3"/>
        <v>0</v>
      </c>
      <c r="V40" s="430"/>
      <c r="W40" s="243"/>
      <c r="Z40" s="64"/>
    </row>
    <row r="41" spans="1:258" s="420" customFormat="1" ht="17.399999999999999" x14ac:dyDescent="0.3">
      <c r="A41" s="122" t="s">
        <v>1</v>
      </c>
      <c r="B41" s="132" t="s">
        <v>102</v>
      </c>
      <c r="C41" s="132">
        <f>'Input data plant-based products'!D29</f>
        <v>0.35</v>
      </c>
      <c r="D41" s="269" t="s">
        <v>473</v>
      </c>
      <c r="E41" s="320">
        <f>IF($F$1="GWP100 without fb",E42+E43*'Common input data'!$C$5+E44*'Common input data'!$D$5,IF($F$1="GWP100 with fb",E42+E43*'Common input data'!$C$6+E44*'Common input data'!$D$6,IF($F$1="GTP100 without fb",E42+E43*'Common input data'!$C$7+E44*'Common input data'!$D$7,IF($F$1="GTP100 with fb",E42+E43*'Common input data'!$C$8+E44*'Common input data'!$D$8,E42+E43*'Common input data'!$C$9+E44*'Common input data'!$D$9))))</f>
        <v>1.621064657142857E-2</v>
      </c>
      <c r="F41" s="302">
        <f>IF($F$1="GWP100 without fb",F42+F43*'Common input data'!$C$5+F44*'Common input data'!$D$5,IF($F$1="GWP100 with fb",F42+F43*'Common input data'!$C$6+F44*'Common input data'!$D$6,IF($F$1="GTP100 without fb",F42+F43*'Common input data'!$C$7+F44*'Common input data'!$D$7,IF($F$1="GTP100 with fb",F42+F43*'Common input data'!$C$8+F44*'Common input data'!$D$8,F42+F43*'Common input data'!$C$9+F44*'Common input data'!$D$9))))</f>
        <v>0.58269644323684655</v>
      </c>
      <c r="G41" s="321">
        <f>IF($F$1="GWP100 without fb",G42+G43*'Common input data'!$C$5+G44*'Common input data'!$D$5,IF($F$1="GWP100 with fb",G42+G43*'Common input data'!$C$6+G44*'Common input data'!$D$6,IF($F$1="GTP100 without fb",G42+G43*'Common input data'!$C$7+G44*'Common input data'!$D$7,IF($F$1="GTP100 with fb",G42+G43*'Common input data'!$C$8+G44*'Common input data'!$D$8,G42+G43*'Common input data'!$C$9+G44*'Common input data'!$D$9))))</f>
        <v>0.79090159116463365</v>
      </c>
      <c r="H41" s="102"/>
      <c r="I41" s="102"/>
      <c r="J41" s="102"/>
      <c r="K41" s="102"/>
      <c r="L41" s="102"/>
      <c r="M41" s="102"/>
      <c r="N41" s="102"/>
      <c r="O41" s="102"/>
      <c r="P41" s="102"/>
      <c r="Q41" s="102"/>
      <c r="R41" s="102"/>
      <c r="S41" s="102"/>
      <c r="T41" s="102"/>
      <c r="U41" s="102"/>
      <c r="V41" s="430"/>
      <c r="W41" s="243"/>
      <c r="X41" s="308"/>
      <c r="Y41" s="308"/>
      <c r="Z41" s="64"/>
      <c r="AA41" s="308"/>
      <c r="AB41" s="308"/>
      <c r="AC41" s="308"/>
      <c r="AD41" s="308"/>
      <c r="AE41" s="308"/>
      <c r="AF41" s="308"/>
      <c r="AG41" s="308"/>
      <c r="AH41" s="308"/>
      <c r="AI41" s="308"/>
      <c r="AJ41" s="308"/>
      <c r="AK41" s="308"/>
      <c r="AL41" s="308"/>
      <c r="AM41" s="308"/>
      <c r="AN41" s="308"/>
      <c r="AO41" s="308"/>
      <c r="AP41" s="308"/>
      <c r="AQ41" s="308"/>
      <c r="AR41" s="308"/>
      <c r="AS41" s="308"/>
      <c r="AT41" s="308"/>
      <c r="AU41" s="308"/>
      <c r="AV41" s="308"/>
      <c r="AW41" s="308"/>
      <c r="AX41" s="308"/>
      <c r="AY41" s="308"/>
      <c r="AZ41" s="308"/>
      <c r="BA41" s="308"/>
      <c r="BB41" s="308"/>
      <c r="BC41" s="308"/>
      <c r="BD41" s="308"/>
      <c r="BE41" s="308"/>
      <c r="BF41" s="308"/>
      <c r="BG41" s="308"/>
      <c r="BH41" s="308"/>
      <c r="BI41" s="308"/>
      <c r="BJ41" s="308"/>
      <c r="BK41" s="308"/>
      <c r="BL41" s="308"/>
      <c r="BM41" s="308"/>
      <c r="BN41" s="308"/>
      <c r="BO41" s="308"/>
      <c r="BP41" s="308"/>
      <c r="BQ41" s="308"/>
      <c r="BR41" s="308"/>
      <c r="BS41" s="308"/>
      <c r="BT41" s="308"/>
      <c r="BU41" s="308"/>
      <c r="BV41" s="308"/>
      <c r="BW41" s="308"/>
      <c r="BX41" s="308"/>
      <c r="BY41" s="308"/>
      <c r="BZ41" s="308"/>
      <c r="CA41" s="308"/>
      <c r="CB41" s="308"/>
      <c r="CC41" s="308"/>
      <c r="CD41" s="308"/>
      <c r="CE41" s="308"/>
      <c r="CF41" s="308"/>
      <c r="CG41" s="308"/>
      <c r="CH41" s="308"/>
      <c r="CI41" s="308"/>
      <c r="CJ41" s="308"/>
      <c r="CK41" s="308"/>
      <c r="CL41" s="308"/>
      <c r="CM41" s="308"/>
      <c r="CN41" s="308"/>
      <c r="CO41" s="308"/>
      <c r="CP41" s="308"/>
      <c r="CQ41" s="308"/>
      <c r="CR41" s="308"/>
      <c r="CS41" s="308"/>
      <c r="CT41" s="308"/>
      <c r="CU41" s="308"/>
      <c r="CV41" s="308"/>
      <c r="CW41" s="308"/>
      <c r="CX41" s="308"/>
      <c r="CY41" s="308"/>
      <c r="CZ41" s="308"/>
      <c r="DA41" s="308"/>
      <c r="DB41" s="308"/>
      <c r="DC41" s="308"/>
      <c r="DD41" s="308"/>
      <c r="DE41" s="308"/>
      <c r="DF41" s="308"/>
      <c r="DG41" s="308"/>
      <c r="DH41" s="308"/>
      <c r="DI41" s="308"/>
      <c r="DJ41" s="308"/>
      <c r="DK41" s="308"/>
      <c r="DL41" s="308"/>
      <c r="DM41" s="308"/>
      <c r="DN41" s="308"/>
      <c r="DO41" s="308"/>
      <c r="DP41" s="308"/>
      <c r="DQ41" s="308"/>
      <c r="DR41" s="308"/>
      <c r="DS41" s="308"/>
      <c r="DT41" s="308"/>
      <c r="DU41" s="308"/>
      <c r="DV41" s="308"/>
      <c r="DW41" s="308"/>
      <c r="DX41" s="308"/>
      <c r="DY41" s="308"/>
      <c r="DZ41" s="308"/>
      <c r="EA41" s="308"/>
      <c r="EB41" s="308"/>
      <c r="EC41" s="308"/>
      <c r="ED41" s="308"/>
      <c r="EE41" s="308"/>
      <c r="EF41" s="308"/>
      <c r="EG41" s="308"/>
      <c r="EH41" s="308"/>
      <c r="EI41" s="308"/>
      <c r="EJ41" s="308"/>
      <c r="EK41" s="308"/>
      <c r="EL41" s="308"/>
      <c r="EM41" s="308"/>
      <c r="EN41" s="308"/>
      <c r="EO41" s="308"/>
      <c r="EP41" s="308"/>
      <c r="EQ41" s="308"/>
      <c r="ER41" s="308"/>
      <c r="ES41" s="308"/>
      <c r="ET41" s="308"/>
      <c r="EU41" s="308"/>
      <c r="EV41" s="308"/>
      <c r="EW41" s="308"/>
      <c r="EX41" s="308"/>
      <c r="EY41" s="308"/>
      <c r="EZ41" s="308"/>
      <c r="FA41" s="308"/>
      <c r="FB41" s="308"/>
      <c r="FC41" s="308"/>
      <c r="FD41" s="308"/>
      <c r="FE41" s="308"/>
      <c r="FF41" s="308"/>
      <c r="FG41" s="308"/>
      <c r="FH41" s="308"/>
      <c r="FI41" s="308"/>
      <c r="FJ41" s="308"/>
      <c r="FK41" s="308"/>
      <c r="FL41" s="308"/>
      <c r="FM41" s="308"/>
      <c r="FN41" s="308"/>
      <c r="FO41" s="308"/>
      <c r="FP41" s="308"/>
      <c r="FQ41" s="308"/>
      <c r="FR41" s="308"/>
      <c r="FS41" s="308"/>
      <c r="FT41" s="308"/>
      <c r="FU41" s="308"/>
      <c r="FV41" s="308"/>
      <c r="FW41" s="308"/>
      <c r="FX41" s="308"/>
      <c r="FY41" s="308"/>
      <c r="FZ41" s="308"/>
      <c r="GA41" s="308"/>
      <c r="GB41" s="308"/>
      <c r="GC41" s="308"/>
      <c r="GD41" s="308"/>
      <c r="GE41" s="308"/>
      <c r="GF41" s="308"/>
      <c r="GG41" s="308"/>
      <c r="GH41" s="308"/>
      <c r="GI41" s="308"/>
      <c r="GJ41" s="308"/>
      <c r="GK41" s="308"/>
      <c r="GL41" s="308"/>
      <c r="GM41" s="308"/>
      <c r="GN41" s="308"/>
      <c r="GO41" s="308"/>
      <c r="GP41" s="308"/>
      <c r="GQ41" s="308"/>
      <c r="GR41" s="308"/>
      <c r="GS41" s="308"/>
      <c r="GT41" s="308"/>
      <c r="GU41" s="308"/>
      <c r="GV41" s="308"/>
      <c r="GW41" s="308"/>
      <c r="GX41" s="308"/>
      <c r="GY41" s="308"/>
      <c r="GZ41" s="308"/>
      <c r="HA41" s="308"/>
      <c r="HB41" s="308"/>
      <c r="HC41" s="308"/>
      <c r="HD41" s="308"/>
      <c r="HE41" s="308"/>
      <c r="HF41" s="308"/>
      <c r="HG41" s="308"/>
      <c r="HH41" s="308"/>
      <c r="HI41" s="308"/>
      <c r="HJ41" s="308"/>
      <c r="HK41" s="308"/>
      <c r="HL41" s="308"/>
      <c r="HM41" s="308"/>
      <c r="HN41" s="308"/>
      <c r="HO41" s="308"/>
      <c r="HP41" s="308"/>
      <c r="HQ41" s="308"/>
      <c r="HR41" s="308"/>
      <c r="HS41" s="308"/>
      <c r="HT41" s="308"/>
      <c r="HU41" s="308"/>
      <c r="HV41" s="308"/>
      <c r="HW41" s="308"/>
      <c r="HX41" s="308"/>
      <c r="HY41" s="308"/>
      <c r="HZ41" s="308"/>
      <c r="IA41" s="308"/>
      <c r="IB41" s="308"/>
      <c r="IC41" s="308"/>
      <c r="ID41" s="308"/>
      <c r="IE41" s="308"/>
      <c r="IF41" s="308"/>
      <c r="IG41" s="308"/>
      <c r="IH41" s="308"/>
      <c r="II41" s="308"/>
      <c r="IJ41" s="308"/>
      <c r="IK41" s="308"/>
      <c r="IL41" s="308"/>
      <c r="IM41" s="308"/>
      <c r="IN41" s="308"/>
      <c r="IO41" s="308"/>
      <c r="IP41" s="308"/>
      <c r="IQ41" s="308"/>
      <c r="IR41" s="308"/>
      <c r="IS41" s="308"/>
      <c r="IT41" s="308"/>
      <c r="IU41" s="308"/>
      <c r="IV41" s="308"/>
      <c r="IW41" s="308"/>
      <c r="IX41" s="308"/>
    </row>
    <row r="42" spans="1:258" s="308" customFormat="1" ht="17.399999999999999" x14ac:dyDescent="0.3">
      <c r="A42" s="103"/>
      <c r="B42" s="64"/>
      <c r="C42" s="64"/>
      <c r="D42" s="83" t="s">
        <v>164</v>
      </c>
      <c r="E42" s="270">
        <f>IF(AND($F$2="No",$F$3="No"),SUM(J42:K42),IF(AND($F$2="Yes", $F$3="No"), SUM(J42:K42)+Q42, IF(AND($F$2="No", $F$3="Yes"),SUM(J42:K42)+P42, SUM(J42:K42)+Q42+P42)))</f>
        <v>0</v>
      </c>
      <c r="F42" s="90">
        <f>IF(AND($F$2="No",$F$3="No"),SUM(H42:O42),IF(AND($F$2="Yes", $F$3="No"), SUM(H42:O42)+Q42, IF(AND($F$2="No", $F$3="Yes"),SUM(H42:O42)+P42, SUM(H42:O42)+Q42+P42)))</f>
        <v>0.50300222312725595</v>
      </c>
      <c r="G42" s="278">
        <f>SUM(S42:U42)/(1-'Common input data'!$B$121)</f>
        <v>0.69578973997762983</v>
      </c>
      <c r="H42" s="90">
        <f>('Input data plant-based products'!$F$29*('Common input data'!$B$76*'Common input data'!B69+'Common input data'!$B$77*'Common input data'!C69))/'Input data plant-based products'!$E$29</f>
        <v>8.281204815469078E-3</v>
      </c>
      <c r="I42" s="90">
        <f>'Common input data'!$B$81</f>
        <v>0.03</v>
      </c>
      <c r="J42" s="90">
        <v>0</v>
      </c>
      <c r="K42" s="90">
        <v>0</v>
      </c>
      <c r="L42" s="90">
        <v>0</v>
      </c>
      <c r="M42" s="90">
        <f>'Input data plant-based products'!M141/'Input data plant-based products'!E$29</f>
        <v>0.46472101831178692</v>
      </c>
      <c r="N42" s="90">
        <v>0</v>
      </c>
      <c r="O42" s="90">
        <v>0</v>
      </c>
      <c r="P42" s="90">
        <v>0</v>
      </c>
      <c r="Q42" s="90">
        <v>0</v>
      </c>
      <c r="R42" s="90">
        <v>0</v>
      </c>
      <c r="S42" s="90">
        <f>(F42+R42)</f>
        <v>0.50300222312725595</v>
      </c>
      <c r="T42" s="90">
        <f>'Common input data'!$B$88</f>
        <v>0.05</v>
      </c>
      <c r="U42" s="90">
        <f>'Common input data'!C$98</f>
        <v>0.03</v>
      </c>
      <c r="V42" s="430"/>
      <c r="W42" s="243"/>
      <c r="Z42" s="64"/>
    </row>
    <row r="43" spans="1:258" s="308" customFormat="1" ht="17.399999999999999" x14ac:dyDescent="0.3">
      <c r="A43" s="103"/>
      <c r="B43" s="64"/>
      <c r="C43" s="142"/>
      <c r="D43" s="83" t="s">
        <v>165</v>
      </c>
      <c r="E43" s="270">
        <f>SUM(J43:K43)</f>
        <v>0</v>
      </c>
      <c r="F43" s="90">
        <f>SUM(H43:O43)</f>
        <v>1.3660193616367817E-3</v>
      </c>
      <c r="G43" s="278">
        <f>SUM(S43:U43)/(1-'Common input data'!$B$121)</f>
        <v>1.6302892488802743E-3</v>
      </c>
      <c r="H43" s="90">
        <f>('Input data plant-based products'!$F$29*('Common input data'!$B$76*'Common input data'!B70+'Common input data'!$B$77*'Common input data'!C70))/'Input data plant-based products'!$E$29</f>
        <v>2.2170720000000001E-11</v>
      </c>
      <c r="I43" s="90">
        <v>0</v>
      </c>
      <c r="J43" s="90">
        <v>0</v>
      </c>
      <c r="K43" s="90">
        <v>0</v>
      </c>
      <c r="L43" s="90">
        <v>0</v>
      </c>
      <c r="M43" s="90">
        <f>'Input data plant-based products'!N141/'Input data plant-based products'!E$29</f>
        <v>1.3660193394660618E-3</v>
      </c>
      <c r="N43" s="90">
        <v>0</v>
      </c>
      <c r="O43" s="90">
        <v>0</v>
      </c>
      <c r="P43" s="90">
        <v>0</v>
      </c>
      <c r="Q43" s="90">
        <v>0</v>
      </c>
      <c r="R43" s="90">
        <v>0</v>
      </c>
      <c r="S43" s="90">
        <f>(F43+R43)</f>
        <v>1.3660193616367817E-3</v>
      </c>
      <c r="T43" s="90">
        <v>0</v>
      </c>
      <c r="U43" s="90">
        <v>0</v>
      </c>
      <c r="V43" s="430"/>
      <c r="W43" s="243"/>
      <c r="Z43" s="64"/>
    </row>
    <row r="44" spans="1:258" s="308" customFormat="1" ht="17.399999999999999" x14ac:dyDescent="0.3">
      <c r="A44" s="107"/>
      <c r="B44" s="64"/>
      <c r="C44" s="85"/>
      <c r="D44" s="84" t="s">
        <v>166</v>
      </c>
      <c r="E44" s="270">
        <f>SUM(J44:K44)</f>
        <v>5.4398142857142853E-5</v>
      </c>
      <c r="F44" s="90">
        <f>SUM(H44:O44)</f>
        <v>1.1157571078503353E-4</v>
      </c>
      <c r="G44" s="278">
        <f>SUM(S44:U44)/(1-'Common input data'!$B$121)</f>
        <v>1.331611299499147E-4</v>
      </c>
      <c r="H44" s="90">
        <f>('Input data plant-based products'!$F$29*('Common input data'!$B$76*'Common input data'!B71+'Common input data'!$B$77*'Common input data'!C71))/'Input data plant-based products'!$E$29</f>
        <v>3.3635768725478827E-5</v>
      </c>
      <c r="I44" s="90">
        <v>0</v>
      </c>
      <c r="J44" s="90">
        <f>(SUM('Input data plant-based products'!F29:H29)*'Input data plant-based products'!$B$114*44/28)/'Input data plant-based products'!E29</f>
        <v>5.1857142857142851E-5</v>
      </c>
      <c r="K44" s="90">
        <f>J44*'Input data plant-based products'!$B$115*(1-'Input data plant-based products'!L141)</f>
        <v>2.5409999999999999E-6</v>
      </c>
      <c r="L44" s="90">
        <v>0</v>
      </c>
      <c r="M44" s="90">
        <f>'Input data plant-based products'!O141/'Input data plant-based products'!E$29</f>
        <v>2.3541799202411865E-5</v>
      </c>
      <c r="N44" s="90">
        <v>0</v>
      </c>
      <c r="O44" s="90">
        <v>0</v>
      </c>
      <c r="P44" s="90">
        <v>0</v>
      </c>
      <c r="Q44" s="90">
        <v>0</v>
      </c>
      <c r="R44" s="90">
        <v>0</v>
      </c>
      <c r="S44" s="90">
        <f>(F44+R44)</f>
        <v>1.1157571078503353E-4</v>
      </c>
      <c r="T44" s="90">
        <v>0</v>
      </c>
      <c r="U44" s="90">
        <v>0</v>
      </c>
      <c r="V44" s="430"/>
      <c r="W44" s="243"/>
      <c r="Z44" s="64"/>
    </row>
    <row r="45" spans="1:258" s="420" customFormat="1" ht="17.399999999999999" x14ac:dyDescent="0.3">
      <c r="A45" s="122" t="s">
        <v>1</v>
      </c>
      <c r="B45" s="132" t="s">
        <v>225</v>
      </c>
      <c r="C45" s="132">
        <f>'Input data plant-based products'!D30</f>
        <v>0.12</v>
      </c>
      <c r="D45" s="269" t="s">
        <v>473</v>
      </c>
      <c r="E45" s="320">
        <f>IF($F$1="GWP100 without fb",E46+E47*'Common input data'!$C$5+E48*'Common input data'!$D$5,IF($F$1="GWP100 with fb",E46+E47*'Common input data'!$C$6+E48*'Common input data'!$D$6,IF($F$1="GTP100 without fb",E46+E47*'Common input data'!$C$7+E48*'Common input data'!$D$7,IF($F$1="GTP100 with fb",E46+E47*'Common input data'!$C$8+E48*'Common input data'!$D$8,E46+E47*'Common input data'!$C$9+E48*'Common input data'!$D$9))))</f>
        <v>6.3586627099011528E-2</v>
      </c>
      <c r="F45" s="302">
        <f>IF($F$1="GWP100 without fb",F46+F47*'Common input data'!$C$5+F48*'Common input data'!$D$5,IF($F$1="GWP100 with fb",F46+F47*'Common input data'!$C$6+F48*'Common input data'!$D$6,IF($F$1="GTP100 without fb",F46+F47*'Common input data'!$C$7+F48*'Common input data'!$D$7,IF($F$1="GTP100 with fb",F46+F47*'Common input data'!$C$8+F48*'Common input data'!$D$8,F46+F47*'Common input data'!$C$9+F48*'Common input data'!$D$9))))</f>
        <v>0.13330305386947777</v>
      </c>
      <c r="G45" s="321">
        <f>IF($F$1="GWP100 without fb",G46+G47*'Common input data'!$C$5+G48*'Common input data'!$D$5,IF($F$1="GWP100 with fb",G46+G47*'Common input data'!$C$6+G48*'Common input data'!$D$6,IF($F$1="GTP100 without fb",G46+G47*'Common input data'!$C$7+G48*'Common input data'!$D$7,IF($F$1="GTP100 with fb",G46+G47*'Common input data'!$C$8+G48*'Common input data'!$D$8,G46+G47*'Common input data'!$C$9+G48*'Common input data'!$D$9))))</f>
        <v>0.25456862855887075</v>
      </c>
      <c r="H45" s="102"/>
      <c r="I45" s="102"/>
      <c r="J45" s="102"/>
      <c r="K45" s="102"/>
      <c r="L45" s="102"/>
      <c r="M45" s="102"/>
      <c r="N45" s="102"/>
      <c r="O45" s="102"/>
      <c r="P45" s="102"/>
      <c r="Q45" s="102"/>
      <c r="R45" s="102"/>
      <c r="S45" s="102"/>
      <c r="T45" s="102"/>
      <c r="U45" s="102"/>
      <c r="V45" s="430"/>
      <c r="W45" s="243"/>
      <c r="X45" s="308"/>
      <c r="Y45" s="308"/>
      <c r="Z45" s="64"/>
      <c r="AA45" s="308"/>
      <c r="AB45" s="308"/>
      <c r="AC45" s="308"/>
      <c r="AD45" s="308"/>
      <c r="AE45" s="308"/>
      <c r="AF45" s="308"/>
      <c r="AG45" s="308"/>
      <c r="AH45" s="308"/>
      <c r="AI45" s="308"/>
      <c r="AJ45" s="308"/>
      <c r="AK45" s="308"/>
      <c r="AL45" s="308"/>
      <c r="AM45" s="308"/>
      <c r="AN45" s="308"/>
      <c r="AO45" s="308"/>
      <c r="AP45" s="308"/>
      <c r="AQ45" s="308"/>
      <c r="AR45" s="308"/>
      <c r="AS45" s="308"/>
      <c r="AT45" s="308"/>
      <c r="AU45" s="308"/>
      <c r="AV45" s="308"/>
      <c r="AW45" s="308"/>
      <c r="AX45" s="308"/>
      <c r="AY45" s="308"/>
      <c r="AZ45" s="308"/>
      <c r="BA45" s="308"/>
      <c r="BB45" s="308"/>
      <c r="BC45" s="308"/>
      <c r="BD45" s="308"/>
      <c r="BE45" s="308"/>
      <c r="BF45" s="308"/>
      <c r="BG45" s="308"/>
      <c r="BH45" s="308"/>
      <c r="BI45" s="308"/>
      <c r="BJ45" s="308"/>
      <c r="BK45" s="308"/>
      <c r="BL45" s="308"/>
      <c r="BM45" s="308"/>
      <c r="BN45" s="308"/>
      <c r="BO45" s="308"/>
      <c r="BP45" s="308"/>
      <c r="BQ45" s="308"/>
      <c r="BR45" s="308"/>
      <c r="BS45" s="308"/>
      <c r="BT45" s="308"/>
      <c r="BU45" s="308"/>
      <c r="BV45" s="308"/>
      <c r="BW45" s="308"/>
      <c r="BX45" s="308"/>
      <c r="BY45" s="308"/>
      <c r="BZ45" s="308"/>
      <c r="CA45" s="308"/>
      <c r="CB45" s="308"/>
      <c r="CC45" s="308"/>
      <c r="CD45" s="308"/>
      <c r="CE45" s="308"/>
      <c r="CF45" s="308"/>
      <c r="CG45" s="308"/>
      <c r="CH45" s="308"/>
      <c r="CI45" s="308"/>
      <c r="CJ45" s="308"/>
      <c r="CK45" s="308"/>
      <c r="CL45" s="308"/>
      <c r="CM45" s="308"/>
      <c r="CN45" s="308"/>
      <c r="CO45" s="308"/>
      <c r="CP45" s="308"/>
      <c r="CQ45" s="308"/>
      <c r="CR45" s="308"/>
      <c r="CS45" s="308"/>
      <c r="CT45" s="308"/>
      <c r="CU45" s="308"/>
      <c r="CV45" s="308"/>
      <c r="CW45" s="308"/>
      <c r="CX45" s="308"/>
      <c r="CY45" s="308"/>
      <c r="CZ45" s="308"/>
      <c r="DA45" s="308"/>
      <c r="DB45" s="308"/>
      <c r="DC45" s="308"/>
      <c r="DD45" s="308"/>
      <c r="DE45" s="308"/>
      <c r="DF45" s="308"/>
      <c r="DG45" s="308"/>
      <c r="DH45" s="308"/>
      <c r="DI45" s="308"/>
      <c r="DJ45" s="308"/>
      <c r="DK45" s="308"/>
      <c r="DL45" s="308"/>
      <c r="DM45" s="308"/>
      <c r="DN45" s="308"/>
      <c r="DO45" s="308"/>
      <c r="DP45" s="308"/>
      <c r="DQ45" s="308"/>
      <c r="DR45" s="308"/>
      <c r="DS45" s="308"/>
      <c r="DT45" s="308"/>
      <c r="DU45" s="308"/>
      <c r="DV45" s="308"/>
      <c r="DW45" s="308"/>
      <c r="DX45" s="308"/>
      <c r="DY45" s="308"/>
      <c r="DZ45" s="308"/>
      <c r="EA45" s="308"/>
      <c r="EB45" s="308"/>
      <c r="EC45" s="308"/>
      <c r="ED45" s="308"/>
      <c r="EE45" s="308"/>
      <c r="EF45" s="308"/>
      <c r="EG45" s="308"/>
      <c r="EH45" s="308"/>
      <c r="EI45" s="308"/>
      <c r="EJ45" s="308"/>
      <c r="EK45" s="308"/>
      <c r="EL45" s="308"/>
      <c r="EM45" s="308"/>
      <c r="EN45" s="308"/>
      <c r="EO45" s="308"/>
      <c r="EP45" s="308"/>
      <c r="EQ45" s="308"/>
      <c r="ER45" s="308"/>
      <c r="ES45" s="308"/>
      <c r="ET45" s="308"/>
      <c r="EU45" s="308"/>
      <c r="EV45" s="308"/>
      <c r="EW45" s="308"/>
      <c r="EX45" s="308"/>
      <c r="EY45" s="308"/>
      <c r="EZ45" s="308"/>
      <c r="FA45" s="308"/>
      <c r="FB45" s="308"/>
      <c r="FC45" s="308"/>
      <c r="FD45" s="308"/>
      <c r="FE45" s="308"/>
      <c r="FF45" s="308"/>
      <c r="FG45" s="308"/>
      <c r="FH45" s="308"/>
      <c r="FI45" s="308"/>
      <c r="FJ45" s="308"/>
      <c r="FK45" s="308"/>
      <c r="FL45" s="308"/>
      <c r="FM45" s="308"/>
      <c r="FN45" s="308"/>
      <c r="FO45" s="308"/>
      <c r="FP45" s="308"/>
      <c r="FQ45" s="308"/>
      <c r="FR45" s="308"/>
      <c r="FS45" s="308"/>
      <c r="FT45" s="308"/>
      <c r="FU45" s="308"/>
      <c r="FV45" s="308"/>
      <c r="FW45" s="308"/>
      <c r="FX45" s="308"/>
      <c r="FY45" s="308"/>
      <c r="FZ45" s="308"/>
      <c r="GA45" s="308"/>
      <c r="GB45" s="308"/>
      <c r="GC45" s="308"/>
      <c r="GD45" s="308"/>
      <c r="GE45" s="308"/>
      <c r="GF45" s="308"/>
      <c r="GG45" s="308"/>
      <c r="GH45" s="308"/>
      <c r="GI45" s="308"/>
      <c r="GJ45" s="308"/>
      <c r="GK45" s="308"/>
      <c r="GL45" s="308"/>
      <c r="GM45" s="308"/>
      <c r="GN45" s="308"/>
      <c r="GO45" s="308"/>
      <c r="GP45" s="308"/>
      <c r="GQ45" s="308"/>
      <c r="GR45" s="308"/>
      <c r="GS45" s="308"/>
      <c r="GT45" s="308"/>
      <c r="GU45" s="308"/>
      <c r="GV45" s="308"/>
      <c r="GW45" s="308"/>
      <c r="GX45" s="308"/>
      <c r="GY45" s="308"/>
      <c r="GZ45" s="308"/>
      <c r="HA45" s="308"/>
      <c r="HB45" s="308"/>
      <c r="HC45" s="308"/>
      <c r="HD45" s="308"/>
      <c r="HE45" s="308"/>
      <c r="HF45" s="308"/>
      <c r="HG45" s="308"/>
      <c r="HH45" s="308"/>
      <c r="HI45" s="308"/>
      <c r="HJ45" s="308"/>
      <c r="HK45" s="308"/>
      <c r="HL45" s="308"/>
      <c r="HM45" s="308"/>
      <c r="HN45" s="308"/>
      <c r="HO45" s="308"/>
      <c r="HP45" s="308"/>
      <c r="HQ45" s="308"/>
      <c r="HR45" s="308"/>
      <c r="HS45" s="308"/>
      <c r="HT45" s="308"/>
      <c r="HU45" s="308"/>
      <c r="HV45" s="308"/>
      <c r="HW45" s="308"/>
      <c r="HX45" s="308"/>
      <c r="HY45" s="308"/>
      <c r="HZ45" s="308"/>
      <c r="IA45" s="308"/>
      <c r="IB45" s="308"/>
      <c r="IC45" s="308"/>
      <c r="ID45" s="308"/>
      <c r="IE45" s="308"/>
      <c r="IF45" s="308"/>
      <c r="IG45" s="308"/>
      <c r="IH45" s="308"/>
      <c r="II45" s="308"/>
      <c r="IJ45" s="308"/>
      <c r="IK45" s="308"/>
      <c r="IL45" s="308"/>
      <c r="IM45" s="308"/>
      <c r="IN45" s="308"/>
      <c r="IO45" s="308"/>
      <c r="IP45" s="308"/>
      <c r="IQ45" s="308"/>
      <c r="IR45" s="308"/>
      <c r="IS45" s="308"/>
      <c r="IT45" s="308"/>
      <c r="IU45" s="308"/>
      <c r="IV45" s="308"/>
      <c r="IW45" s="308"/>
      <c r="IX45" s="308"/>
    </row>
    <row r="46" spans="1:258" s="308" customFormat="1" ht="17.399999999999999" x14ac:dyDescent="0.3">
      <c r="A46" s="103"/>
      <c r="B46" s="64"/>
      <c r="C46" s="64"/>
      <c r="D46" s="83" t="s">
        <v>164</v>
      </c>
      <c r="E46" s="270">
        <f>IF(AND($F$2="No",$F$3="No"),SUM(J46:K46),IF(AND($F$2="Yes", $F$3="No"), SUM(J46:K46)+Q46, IF(AND($F$2="No", $F$3="Yes"),SUM(J46:K46)+P46, SUM(J46:K46)+Q46+P46)))</f>
        <v>3.9989486962957101E-2</v>
      </c>
      <c r="F46" s="90">
        <f>IF(AND($F$2="No",$F$3="No"),SUM(H46:O46),IF(AND($F$2="Yes", $F$3="No"), SUM(H46:O46)+Q46, IF(AND($F$2="No", $F$3="Yes"),SUM(H46:O46)+P46, SUM(H46:O46)+Q46+P46)))</f>
        <v>0.10232720125983233</v>
      </c>
      <c r="G46" s="278">
        <f>SUM(S46:U46)/(1-'Common input data'!$B$121)</f>
        <v>0.21760019245713372</v>
      </c>
      <c r="H46" s="90">
        <f>('Input data plant-based products'!$F$30*('Common input data'!$B$76*'Common input data'!B69+'Common input data'!$B$77*'Common input data'!C69))/'Input data plant-based products'!$E$30</f>
        <v>5.9748952492561904E-3</v>
      </c>
      <c r="I46" s="90">
        <f>'Common input data'!$B$81</f>
        <v>0.03</v>
      </c>
      <c r="J46" s="90">
        <v>0</v>
      </c>
      <c r="K46" s="90">
        <v>0</v>
      </c>
      <c r="L46" s="90">
        <f>('Input data plant-based products'!$I$30*'Common input data'!$C$59*'Common input data'!H49)/'Input data plant-based products'!$E$30</f>
        <v>6.3628190476190472E-3</v>
      </c>
      <c r="M46" s="90">
        <v>0</v>
      </c>
      <c r="N46" s="90">
        <f>'Input data plant-based products'!G$152</f>
        <v>0.02</v>
      </c>
      <c r="O46" s="90">
        <v>0</v>
      </c>
      <c r="P46" s="90">
        <f>'Common input data'!E$13</f>
        <v>3.9989486962957101E-2</v>
      </c>
      <c r="Q46" s="90">
        <v>0</v>
      </c>
      <c r="R46" s="90">
        <v>0</v>
      </c>
      <c r="S46" s="90">
        <f>(F46+R46)</f>
        <v>0.10232720125983233</v>
      </c>
      <c r="T46" s="90">
        <f>'Common input data'!$B$88</f>
        <v>0.05</v>
      </c>
      <c r="U46" s="90">
        <f>'Common input data'!C$98</f>
        <v>0.03</v>
      </c>
      <c r="V46" s="430"/>
      <c r="W46" s="243"/>
      <c r="Z46" s="64"/>
    </row>
    <row r="47" spans="1:258" s="308" customFormat="1" ht="17.399999999999999" x14ac:dyDescent="0.3">
      <c r="A47" s="103"/>
      <c r="B47" s="64"/>
      <c r="C47" s="142"/>
      <c r="D47" s="83" t="s">
        <v>165</v>
      </c>
      <c r="E47" s="270">
        <f>SUM(J47:K47)</f>
        <v>0</v>
      </c>
      <c r="F47" s="90">
        <f>SUM(H47:O47)</f>
        <v>2.8185302819047619E-6</v>
      </c>
      <c r="G47" s="278">
        <f>SUM(S47:U47)/(1-'Common input data'!$B$121)</f>
        <v>3.3638026994924955E-6</v>
      </c>
      <c r="H47" s="90">
        <f>('Input data plant-based products'!$F$30*('Common input data'!$B$76*'Common input data'!B70+'Common input data'!$B$77*'Common input data'!C70))/'Input data plant-based products'!$E$30</f>
        <v>1.5996190476190476E-11</v>
      </c>
      <c r="I47" s="90">
        <v>0</v>
      </c>
      <c r="J47" s="90">
        <v>0</v>
      </c>
      <c r="K47" s="90">
        <v>0</v>
      </c>
      <c r="L47" s="90">
        <f>('Input data plant-based products'!$I$30*'Common input data'!$C$59*'Common input data'!H50)/'Input data plant-based products'!$E$30</f>
        <v>2.8185142857142858E-6</v>
      </c>
      <c r="M47" s="90">
        <v>0</v>
      </c>
      <c r="N47" s="90">
        <v>0</v>
      </c>
      <c r="O47" s="90">
        <v>0</v>
      </c>
      <c r="P47" s="90">
        <v>0</v>
      </c>
      <c r="Q47" s="90">
        <v>0</v>
      </c>
      <c r="R47" s="90">
        <v>0</v>
      </c>
      <c r="S47" s="90">
        <f>(F47+R47)</f>
        <v>2.8185302819047619E-6</v>
      </c>
      <c r="T47" s="90">
        <v>0</v>
      </c>
      <c r="U47" s="90">
        <v>0</v>
      </c>
      <c r="V47" s="430"/>
      <c r="W47" s="243"/>
      <c r="Z47" s="64"/>
    </row>
    <row r="48" spans="1:258" s="308" customFormat="1" ht="17.399999999999999" x14ac:dyDescent="0.3">
      <c r="A48" s="107"/>
      <c r="B48" s="64"/>
      <c r="C48" s="85"/>
      <c r="D48" s="84" t="s">
        <v>166</v>
      </c>
      <c r="E48" s="270">
        <f>SUM(J48:K48)</f>
        <v>7.9185034013605444E-5</v>
      </c>
      <c r="F48" s="90">
        <f>SUM(H48:O48)</f>
        <v>1.0362423684584123E-4</v>
      </c>
      <c r="G48" s="278">
        <f>SUM(S48:U48)/(1-'Common input data'!$B$121)</f>
        <v>1.2367136513407475E-4</v>
      </c>
      <c r="H48" s="90">
        <f>('Input data plant-based products'!$F$30*('Common input data'!$B$76*'Common input data'!B71+'Common input data'!$B$77*'Common input data'!C71))/'Input data plant-based products'!$E$30</f>
        <v>2.4268231403664377E-5</v>
      </c>
      <c r="I48" s="90">
        <v>0</v>
      </c>
      <c r="J48" s="90">
        <f>(SUM('Input data plant-based products'!F30:H30)*'Input data plant-based products'!$B$114*44/28)/'Input data plant-based products'!E30</f>
        <v>7.1986394557823125E-5</v>
      </c>
      <c r="K48" s="90">
        <f>J48*'Input data plant-based products'!$B$115</f>
        <v>7.1986394557823125E-6</v>
      </c>
      <c r="L48" s="90">
        <f>('Input data plant-based products'!$I$30*'Common input data'!$C$59*'Common input data'!H51)/'Input data plant-based products'!$E$30</f>
        <v>1.7097142857142859E-7</v>
      </c>
      <c r="M48" s="90">
        <v>0</v>
      </c>
      <c r="N48" s="90">
        <v>0</v>
      </c>
      <c r="O48" s="90">
        <v>0</v>
      </c>
      <c r="P48" s="90">
        <v>0</v>
      </c>
      <c r="Q48" s="90">
        <v>0</v>
      </c>
      <c r="R48" s="90">
        <v>0</v>
      </c>
      <c r="S48" s="90">
        <f>(F48+R48)</f>
        <v>1.0362423684584123E-4</v>
      </c>
      <c r="T48" s="90">
        <v>0</v>
      </c>
      <c r="U48" s="90">
        <v>0</v>
      </c>
      <c r="V48" s="430"/>
      <c r="W48" s="243"/>
      <c r="Z48" s="64"/>
    </row>
    <row r="49" spans="1:258" s="420" customFormat="1" ht="17.399999999999999" x14ac:dyDescent="0.3">
      <c r="A49" s="122" t="s">
        <v>79</v>
      </c>
      <c r="B49" s="132" t="s">
        <v>102</v>
      </c>
      <c r="C49" s="132">
        <f>'Input data plant-based products'!D31</f>
        <v>0.17</v>
      </c>
      <c r="D49" s="269" t="s">
        <v>473</v>
      </c>
      <c r="E49" s="320">
        <f>IF($F$1="GWP100 without fb",E50+E51*'Common input data'!$C$5+E52*'Common input data'!$D$5,IF($F$1="GWP100 with fb",E50+E51*'Common input data'!$C$6+E52*'Common input data'!$D$6,IF($F$1="GTP100 without fb",E50+E51*'Common input data'!$C$7+E52*'Common input data'!$D$7,IF($F$1="GTP100 with fb",E50+E51*'Common input data'!$C$8+E52*'Common input data'!$D$8,E50+E51*'Common input data'!$C$9+E52*'Common input data'!$D$9))))</f>
        <v>5.6185240924581051E-3</v>
      </c>
      <c r="F49" s="302">
        <f>IF($F$1="GWP100 without fb",F50+F51*'Common input data'!$C$5+F52*'Common input data'!$D$5,IF($F$1="GWP100 with fb",F50+F51*'Common input data'!$C$6+F52*'Common input data'!$D$6,IF($F$1="GTP100 without fb",F50+F51*'Common input data'!$C$7+F52*'Common input data'!$D$7,IF($F$1="GTP100 with fb",F50+F51*'Common input data'!$C$8+F52*'Common input data'!$D$8,F50+F51*'Common input data'!$C$9+F52*'Common input data'!$D$9))))</f>
        <v>1.1143133542242727</v>
      </c>
      <c r="G49" s="321">
        <f>IF($F$1="GWP100 without fb",G50+G51*'Common input data'!$C$5+G52*'Common input data'!$D$5,IF($F$1="GWP100 with fb",G50+G51*'Common input data'!$C$6+G52*'Common input data'!$D$6,IF($F$1="GTP100 without fb",G50+G51*'Common input data'!$C$7+G52*'Common input data'!$D$7,IF($F$1="GTP100 with fb",G50+G51*'Common input data'!$C$8+G52*'Common input data'!$D$8,G50+G51*'Common input data'!$C$9+G52*'Common input data'!$D$9))))</f>
        <v>1.544711008741225</v>
      </c>
      <c r="H49" s="102"/>
      <c r="I49" s="102"/>
      <c r="J49" s="102"/>
      <c r="K49" s="102"/>
      <c r="L49" s="102"/>
      <c r="M49" s="102"/>
      <c r="N49" s="102"/>
      <c r="O49" s="102"/>
      <c r="P49" s="102"/>
      <c r="Q49" s="102"/>
      <c r="R49" s="102"/>
      <c r="S49" s="102"/>
      <c r="T49" s="102"/>
      <c r="U49" s="102"/>
      <c r="V49" s="430"/>
      <c r="W49" s="243"/>
      <c r="X49" s="308"/>
      <c r="Y49" s="308"/>
      <c r="Z49" s="64"/>
      <c r="AA49" s="308"/>
      <c r="AB49" s="308"/>
      <c r="AC49" s="308"/>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308"/>
      <c r="BD49" s="308"/>
      <c r="BE49" s="308"/>
      <c r="BF49" s="308"/>
      <c r="BG49" s="308"/>
      <c r="BH49" s="308"/>
      <c r="BI49" s="308"/>
      <c r="BJ49" s="308"/>
      <c r="BK49" s="308"/>
      <c r="BL49" s="308"/>
      <c r="BM49" s="308"/>
      <c r="BN49" s="308"/>
      <c r="BO49" s="308"/>
      <c r="BP49" s="308"/>
      <c r="BQ49" s="308"/>
      <c r="BR49" s="308"/>
      <c r="BS49" s="308"/>
      <c r="BT49" s="308"/>
      <c r="BU49" s="308"/>
      <c r="BV49" s="308"/>
      <c r="BW49" s="308"/>
      <c r="BX49" s="308"/>
      <c r="BY49" s="308"/>
      <c r="BZ49" s="308"/>
      <c r="CA49" s="308"/>
      <c r="CB49" s="308"/>
      <c r="CC49" s="308"/>
      <c r="CD49" s="308"/>
      <c r="CE49" s="308"/>
      <c r="CF49" s="308"/>
      <c r="CG49" s="308"/>
      <c r="CH49" s="308"/>
      <c r="CI49" s="308"/>
      <c r="CJ49" s="308"/>
      <c r="CK49" s="308"/>
      <c r="CL49" s="308"/>
      <c r="CM49" s="308"/>
      <c r="CN49" s="308"/>
      <c r="CO49" s="308"/>
      <c r="CP49" s="308"/>
      <c r="CQ49" s="308"/>
      <c r="CR49" s="308"/>
      <c r="CS49" s="308"/>
      <c r="CT49" s="308"/>
      <c r="CU49" s="308"/>
      <c r="CV49" s="308"/>
      <c r="CW49" s="308"/>
      <c r="CX49" s="308"/>
      <c r="CY49" s="308"/>
      <c r="CZ49" s="308"/>
      <c r="DA49" s="308"/>
      <c r="DB49" s="308"/>
      <c r="DC49" s="308"/>
      <c r="DD49" s="308"/>
      <c r="DE49" s="308"/>
      <c r="DF49" s="308"/>
      <c r="DG49" s="308"/>
      <c r="DH49" s="308"/>
      <c r="DI49" s="308"/>
      <c r="DJ49" s="308"/>
      <c r="DK49" s="308"/>
      <c r="DL49" s="308"/>
      <c r="DM49" s="308"/>
      <c r="DN49" s="308"/>
      <c r="DO49" s="308"/>
      <c r="DP49" s="308"/>
      <c r="DQ49" s="308"/>
      <c r="DR49" s="308"/>
      <c r="DS49" s="308"/>
      <c r="DT49" s="308"/>
      <c r="DU49" s="308"/>
      <c r="DV49" s="308"/>
      <c r="DW49" s="308"/>
      <c r="DX49" s="308"/>
      <c r="DY49" s="308"/>
      <c r="DZ49" s="308"/>
      <c r="EA49" s="308"/>
      <c r="EB49" s="308"/>
      <c r="EC49" s="308"/>
      <c r="ED49" s="308"/>
      <c r="EE49" s="308"/>
      <c r="EF49" s="308"/>
      <c r="EG49" s="308"/>
      <c r="EH49" s="308"/>
      <c r="EI49" s="308"/>
      <c r="EJ49" s="308"/>
      <c r="EK49" s="308"/>
      <c r="EL49" s="308"/>
      <c r="EM49" s="308"/>
      <c r="EN49" s="308"/>
      <c r="EO49" s="308"/>
      <c r="EP49" s="308"/>
      <c r="EQ49" s="308"/>
      <c r="ER49" s="308"/>
      <c r="ES49" s="308"/>
      <c r="ET49" s="308"/>
      <c r="EU49" s="308"/>
      <c r="EV49" s="308"/>
      <c r="EW49" s="308"/>
      <c r="EX49" s="308"/>
      <c r="EY49" s="308"/>
      <c r="EZ49" s="308"/>
      <c r="FA49" s="308"/>
      <c r="FB49" s="308"/>
      <c r="FC49" s="308"/>
      <c r="FD49" s="308"/>
      <c r="FE49" s="308"/>
      <c r="FF49" s="308"/>
      <c r="FG49" s="308"/>
      <c r="FH49" s="308"/>
      <c r="FI49" s="308"/>
      <c r="FJ49" s="308"/>
      <c r="FK49" s="308"/>
      <c r="FL49" s="308"/>
      <c r="FM49" s="308"/>
      <c r="FN49" s="308"/>
      <c r="FO49" s="308"/>
      <c r="FP49" s="308"/>
      <c r="FQ49" s="308"/>
      <c r="FR49" s="308"/>
      <c r="FS49" s="308"/>
      <c r="FT49" s="308"/>
      <c r="FU49" s="308"/>
      <c r="FV49" s="308"/>
      <c r="FW49" s="308"/>
      <c r="FX49" s="308"/>
      <c r="FY49" s="308"/>
      <c r="FZ49" s="308"/>
      <c r="GA49" s="308"/>
      <c r="GB49" s="308"/>
      <c r="GC49" s="308"/>
      <c r="GD49" s="308"/>
      <c r="GE49" s="308"/>
      <c r="GF49" s="308"/>
      <c r="GG49" s="308"/>
      <c r="GH49" s="308"/>
      <c r="GI49" s="308"/>
      <c r="GJ49" s="308"/>
      <c r="GK49" s="308"/>
      <c r="GL49" s="308"/>
      <c r="GM49" s="308"/>
      <c r="GN49" s="308"/>
      <c r="GO49" s="308"/>
      <c r="GP49" s="308"/>
      <c r="GQ49" s="308"/>
      <c r="GR49" s="308"/>
      <c r="GS49" s="308"/>
      <c r="GT49" s="308"/>
      <c r="GU49" s="308"/>
      <c r="GV49" s="308"/>
      <c r="GW49" s="308"/>
      <c r="GX49" s="308"/>
      <c r="GY49" s="308"/>
      <c r="GZ49" s="308"/>
      <c r="HA49" s="308"/>
      <c r="HB49" s="308"/>
      <c r="HC49" s="308"/>
      <c r="HD49" s="308"/>
      <c r="HE49" s="308"/>
      <c r="HF49" s="308"/>
      <c r="HG49" s="308"/>
      <c r="HH49" s="308"/>
      <c r="HI49" s="308"/>
      <c r="HJ49" s="308"/>
      <c r="HK49" s="308"/>
      <c r="HL49" s="308"/>
      <c r="HM49" s="308"/>
      <c r="HN49" s="308"/>
      <c r="HO49" s="308"/>
      <c r="HP49" s="308"/>
      <c r="HQ49" s="308"/>
      <c r="HR49" s="308"/>
      <c r="HS49" s="308"/>
      <c r="HT49" s="308"/>
      <c r="HU49" s="308"/>
      <c r="HV49" s="308"/>
      <c r="HW49" s="308"/>
      <c r="HX49" s="308"/>
      <c r="HY49" s="308"/>
      <c r="HZ49" s="308"/>
      <c r="IA49" s="308"/>
      <c r="IB49" s="308"/>
      <c r="IC49" s="308"/>
      <c r="ID49" s="308"/>
      <c r="IE49" s="308"/>
      <c r="IF49" s="308"/>
      <c r="IG49" s="308"/>
      <c r="IH49" s="308"/>
      <c r="II49" s="308"/>
      <c r="IJ49" s="308"/>
      <c r="IK49" s="308"/>
      <c r="IL49" s="308"/>
      <c r="IM49" s="308"/>
      <c r="IN49" s="308"/>
      <c r="IO49" s="308"/>
      <c r="IP49" s="308"/>
      <c r="IQ49" s="308"/>
      <c r="IR49" s="308"/>
      <c r="IS49" s="308"/>
      <c r="IT49" s="308"/>
      <c r="IU49" s="308"/>
      <c r="IV49" s="308"/>
      <c r="IW49" s="308"/>
      <c r="IX49" s="308"/>
    </row>
    <row r="50" spans="1:258" s="308" customFormat="1" ht="17.399999999999999" x14ac:dyDescent="0.3">
      <c r="A50" s="107"/>
      <c r="B50" s="64"/>
      <c r="C50" s="64"/>
      <c r="D50" s="83" t="s">
        <v>164</v>
      </c>
      <c r="E50" s="270">
        <f>IF(AND($F$2="No",$F$3="No"),SUM(J50:K50),IF(AND($F$2="Yes", $F$3="No"), SUM(J50:K50)+Q50, IF(AND($F$2="No", $F$3="Yes"),SUM(J50:K50)+P50, SUM(J50:K50)+Q50+P50)))</f>
        <v>0</v>
      </c>
      <c r="F50" s="90">
        <f>IF(AND($F$2="No",$F$3="No"),SUM(H50:O50),IF(AND($F$2="Yes", $F$3="No"), SUM(H50:O50)+Q50, IF(AND($F$2="No", $F$3="Yes"),SUM(H50:O50)+P50, SUM(H50:O50)+Q50+P50)))</f>
        <v>0.9528915935888882</v>
      </c>
      <c r="G50" s="278">
        <f>SUM(S50:U50)/(1-'Common input data'!$B$121)</f>
        <v>1.3520606201084713</v>
      </c>
      <c r="H50" s="85">
        <f>('Input data plant-based products'!$F$31*('Common input data'!$C$76*'Common input data'!B69+'Common input data'!$C$77*'Common input data'!C69))/'Input data plant-based products'!$E$31</f>
        <v>3.1993425745730593E-3</v>
      </c>
      <c r="I50" s="90">
        <f>'Common input data'!$B$81</f>
        <v>0.03</v>
      </c>
      <c r="J50" s="85">
        <v>0</v>
      </c>
      <c r="K50" s="90">
        <v>0</v>
      </c>
      <c r="L50" s="85">
        <v>0</v>
      </c>
      <c r="M50" s="90">
        <f>'Input data plant-based products'!M142/'Input data plant-based products'!E$31*'Common input data'!D$34</f>
        <v>0.91969225101431518</v>
      </c>
      <c r="N50" s="90">
        <v>0</v>
      </c>
      <c r="O50" s="90">
        <v>0</v>
      </c>
      <c r="P50" s="90">
        <v>0</v>
      </c>
      <c r="Q50" s="90">
        <v>0</v>
      </c>
      <c r="R50" s="90">
        <v>0</v>
      </c>
      <c r="S50" s="90">
        <f>(F50+R50)</f>
        <v>0.9528915935888882</v>
      </c>
      <c r="T50" s="90">
        <f>'Common input data'!$B$88</f>
        <v>0.05</v>
      </c>
      <c r="U50" s="90">
        <f>'Common input data'!B99+'Common input data'!C99</f>
        <v>0.13</v>
      </c>
      <c r="V50" s="430"/>
      <c r="W50" s="243"/>
      <c r="Z50" s="64"/>
    </row>
    <row r="51" spans="1:258" s="308" customFormat="1" ht="17.399999999999999" x14ac:dyDescent="0.3">
      <c r="A51" s="107"/>
      <c r="B51" s="68"/>
      <c r="C51" s="142"/>
      <c r="D51" s="83" t="s">
        <v>165</v>
      </c>
      <c r="E51" s="270">
        <f>SUM(J51:K51)</f>
        <v>0</v>
      </c>
      <c r="F51" s="90">
        <f>SUM(H51:O51)</f>
        <v>4.1525796091457937E-3</v>
      </c>
      <c r="G51" s="278">
        <f>SUM(S51:U51)/(1-'Common input data'!$B$121)</f>
        <v>4.9559369962355812E-3</v>
      </c>
      <c r="H51" s="85">
        <f>('Input data plant-based products'!$F$31*('Common input data'!$C$76*'Common input data'!B70+'Common input data'!$C$77*'Common input data'!C70))/'Input data plant-based products'!$E$31</f>
        <v>1.4106369134195821E-11</v>
      </c>
      <c r="I51" s="90">
        <v>0</v>
      </c>
      <c r="J51" s="149">
        <v>0</v>
      </c>
      <c r="K51" s="90">
        <v>0</v>
      </c>
      <c r="L51" s="85">
        <v>0</v>
      </c>
      <c r="M51" s="90">
        <f>'Input data plant-based products'!N142/'Input data plant-based products'!E$31*'Common input data'!D$34</f>
        <v>4.1525795950394248E-3</v>
      </c>
      <c r="N51" s="90">
        <v>0</v>
      </c>
      <c r="O51" s="90">
        <v>0</v>
      </c>
      <c r="P51" s="90">
        <v>0</v>
      </c>
      <c r="Q51" s="90">
        <v>0</v>
      </c>
      <c r="R51" s="90">
        <v>0</v>
      </c>
      <c r="S51" s="90">
        <f>(F51+R51)</f>
        <v>4.1525796091457937E-3</v>
      </c>
      <c r="T51" s="90">
        <v>0</v>
      </c>
      <c r="U51" s="90">
        <v>0</v>
      </c>
      <c r="V51" s="430"/>
      <c r="W51" s="243"/>
      <c r="Z51" s="64"/>
    </row>
    <row r="52" spans="1:258" s="308" customFormat="1" ht="17.399999999999999" x14ac:dyDescent="0.3">
      <c r="A52" s="107"/>
      <c r="B52" s="64"/>
      <c r="C52" s="85"/>
      <c r="D52" s="84" t="s">
        <v>166</v>
      </c>
      <c r="E52" s="270">
        <f>SUM(J52:K52)</f>
        <v>1.8854107692812434E-5</v>
      </c>
      <c r="F52" s="90">
        <f>SUM(H52:O52)</f>
        <v>6.7899509813515156E-5</v>
      </c>
      <c r="G52" s="278">
        <f>SUM(S52:U52)/(1-'Common input data'!$B$121)</f>
        <v>8.1035338123302495E-5</v>
      </c>
      <c r="H52" s="85">
        <f>('Input data plant-based products'!$F$31*('Common input data'!$C$76*'Common input data'!B71+'Common input data'!$C$77*'Common input data'!C71))/'Input data plant-based products'!$E$31</f>
        <v>1.7475592352655575E-5</v>
      </c>
      <c r="I52" s="85">
        <v>0</v>
      </c>
      <c r="J52" s="85">
        <f>(SUM('Input data plant-based products'!F31:H31)*'Input data plant-based products'!$B$114*44/28)/'Input data plant-based products'!E31</f>
        <v>1.8854107692812434E-5</v>
      </c>
      <c r="K52" s="90">
        <f>J52*'Input data plant-based products'!$B$115*(1-'Input data plant-based products'!L142)</f>
        <v>0</v>
      </c>
      <c r="L52" s="85">
        <v>0</v>
      </c>
      <c r="M52" s="90">
        <f>'Input data plant-based products'!O142/'Input data plant-based products'!E$31*'Common input data'!D$34</f>
        <v>3.1569809768047147E-5</v>
      </c>
      <c r="N52" s="90">
        <v>0</v>
      </c>
      <c r="O52" s="90">
        <v>0</v>
      </c>
      <c r="P52" s="90">
        <v>0</v>
      </c>
      <c r="Q52" s="90">
        <v>0</v>
      </c>
      <c r="R52" s="90">
        <v>0</v>
      </c>
      <c r="S52" s="90">
        <f>(F52+R52)</f>
        <v>6.7899509813515156E-5</v>
      </c>
      <c r="T52" s="90">
        <v>0</v>
      </c>
      <c r="U52" s="90">
        <v>0</v>
      </c>
      <c r="V52" s="430"/>
      <c r="W52" s="243"/>
      <c r="Z52" s="64"/>
    </row>
    <row r="53" spans="1:258" s="420" customFormat="1" ht="17.399999999999999" x14ac:dyDescent="0.3">
      <c r="A53" s="122" t="s">
        <v>74</v>
      </c>
      <c r="B53" s="132" t="s">
        <v>102</v>
      </c>
      <c r="C53" s="132">
        <f>'Input data plant-based products'!D32</f>
        <v>0.26</v>
      </c>
      <c r="D53" s="269" t="s">
        <v>473</v>
      </c>
      <c r="E53" s="320">
        <f>IF($F$1="GWP100 without fb",E54+E55*'Common input data'!$C$5+E56*'Common input data'!$D$5,IF($F$1="GWP100 with fb",E54+E55*'Common input data'!$C$6+E56*'Common input data'!$D$6,IF($F$1="GTP100 without fb",E54+E55*'Common input data'!$C$7+E56*'Common input data'!$D$7,IF($F$1="GTP100 with fb",E54+E55*'Common input data'!$C$8+E56*'Common input data'!$D$8,E54+E55*'Common input data'!$C$9+E56*'Common input data'!$D$9))))</f>
        <v>1.6080102787038104E-2</v>
      </c>
      <c r="F53" s="302">
        <f>IF($F$1="GWP100 without fb",F54+F55*'Common input data'!$C$5+F56*'Common input data'!$D$5,IF($F$1="GWP100 with fb",F54+F55*'Common input data'!$C$6+F56*'Common input data'!$D$6,IF($F$1="GTP100 without fb",F54+F55*'Common input data'!$C$7+F56*'Common input data'!$D$7,IF($F$1="GTP100 with fb",F54+F55*'Common input data'!$C$8+F56*'Common input data'!$D$8,F54+F55*'Common input data'!$C$9+F56*'Common input data'!$D$9))))</f>
        <v>8.7953615326448645E-2</v>
      </c>
      <c r="G53" s="321">
        <f>IF($F$1="GWP100 without fb",G54+G55*'Common input data'!$C$5+G56*'Common input data'!$D$5,IF($F$1="GWP100 with fb",G54+G55*'Common input data'!$C$6+G56*'Common input data'!$D$6,IF($F$1="GTP100 without fb",G54+G55*'Common input data'!$C$7+G56*'Common input data'!$D$7,IF($F$1="GTP100 with fb",G54+G55*'Common input data'!$C$8+G56*'Common input data'!$D$8,G54+G55*'Common input data'!$C$9+G56*'Common input data'!$D$9))))</f>
        <v>0.43913786290302981</v>
      </c>
      <c r="H53" s="102"/>
      <c r="I53" s="102"/>
      <c r="J53" s="102"/>
      <c r="K53" s="102"/>
      <c r="L53" s="102"/>
      <c r="M53" s="102"/>
      <c r="N53" s="102"/>
      <c r="O53" s="102"/>
      <c r="P53" s="102"/>
      <c r="Q53" s="102"/>
      <c r="R53" s="102"/>
      <c r="S53" s="102"/>
      <c r="T53" s="102"/>
      <c r="U53" s="102"/>
      <c r="V53" s="430"/>
      <c r="W53" s="243"/>
      <c r="X53" s="308"/>
      <c r="Y53" s="308"/>
      <c r="Z53" s="64"/>
      <c r="AA53" s="308"/>
      <c r="AB53" s="308"/>
      <c r="AC53" s="308"/>
      <c r="AD53" s="308"/>
      <c r="AE53" s="308"/>
      <c r="AF53" s="308"/>
      <c r="AG53" s="308"/>
      <c r="AH53" s="308"/>
      <c r="AI53" s="308"/>
      <c r="AJ53" s="308"/>
      <c r="AK53" s="308"/>
      <c r="AL53" s="308"/>
      <c r="AM53" s="308"/>
      <c r="AN53" s="308"/>
      <c r="AO53" s="308"/>
      <c r="AP53" s="308"/>
      <c r="AQ53" s="308"/>
      <c r="AR53" s="308"/>
      <c r="AS53" s="308"/>
      <c r="AT53" s="308"/>
      <c r="AU53" s="308"/>
      <c r="AV53" s="308"/>
      <c r="AW53" s="308"/>
      <c r="AX53" s="308"/>
      <c r="AY53" s="308"/>
      <c r="AZ53" s="308"/>
      <c r="BA53" s="308"/>
      <c r="BB53" s="308"/>
      <c r="BC53" s="308"/>
      <c r="BD53" s="308"/>
      <c r="BE53" s="308"/>
      <c r="BF53" s="308"/>
      <c r="BG53" s="308"/>
      <c r="BH53" s="308"/>
      <c r="BI53" s="308"/>
      <c r="BJ53" s="308"/>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8"/>
      <c r="CJ53" s="308"/>
      <c r="CK53" s="308"/>
      <c r="CL53" s="308"/>
      <c r="CM53" s="308"/>
      <c r="CN53" s="308"/>
      <c r="CO53" s="308"/>
      <c r="CP53" s="308"/>
      <c r="CQ53" s="308"/>
      <c r="CR53" s="308"/>
      <c r="CS53" s="308"/>
      <c r="CT53" s="308"/>
      <c r="CU53" s="308"/>
      <c r="CV53" s="308"/>
      <c r="CW53" s="308"/>
      <c r="CX53" s="308"/>
      <c r="CY53" s="308"/>
      <c r="CZ53" s="308"/>
      <c r="DA53" s="308"/>
      <c r="DB53" s="308"/>
      <c r="DC53" s="308"/>
      <c r="DD53" s="308"/>
      <c r="DE53" s="308"/>
      <c r="DF53" s="308"/>
      <c r="DG53" s="308"/>
      <c r="DH53" s="308"/>
      <c r="DI53" s="308"/>
      <c r="DJ53" s="308"/>
      <c r="DK53" s="308"/>
      <c r="DL53" s="308"/>
      <c r="DM53" s="308"/>
      <c r="DN53" s="308"/>
      <c r="DO53" s="308"/>
      <c r="DP53" s="308"/>
      <c r="DQ53" s="308"/>
      <c r="DR53" s="308"/>
      <c r="DS53" s="308"/>
      <c r="DT53" s="308"/>
      <c r="DU53" s="308"/>
      <c r="DV53" s="308"/>
      <c r="DW53" s="308"/>
      <c r="DX53" s="308"/>
      <c r="DY53" s="308"/>
      <c r="DZ53" s="308"/>
      <c r="EA53" s="308"/>
      <c r="EB53" s="308"/>
      <c r="EC53" s="308"/>
      <c r="ED53" s="308"/>
      <c r="EE53" s="308"/>
      <c r="EF53" s="308"/>
      <c r="EG53" s="308"/>
      <c r="EH53" s="308"/>
      <c r="EI53" s="308"/>
      <c r="EJ53" s="308"/>
      <c r="EK53" s="308"/>
      <c r="EL53" s="308"/>
      <c r="EM53" s="308"/>
      <c r="EN53" s="308"/>
      <c r="EO53" s="308"/>
      <c r="EP53" s="308"/>
      <c r="EQ53" s="308"/>
      <c r="ER53" s="308"/>
      <c r="ES53" s="308"/>
      <c r="ET53" s="308"/>
      <c r="EU53" s="308"/>
      <c r="EV53" s="308"/>
      <c r="EW53" s="308"/>
      <c r="EX53" s="308"/>
      <c r="EY53" s="308"/>
      <c r="EZ53" s="308"/>
      <c r="FA53" s="308"/>
      <c r="FB53" s="308"/>
      <c r="FC53" s="308"/>
      <c r="FD53" s="308"/>
      <c r="FE53" s="308"/>
      <c r="FF53" s="308"/>
      <c r="FG53" s="308"/>
      <c r="FH53" s="308"/>
      <c r="FI53" s="308"/>
      <c r="FJ53" s="308"/>
      <c r="FK53" s="308"/>
      <c r="FL53" s="308"/>
      <c r="FM53" s="308"/>
      <c r="FN53" s="308"/>
      <c r="FO53" s="308"/>
      <c r="FP53" s="308"/>
      <c r="FQ53" s="308"/>
      <c r="FR53" s="308"/>
      <c r="FS53" s="308"/>
      <c r="FT53" s="308"/>
      <c r="FU53" s="308"/>
      <c r="FV53" s="308"/>
      <c r="FW53" s="308"/>
      <c r="FX53" s="308"/>
      <c r="FY53" s="308"/>
      <c r="FZ53" s="308"/>
      <c r="GA53" s="308"/>
      <c r="GB53" s="308"/>
      <c r="GC53" s="308"/>
      <c r="GD53" s="308"/>
      <c r="GE53" s="308"/>
      <c r="GF53" s="308"/>
      <c r="GG53" s="308"/>
      <c r="GH53" s="308"/>
      <c r="GI53" s="308"/>
      <c r="GJ53" s="308"/>
      <c r="GK53" s="308"/>
      <c r="GL53" s="308"/>
      <c r="GM53" s="308"/>
      <c r="GN53" s="308"/>
      <c r="GO53" s="308"/>
      <c r="GP53" s="308"/>
      <c r="GQ53" s="308"/>
      <c r="GR53" s="308"/>
      <c r="GS53" s="308"/>
      <c r="GT53" s="308"/>
      <c r="GU53" s="308"/>
      <c r="GV53" s="308"/>
      <c r="GW53" s="308"/>
      <c r="GX53" s="308"/>
      <c r="GY53" s="308"/>
      <c r="GZ53" s="308"/>
      <c r="HA53" s="308"/>
      <c r="HB53" s="308"/>
      <c r="HC53" s="308"/>
      <c r="HD53" s="308"/>
      <c r="HE53" s="308"/>
      <c r="HF53" s="308"/>
      <c r="HG53" s="308"/>
      <c r="HH53" s="308"/>
      <c r="HI53" s="308"/>
      <c r="HJ53" s="308"/>
      <c r="HK53" s="308"/>
      <c r="HL53" s="308"/>
      <c r="HM53" s="308"/>
      <c r="HN53" s="308"/>
      <c r="HO53" s="308"/>
      <c r="HP53" s="308"/>
      <c r="HQ53" s="308"/>
      <c r="HR53" s="308"/>
      <c r="HS53" s="308"/>
      <c r="HT53" s="308"/>
      <c r="HU53" s="308"/>
      <c r="HV53" s="308"/>
      <c r="HW53" s="308"/>
      <c r="HX53" s="308"/>
      <c r="HY53" s="308"/>
      <c r="HZ53" s="308"/>
      <c r="IA53" s="308"/>
      <c r="IB53" s="308"/>
      <c r="IC53" s="308"/>
      <c r="ID53" s="308"/>
      <c r="IE53" s="308"/>
      <c r="IF53" s="308"/>
      <c r="IG53" s="308"/>
      <c r="IH53" s="308"/>
      <c r="II53" s="308"/>
      <c r="IJ53" s="308"/>
      <c r="IK53" s="308"/>
      <c r="IL53" s="308"/>
      <c r="IM53" s="308"/>
      <c r="IN53" s="308"/>
      <c r="IO53" s="308"/>
      <c r="IP53" s="308"/>
      <c r="IQ53" s="308"/>
      <c r="IR53" s="308"/>
      <c r="IS53" s="308"/>
      <c r="IT53" s="308"/>
      <c r="IU53" s="308"/>
      <c r="IV53" s="308"/>
      <c r="IW53" s="308"/>
      <c r="IX53" s="308"/>
    </row>
    <row r="54" spans="1:258" s="308" customFormat="1" ht="17.399999999999999" x14ac:dyDescent="0.3">
      <c r="A54" s="144"/>
      <c r="B54" s="64"/>
      <c r="C54" s="64"/>
      <c r="D54" s="83" t="s">
        <v>164</v>
      </c>
      <c r="E54" s="270">
        <f>IF(AND($F$2="No",$F$3="No"),SUM(J54:K54),IF(AND($F$2="Yes", $F$3="No"), SUM(J54:K54)+Q54, IF(AND($F$2="No", $F$3="Yes"),SUM(J54:K54)+P54, SUM(J54:K54)+Q54+P54)))</f>
        <v>0</v>
      </c>
      <c r="F54" s="90">
        <f>IF(AND($F$2="No",$F$3="No"),SUM(H54:O54),IF(AND($F$2="Yes", $F$3="No"), SUM(H54:O54)+Q54, IF(AND($F$2="No", $F$3="Yes"),SUM(H54:O54)+P54, SUM(H54:O54)+Q54+P54)))</f>
        <v>5.83240490989341E-2</v>
      </c>
      <c r="G54" s="278">
        <f>SUM(S54:U54)/(1-'Common input data'!$B$121)</f>
        <v>0.40377616553160772</v>
      </c>
      <c r="H54" s="85">
        <f>('Input data plant-based products'!$F$32*('Common input data'!$C$76*'Common input data'!B69+'Common input data'!$C$77*'Common input data'!C69))/'Input data plant-based products'!$E$32</f>
        <v>8.3240490989340936E-3</v>
      </c>
      <c r="I54" s="90">
        <f>'Common input data'!$B$81</f>
        <v>0.03</v>
      </c>
      <c r="J54" s="85">
        <v>0</v>
      </c>
      <c r="K54" s="85">
        <v>0</v>
      </c>
      <c r="L54" s="85">
        <v>0</v>
      </c>
      <c r="M54" s="90">
        <v>0</v>
      </c>
      <c r="N54" s="90">
        <f>'Input data plant-based products'!G$152</f>
        <v>0.02</v>
      </c>
      <c r="O54" s="90">
        <v>0</v>
      </c>
      <c r="P54" s="90">
        <v>0</v>
      </c>
      <c r="Q54" s="90">
        <v>0</v>
      </c>
      <c r="R54" s="90">
        <v>0</v>
      </c>
      <c r="S54" s="90">
        <f>(F54+R54)</f>
        <v>5.83240490989341E-2</v>
      </c>
      <c r="T54" s="90">
        <f>'Common input data'!$B$88</f>
        <v>0.05</v>
      </c>
      <c r="U54" s="90">
        <f>'Common input data'!B100+'Common input data'!C100</f>
        <v>0.23</v>
      </c>
      <c r="V54" s="430"/>
      <c r="W54" s="243"/>
      <c r="Z54" s="64"/>
    </row>
    <row r="55" spans="1:258" s="308" customFormat="1" ht="17.399999999999999" x14ac:dyDescent="0.3">
      <c r="A55" s="107"/>
      <c r="B55" s="64"/>
      <c r="C55" s="142"/>
      <c r="D55" s="83" t="s">
        <v>165</v>
      </c>
      <c r="E55" s="270">
        <f>SUM(J55:K55)</f>
        <v>0</v>
      </c>
      <c r="F55" s="90">
        <f>SUM(H55:O55)</f>
        <v>3.67019493985898E-11</v>
      </c>
      <c r="G55" s="278">
        <f>SUM(S55:U55)/(1-'Common input data'!$B$121)</f>
        <v>4.3802302659732429E-11</v>
      </c>
      <c r="H55" s="85">
        <f>('Input data plant-based products'!$F$32*('Common input data'!$C$76*'Common input data'!B70+'Common input data'!$C$77*'Common input data'!C70))/'Input data plant-based products'!$E$32</f>
        <v>3.67019493985898E-11</v>
      </c>
      <c r="I55" s="90">
        <v>0</v>
      </c>
      <c r="J55" s="85">
        <v>0</v>
      </c>
      <c r="K55" s="85">
        <v>0</v>
      </c>
      <c r="L55" s="85">
        <v>0</v>
      </c>
      <c r="M55" s="90">
        <v>0</v>
      </c>
      <c r="N55" s="90">
        <v>0</v>
      </c>
      <c r="O55" s="85">
        <v>0</v>
      </c>
      <c r="P55" s="85">
        <v>0</v>
      </c>
      <c r="Q55" s="90">
        <v>0</v>
      </c>
      <c r="R55" s="90">
        <v>0</v>
      </c>
      <c r="S55" s="90">
        <f>(F55+R55)</f>
        <v>3.67019493985898E-11</v>
      </c>
      <c r="T55" s="90">
        <v>0</v>
      </c>
      <c r="U55" s="90">
        <v>0</v>
      </c>
      <c r="V55" s="430"/>
      <c r="W55" s="243"/>
      <c r="Z55" s="64"/>
    </row>
    <row r="56" spans="1:258" s="308" customFormat="1" ht="17.399999999999999" x14ac:dyDescent="0.3">
      <c r="A56" s="174"/>
      <c r="B56" s="64"/>
      <c r="C56" s="85"/>
      <c r="D56" s="84" t="s">
        <v>166</v>
      </c>
      <c r="E56" s="270">
        <f>SUM(J56:K56)</f>
        <v>5.3960076466570812E-5</v>
      </c>
      <c r="F56" s="90">
        <f>SUM(H56:O56)</f>
        <v>9.9428070401504244E-5</v>
      </c>
      <c r="G56" s="278">
        <f>SUM(S56:U56)/(1-'Common input data'!$B$121)</f>
        <v>1.1866340900048245E-4</v>
      </c>
      <c r="H56" s="85">
        <f>('Input data plant-based products'!$F$32*('Common input data'!$C$76*'Common input data'!B71+'Common input data'!$C$77*'Common input data'!C71))/'Input data plant-based products'!$E$32</f>
        <v>4.5467993934933432E-5</v>
      </c>
      <c r="I56" s="85">
        <v>0</v>
      </c>
      <c r="J56" s="85">
        <f>(SUM('Input data plant-based products'!F32:H32)*'Input data plant-based products'!$B$114*44/28)/'Input data plant-based products'!E32</f>
        <v>4.9054614969609831E-5</v>
      </c>
      <c r="K56" s="90">
        <f>J56*'Input data plant-based products'!$B$115</f>
        <v>4.9054614969609834E-6</v>
      </c>
      <c r="L56" s="85">
        <v>0</v>
      </c>
      <c r="M56" s="90">
        <v>0</v>
      </c>
      <c r="N56" s="90">
        <v>0</v>
      </c>
      <c r="O56" s="85">
        <v>0</v>
      </c>
      <c r="P56" s="85">
        <v>0</v>
      </c>
      <c r="Q56" s="90">
        <v>0</v>
      </c>
      <c r="R56" s="90">
        <v>0</v>
      </c>
      <c r="S56" s="90">
        <f>(F56+R56)</f>
        <v>9.9428070401504244E-5</v>
      </c>
      <c r="T56" s="90">
        <v>0</v>
      </c>
      <c r="U56" s="90">
        <v>0</v>
      </c>
      <c r="V56" s="430"/>
      <c r="W56" s="243"/>
      <c r="Z56" s="64"/>
    </row>
    <row r="57" spans="1:258" s="420" customFormat="1" ht="17.399999999999999" x14ac:dyDescent="0.3">
      <c r="A57" s="122" t="s">
        <v>74</v>
      </c>
      <c r="B57" s="132" t="s">
        <v>225</v>
      </c>
      <c r="C57" s="132">
        <f>'Input data plant-based products'!D33</f>
        <v>0.05</v>
      </c>
      <c r="D57" s="269" t="s">
        <v>473</v>
      </c>
      <c r="E57" s="320">
        <f>IF($F$1="GWP100 without fb",E58+E59*'Common input data'!$C$5+E60*'Common input data'!$D$5,IF($F$1="GWP100 with fb",E58+E59*'Common input data'!$C$6+E60*'Common input data'!$D$6,IF($F$1="GTP100 without fb",E58+E59*'Common input data'!$C$7+E60*'Common input data'!$D$7,IF($F$1="GTP100 with fb",E58+E59*'Common input data'!$C$8+E60*'Common input data'!$D$8,E58+E59*'Common input data'!$C$9+E60*'Common input data'!$D$9))))</f>
        <v>6.3153227219994279E-2</v>
      </c>
      <c r="F57" s="302">
        <f>IF($F$1="GWP100 without fb",F58+F59*'Common input data'!$C$5+F60*'Common input data'!$D$5,IF($F$1="GWP100 with fb",F58+F59*'Common input data'!$C$6+F60*'Common input data'!$D$6,IF($F$1="GTP100 without fb",F58+F59*'Common input data'!$C$7+F60*'Common input data'!$D$7,IF($F$1="GTP100 with fb",F58+F59*'Common input data'!$C$8+F60*'Common input data'!$D$8,F58+F59*'Common input data'!$C$9+F60*'Common input data'!$D$9))))</f>
        <v>0.14329182646459376</v>
      </c>
      <c r="G57" s="321">
        <f>IF($F$1="GWP100 without fb",G58+G59*'Common input data'!$C$5+G60*'Common input data'!$D$5,IF($F$1="GWP100 with fb",G58+G59*'Common input data'!$C$6+G60*'Common input data'!$D$6,IF($F$1="GTP100 without fb",G58+G59*'Common input data'!$C$7+G60*'Common input data'!$D$7,IF($F$1="GTP100 with fb",G58+G59*'Common input data'!$C$8+G60*'Common input data'!$D$8,G58+G59*'Common input data'!$C$9+G60*'Common input data'!$D$9))))</f>
        <v>0.50518179551807352</v>
      </c>
      <c r="H57" s="102"/>
      <c r="I57" s="102"/>
      <c r="J57" s="102"/>
      <c r="K57" s="102"/>
      <c r="L57" s="102"/>
      <c r="M57" s="102"/>
      <c r="N57" s="102"/>
      <c r="O57" s="102"/>
      <c r="P57" s="102"/>
      <c r="Q57" s="102"/>
      <c r="R57" s="102"/>
      <c r="S57" s="102"/>
      <c r="T57" s="102"/>
      <c r="U57" s="102"/>
      <c r="V57" s="430"/>
      <c r="W57" s="243"/>
      <c r="X57" s="308"/>
      <c r="Y57" s="308"/>
      <c r="Z57" s="64"/>
      <c r="AA57" s="308"/>
      <c r="AB57" s="308"/>
      <c r="AC57" s="308"/>
      <c r="AD57" s="308"/>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308"/>
      <c r="BD57" s="308"/>
      <c r="BE57" s="308"/>
      <c r="BF57" s="308"/>
      <c r="BG57" s="308"/>
      <c r="BH57" s="308"/>
      <c r="BI57" s="308"/>
      <c r="BJ57" s="308"/>
      <c r="BK57" s="308"/>
      <c r="BL57" s="308"/>
      <c r="BM57" s="308"/>
      <c r="BN57" s="308"/>
      <c r="BO57" s="308"/>
      <c r="BP57" s="308"/>
      <c r="BQ57" s="308"/>
      <c r="BR57" s="308"/>
      <c r="BS57" s="308"/>
      <c r="BT57" s="308"/>
      <c r="BU57" s="308"/>
      <c r="BV57" s="308"/>
      <c r="BW57" s="308"/>
      <c r="BX57" s="308"/>
      <c r="BY57" s="308"/>
      <c r="BZ57" s="308"/>
      <c r="CA57" s="308"/>
      <c r="CB57" s="308"/>
      <c r="CC57" s="308"/>
      <c r="CD57" s="308"/>
      <c r="CE57" s="308"/>
      <c r="CF57" s="308"/>
      <c r="CG57" s="308"/>
      <c r="CH57" s="308"/>
      <c r="CI57" s="308"/>
      <c r="CJ57" s="308"/>
      <c r="CK57" s="308"/>
      <c r="CL57" s="308"/>
      <c r="CM57" s="308"/>
      <c r="CN57" s="308"/>
      <c r="CO57" s="308"/>
      <c r="CP57" s="308"/>
      <c r="CQ57" s="308"/>
      <c r="CR57" s="308"/>
      <c r="CS57" s="308"/>
      <c r="CT57" s="308"/>
      <c r="CU57" s="308"/>
      <c r="CV57" s="308"/>
      <c r="CW57" s="308"/>
      <c r="CX57" s="308"/>
      <c r="CY57" s="308"/>
      <c r="CZ57" s="308"/>
      <c r="DA57" s="308"/>
      <c r="DB57" s="308"/>
      <c r="DC57" s="308"/>
      <c r="DD57" s="308"/>
      <c r="DE57" s="308"/>
      <c r="DF57" s="308"/>
      <c r="DG57" s="308"/>
      <c r="DH57" s="308"/>
      <c r="DI57" s="308"/>
      <c r="DJ57" s="308"/>
      <c r="DK57" s="308"/>
      <c r="DL57" s="308"/>
      <c r="DM57" s="308"/>
      <c r="DN57" s="308"/>
      <c r="DO57" s="308"/>
      <c r="DP57" s="308"/>
      <c r="DQ57" s="308"/>
      <c r="DR57" s="308"/>
      <c r="DS57" s="308"/>
      <c r="DT57" s="308"/>
      <c r="DU57" s="308"/>
      <c r="DV57" s="308"/>
      <c r="DW57" s="308"/>
      <c r="DX57" s="308"/>
      <c r="DY57" s="308"/>
      <c r="DZ57" s="308"/>
      <c r="EA57" s="308"/>
      <c r="EB57" s="308"/>
      <c r="EC57" s="308"/>
      <c r="ED57" s="308"/>
      <c r="EE57" s="308"/>
      <c r="EF57" s="308"/>
      <c r="EG57" s="308"/>
      <c r="EH57" s="308"/>
      <c r="EI57" s="308"/>
      <c r="EJ57" s="308"/>
      <c r="EK57" s="308"/>
      <c r="EL57" s="308"/>
      <c r="EM57" s="308"/>
      <c r="EN57" s="308"/>
      <c r="EO57" s="308"/>
      <c r="EP57" s="308"/>
      <c r="EQ57" s="308"/>
      <c r="ER57" s="308"/>
      <c r="ES57" s="308"/>
      <c r="ET57" s="308"/>
      <c r="EU57" s="308"/>
      <c r="EV57" s="308"/>
      <c r="EW57" s="308"/>
      <c r="EX57" s="308"/>
      <c r="EY57" s="308"/>
      <c r="EZ57" s="308"/>
      <c r="FA57" s="308"/>
      <c r="FB57" s="308"/>
      <c r="FC57" s="308"/>
      <c r="FD57" s="308"/>
      <c r="FE57" s="308"/>
      <c r="FF57" s="308"/>
      <c r="FG57" s="308"/>
      <c r="FH57" s="308"/>
      <c r="FI57" s="308"/>
      <c r="FJ57" s="308"/>
      <c r="FK57" s="308"/>
      <c r="FL57" s="308"/>
      <c r="FM57" s="308"/>
      <c r="FN57" s="308"/>
      <c r="FO57" s="308"/>
      <c r="FP57" s="308"/>
      <c r="FQ57" s="308"/>
      <c r="FR57" s="308"/>
      <c r="FS57" s="308"/>
      <c r="FT57" s="308"/>
      <c r="FU57" s="308"/>
      <c r="FV57" s="308"/>
      <c r="FW57" s="308"/>
      <c r="FX57" s="308"/>
      <c r="FY57" s="308"/>
      <c r="FZ57" s="308"/>
      <c r="GA57" s="308"/>
      <c r="GB57" s="308"/>
      <c r="GC57" s="308"/>
      <c r="GD57" s="308"/>
      <c r="GE57" s="308"/>
      <c r="GF57" s="308"/>
      <c r="GG57" s="308"/>
      <c r="GH57" s="308"/>
      <c r="GI57" s="308"/>
      <c r="GJ57" s="308"/>
      <c r="GK57" s="308"/>
      <c r="GL57" s="308"/>
      <c r="GM57" s="308"/>
      <c r="GN57" s="308"/>
      <c r="GO57" s="308"/>
      <c r="GP57" s="308"/>
      <c r="GQ57" s="308"/>
      <c r="GR57" s="308"/>
      <c r="GS57" s="308"/>
      <c r="GT57" s="308"/>
      <c r="GU57" s="308"/>
      <c r="GV57" s="308"/>
      <c r="GW57" s="308"/>
      <c r="GX57" s="308"/>
      <c r="GY57" s="308"/>
      <c r="GZ57" s="308"/>
      <c r="HA57" s="308"/>
      <c r="HB57" s="308"/>
      <c r="HC57" s="308"/>
      <c r="HD57" s="308"/>
      <c r="HE57" s="308"/>
      <c r="HF57" s="308"/>
      <c r="HG57" s="308"/>
      <c r="HH57" s="308"/>
      <c r="HI57" s="308"/>
      <c r="HJ57" s="308"/>
      <c r="HK57" s="308"/>
      <c r="HL57" s="308"/>
      <c r="HM57" s="308"/>
      <c r="HN57" s="308"/>
      <c r="HO57" s="308"/>
      <c r="HP57" s="308"/>
      <c r="HQ57" s="308"/>
      <c r="HR57" s="308"/>
      <c r="HS57" s="308"/>
      <c r="HT57" s="308"/>
      <c r="HU57" s="308"/>
      <c r="HV57" s="308"/>
      <c r="HW57" s="308"/>
      <c r="HX57" s="308"/>
      <c r="HY57" s="308"/>
      <c r="HZ57" s="308"/>
      <c r="IA57" s="308"/>
      <c r="IB57" s="308"/>
      <c r="IC57" s="308"/>
      <c r="ID57" s="308"/>
      <c r="IE57" s="308"/>
      <c r="IF57" s="308"/>
      <c r="IG57" s="308"/>
      <c r="IH57" s="308"/>
      <c r="II57" s="308"/>
      <c r="IJ57" s="308"/>
      <c r="IK57" s="308"/>
      <c r="IL57" s="308"/>
      <c r="IM57" s="308"/>
      <c r="IN57" s="308"/>
      <c r="IO57" s="308"/>
      <c r="IP57" s="308"/>
      <c r="IQ57" s="308"/>
      <c r="IR57" s="308"/>
      <c r="IS57" s="308"/>
      <c r="IT57" s="308"/>
      <c r="IU57" s="308"/>
      <c r="IV57" s="308"/>
      <c r="IW57" s="308"/>
      <c r="IX57" s="308"/>
    </row>
    <row r="58" spans="1:258" s="308" customFormat="1" ht="17.399999999999999" x14ac:dyDescent="0.3">
      <c r="A58" s="144"/>
      <c r="B58" s="84"/>
      <c r="C58" s="64"/>
      <c r="D58" s="83" t="s">
        <v>164</v>
      </c>
      <c r="E58" s="270">
        <f>IF(AND($F$2="No",$F$3="No"),SUM(J58:K58),IF(AND($F$2="Yes", $F$3="No"), SUM(J58:K58)+Q58, IF(AND($F$2="No", $F$3="Yes"),SUM(J58:K58)+P58, SUM(J58:K58)+Q58+P58)))</f>
        <v>3.9989486962957101E-2</v>
      </c>
      <c r="F58" s="90">
        <f>IF(AND($F$2="No",$F$3="No"),SUM(H58:O58),IF(AND($F$2="Yes", $F$3="No"), SUM(H58:O58)+Q58, IF(AND($F$2="No", $F$3="Yes"),SUM(H58:O58)+P58, SUM(H58:O58)+Q58+P58)))</f>
        <v>0.10412469616888731</v>
      </c>
      <c r="G58" s="278">
        <f>SUM(S58:U58)/(1-'Common input data'!$B$121)</f>
        <v>0.45843739845910891</v>
      </c>
      <c r="H58" s="85">
        <f>('Input data plant-based products'!$F$33*('Common input data'!$C$76*'Common input data'!B69+'Common input data'!$C$77*'Common input data'!C69))/'Input data plant-based products'!$E$33</f>
        <v>9.7697405525575091E-3</v>
      </c>
      <c r="I58" s="90">
        <f>'Common input data'!$B$81</f>
        <v>0.03</v>
      </c>
      <c r="J58" s="85">
        <v>0</v>
      </c>
      <c r="K58" s="85">
        <v>0</v>
      </c>
      <c r="L58" s="85">
        <f>('Input data plant-based products'!$I$33*'Common input data'!$C$59*'Common input data'!H49)/'Input data plant-based products'!$E$33</f>
        <v>4.3654686533726944E-3</v>
      </c>
      <c r="M58" s="90">
        <v>0</v>
      </c>
      <c r="N58" s="90">
        <f>'Input data plant-based products'!G$152</f>
        <v>0.02</v>
      </c>
      <c r="O58" s="85">
        <v>0</v>
      </c>
      <c r="P58" s="90">
        <f>'Common input data'!E$13</f>
        <v>3.9989486962957101E-2</v>
      </c>
      <c r="Q58" s="90">
        <v>0</v>
      </c>
      <c r="R58" s="90">
        <v>0</v>
      </c>
      <c r="S58" s="90">
        <f>(F58+R58)</f>
        <v>0.10412469616888731</v>
      </c>
      <c r="T58" s="90">
        <f>'Common input data'!$B$88</f>
        <v>0.05</v>
      </c>
      <c r="U58" s="90">
        <f>'Common input data'!B100+'Common input data'!C100</f>
        <v>0.23</v>
      </c>
      <c r="V58" s="430"/>
      <c r="W58" s="243"/>
      <c r="Z58" s="64"/>
    </row>
    <row r="59" spans="1:258" s="308" customFormat="1" ht="17.399999999999999" x14ac:dyDescent="0.3">
      <c r="A59" s="107"/>
      <c r="B59" s="84"/>
      <c r="C59" s="142"/>
      <c r="D59" s="83" t="s">
        <v>165</v>
      </c>
      <c r="E59" s="270">
        <f>SUM(J59:K59)</f>
        <v>0</v>
      </c>
      <c r="F59" s="90">
        <f>SUM(H59:O59)</f>
        <v>1.9337984873435004E-6</v>
      </c>
      <c r="G59" s="278">
        <f>SUM(S59:U59)/(1-'Common input data'!$B$121)</f>
        <v>2.3079108334449225E-6</v>
      </c>
      <c r="H59" s="85">
        <f>('Input data plant-based products'!$F$33*('Common input data'!$C$76*'Common input data'!B70+'Common input data'!$C$77*'Common input data'!C70))/'Input data plant-based products'!$E$33</f>
        <v>4.307621436822515E-11</v>
      </c>
      <c r="I59" s="90">
        <v>0</v>
      </c>
      <c r="J59" s="85">
        <v>0</v>
      </c>
      <c r="K59" s="85">
        <v>0</v>
      </c>
      <c r="L59" s="85">
        <f>('Input data plant-based products'!$I$33*'Common input data'!$C$59*'Common input data'!H50)/'Input data plant-based products'!$E$33</f>
        <v>1.933755411129132E-6</v>
      </c>
      <c r="M59" s="90">
        <v>0</v>
      </c>
      <c r="N59" s="90">
        <v>0</v>
      </c>
      <c r="O59" s="85">
        <v>0</v>
      </c>
      <c r="P59" s="85">
        <v>0</v>
      </c>
      <c r="Q59" s="90">
        <v>0</v>
      </c>
      <c r="R59" s="90">
        <v>0</v>
      </c>
      <c r="S59" s="90">
        <f>(F59+R59)</f>
        <v>1.9337984873435004E-6</v>
      </c>
      <c r="T59" s="90">
        <v>0</v>
      </c>
      <c r="U59" s="90">
        <v>0</v>
      </c>
      <c r="V59" s="430"/>
      <c r="W59" s="243"/>
      <c r="Z59" s="64"/>
    </row>
    <row r="60" spans="1:258" s="308" customFormat="1" ht="17.399999999999999" x14ac:dyDescent="0.3">
      <c r="A60" s="174"/>
      <c r="B60" s="206"/>
      <c r="C60" s="85"/>
      <c r="D60" s="84" t="s">
        <v>166</v>
      </c>
      <c r="E60" s="270">
        <f>SUM(J60:K60)</f>
        <v>7.7730672003480466E-5</v>
      </c>
      <c r="F60" s="90">
        <f>SUM(H60:O60)</f>
        <v>1.312126884132107E-4</v>
      </c>
      <c r="G60" s="278">
        <f>SUM(S60:U60)/(1-'Common input data'!$B$121)</f>
        <v>1.5659707412962252E-4</v>
      </c>
      <c r="H60" s="85">
        <f>('Input data plant-based products'!$F$33*('Common input data'!$C$76*'Common input data'!B71+'Common input data'!$C$77*'Common input data'!C71))/'Input data plant-based products'!$E$33</f>
        <v>5.3364714564987346E-5</v>
      </c>
      <c r="I60" s="85">
        <v>0</v>
      </c>
      <c r="J60" s="85">
        <f>(SUM('Input data plant-based products'!F33:H33)*'Input data plant-based products'!$B$114*44/28)/'Input data plant-based products'!E33</f>
        <v>7.0664247275891332E-5</v>
      </c>
      <c r="K60" s="90">
        <f>J60*'Input data plant-based products'!$B$115</f>
        <v>7.0664247275891337E-6</v>
      </c>
      <c r="L60" s="85">
        <f>('Input data plant-based products'!$I$33*'Common input data'!$C$59*'Common input data'!H51)/'Input data plant-based products'!$E$33</f>
        <v>1.1730184474289115E-7</v>
      </c>
      <c r="M60" s="90">
        <v>0</v>
      </c>
      <c r="N60" s="90">
        <v>0</v>
      </c>
      <c r="O60" s="85">
        <v>0</v>
      </c>
      <c r="P60" s="85">
        <v>0</v>
      </c>
      <c r="Q60" s="90">
        <v>0</v>
      </c>
      <c r="R60" s="90">
        <v>0</v>
      </c>
      <c r="S60" s="90">
        <f>(F60+R60)</f>
        <v>1.312126884132107E-4</v>
      </c>
      <c r="T60" s="90">
        <v>0</v>
      </c>
      <c r="U60" s="90">
        <v>0</v>
      </c>
      <c r="V60" s="430"/>
      <c r="W60" s="243"/>
      <c r="Z60" s="64"/>
    </row>
    <row r="61" spans="1:258" s="420" customFormat="1" ht="17.399999999999999" x14ac:dyDescent="0.3">
      <c r="A61" s="122" t="s">
        <v>70</v>
      </c>
      <c r="B61" s="132" t="s">
        <v>225</v>
      </c>
      <c r="C61" s="132">
        <f>'Input data plant-based products'!D34</f>
        <v>0.05</v>
      </c>
      <c r="D61" s="269" t="s">
        <v>473</v>
      </c>
      <c r="E61" s="320">
        <f>IF($F$1="GWP100 without fb",E62+E63*'Common input data'!$C$5+E64*'Common input data'!$D$5,IF($F$1="GWP100 with fb",E62+E63*'Common input data'!$C$6+E64*'Common input data'!$D$6,IF($F$1="GTP100 without fb",E62+E63*'Common input data'!$C$7+E64*'Common input data'!$D$7,IF($F$1="GTP100 with fb",E62+E63*'Common input data'!$C$8+E64*'Common input data'!$D$8,E62+E63*'Common input data'!$C$9+E64*'Common input data'!$D$9))))</f>
        <v>6.3370733779467975E-2</v>
      </c>
      <c r="F61" s="302">
        <f>IF($F$1="GWP100 without fb",F62+F63*'Common input data'!$C$5+F64*'Common input data'!$D$5,IF($F$1="GWP100 with fb",F62+F63*'Common input data'!$C$6+F64*'Common input data'!$D$6,IF($F$1="GTP100 without fb",F62+F63*'Common input data'!$C$7+F64*'Common input data'!$D$7,IF($F$1="GTP100 with fb",F62+F63*'Common input data'!$C$8+F64*'Common input data'!$D$8,F62+F63*'Common input data'!$C$9+F64*'Common input data'!$D$9))))</f>
        <v>0.13393003773960982</v>
      </c>
      <c r="G61" s="321">
        <f>IF($F$1="GWP100 without fb",G62+G63*'Common input data'!$C$5+G64*'Common input data'!$D$5,IF($F$1="GWP100 with fb",G62+G63*'Common input data'!$C$6+G64*'Common input data'!$D$6,IF($F$1="GTP100 without fb",G62+G63*'Common input data'!$C$7+G64*'Common input data'!$D$7,IF($F$1="GTP100 with fb",G62+G63*'Common input data'!$C$8+G64*'Common input data'!$D$8,G62+G63*'Common input data'!$C$9+G64*'Common input data'!$D$9))))</f>
        <v>0.49400887664352533</v>
      </c>
      <c r="H61" s="102"/>
      <c r="I61" s="102"/>
      <c r="J61" s="102"/>
      <c r="K61" s="102"/>
      <c r="L61" s="102"/>
      <c r="M61" s="102"/>
      <c r="N61" s="102"/>
      <c r="O61" s="102"/>
      <c r="P61" s="102"/>
      <c r="Q61" s="102"/>
      <c r="R61" s="102"/>
      <c r="S61" s="102"/>
      <c r="T61" s="102"/>
      <c r="U61" s="102"/>
      <c r="V61" s="430"/>
      <c r="W61" s="243"/>
      <c r="X61" s="308"/>
      <c r="Y61" s="308"/>
      <c r="Z61" s="64"/>
      <c r="AA61" s="308"/>
      <c r="AB61" s="308"/>
      <c r="AC61" s="308"/>
      <c r="AD61" s="308"/>
      <c r="AE61" s="308"/>
      <c r="AF61" s="308"/>
      <c r="AG61" s="308"/>
      <c r="AH61" s="308"/>
      <c r="AI61" s="308"/>
      <c r="AJ61" s="308"/>
      <c r="AK61" s="308"/>
      <c r="AL61" s="308"/>
      <c r="AM61" s="308"/>
      <c r="AN61" s="308"/>
      <c r="AO61" s="308"/>
      <c r="AP61" s="308"/>
      <c r="AQ61" s="308"/>
      <c r="AR61" s="308"/>
      <c r="AS61" s="308"/>
      <c r="AT61" s="308"/>
      <c r="AU61" s="308"/>
      <c r="AV61" s="308"/>
      <c r="AW61" s="308"/>
      <c r="AX61" s="308"/>
      <c r="AY61" s="308"/>
      <c r="AZ61" s="308"/>
      <c r="BA61" s="308"/>
      <c r="BB61" s="308"/>
      <c r="BC61" s="308"/>
      <c r="BD61" s="308"/>
      <c r="BE61" s="308"/>
      <c r="BF61" s="308"/>
      <c r="BG61" s="308"/>
      <c r="BH61" s="308"/>
      <c r="BI61" s="308"/>
      <c r="BJ61" s="308"/>
      <c r="BK61" s="308"/>
      <c r="BL61" s="308"/>
      <c r="BM61" s="308"/>
      <c r="BN61" s="308"/>
      <c r="BO61" s="308"/>
      <c r="BP61" s="308"/>
      <c r="BQ61" s="308"/>
      <c r="BR61" s="308"/>
      <c r="BS61" s="308"/>
      <c r="BT61" s="308"/>
      <c r="BU61" s="308"/>
      <c r="BV61" s="308"/>
      <c r="BW61" s="308"/>
      <c r="BX61" s="308"/>
      <c r="BY61" s="308"/>
      <c r="BZ61" s="308"/>
      <c r="CA61" s="308"/>
      <c r="CB61" s="308"/>
      <c r="CC61" s="308"/>
      <c r="CD61" s="308"/>
      <c r="CE61" s="308"/>
      <c r="CF61" s="308"/>
      <c r="CG61" s="308"/>
      <c r="CH61" s="308"/>
      <c r="CI61" s="308"/>
      <c r="CJ61" s="308"/>
      <c r="CK61" s="308"/>
      <c r="CL61" s="308"/>
      <c r="CM61" s="308"/>
      <c r="CN61" s="308"/>
      <c r="CO61" s="308"/>
      <c r="CP61" s="308"/>
      <c r="CQ61" s="308"/>
      <c r="CR61" s="308"/>
      <c r="CS61" s="308"/>
      <c r="CT61" s="308"/>
      <c r="CU61" s="308"/>
      <c r="CV61" s="308"/>
      <c r="CW61" s="308"/>
      <c r="CX61" s="308"/>
      <c r="CY61" s="308"/>
      <c r="CZ61" s="308"/>
      <c r="DA61" s="308"/>
      <c r="DB61" s="308"/>
      <c r="DC61" s="308"/>
      <c r="DD61" s="308"/>
      <c r="DE61" s="308"/>
      <c r="DF61" s="308"/>
      <c r="DG61" s="308"/>
      <c r="DH61" s="308"/>
      <c r="DI61" s="308"/>
      <c r="DJ61" s="308"/>
      <c r="DK61" s="308"/>
      <c r="DL61" s="308"/>
      <c r="DM61" s="308"/>
      <c r="DN61" s="308"/>
      <c r="DO61" s="308"/>
      <c r="DP61" s="308"/>
      <c r="DQ61" s="308"/>
      <c r="DR61" s="308"/>
      <c r="DS61" s="308"/>
      <c r="DT61" s="308"/>
      <c r="DU61" s="308"/>
      <c r="DV61" s="308"/>
      <c r="DW61" s="308"/>
      <c r="DX61" s="308"/>
      <c r="DY61" s="308"/>
      <c r="DZ61" s="308"/>
      <c r="EA61" s="308"/>
      <c r="EB61" s="308"/>
      <c r="EC61" s="308"/>
      <c r="ED61" s="308"/>
      <c r="EE61" s="308"/>
      <c r="EF61" s="308"/>
      <c r="EG61" s="308"/>
      <c r="EH61" s="308"/>
      <c r="EI61" s="308"/>
      <c r="EJ61" s="308"/>
      <c r="EK61" s="308"/>
      <c r="EL61" s="308"/>
      <c r="EM61" s="308"/>
      <c r="EN61" s="308"/>
      <c r="EO61" s="308"/>
      <c r="EP61" s="308"/>
      <c r="EQ61" s="308"/>
      <c r="ER61" s="308"/>
      <c r="ES61" s="308"/>
      <c r="ET61" s="308"/>
      <c r="EU61" s="308"/>
      <c r="EV61" s="308"/>
      <c r="EW61" s="308"/>
      <c r="EX61" s="308"/>
      <c r="EY61" s="308"/>
      <c r="EZ61" s="308"/>
      <c r="FA61" s="308"/>
      <c r="FB61" s="308"/>
      <c r="FC61" s="308"/>
      <c r="FD61" s="308"/>
      <c r="FE61" s="308"/>
      <c r="FF61" s="308"/>
      <c r="FG61" s="308"/>
      <c r="FH61" s="308"/>
      <c r="FI61" s="308"/>
      <c r="FJ61" s="308"/>
      <c r="FK61" s="308"/>
      <c r="FL61" s="308"/>
      <c r="FM61" s="308"/>
      <c r="FN61" s="308"/>
      <c r="FO61" s="308"/>
      <c r="FP61" s="308"/>
      <c r="FQ61" s="308"/>
      <c r="FR61" s="308"/>
      <c r="FS61" s="308"/>
      <c r="FT61" s="308"/>
      <c r="FU61" s="308"/>
      <c r="FV61" s="308"/>
      <c r="FW61" s="308"/>
      <c r="FX61" s="308"/>
      <c r="FY61" s="308"/>
      <c r="FZ61" s="308"/>
      <c r="GA61" s="308"/>
      <c r="GB61" s="308"/>
      <c r="GC61" s="308"/>
      <c r="GD61" s="308"/>
      <c r="GE61" s="308"/>
      <c r="GF61" s="308"/>
      <c r="GG61" s="308"/>
      <c r="GH61" s="308"/>
      <c r="GI61" s="308"/>
      <c r="GJ61" s="308"/>
      <c r="GK61" s="308"/>
      <c r="GL61" s="308"/>
      <c r="GM61" s="308"/>
      <c r="GN61" s="308"/>
      <c r="GO61" s="308"/>
      <c r="GP61" s="308"/>
      <c r="GQ61" s="308"/>
      <c r="GR61" s="308"/>
      <c r="GS61" s="308"/>
      <c r="GT61" s="308"/>
      <c r="GU61" s="308"/>
      <c r="GV61" s="308"/>
      <c r="GW61" s="308"/>
      <c r="GX61" s="308"/>
      <c r="GY61" s="308"/>
      <c r="GZ61" s="308"/>
      <c r="HA61" s="308"/>
      <c r="HB61" s="308"/>
      <c r="HC61" s="308"/>
      <c r="HD61" s="308"/>
      <c r="HE61" s="308"/>
      <c r="HF61" s="308"/>
      <c r="HG61" s="308"/>
      <c r="HH61" s="308"/>
      <c r="HI61" s="308"/>
      <c r="HJ61" s="308"/>
      <c r="HK61" s="308"/>
      <c r="HL61" s="308"/>
      <c r="HM61" s="308"/>
      <c r="HN61" s="308"/>
      <c r="HO61" s="308"/>
      <c r="HP61" s="308"/>
      <c r="HQ61" s="308"/>
      <c r="HR61" s="308"/>
      <c r="HS61" s="308"/>
      <c r="HT61" s="308"/>
      <c r="HU61" s="308"/>
      <c r="HV61" s="308"/>
      <c r="HW61" s="308"/>
      <c r="HX61" s="308"/>
      <c r="HY61" s="308"/>
      <c r="HZ61" s="308"/>
      <c r="IA61" s="308"/>
      <c r="IB61" s="308"/>
      <c r="IC61" s="308"/>
      <c r="ID61" s="308"/>
      <c r="IE61" s="308"/>
      <c r="IF61" s="308"/>
      <c r="IG61" s="308"/>
      <c r="IH61" s="308"/>
      <c r="II61" s="308"/>
      <c r="IJ61" s="308"/>
      <c r="IK61" s="308"/>
      <c r="IL61" s="308"/>
      <c r="IM61" s="308"/>
      <c r="IN61" s="308"/>
      <c r="IO61" s="308"/>
      <c r="IP61" s="308"/>
      <c r="IQ61" s="308"/>
      <c r="IR61" s="308"/>
      <c r="IS61" s="308"/>
      <c r="IT61" s="308"/>
      <c r="IU61" s="308"/>
      <c r="IV61" s="308"/>
      <c r="IW61" s="308"/>
      <c r="IX61" s="308"/>
    </row>
    <row r="62" spans="1:258" s="308" customFormat="1" ht="17.399999999999999" x14ac:dyDescent="0.3">
      <c r="A62" s="144"/>
      <c r="B62" s="84"/>
      <c r="C62" s="64"/>
      <c r="D62" s="83" t="s">
        <v>164</v>
      </c>
      <c r="E62" s="270">
        <f>IF(AND($F$2="No",$F$3="No"),SUM(J62:K62),IF(AND($F$2="Yes", $F$3="No"), SUM(J62:K62)+Q62, IF(AND($F$2="No", $F$3="Yes"),SUM(J62:K62)+P62, SUM(J62:K62)+Q62+P62)))</f>
        <v>3.9989486962957101E-2</v>
      </c>
      <c r="F62" s="90">
        <f>IF(AND($F$2="No",$F$3="No"),SUM(H62:O62),IF(AND($F$2="Yes", $F$3="No"), SUM(H62:O62)+Q62, IF(AND($F$2="No", $F$3="Yes"),SUM(H62:O62)+P62, SUM(H62:O62)+Q62+P62)))</f>
        <v>9.714352727671513E-2</v>
      </c>
      <c r="G62" s="278">
        <f>SUM(S62:U62)/(1-'Common input data'!$B$121)</f>
        <v>0.45010565374951089</v>
      </c>
      <c r="H62" s="85">
        <f>('Input data plant-based products'!$F$34*('Common input data'!$C$76*'Common input data'!B69+'Common input data'!$C$77*'Common input data'!C69))/'Input data plant-based products'!$E$34</f>
        <v>8.0593321908064928E-3</v>
      </c>
      <c r="I62" s="90">
        <f>'Common input data'!$B$81</f>
        <v>0.03</v>
      </c>
      <c r="J62" s="85">
        <v>0</v>
      </c>
      <c r="K62" s="85">
        <v>0</v>
      </c>
      <c r="L62" s="85">
        <f>('Input data plant-based products'!$I$34*'Common input data'!$C$59*'Common input data'!H49)/'Input data plant-based products'!$E$34</f>
        <v>1.2428041456284879E-2</v>
      </c>
      <c r="M62" s="90">
        <v>0</v>
      </c>
      <c r="N62" s="90">
        <f>AVERAGE(N42,N50,N54)</f>
        <v>6.6666666666666671E-3</v>
      </c>
      <c r="O62" s="85">
        <v>0</v>
      </c>
      <c r="P62" s="90">
        <f>'Common input data'!E$13</f>
        <v>3.9989486962957101E-2</v>
      </c>
      <c r="Q62" s="90">
        <v>0</v>
      </c>
      <c r="R62" s="90">
        <v>0</v>
      </c>
      <c r="S62" s="90">
        <f>(F62+R62)</f>
        <v>9.714352727671513E-2</v>
      </c>
      <c r="T62" s="90">
        <f>'Common input data'!$B$88</f>
        <v>0.05</v>
      </c>
      <c r="U62" s="90">
        <f>'Common input data'!B102+'Common input data'!C102</f>
        <v>0.23000000000000004</v>
      </c>
      <c r="V62" s="430"/>
      <c r="W62" s="243"/>
      <c r="Z62" s="64"/>
    </row>
    <row r="63" spans="1:258" s="308" customFormat="1" ht="17.399999999999999" x14ac:dyDescent="0.3">
      <c r="A63" s="107"/>
      <c r="B63" s="84"/>
      <c r="C63" s="142"/>
      <c r="D63" s="83" t="s">
        <v>165</v>
      </c>
      <c r="E63" s="270">
        <f>SUM(J63:K63)</f>
        <v>0</v>
      </c>
      <c r="F63" s="90">
        <f>SUM(H63:O63)</f>
        <v>5.5052388300170083E-6</v>
      </c>
      <c r="G63" s="278">
        <f>SUM(S63:U63)/(1-'Common input data'!$B$121)</f>
        <v>6.5702814536543837E-6</v>
      </c>
      <c r="H63" s="85">
        <f>('Input data plant-based products'!$F$34*('Common input data'!$C$76*'Common input data'!B70+'Common input data'!$C$77*'Common input data'!C70))/'Input data plant-based products'!$E$34</f>
        <v>3.5534773850779243E-11</v>
      </c>
      <c r="I63" s="90">
        <v>0</v>
      </c>
      <c r="J63" s="85">
        <v>0</v>
      </c>
      <c r="K63" s="85">
        <v>0</v>
      </c>
      <c r="L63" s="85">
        <f>('Input data plant-based products'!$I$34*'Common input data'!$C$59*'Common input data'!H50)/'Input data plant-based products'!$E$34</f>
        <v>5.5052032952431578E-6</v>
      </c>
      <c r="M63" s="90">
        <v>0</v>
      </c>
      <c r="N63" s="90">
        <v>0</v>
      </c>
      <c r="O63" s="85">
        <v>0</v>
      </c>
      <c r="P63" s="85">
        <v>0</v>
      </c>
      <c r="Q63" s="90">
        <v>0</v>
      </c>
      <c r="R63" s="90">
        <v>0</v>
      </c>
      <c r="S63" s="90">
        <f>(F63+R63)</f>
        <v>5.5052388300170083E-6</v>
      </c>
      <c r="T63" s="90">
        <v>0</v>
      </c>
      <c r="U63" s="90">
        <v>0</v>
      </c>
      <c r="V63" s="430"/>
      <c r="W63" s="243"/>
      <c r="Z63" s="64"/>
    </row>
    <row r="64" spans="1:258" s="308" customFormat="1" ht="17.399999999999999" x14ac:dyDescent="0.3">
      <c r="A64" s="174"/>
      <c r="B64" s="206"/>
      <c r="C64" s="85"/>
      <c r="D64" s="84" t="s">
        <v>166</v>
      </c>
      <c r="E64" s="780">
        <f>SUM(J64:K64)</f>
        <v>7.8460559786949234E-5</v>
      </c>
      <c r="F64" s="108">
        <f>SUM(H64:O64)</f>
        <v>1.2281655148548365E-4</v>
      </c>
      <c r="G64" s="521">
        <f>SUM(S64:U64)/(1-'Common input data'!$B$121)</f>
        <v>1.4657662189459798E-4</v>
      </c>
      <c r="H64" s="85">
        <f>('Input data plant-based products'!$F$34*('Common input data'!$C$76*'Common input data'!B71+'Common input data'!$C$77*'Common input data'!C71))/'Input data plant-based products'!$E$34</f>
        <v>4.4022045379108436E-5</v>
      </c>
      <c r="I64" s="85">
        <v>0</v>
      </c>
      <c r="J64" s="85">
        <f>(SUM('Input data plant-based products'!F34:H34)*'Input data plant-based products'!$B$114*44/28)/'Input data plant-based products'!E34</f>
        <v>7.1327781624499299E-5</v>
      </c>
      <c r="K64" s="90">
        <f>J64*'Input data plant-based products'!$B$115</f>
        <v>7.1327781624499302E-6</v>
      </c>
      <c r="L64" s="85">
        <f>('Input data plant-based products'!$I$34*'Common input data'!$C$59*'Common input data'!H51)/'Input data plant-based products'!$E$34</f>
        <v>3.339463194259899E-7</v>
      </c>
      <c r="M64" s="90">
        <v>0</v>
      </c>
      <c r="N64" s="90">
        <v>0</v>
      </c>
      <c r="O64" s="85">
        <v>0</v>
      </c>
      <c r="P64" s="85">
        <v>0</v>
      </c>
      <c r="Q64" s="90">
        <v>0</v>
      </c>
      <c r="R64" s="90">
        <v>0</v>
      </c>
      <c r="S64" s="90">
        <f>(F64+R64)</f>
        <v>1.2281655148548365E-4</v>
      </c>
      <c r="T64" s="90">
        <v>0</v>
      </c>
      <c r="U64" s="90">
        <v>0</v>
      </c>
      <c r="V64" s="430"/>
      <c r="W64" s="243"/>
      <c r="Z64" s="64"/>
    </row>
    <row r="65" spans="1:26" s="308" customFormat="1" ht="17.399999999999999" x14ac:dyDescent="0.3">
      <c r="A65" s="426" t="s">
        <v>622</v>
      </c>
      <c r="B65" s="412"/>
      <c r="C65" s="413"/>
      <c r="D65" s="414"/>
      <c r="E65" s="767" t="s">
        <v>811</v>
      </c>
      <c r="F65" s="768" t="s">
        <v>811</v>
      </c>
      <c r="G65" s="590" t="s">
        <v>811</v>
      </c>
      <c r="H65" s="413"/>
      <c r="I65" s="413"/>
      <c r="J65" s="413"/>
      <c r="K65" s="416"/>
      <c r="L65" s="416"/>
      <c r="M65" s="417"/>
      <c r="N65" s="416"/>
      <c r="O65" s="416"/>
      <c r="P65" s="416"/>
      <c r="Q65" s="416"/>
      <c r="R65" s="416"/>
      <c r="S65" s="416"/>
      <c r="T65" s="416"/>
      <c r="U65" s="416"/>
      <c r="V65" s="430"/>
      <c r="W65" s="243"/>
      <c r="Z65" s="64"/>
    </row>
    <row r="66" spans="1:26" s="308" customFormat="1" ht="17.399999999999999" x14ac:dyDescent="0.3">
      <c r="A66" s="122" t="s">
        <v>249</v>
      </c>
      <c r="B66" s="150"/>
      <c r="C66" s="110">
        <f>SUM(C70:C89)</f>
        <v>1</v>
      </c>
      <c r="D66" s="269" t="s">
        <v>473</v>
      </c>
      <c r="E66" s="769">
        <f>IF($F$1="GWP100 without fb",E67+E68*'Common input data'!$C$5+E69*'Common input data'!$D$5,IF($F$1="GWP100 with fb",E67+E68*'Common input data'!$C$6+E69*'Common input data'!$D$6,IF($F$1="GTP100 without fb",E67+E68*'Common input data'!$C$7+E69*'Common input data'!$D$7,IF($F$1="GTP100 with fb",E67+E68*'Common input data'!$C$8+E69*'Common input data'!$D$8,E67+E68*'Common input data'!$C$9+E69*'Common input data'!$D$9))))</f>
        <v>2.5845935777553522E-2</v>
      </c>
      <c r="F66" s="326">
        <f>IF($F$1="GWP100 without fb",F67+F68*'Common input data'!$C$5+F69*'Common input data'!$D$5,IF($F$1="GWP100 with fb",F67+F68*'Common input data'!$C$6+F69*'Common input data'!$D$6,IF($F$1="GTP100 without fb",F67+F68*'Common input data'!$C$7+F69*'Common input data'!$D$7,IF($F$1="GTP100 with fb",F67+F68*'Common input data'!$C$8+F69*'Common input data'!$D$8,F67+F68*'Common input data'!$C$9+F69*'Common input data'!$D$9))))</f>
        <v>1.735522310692839</v>
      </c>
      <c r="G66" s="770">
        <f>IF($F$1="GWP100 without fb",G67+G68*'Common input data'!$C$5+G69*'Common input data'!$D$5,IF($F$1="GWP100 with fb",G67+G68*'Common input data'!$C$6+G69*'Common input data'!$D$6,IF($F$1="GTP100 without fb",G67+G68*'Common input data'!$C$7+G69*'Common input data'!$D$7,IF($F$1="GTP100 with fb",G67+G68*'Common input data'!$C$8+G69*'Common input data'!$D$8,G67+G68*'Common input data'!$C$9+G69*'Common input data'!$D$9))))</f>
        <v>2.3337282290678307</v>
      </c>
      <c r="H66" s="302"/>
      <c r="I66" s="104"/>
      <c r="J66" s="104"/>
      <c r="K66" s="102"/>
      <c r="L66" s="102"/>
      <c r="M66" s="102"/>
      <c r="N66" s="102"/>
      <c r="O66" s="102"/>
      <c r="P66" s="102"/>
      <c r="Q66" s="102"/>
      <c r="R66" s="102"/>
      <c r="S66" s="102"/>
      <c r="T66" s="102"/>
      <c r="U66" s="102"/>
      <c r="V66" s="430"/>
      <c r="W66" s="243"/>
      <c r="Z66" s="64"/>
    </row>
    <row r="67" spans="1:26" s="308" customFormat="1" ht="17.399999999999999" x14ac:dyDescent="0.3">
      <c r="A67" s="103"/>
      <c r="B67" s="84"/>
      <c r="C67" s="64"/>
      <c r="D67" s="83" t="s">
        <v>164</v>
      </c>
      <c r="E67" s="270">
        <f>E71*$C$70+E75*$C$74+$C$78*E79+$C$82*E83+$C$86*E87</f>
        <v>9.5819215786754272E-3</v>
      </c>
      <c r="F67" s="90">
        <f t="shared" ref="E67:G69" si="4">F71*$C$70+F75*$C$74+$C$78*F79+$C$82*F83+$C$86*F87</f>
        <v>1.4744425317806034</v>
      </c>
      <c r="G67" s="278">
        <f t="shared" si="4"/>
        <v>2.0221399978800569</v>
      </c>
      <c r="H67" s="90">
        <f t="shared" ref="H67:U67" si="5">H71*$C$70+H75*$C$74+$C$78*H79+$C$82*H83+$C$86*H87</f>
        <v>7.3032645108392323E-3</v>
      </c>
      <c r="I67" s="90">
        <f t="shared" si="5"/>
        <v>0.03</v>
      </c>
      <c r="J67" s="90">
        <f t="shared" si="5"/>
        <v>0</v>
      </c>
      <c r="K67" s="90">
        <f t="shared" si="5"/>
        <v>0</v>
      </c>
      <c r="L67" s="90">
        <f t="shared" si="5"/>
        <v>1.8967142287493409E-3</v>
      </c>
      <c r="M67" s="90">
        <f t="shared" si="5"/>
        <v>1.4222318390213757</v>
      </c>
      <c r="N67" s="90">
        <f t="shared" si="5"/>
        <v>7.5729159757407958E-3</v>
      </c>
      <c r="O67" s="90">
        <f t="shared" si="5"/>
        <v>0</v>
      </c>
      <c r="P67" s="90">
        <f t="shared" si="5"/>
        <v>9.5819215786754272E-3</v>
      </c>
      <c r="Q67" s="90">
        <f t="shared" si="5"/>
        <v>0</v>
      </c>
      <c r="R67" s="90">
        <f t="shared" si="5"/>
        <v>0</v>
      </c>
      <c r="S67" s="90">
        <f t="shared" si="5"/>
        <v>1.4744425317806034</v>
      </c>
      <c r="T67" s="90">
        <f t="shared" si="5"/>
        <v>0.05</v>
      </c>
      <c r="U67" s="90">
        <f t="shared" si="5"/>
        <v>0.16990857244309648</v>
      </c>
      <c r="V67" s="430"/>
      <c r="W67" s="243"/>
      <c r="Z67" s="64"/>
    </row>
    <row r="68" spans="1:26" s="308" customFormat="1" ht="17.399999999999999" x14ac:dyDescent="0.3">
      <c r="A68" s="103"/>
      <c r="B68" s="84"/>
      <c r="C68" s="142"/>
      <c r="D68" s="83" t="s">
        <v>165</v>
      </c>
      <c r="E68" s="270">
        <f t="shared" si="4"/>
        <v>0</v>
      </c>
      <c r="F68" s="90">
        <f>F72*$C$70+F76*$C$74+$C$78*F80+$C$82*F84+$C$86*F88</f>
        <v>6.4224784374148835E-3</v>
      </c>
      <c r="G68" s="278">
        <f>G72*$C$70+G76*$C$74+$C$78*G80+$C$82*G84+$C$86*G88</f>
        <v>7.6649700888111738E-3</v>
      </c>
      <c r="H68" s="90">
        <f t="shared" ref="H68:U68" si="6">H72*$C$70+H76*$C$74+$C$78*H80+$C$82*H84+$C$86*H88</f>
        <v>3.2201160917667057E-11</v>
      </c>
      <c r="I68" s="90">
        <f t="shared" si="6"/>
        <v>0</v>
      </c>
      <c r="J68" s="90">
        <f t="shared" si="6"/>
        <v>0</v>
      </c>
      <c r="K68" s="90">
        <f t="shared" si="6"/>
        <v>0</v>
      </c>
      <c r="L68" s="90">
        <f t="shared" si="6"/>
        <v>8.4018044669178528E-7</v>
      </c>
      <c r="M68" s="90">
        <f t="shared" si="6"/>
        <v>6.42163822476703E-3</v>
      </c>
      <c r="N68" s="90">
        <f t="shared" si="6"/>
        <v>0</v>
      </c>
      <c r="O68" s="90">
        <f t="shared" si="6"/>
        <v>0</v>
      </c>
      <c r="P68" s="90">
        <f t="shared" si="6"/>
        <v>0</v>
      </c>
      <c r="Q68" s="90">
        <f t="shared" si="6"/>
        <v>0</v>
      </c>
      <c r="R68" s="90">
        <f t="shared" si="6"/>
        <v>0</v>
      </c>
      <c r="S68" s="90">
        <f t="shared" si="6"/>
        <v>6.4224784374148835E-3</v>
      </c>
      <c r="T68" s="90">
        <f t="shared" si="6"/>
        <v>0</v>
      </c>
      <c r="U68" s="90">
        <f t="shared" si="6"/>
        <v>0</v>
      </c>
      <c r="V68" s="430"/>
      <c r="W68" s="243"/>
      <c r="Z68" s="64"/>
    </row>
    <row r="69" spans="1:26" s="308" customFormat="1" ht="17.399999999999999" x14ac:dyDescent="0.3">
      <c r="A69" s="107"/>
      <c r="B69" s="206"/>
      <c r="C69" s="85"/>
      <c r="D69" s="84" t="s">
        <v>166</v>
      </c>
      <c r="E69" s="270">
        <f t="shared" si="4"/>
        <v>5.4577228855295625E-5</v>
      </c>
      <c r="F69" s="90">
        <f t="shared" si="4"/>
        <v>1.4334064442996538E-4</v>
      </c>
      <c r="G69" s="278">
        <f>G73*$C$70+G77*$C$74+$C$78*G81+$C$82*G85+$C$86*G89</f>
        <v>1.71071302577832E-4</v>
      </c>
      <c r="H69" s="90">
        <f t="shared" ref="H69:U69" si="7">H73*$C$70+H77*$C$74+$C$78*H81+$C$82*H85+$C$86*H89</f>
        <v>3.9892218623094634E-5</v>
      </c>
      <c r="I69" s="90">
        <f t="shared" si="7"/>
        <v>0</v>
      </c>
      <c r="J69" s="90">
        <f t="shared" si="7"/>
        <v>5.1510970445949762E-5</v>
      </c>
      <c r="K69" s="90">
        <f t="shared" si="7"/>
        <v>3.0662584093458622E-6</v>
      </c>
      <c r="L69" s="90">
        <f t="shared" si="7"/>
        <v>5.0965450825193048E-8</v>
      </c>
      <c r="M69" s="90">
        <f t="shared" si="7"/>
        <v>4.8820231500749936E-5</v>
      </c>
      <c r="N69" s="90">
        <f t="shared" si="7"/>
        <v>0</v>
      </c>
      <c r="O69" s="90">
        <f t="shared" si="7"/>
        <v>0</v>
      </c>
      <c r="P69" s="90">
        <f t="shared" si="7"/>
        <v>0</v>
      </c>
      <c r="Q69" s="90">
        <f t="shared" si="7"/>
        <v>0</v>
      </c>
      <c r="R69" s="90">
        <f t="shared" si="7"/>
        <v>0</v>
      </c>
      <c r="S69" s="90">
        <f t="shared" si="7"/>
        <v>1.4334064442996538E-4</v>
      </c>
      <c r="T69" s="90">
        <f t="shared" si="7"/>
        <v>0</v>
      </c>
      <c r="U69" s="90">
        <f t="shared" si="7"/>
        <v>0</v>
      </c>
      <c r="V69" s="430"/>
      <c r="W69" s="243"/>
      <c r="Z69" s="64"/>
    </row>
    <row r="70" spans="1:26" s="308" customFormat="1" ht="17.399999999999999" x14ac:dyDescent="0.3">
      <c r="A70" s="122" t="s">
        <v>79</v>
      </c>
      <c r="B70" s="132" t="s">
        <v>102</v>
      </c>
      <c r="C70" s="152">
        <f>'Input data plant-based products'!D61</f>
        <v>0.60091427556903521</v>
      </c>
      <c r="D70" s="269" t="s">
        <v>473</v>
      </c>
      <c r="E70" s="320">
        <f>IF($F$1="GWP100 without fb",E71+E72*'Common input data'!$C$5+E73*'Common input data'!$D$5,IF($F$1="GWP100 with fb",E71+E72*'Common input data'!$C$6+E73*'Common input data'!$D$6,IF($F$1="GTP100 without fb",E71+E72*'Common input data'!$C$7+E73*'Common input data'!$D$7,IF($F$1="GTP100 with fb",E71+E72*'Common input data'!$C$8+E73*'Common input data'!$D$8,E71+E72*'Common input data'!$C$9+E73*'Common input data'!$D$9))))</f>
        <v>9.8312307842084272E-3</v>
      </c>
      <c r="F70" s="302">
        <f>IF($F$1="GWP100 without fb",F71+F72*'Common input data'!$C$5+F73*'Common input data'!$D$5,IF($F$1="GWP100 with fb",F71+F72*'Common input data'!$C$6+F73*'Common input data'!$D$6,IF($F$1="GTP100 without fb",F71+F72*'Common input data'!$C$7+F73*'Common input data'!$D$7,IF($F$1="GTP100 with fb",F71+F72*'Common input data'!$C$8+F73*'Common input data'!$D$8,F71+F72*'Common input data'!$C$9+F73*'Common input data'!$D$9))))</f>
        <v>2.7182656171289059</v>
      </c>
      <c r="G70" s="321">
        <f>IF($F$1="GWP100 without fb",G71+G72*'Common input data'!$C$5+G73*'Common input data'!$D$5,IF($F$1="GWP100 with fb",G71+G72*'Common input data'!$C$6+G73*'Common input data'!$D$6,IF($F$1="GTP100 without fb",G71+G72*'Common input data'!$C$7+G73*'Common input data'!$D$7,IF($F$1="GTP100 with fb",G71+G72*'Common input data'!$C$8+G73*'Common input data'!$D$8,G71+G72*'Common input data'!$C$9+G73*'Common input data'!$D$9))))</f>
        <v>3.4589636199175389</v>
      </c>
      <c r="H70" s="102"/>
      <c r="I70" s="102"/>
      <c r="J70" s="102"/>
      <c r="K70" s="102"/>
      <c r="L70" s="102"/>
      <c r="M70" s="102"/>
      <c r="N70" s="102"/>
      <c r="O70" s="102"/>
      <c r="P70" s="102"/>
      <c r="Q70" s="102"/>
      <c r="R70" s="102"/>
      <c r="S70" s="102"/>
      <c r="T70" s="102"/>
      <c r="U70" s="102"/>
      <c r="V70" s="430"/>
      <c r="W70" s="243"/>
      <c r="Z70" s="64"/>
    </row>
    <row r="71" spans="1:26" s="308" customFormat="1" ht="17.399999999999999" x14ac:dyDescent="0.3">
      <c r="A71" s="103"/>
      <c r="B71" s="64"/>
      <c r="C71" s="64"/>
      <c r="D71" s="83" t="s">
        <v>164</v>
      </c>
      <c r="E71" s="270">
        <f>IF(AND($F$2="No",$F$3="No"),SUM(J71:K71),IF(AND($F$2="Yes", $F$3="No"), SUM(J71:K71)+Q71, IF(AND($F$2="No", $F$3="Yes"),SUM(J71:K71)+P71, SUM(J71:K71)+Q71+P71)))</f>
        <v>0</v>
      </c>
      <c r="F71" s="90">
        <f>IF(AND($F$2="No",$F$3="No"),SUM(H71:O71),IF(AND($F$2="Yes", $F$3="No"), SUM(H71:O71)+Q71, IF(AND($F$2="No", $F$3="Yes"),SUM(H71:O71)+P71, SUM(H71:O71)+Q71+P71)))</f>
        <v>2.324521039916978</v>
      </c>
      <c r="G71" s="278">
        <f>SUM(S71:U71)/(1-'Common input data'!$B$121)</f>
        <v>2.9890452797672489</v>
      </c>
      <c r="H71" s="90">
        <f>('Input data plant-based products'!$F$61*('Common input data'!$C$76*'Common input data'!B69+'Common input data'!$C$77*'Common input data'!C69))/'Input data plant-based products'!$E$61</f>
        <v>5.5981739493815019E-3</v>
      </c>
      <c r="I71" s="90">
        <f>'Common input data'!$B$81</f>
        <v>0.03</v>
      </c>
      <c r="J71" s="90">
        <v>0</v>
      </c>
      <c r="K71" s="90">
        <v>0</v>
      </c>
      <c r="L71" s="90">
        <v>0</v>
      </c>
      <c r="M71" s="90">
        <f>'Input data plant-based products'!M143/'Input data plant-based products'!E$61*'Common input data'!D$35</f>
        <v>2.2889228659675966</v>
      </c>
      <c r="N71" s="90">
        <v>0</v>
      </c>
      <c r="O71" s="90">
        <v>0</v>
      </c>
      <c r="P71" s="90">
        <v>0</v>
      </c>
      <c r="Q71" s="90">
        <v>0</v>
      </c>
      <c r="R71" s="90">
        <v>0</v>
      </c>
      <c r="S71" s="90">
        <f>(F71+R71)</f>
        <v>2.324521039916978</v>
      </c>
      <c r="T71" s="90">
        <f>'Common input data'!$B$88</f>
        <v>0.05</v>
      </c>
      <c r="U71" s="90">
        <f>'Common input data'!B99+'Common input data'!C99</f>
        <v>0.13</v>
      </c>
      <c r="V71" s="430"/>
      <c r="W71" s="243"/>
      <c r="Z71" s="64"/>
    </row>
    <row r="72" spans="1:26" s="308" customFormat="1" ht="17.399999999999999" x14ac:dyDescent="0.3">
      <c r="A72" s="103"/>
      <c r="B72" s="64"/>
      <c r="C72" s="142"/>
      <c r="D72" s="83" t="s">
        <v>165</v>
      </c>
      <c r="E72" s="270">
        <f>SUM(J72:K72)</f>
        <v>0</v>
      </c>
      <c r="F72" s="90">
        <f>SUM(H72:O72)</f>
        <v>1.0334907573760968E-2</v>
      </c>
      <c r="G72" s="278">
        <f>SUM(S72:U72)/(1-'Common input data'!$B$121)</f>
        <v>1.2334297140184948E-2</v>
      </c>
      <c r="H72" s="90">
        <f>('Input data plant-based products'!$F$61*('Common input data'!$C$76*'Common input data'!B70+'Common input data'!$C$77*'Common input data'!C70))/'Input data plant-based products'!$E$61</f>
        <v>2.4683167359141771E-11</v>
      </c>
      <c r="I72" s="90">
        <v>0</v>
      </c>
      <c r="J72" s="90">
        <v>0</v>
      </c>
      <c r="K72" s="90">
        <v>0</v>
      </c>
      <c r="L72" s="90">
        <v>0</v>
      </c>
      <c r="M72" s="90">
        <f>'Input data plant-based products'!N143/'Input data plant-based products'!E$61*'Common input data'!D$35</f>
        <v>1.0334907549077801E-2</v>
      </c>
      <c r="N72" s="90">
        <v>0</v>
      </c>
      <c r="O72" s="90">
        <v>0</v>
      </c>
      <c r="P72" s="90">
        <v>0</v>
      </c>
      <c r="Q72" s="90">
        <v>0</v>
      </c>
      <c r="R72" s="90">
        <v>0</v>
      </c>
      <c r="S72" s="90">
        <f>(F72+R72)</f>
        <v>1.0334907573760968E-2</v>
      </c>
      <c r="T72" s="90">
        <v>0</v>
      </c>
      <c r="U72" s="90">
        <v>0</v>
      </c>
      <c r="V72" s="430"/>
      <c r="W72" s="243"/>
      <c r="Z72" s="64"/>
    </row>
    <row r="73" spans="1:26" s="308" customFormat="1" ht="17.399999999999999" x14ac:dyDescent="0.3">
      <c r="A73" s="107"/>
      <c r="B73" s="64"/>
      <c r="C73" s="85"/>
      <c r="D73" s="84" t="s">
        <v>166</v>
      </c>
      <c r="E73" s="270">
        <f>SUM(J73:K73)</f>
        <v>3.2990707329558478E-5</v>
      </c>
      <c r="F73" s="90">
        <f>SUM(H73:O73)</f>
        <v>1.4213999900689663E-4</v>
      </c>
      <c r="G73" s="278">
        <f>SUM(S73:U73)/(1-'Common input data'!$B$121)</f>
        <v>1.6963838048322788E-4</v>
      </c>
      <c r="H73" s="90">
        <f>('Input data plant-based products'!$F$61*('Common input data'!$C$76*'Common input data'!B71+'Common input data'!$C$77*'Common input data'!C71))/'Input data plant-based products'!$E$61</f>
        <v>3.0578596564233909E-5</v>
      </c>
      <c r="I73" s="90">
        <v>0</v>
      </c>
      <c r="J73" s="90">
        <f>(SUM('Input data plant-based products'!F61:H61)*'Input data plant-based products'!$B$114*44/28)/'Input data plant-based products'!E61</f>
        <v>3.2990707329558478E-5</v>
      </c>
      <c r="K73" s="90">
        <f>J73*'Input data plant-based products'!$B$115*(1-'Input data plant-based products'!L143)</f>
        <v>0</v>
      </c>
      <c r="L73" s="90">
        <v>0</v>
      </c>
      <c r="M73" s="90">
        <f>'Input data plant-based products'!O143/'Input data plant-based products'!E$61*'Common input data'!D$35</f>
        <v>7.8570695113104258E-5</v>
      </c>
      <c r="N73" s="90">
        <v>0</v>
      </c>
      <c r="O73" s="90">
        <v>0</v>
      </c>
      <c r="P73" s="90">
        <v>0</v>
      </c>
      <c r="Q73" s="90">
        <v>0</v>
      </c>
      <c r="R73" s="90">
        <v>0</v>
      </c>
      <c r="S73" s="90">
        <f>(F73+R73)</f>
        <v>1.4213999900689663E-4</v>
      </c>
      <c r="T73" s="90">
        <v>0</v>
      </c>
      <c r="U73" s="90">
        <v>0</v>
      </c>
      <c r="V73" s="430"/>
      <c r="W73" s="243"/>
      <c r="Z73" s="64"/>
    </row>
    <row r="74" spans="1:26" s="308" customFormat="1" ht="17.399999999999999" x14ac:dyDescent="0.3">
      <c r="A74" s="122" t="s">
        <v>74</v>
      </c>
      <c r="B74" s="132" t="s">
        <v>102</v>
      </c>
      <c r="C74" s="152">
        <f>'Input data plant-based products'!D62</f>
        <v>0.1185948576891951</v>
      </c>
      <c r="D74" s="269" t="s">
        <v>473</v>
      </c>
      <c r="E74" s="320">
        <f>IF($F$1="GWP100 without fb",E75+E76*'Common input data'!$C$5+E77*'Common input data'!$D$5,IF($F$1="GWP100 with fb",E75+E76*'Common input data'!$C$6+E77*'Common input data'!$D$6,IF($F$1="GTP100 without fb",E75+E76*'Common input data'!$C$7+E77*'Common input data'!$D$7,IF($F$1="GTP100 with fb",E75+E76*'Common input data'!$C$8+E77*'Common input data'!$D$8,E75+E76*'Common input data'!$C$9+E77*'Common input data'!$D$9))))</f>
        <v>2.407275787011981E-2</v>
      </c>
      <c r="F74" s="302">
        <f>IF($F$1="GWP100 without fb",F75+F76*'Common input data'!$C$5+F77*'Common input data'!$D$5,IF($F$1="GWP100 with fb",F75+F76*'Common input data'!$C$6+F77*'Common input data'!$D$6,IF($F$1="GTP100 without fb",F75+F76*'Common input data'!$C$7+F77*'Common input data'!$D$7,IF($F$1="GTP100 with fb",F75+F76*'Common input data'!$C$8+F77*'Common input data'!$D$8,F75+F76*'Common input data'!$C$9+F77*'Common input data'!$D$9))))</f>
        <v>0.10681855421880404</v>
      </c>
      <c r="G74" s="321">
        <f>IF($F$1="GWP100 without fb",G75+G76*'Common input data'!$C$5+G77*'Common input data'!$D$5,IF($F$1="GWP100 with fb",G75+G76*'Common input data'!$C$6+G77*'Common input data'!$D$6,IF($F$1="GTP100 without fb",G75+G76*'Common input data'!$C$7+G77*'Common input data'!$D$7,IF($F$1="GTP100 with fb",G75+G76*'Common input data'!$C$8+G77*'Common input data'!$D$8,G75+G76*'Common input data'!$C$9+G77*'Common input data'!$D$9))))</f>
        <v>0.46165240985655104</v>
      </c>
      <c r="H74" s="102"/>
      <c r="I74" s="102"/>
      <c r="J74" s="102"/>
      <c r="K74" s="102"/>
      <c r="L74" s="102"/>
      <c r="M74" s="102"/>
      <c r="N74" s="102"/>
      <c r="O74" s="102"/>
      <c r="P74" s="102"/>
      <c r="Q74" s="102"/>
      <c r="R74" s="102"/>
      <c r="S74" s="102"/>
      <c r="T74" s="102"/>
      <c r="U74" s="102"/>
      <c r="V74" s="430"/>
      <c r="W74" s="243"/>
      <c r="Z74" s="64"/>
    </row>
    <row r="75" spans="1:26" s="308" customFormat="1" ht="17.399999999999999" x14ac:dyDescent="0.3">
      <c r="A75" s="103"/>
      <c r="B75" s="64"/>
      <c r="C75" s="64"/>
      <c r="D75" s="83" t="s">
        <v>164</v>
      </c>
      <c r="E75" s="270">
        <f>IF(AND($F$2="No",$F$3="No"),SUM(J75:K75),IF(AND($F$2="Yes", $F$3="No"), SUM(J75:K75)+Q75, IF(AND($F$2="No", $F$3="Yes"),SUM(J75:K75)+P75, SUM(J75:K75)+Q75+P75)))</f>
        <v>0</v>
      </c>
      <c r="F75" s="90">
        <f>IF(AND($F$2="No",$F$3="No"),SUM(H75:O75),IF(AND($F$2="Yes", $F$3="No"), SUM(H75:O75)+Q75, IF(AND($F$2="No", $F$3="Yes"),SUM(H75:O75)+P75, SUM(H75:O75)+Q75+P75)))</f>
        <v>6.2461538406281492E-2</v>
      </c>
      <c r="G75" s="278">
        <f>SUM(S75:U75)/(1-'Common input data'!$B$121)</f>
        <v>0.40871409285867233</v>
      </c>
      <c r="H75" s="90">
        <f>('Input data plant-based products'!$F$62*('Common input data'!$C$76*'Common input data'!B69+'Common input data'!$C$77*'Common input data'!C69))/'Input data plant-based products'!$E$62</f>
        <v>1.2461538406281494E-2</v>
      </c>
      <c r="I75" s="90">
        <f>'Common input data'!$B$81</f>
        <v>0.03</v>
      </c>
      <c r="J75" s="90">
        <v>0</v>
      </c>
      <c r="K75" s="90">
        <v>0</v>
      </c>
      <c r="L75" s="90">
        <v>0</v>
      </c>
      <c r="M75" s="90">
        <v>0</v>
      </c>
      <c r="N75" s="90">
        <f>'Input data plant-based products'!G$152</f>
        <v>0.02</v>
      </c>
      <c r="O75" s="90">
        <v>0</v>
      </c>
      <c r="P75" s="90">
        <v>0</v>
      </c>
      <c r="Q75" s="90">
        <v>0</v>
      </c>
      <c r="R75" s="90">
        <v>0</v>
      </c>
      <c r="S75" s="90">
        <f>(F75+R75)</f>
        <v>6.2461538406281492E-2</v>
      </c>
      <c r="T75" s="90">
        <f>'Common input data'!$B$88</f>
        <v>0.05</v>
      </c>
      <c r="U75" s="90">
        <f>'Common input data'!B100+'Common input data'!C100</f>
        <v>0.23</v>
      </c>
      <c r="V75" s="430"/>
      <c r="W75" s="243"/>
      <c r="Z75" s="64"/>
    </row>
    <row r="76" spans="1:26" s="308" customFormat="1" ht="17.399999999999999" x14ac:dyDescent="0.3">
      <c r="A76" s="103"/>
      <c r="B76" s="64"/>
      <c r="C76" s="142"/>
      <c r="D76" s="83" t="s">
        <v>165</v>
      </c>
      <c r="E76" s="270">
        <f>SUM(J76:K76)</f>
        <v>0</v>
      </c>
      <c r="F76" s="90">
        <f>SUM(H76:O76)</f>
        <v>5.4944744628487685E-11</v>
      </c>
      <c r="G76" s="278">
        <f>SUM(S76:U76)/(1-'Common input data'!$B$121)</f>
        <v>6.5574346137352527E-11</v>
      </c>
      <c r="H76" s="90">
        <f>('Input data plant-based products'!$F$62*('Common input data'!$C$76*'Common input data'!B70+'Common input data'!$C$77*'Common input data'!C70))/'Input data plant-based products'!$E$62</f>
        <v>5.4944744628487685E-11</v>
      </c>
      <c r="I76" s="90">
        <v>0</v>
      </c>
      <c r="J76" s="90">
        <v>0</v>
      </c>
      <c r="K76" s="90">
        <v>0</v>
      </c>
      <c r="L76" s="90">
        <v>0</v>
      </c>
      <c r="M76" s="90">
        <v>0</v>
      </c>
      <c r="N76" s="90">
        <v>0</v>
      </c>
      <c r="O76" s="90">
        <v>0</v>
      </c>
      <c r="P76" s="90">
        <v>0</v>
      </c>
      <c r="Q76" s="90">
        <v>0</v>
      </c>
      <c r="R76" s="90">
        <v>0</v>
      </c>
      <c r="S76" s="90">
        <f>(F76+R76)</f>
        <v>5.4944744628487685E-11</v>
      </c>
      <c r="T76" s="90">
        <v>0</v>
      </c>
      <c r="U76" s="90">
        <v>0</v>
      </c>
      <c r="V76" s="430"/>
      <c r="W76" s="243"/>
      <c r="Z76" s="64"/>
    </row>
    <row r="77" spans="1:26" s="308" customFormat="1" ht="17.399999999999999" x14ac:dyDescent="0.3">
      <c r="A77" s="107"/>
      <c r="B77" s="64"/>
      <c r="C77" s="85"/>
      <c r="D77" s="84" t="s">
        <v>166</v>
      </c>
      <c r="E77" s="270">
        <f>SUM(J77:K77)</f>
        <v>8.0781066678254401E-5</v>
      </c>
      <c r="F77" s="90">
        <f>SUM(H77:O77)</f>
        <v>1.4884904008188331E-4</v>
      </c>
      <c r="G77" s="278">
        <f>SUM(S77:U77)/(1-'Common input data'!$B$121)</f>
        <v>1.7764535157164735E-4</v>
      </c>
      <c r="H77" s="90">
        <f>('Input data plant-based products'!$F$62*('Common input data'!$C$76*'Common input data'!B71+'Common input data'!$C$77*'Common input data'!C71))/'Input data plant-based products'!$E$62</f>
        <v>6.8067973403628911E-5</v>
      </c>
      <c r="I77" s="90">
        <v>0</v>
      </c>
      <c r="J77" s="90">
        <f>(SUM('Input data plant-based products'!F62:H62)*'Input data plant-based products'!$B$114*44/28)/'Input data plant-based products'!E62</f>
        <v>7.3437333343867641E-5</v>
      </c>
      <c r="K77" s="90">
        <f>J77*'Input data plant-based products'!$B$115</f>
        <v>7.3437333343867642E-6</v>
      </c>
      <c r="L77" s="90">
        <v>0</v>
      </c>
      <c r="M77" s="90">
        <v>0</v>
      </c>
      <c r="N77" s="90">
        <v>0</v>
      </c>
      <c r="O77" s="90">
        <v>0</v>
      </c>
      <c r="P77" s="90">
        <v>0</v>
      </c>
      <c r="Q77" s="90">
        <v>0</v>
      </c>
      <c r="R77" s="90">
        <v>0</v>
      </c>
      <c r="S77" s="90">
        <f>(F77+R77)</f>
        <v>1.4884904008188331E-4</v>
      </c>
      <c r="T77" s="90">
        <v>0</v>
      </c>
      <c r="U77" s="90">
        <v>0</v>
      </c>
      <c r="V77" s="430"/>
      <c r="W77" s="243"/>
      <c r="Z77" s="64"/>
    </row>
    <row r="78" spans="1:26" s="308" customFormat="1" ht="17.399999999999999" x14ac:dyDescent="0.3">
      <c r="A78" s="122" t="s">
        <v>74</v>
      </c>
      <c r="B78" s="150" t="s">
        <v>225</v>
      </c>
      <c r="C78" s="152">
        <f>'Input data plant-based products'!D63</f>
        <v>0.13598069034833049</v>
      </c>
      <c r="D78" s="269" t="s">
        <v>473</v>
      </c>
      <c r="E78" s="320">
        <f>IF($F$1="GWP100 without fb",E79+E80*'Common input data'!$C$5+E81*'Common input data'!$D$5,IF($F$1="GWP100 with fb",E79+E80*'Common input data'!$C$6+E81*'Common input data'!$D$6,IF($F$1="GTP100 without fb",E79+E80*'Common input data'!$C$7+E81*'Common input data'!$D$7,IF($F$1="GTP100 with fb",E79+E80*'Common input data'!$C$8+E81*'Common input data'!$D$8,E79+E80*'Common input data'!$C$9+E81*'Common input data'!$D$9))))</f>
        <v>7.5026226742172644E-2</v>
      </c>
      <c r="F78" s="302">
        <f>IF($F$1="GWP100 without fb",F79+F80*'Common input data'!$C$5+F81*'Common input data'!$D$5,IF($F$1="GWP100 with fb",F79+F80*'Common input data'!$C$6+F81*'Common input data'!$D$6,IF($F$1="GTP100 without fb",F79+F80*'Common input data'!$C$7+F81*'Common input data'!$D$7,IF($F$1="GTP100 with fb",F79+F80*'Common input data'!$C$8+F81*'Common input data'!$D$8,F79+F80*'Common input data'!$C$9+F81*'Common input data'!$D$9))))</f>
        <v>0.16362130277228598</v>
      </c>
      <c r="G78" s="321">
        <f>IF($F$1="GWP100 without fb",G79+G80*'Common input data'!$C$5+G81*'Common input data'!$D$5,IF($F$1="GWP100 with fb",G79+G80*'Common input data'!$C$6+G81*'Common input data'!$D$6,IF($F$1="GTP100 without fb",G79+G80*'Common input data'!$C$7+G81*'Common input data'!$D$7,IF($F$1="GTP100 with fb",G79+G80*'Common input data'!$C$8+G81*'Common input data'!$D$8,G79+G80*'Common input data'!$C$9+G81*'Common input data'!$D$9))))</f>
        <v>0.52944420906108847</v>
      </c>
      <c r="H78" s="102"/>
      <c r="I78" s="102"/>
      <c r="J78" s="102"/>
      <c r="K78" s="102"/>
      <c r="L78" s="102"/>
      <c r="M78" s="102"/>
      <c r="N78" s="102"/>
      <c r="O78" s="102"/>
      <c r="P78" s="102"/>
      <c r="Q78" s="102"/>
      <c r="R78" s="102"/>
      <c r="S78" s="102"/>
      <c r="T78" s="102"/>
      <c r="U78" s="102"/>
      <c r="V78" s="430"/>
      <c r="W78" s="243"/>
      <c r="Z78" s="64"/>
    </row>
    <row r="79" spans="1:26" s="308" customFormat="1" ht="17.399999999999999" x14ac:dyDescent="0.3">
      <c r="A79" s="107"/>
      <c r="B79" s="64"/>
      <c r="C79" s="64"/>
      <c r="D79" s="83" t="s">
        <v>164</v>
      </c>
      <c r="E79" s="270">
        <f>IF(AND($F$2="No",$F$3="No"),SUM(J79:K79),IF(AND($F$2="Yes", $F$3="No"), SUM(J79:K79)+Q79, IF(AND($F$2="No", $F$3="Yes"),SUM(J79:K79)+P79, SUM(J79:K79)+Q79+P79)))</f>
        <v>3.9989486962957101E-2</v>
      </c>
      <c r="F79" s="90">
        <f>IF(AND($F$2="No",$F$3="No"),SUM(H79:O79),IF(AND($F$2="Yes", $F$3="No"), SUM(H79:O79)+Q79, IF(AND($F$2="No", $F$3="Yes"),SUM(H79:O79)+P79, SUM(H79:O79)+Q79+P79)))</f>
        <v>0.10867676908569407</v>
      </c>
      <c r="G79" s="278">
        <f>SUM(S79:U79)/(1-'Common input data'!$B$121)</f>
        <v>0.46387011467441708</v>
      </c>
      <c r="H79" s="85">
        <f>('Input data plant-based products'!$F$63*('Common input data'!$C$76*'Common input data'!B69+'Common input data'!$C$77*'Common input data'!C69))/'Input data plant-based products'!$E$63</f>
        <v>1.2137436006597538E-2</v>
      </c>
      <c r="I79" s="90">
        <f>'Common input data'!$B$81</f>
        <v>0.03</v>
      </c>
      <c r="J79" s="85">
        <v>0</v>
      </c>
      <c r="K79" s="90">
        <v>0</v>
      </c>
      <c r="L79" s="85">
        <f>('Input data plant-based products'!$I$63*'Common input data'!$C$59*'Common input data'!H49)/'Input data plant-based products'!$E$63</f>
        <v>6.5498461161394234E-3</v>
      </c>
      <c r="M79" s="90">
        <v>0</v>
      </c>
      <c r="N79" s="90">
        <f>'Input data plant-based products'!G$152</f>
        <v>0.02</v>
      </c>
      <c r="O79" s="90">
        <v>0</v>
      </c>
      <c r="P79" s="90">
        <f>'Common input data'!E$13</f>
        <v>3.9989486962957101E-2</v>
      </c>
      <c r="Q79" s="90">
        <v>0</v>
      </c>
      <c r="R79" s="90">
        <v>0</v>
      </c>
      <c r="S79" s="90">
        <f>(F79+R79)</f>
        <v>0.10867676908569407</v>
      </c>
      <c r="T79" s="90">
        <f>'Common input data'!$B$88</f>
        <v>0.05</v>
      </c>
      <c r="U79" s="90">
        <f>'Common input data'!B100+'Common input data'!C100</f>
        <v>0.23</v>
      </c>
      <c r="V79" s="430"/>
      <c r="W79" s="243"/>
      <c r="Z79" s="64"/>
    </row>
    <row r="80" spans="1:26" s="308" customFormat="1" ht="17.399999999999999" x14ac:dyDescent="0.3">
      <c r="A80" s="107"/>
      <c r="B80" s="68"/>
      <c r="C80" s="142"/>
      <c r="D80" s="83" t="s">
        <v>165</v>
      </c>
      <c r="E80" s="270">
        <f>SUM(J80:K80)</f>
        <v>0</v>
      </c>
      <c r="F80" s="90">
        <f>SUM(H80:O80)</f>
        <v>2.9014144863010102E-6</v>
      </c>
      <c r="G80" s="278">
        <f>SUM(S80:U80)/(1-'Common input data'!$B$121)</f>
        <v>3.4627216688161003E-6</v>
      </c>
      <c r="H80" s="85">
        <f>('Input data plant-based products'!$F$63*('Common input data'!$C$76*'Common input data'!B70+'Common input data'!$C$77*'Common input data'!C70))/'Input data plant-based products'!$E$63</f>
        <v>5.3515729766635738E-11</v>
      </c>
      <c r="I80" s="90">
        <v>0</v>
      </c>
      <c r="J80" s="149">
        <v>0</v>
      </c>
      <c r="K80" s="90">
        <v>0</v>
      </c>
      <c r="L80" s="85">
        <f>('Input data plant-based products'!$I$63*'Common input data'!$C$59*'Common input data'!H50)/'Input data plant-based products'!$E$63</f>
        <v>2.9013609705712436E-6</v>
      </c>
      <c r="M80" s="90">
        <v>0</v>
      </c>
      <c r="N80" s="90">
        <v>0</v>
      </c>
      <c r="O80" s="90">
        <v>0</v>
      </c>
      <c r="P80" s="90">
        <v>0</v>
      </c>
      <c r="Q80" s="90">
        <v>0</v>
      </c>
      <c r="R80" s="90">
        <v>0</v>
      </c>
      <c r="S80" s="90">
        <f>(F80+R80)</f>
        <v>2.9014144863010102E-6</v>
      </c>
      <c r="T80" s="90">
        <v>0</v>
      </c>
      <c r="U80" s="90">
        <v>0</v>
      </c>
      <c r="V80" s="430"/>
      <c r="W80" s="243"/>
      <c r="Z80" s="64"/>
    </row>
    <row r="81" spans="1:258" s="308" customFormat="1" ht="17.399999999999999" x14ac:dyDescent="0.3">
      <c r="A81" s="107"/>
      <c r="B81" s="64"/>
      <c r="C81" s="85"/>
      <c r="D81" s="84" t="s">
        <v>166</v>
      </c>
      <c r="E81" s="270">
        <f>SUM(J81:K81)</f>
        <v>1.175729522792468E-4</v>
      </c>
      <c r="F81" s="90">
        <f>SUM(H81:O81)</f>
        <v>1.8404659595321369E-4</v>
      </c>
      <c r="G81" s="278">
        <f>SUM(S81:U81)/(1-'Common input data'!$B$121)</f>
        <v>2.196522209729248E-4</v>
      </c>
      <c r="H81" s="85">
        <f>('Input data plant-based products'!$F$63*('Common input data'!$C$76*'Common input data'!B71+'Common input data'!$C$77*'Common input data'!C71))/'Input data plant-based products'!$E$63</f>
        <v>6.6297646755145471E-5</v>
      </c>
      <c r="I81" s="85">
        <v>0</v>
      </c>
      <c r="J81" s="85">
        <f>(SUM('Input data plant-based products'!F63:H63)*'Input data plant-based products'!$B$114*44/28)/'Input data plant-based products'!E63</f>
        <v>1.0688450207204254E-4</v>
      </c>
      <c r="K81" s="90">
        <f>J81*'Input data plant-based products'!$B$115</f>
        <v>1.0688450207204255E-5</v>
      </c>
      <c r="L81" s="85">
        <f>('Input data plant-based products'!$I$63*'Common input data'!$C$59*'Common input data'!H51)/'Input data plant-based products'!$E$63</f>
        <v>1.7599691882144922E-7</v>
      </c>
      <c r="M81" s="90">
        <v>0</v>
      </c>
      <c r="N81" s="90">
        <v>0</v>
      </c>
      <c r="O81" s="90">
        <v>0</v>
      </c>
      <c r="P81" s="90">
        <v>0</v>
      </c>
      <c r="Q81" s="90">
        <v>0</v>
      </c>
      <c r="R81" s="90">
        <v>0</v>
      </c>
      <c r="S81" s="90">
        <f>(F81+R81)</f>
        <v>1.8404659595321369E-4</v>
      </c>
      <c r="T81" s="90">
        <v>0</v>
      </c>
      <c r="U81" s="90">
        <v>0</v>
      </c>
      <c r="V81" s="430"/>
      <c r="W81" s="243"/>
      <c r="Z81" s="64"/>
    </row>
    <row r="82" spans="1:258" s="308" customFormat="1" ht="17.399999999999999" x14ac:dyDescent="0.3">
      <c r="A82" s="122" t="s">
        <v>70</v>
      </c>
      <c r="B82" s="132" t="s">
        <v>102</v>
      </c>
      <c r="C82" s="152">
        <f>'Input data plant-based products'!D64</f>
        <v>4.0879851287850155E-2</v>
      </c>
      <c r="D82" s="269" t="s">
        <v>473</v>
      </c>
      <c r="E82" s="320">
        <f>IF($F$1="GWP100 without fb",E83+E84*'Common input data'!$C$5+E85*'Common input data'!$D$5,IF($F$1="GWP100 with fb",E83+E84*'Common input data'!$C$6+E85*'Common input data'!$D$6,IF($F$1="GTP100 without fb",E83+E84*'Common input data'!$C$7+E85*'Common input data'!$D$7,IF($F$1="GTP100 with fb",E83+E84*'Common input data'!$C$8+E85*'Common input data'!$D$8,E83+E84*'Common input data'!$C$9+E85*'Common input data'!$D$9))))</f>
        <v>1.0127140153550198E-2</v>
      </c>
      <c r="F82" s="302">
        <f>IF($F$1="GWP100 without fb",F83+F84*'Common input data'!$C$5+F85*'Common input data'!$D$5,IF($F$1="GWP100 with fb",F83+F84*'Common input data'!$C$6+F85*'Common input data'!$D$6,IF($F$1="GTP100 without fb",F83+F84*'Common input data'!$C$7+F85*'Common input data'!$D$7,IF($F$1="GTP100 with fb",F83+F84*'Common input data'!$C$8+F85*'Common input data'!$D$8,F83+F84*'Common input data'!$C$9+F85*'Common input data'!$D$9))))</f>
        <v>1.3967800253264173</v>
      </c>
      <c r="G82" s="321">
        <f>IF($F$1="GWP100 without fb",G83+G84*'Common input data'!$C$5+G85*'Common input data'!$D$5,IF($F$1="GWP100 with fb",G83+G84*'Common input data'!$C$6+G85*'Common input data'!$D$6,IF($F$1="GTP100 without fb",G83+G84*'Common input data'!$C$7+G85*'Common input data'!$D$7,IF($F$1="GTP100 with fb",G83+G84*'Common input data'!$C$8+G85*'Common input data'!$D$8,G83+G84*'Common input data'!$C$9+G85*'Common input data'!$D$9))))</f>
        <v>2.0011696208693373</v>
      </c>
      <c r="H82" s="102"/>
      <c r="I82" s="102"/>
      <c r="J82" s="102"/>
      <c r="K82" s="102"/>
      <c r="L82" s="102"/>
      <c r="M82" s="102"/>
      <c r="N82" s="102"/>
      <c r="O82" s="102"/>
      <c r="P82" s="102"/>
      <c r="Q82" s="102"/>
      <c r="R82" s="102"/>
      <c r="S82" s="102"/>
      <c r="T82" s="102"/>
      <c r="U82" s="102"/>
      <c r="V82" s="430"/>
      <c r="W82" s="243"/>
      <c r="Z82" s="64"/>
    </row>
    <row r="83" spans="1:258" s="308" customFormat="1" ht="17.399999999999999" x14ac:dyDescent="0.3">
      <c r="A83" s="144"/>
      <c r="B83" s="64"/>
      <c r="C83" s="64"/>
      <c r="D83" s="83" t="s">
        <v>164</v>
      </c>
      <c r="E83" s="270">
        <f>IF(AND($F$2="No",$F$3="No"),SUM(J83:K83),IF(AND($F$2="Yes", $F$3="No"), SUM(J83:K83)+Q83, IF(AND($F$2="No", $F$3="Yes"),SUM(J83:K83)+P83, SUM(J83:K83)+Q83+P83)))</f>
        <v>0</v>
      </c>
      <c r="F83" s="90">
        <f>IF(AND($F$2="No",$F$3="No"),SUM(H83:O83),IF(AND($F$2="Yes", $F$3="No"), SUM(H83:O83)+Q83, IF(AND($F$2="No", $F$3="Yes"),SUM(H83:O83)+P83, SUM(H83:O83)+Q83+P83)))</f>
        <v>1.1900902010709919</v>
      </c>
      <c r="G83" s="278">
        <f>SUM(S83:U83)/(1-'Common input data'!$B$121)</f>
        <v>1.7544936162680416</v>
      </c>
      <c r="H83" s="85">
        <f>('Input data plant-based products'!$F$64*('Common input data'!$C$76*'Common input data'!B69+'Common input data'!$C$77*'Common input data'!C69))/'Input data plant-based products'!$E$64</f>
        <v>5.6287680871936691E-3</v>
      </c>
      <c r="I83" s="90">
        <f>'Common input data'!$B$81</f>
        <v>0.03</v>
      </c>
      <c r="J83" s="85">
        <v>0</v>
      </c>
      <c r="K83" s="85">
        <v>0</v>
      </c>
      <c r="L83" s="85">
        <v>0</v>
      </c>
      <c r="M83" s="90">
        <f>AVERAGE(M71,M75)</f>
        <v>1.1444614329837983</v>
      </c>
      <c r="N83" s="90">
        <f>AVERAGE(N71,N75)</f>
        <v>0.01</v>
      </c>
      <c r="O83" s="90">
        <v>0</v>
      </c>
      <c r="P83" s="90">
        <v>0</v>
      </c>
      <c r="Q83" s="90">
        <v>0</v>
      </c>
      <c r="R83" s="90">
        <v>0</v>
      </c>
      <c r="S83" s="90">
        <f>(F83+R83)</f>
        <v>1.1900902010709919</v>
      </c>
      <c r="T83" s="90">
        <f>'Common input data'!$B$88</f>
        <v>0.05</v>
      </c>
      <c r="U83" s="90">
        <f>'Common input data'!B102+'Common input data'!C102</f>
        <v>0.23000000000000004</v>
      </c>
      <c r="V83" s="430"/>
      <c r="W83" s="243"/>
      <c r="Z83" s="64"/>
    </row>
    <row r="84" spans="1:258" s="308" customFormat="1" ht="17.399999999999999" x14ac:dyDescent="0.3">
      <c r="A84" s="107"/>
      <c r="B84" s="64"/>
      <c r="C84" s="142"/>
      <c r="D84" s="83" t="s">
        <v>165</v>
      </c>
      <c r="E84" s="270">
        <f>SUM(J84:K84)</f>
        <v>0</v>
      </c>
      <c r="F84" s="90">
        <f>SUM(H84:O84)</f>
        <v>5.1674537993569624E-3</v>
      </c>
      <c r="G84" s="278">
        <f>SUM(S84:U84)/(1-'Common input data'!$B$121)</f>
        <v>6.1671485849826499E-3</v>
      </c>
      <c r="H84" s="85">
        <f>('Input data plant-based products'!$F$64*('Common input data'!$C$76*'Common input data'!B70+'Common input data'!$C$77*'Common input data'!C70))/'Input data plant-based products'!$E$64</f>
        <v>2.4818061385417927E-11</v>
      </c>
      <c r="I84" s="90">
        <v>0</v>
      </c>
      <c r="J84" s="85">
        <v>0</v>
      </c>
      <c r="K84" s="85">
        <v>0</v>
      </c>
      <c r="L84" s="85">
        <v>0</v>
      </c>
      <c r="M84" s="90">
        <f>AVERAGE(M72,M76)</f>
        <v>5.1674537745389007E-3</v>
      </c>
      <c r="N84" s="90">
        <v>0</v>
      </c>
      <c r="O84" s="85">
        <v>0</v>
      </c>
      <c r="P84" s="85">
        <v>0</v>
      </c>
      <c r="Q84" s="90">
        <v>0</v>
      </c>
      <c r="R84" s="90">
        <v>0</v>
      </c>
      <c r="S84" s="90">
        <f>(F84+R84)</f>
        <v>5.1674537993569624E-3</v>
      </c>
      <c r="T84" s="90">
        <v>0</v>
      </c>
      <c r="U84" s="90">
        <v>0</v>
      </c>
      <c r="V84" s="430"/>
      <c r="W84" s="243"/>
      <c r="Z84" s="64"/>
    </row>
    <row r="85" spans="1:258" s="308" customFormat="1" ht="17.399999999999999" x14ac:dyDescent="0.3">
      <c r="A85" s="174"/>
      <c r="B85" s="64"/>
      <c r="C85" s="85"/>
      <c r="D85" s="84" t="s">
        <v>166</v>
      </c>
      <c r="E85" s="270">
        <f>SUM(J85:K85)</f>
        <v>3.3983691790436909E-5</v>
      </c>
      <c r="F85" s="90">
        <f>SUM(H85:O85)</f>
        <v>1.0401474858150577E-4</v>
      </c>
      <c r="G85" s="278">
        <f>SUM(S85:U85)/(1-'Common input data'!$B$121)</f>
        <v>1.241374252076689E-4</v>
      </c>
      <c r="H85" s="85">
        <f>('Input data plant-based products'!$F$64*('Common input data'!$C$76*'Common input data'!B71+'Common input data'!$C$77*'Common input data'!C71))/'Input data plant-based products'!$E$64</f>
        <v>3.0745709234516729E-5</v>
      </c>
      <c r="I85" s="85">
        <v>0</v>
      </c>
      <c r="J85" s="85">
        <f>(SUM('Input data plant-based products'!F64:H64)*'Input data plant-based products'!$B$114*44/28)/'Input data plant-based products'!E64</f>
        <v>3.3171002235663164E-5</v>
      </c>
      <c r="K85" s="90">
        <f>J85*'Input data plant-based products'!$B$115*(1-AVERAGE('Input data plant-based products'!L139:L144))</f>
        <v>8.1268955477374795E-7</v>
      </c>
      <c r="L85" s="85">
        <v>0</v>
      </c>
      <c r="M85" s="90">
        <f>AVERAGE(M73,M77)</f>
        <v>3.9285347556552129E-5</v>
      </c>
      <c r="N85" s="90">
        <v>0</v>
      </c>
      <c r="O85" s="85">
        <v>0</v>
      </c>
      <c r="P85" s="85">
        <v>0</v>
      </c>
      <c r="Q85" s="90">
        <v>0</v>
      </c>
      <c r="R85" s="90">
        <v>0</v>
      </c>
      <c r="S85" s="90">
        <f>(F85+R85)</f>
        <v>1.0401474858150577E-4</v>
      </c>
      <c r="T85" s="90">
        <v>0</v>
      </c>
      <c r="U85" s="90">
        <v>0</v>
      </c>
      <c r="V85" s="430"/>
      <c r="W85" s="243"/>
      <c r="Z85" s="64"/>
    </row>
    <row r="86" spans="1:258" s="308" customFormat="1" ht="17.399999999999999" x14ac:dyDescent="0.3">
      <c r="A86" s="122" t="s">
        <v>70</v>
      </c>
      <c r="B86" s="150" t="s">
        <v>225</v>
      </c>
      <c r="C86" s="152">
        <f>'Input data plant-based products'!D65</f>
        <v>0.10363032510558906</v>
      </c>
      <c r="D86" s="269" t="s">
        <v>473</v>
      </c>
      <c r="E86" s="320">
        <f>IF($F$1="GWP100 without fb",E87+E88*'Common input data'!$C$5+E89*'Common input data'!$D$5,IF($F$1="GWP100 with fb",E87+E88*'Common input data'!$C$6+E89*'Common input data'!$D$6,IF($F$1="GTP100 without fb",E87+E88*'Common input data'!$C$7+E89*'Common input data'!$D$7,IF($F$1="GTP100 with fb",E87+E88*'Common input data'!$C$8+E89*'Common input data'!$D$8,E87+E88*'Common input data'!$C$9+E89*'Common input data'!$D$9))))</f>
        <v>6.2406341603645693E-2</v>
      </c>
      <c r="F86" s="302">
        <f>IF($F$1="GWP100 without fb",F87+F88*'Common input data'!$C$5+F89*'Common input data'!$D$5,IF($F$1="GWP100 with fb",F87+F88*'Common input data'!$C$6+F89*'Common input data'!$D$6,IF($F$1="GTP100 without fb",F87+F88*'Common input data'!$C$7+F89*'Common input data'!$D$7,IF($F$1="GTP100 with fb",F87+F88*'Common input data'!$C$8+F89*'Common input data'!$D$8,F87+F88*'Common input data'!$C$9+F89*'Common input data'!$D$9))))</f>
        <v>9.7076487035615916E-2</v>
      </c>
      <c r="G86" s="321">
        <f>IF($F$1="GWP100 without fb",G87+G88*'Common input data'!$C$5+G89*'Common input data'!$D$5,IF($F$1="GWP100 with fb",G87+G88*'Common input data'!$C$6+G89*'Common input data'!$D$6,IF($F$1="GTP100 without fb",G87+G88*'Common input data'!$C$7+G89*'Common input data'!$D$7,IF($F$1="GTP100 with fb",G87+G88*'Common input data'!$C$8+G89*'Common input data'!$D$8,G87+G88*'Common input data'!$C$9+G89*'Common input data'!$D$9))))</f>
        <v>0.45002564391408995</v>
      </c>
      <c r="H86" s="102"/>
      <c r="I86" s="102"/>
      <c r="J86" s="102"/>
      <c r="K86" s="102"/>
      <c r="L86" s="102"/>
      <c r="M86" s="102"/>
      <c r="N86" s="102"/>
      <c r="O86" s="102"/>
      <c r="P86" s="102"/>
      <c r="Q86" s="102"/>
      <c r="R86" s="102"/>
      <c r="S86" s="102"/>
      <c r="T86" s="102"/>
      <c r="U86" s="102"/>
      <c r="V86" s="430"/>
      <c r="W86" s="243"/>
      <c r="Z86" s="64"/>
    </row>
    <row r="87" spans="1:258" s="308" customFormat="1" ht="17.399999999999999" x14ac:dyDescent="0.3">
      <c r="A87" s="144"/>
      <c r="B87" s="84"/>
      <c r="C87" s="64"/>
      <c r="D87" s="83" t="s">
        <v>164</v>
      </c>
      <c r="E87" s="270">
        <f>IF(AND($F$2="No",$F$3="No"),SUM(J87:K87),IF(AND($F$2="Yes", $F$3="No"), SUM(J87:K87)+Q87, IF(AND($F$2="No", $F$3="Yes"),SUM(J87:K87)+P87, SUM(J87:K87)+Q87+P87)))</f>
        <v>3.9989486962957101E-2</v>
      </c>
      <c r="F87" s="90">
        <f>SUM(H87:O87)</f>
        <v>6.5312786046615473E-2</v>
      </c>
      <c r="G87" s="278">
        <f>SUM(S87:U87)/(1-'Common input data'!$B$121)</f>
        <v>0.41211694241152347</v>
      </c>
      <c r="H87" s="85">
        <f>('Input data plant-based products'!$F$65*('Common input data'!$C$76*'Common input data'!B69+'Common input data'!$C$77*'Common input data'!C69))/'Input data plant-based products'!$E$65</f>
        <v>5.6046081442853108E-3</v>
      </c>
      <c r="I87" s="90">
        <f>'Common input data'!$B$81</f>
        <v>0.03</v>
      </c>
      <c r="J87" s="85">
        <v>0</v>
      </c>
      <c r="K87" s="85">
        <v>0</v>
      </c>
      <c r="L87" s="85">
        <f>('Input data plant-based products'!$I$65*'Common input data'!$C$59*'Common input data'!H49)/'Input data plant-based products'!$E$65</f>
        <v>9.7081779023301673E-3</v>
      </c>
      <c r="M87" s="90">
        <v>0</v>
      </c>
      <c r="N87" s="90">
        <f>'Input data plant-based products'!G$152</f>
        <v>0.02</v>
      </c>
      <c r="O87" s="85">
        <v>0</v>
      </c>
      <c r="P87" s="90">
        <f>'Common input data'!E$13</f>
        <v>3.9989486962957101E-2</v>
      </c>
      <c r="Q87" s="90">
        <v>0</v>
      </c>
      <c r="R87" s="90">
        <v>0</v>
      </c>
      <c r="S87" s="90">
        <f>(F87+R87)</f>
        <v>6.5312786046615473E-2</v>
      </c>
      <c r="T87" s="90">
        <f>'Common input data'!$B$88</f>
        <v>0.05</v>
      </c>
      <c r="U87" s="90">
        <f>'Common input data'!B102+'Common input data'!C102</f>
        <v>0.23000000000000004</v>
      </c>
      <c r="V87" s="430"/>
      <c r="W87" s="243"/>
      <c r="Z87" s="64"/>
    </row>
    <row r="88" spans="1:258" s="308" customFormat="1" ht="17.399999999999999" x14ac:dyDescent="0.3">
      <c r="A88" s="107"/>
      <c r="B88" s="84"/>
      <c r="C88" s="142"/>
      <c r="D88" s="83" t="s">
        <v>165</v>
      </c>
      <c r="E88" s="270">
        <f>SUM(J88:K88)</f>
        <v>0</v>
      </c>
      <c r="F88" s="90">
        <f>SUM(H88:O88)</f>
        <v>4.3004201653744357E-6</v>
      </c>
      <c r="G88" s="278">
        <f>SUM(S88:U88)/(1-'Common input data'!$B$121)</f>
        <v>5.13237876282902E-6</v>
      </c>
      <c r="H88" s="85">
        <f>('Input data plant-based products'!$F$65*('Common input data'!$C$76*'Common input data'!B70+'Common input data'!$C$77*'Common input data'!C70))/'Input data plant-based products'!$E$65</f>
        <v>2.4711536665109764E-11</v>
      </c>
      <c r="I88" s="90">
        <v>0</v>
      </c>
      <c r="J88" s="85">
        <v>0</v>
      </c>
      <c r="K88" s="85">
        <v>0</v>
      </c>
      <c r="L88" s="85">
        <f>('Input data plant-based products'!$I$65*'Common input data'!$C$59*'Common input data'!H50)/'Input data plant-based products'!$E$65</f>
        <v>4.3003954538377705E-6</v>
      </c>
      <c r="M88" s="90">
        <v>0</v>
      </c>
      <c r="N88" s="90">
        <v>0</v>
      </c>
      <c r="O88" s="85">
        <v>0</v>
      </c>
      <c r="P88" s="85">
        <v>0</v>
      </c>
      <c r="Q88" s="90">
        <v>0</v>
      </c>
      <c r="R88" s="90">
        <v>0</v>
      </c>
      <c r="S88" s="90">
        <f>(F88+R88)</f>
        <v>4.3004201653744357E-6</v>
      </c>
      <c r="T88" s="90">
        <v>0</v>
      </c>
      <c r="U88" s="90">
        <v>0</v>
      </c>
      <c r="V88" s="430"/>
      <c r="W88" s="243"/>
      <c r="Z88" s="64"/>
    </row>
    <row r="89" spans="1:258" s="308" customFormat="1" ht="17.399999999999999" x14ac:dyDescent="0.3">
      <c r="A89" s="174"/>
      <c r="B89" s="206"/>
      <c r="C89" s="85"/>
      <c r="D89" s="84" t="s">
        <v>166</v>
      </c>
      <c r="E89" s="780">
        <f>SUM(J89:K89)</f>
        <v>7.5224344431840928E-5</v>
      </c>
      <c r="F89" s="108">
        <f>SUM(H89:O89)</f>
        <v>1.0609894866905274E-4</v>
      </c>
      <c r="G89" s="521">
        <f>SUM(S89:U89)/(1-'Common input data'!$B$121)</f>
        <v>1.2662483431083988E-4</v>
      </c>
      <c r="H89" s="85">
        <f>('Input data plant-based products'!$F$65*('Common input data'!$C$76*'Common input data'!B71+'Common input data'!$C$77*'Common input data'!C71))/'Input data plant-based products'!$E$65</f>
        <v>3.0613741711912104E-5</v>
      </c>
      <c r="I89" s="85">
        <v>0</v>
      </c>
      <c r="J89" s="85">
        <f>(SUM('Input data plant-based products'!F65:H65)*'Input data plant-based products'!$B$114*44/28)/'Input data plant-based products'!E65</f>
        <v>6.8385767665309931E-5</v>
      </c>
      <c r="K89" s="90">
        <f>J89*'Input data plant-based products'!$B$115</f>
        <v>6.8385767665309938E-6</v>
      </c>
      <c r="L89" s="85">
        <f>('Input data plant-based products'!$I$65*'Common input data'!$C$59*'Common input data'!H51)/'Input data plant-based products'!$E$65</f>
        <v>2.6086252529970421E-7</v>
      </c>
      <c r="M89" s="90">
        <v>0</v>
      </c>
      <c r="N89" s="90">
        <v>0</v>
      </c>
      <c r="O89" s="85">
        <v>0</v>
      </c>
      <c r="P89" s="85">
        <v>0</v>
      </c>
      <c r="Q89" s="90">
        <v>0</v>
      </c>
      <c r="R89" s="90">
        <v>0</v>
      </c>
      <c r="S89" s="90">
        <f>(F89+R89)</f>
        <v>1.0609894866905274E-4</v>
      </c>
      <c r="T89" s="90">
        <v>0</v>
      </c>
      <c r="U89" s="90">
        <v>0</v>
      </c>
      <c r="V89" s="430"/>
      <c r="W89" s="243"/>
      <c r="Z89" s="64"/>
    </row>
    <row r="90" spans="1:258" s="427" customFormat="1" ht="17.399999999999999" x14ac:dyDescent="0.3">
      <c r="A90" s="426" t="s">
        <v>609</v>
      </c>
      <c r="B90" s="412"/>
      <c r="C90" s="413"/>
      <c r="D90" s="414"/>
      <c r="E90" s="767" t="s">
        <v>812</v>
      </c>
      <c r="F90" s="768" t="s">
        <v>812</v>
      </c>
      <c r="G90" s="590" t="s">
        <v>812</v>
      </c>
      <c r="H90" s="413"/>
      <c r="I90" s="413"/>
      <c r="J90" s="413"/>
      <c r="K90" s="416"/>
      <c r="L90" s="416"/>
      <c r="M90" s="417"/>
      <c r="N90" s="416"/>
      <c r="O90" s="416"/>
      <c r="P90" s="416"/>
      <c r="Q90" s="416"/>
      <c r="R90" s="416"/>
      <c r="S90" s="416"/>
      <c r="T90" s="416"/>
      <c r="U90" s="416"/>
      <c r="V90" s="107"/>
      <c r="W90" s="243"/>
      <c r="X90" s="308"/>
      <c r="Y90" s="308"/>
      <c r="Z90" s="64"/>
      <c r="AA90" s="308"/>
      <c r="AB90" s="308"/>
      <c r="AC90" s="308"/>
      <c r="AD90" s="308"/>
      <c r="AE90" s="308"/>
      <c r="AF90" s="308"/>
      <c r="AG90" s="308"/>
      <c r="AH90" s="308"/>
      <c r="AI90" s="308"/>
      <c r="AJ90" s="308"/>
      <c r="AK90" s="308"/>
      <c r="AL90" s="308"/>
      <c r="AM90" s="308"/>
      <c r="AN90" s="308"/>
      <c r="AO90" s="308"/>
      <c r="AP90" s="308"/>
      <c r="AQ90" s="308"/>
      <c r="AR90" s="308"/>
      <c r="AS90" s="308"/>
      <c r="AT90" s="308"/>
      <c r="AU90" s="308"/>
      <c r="AV90" s="308"/>
      <c r="AW90" s="308"/>
      <c r="AX90" s="308"/>
      <c r="AY90" s="308"/>
      <c r="AZ90" s="308"/>
      <c r="BA90" s="308"/>
      <c r="BB90" s="308"/>
      <c r="BC90" s="308"/>
      <c r="BD90" s="308"/>
      <c r="BE90" s="308"/>
      <c r="BF90" s="308"/>
      <c r="BG90" s="308"/>
      <c r="BH90" s="308"/>
      <c r="BI90" s="308"/>
      <c r="BJ90" s="308"/>
      <c r="BK90" s="308"/>
      <c r="BL90" s="308"/>
      <c r="BM90" s="308"/>
      <c r="BN90" s="308"/>
      <c r="BO90" s="308"/>
      <c r="BP90" s="308"/>
      <c r="BQ90" s="308"/>
      <c r="BR90" s="308"/>
      <c r="BS90" s="308"/>
      <c r="BT90" s="308"/>
      <c r="BU90" s="308"/>
      <c r="BV90" s="308"/>
      <c r="BW90" s="308"/>
      <c r="BX90" s="308"/>
      <c r="BY90" s="308"/>
      <c r="BZ90" s="308"/>
      <c r="CA90" s="308"/>
      <c r="CB90" s="308"/>
      <c r="CC90" s="308"/>
      <c r="CD90" s="308"/>
      <c r="CE90" s="308"/>
      <c r="CF90" s="308"/>
      <c r="CG90" s="308"/>
      <c r="CH90" s="308"/>
      <c r="CI90" s="308"/>
      <c r="CJ90" s="308"/>
      <c r="CK90" s="308"/>
      <c r="CL90" s="308"/>
      <c r="CM90" s="308"/>
      <c r="CN90" s="308"/>
      <c r="CO90" s="308"/>
      <c r="CP90" s="308"/>
      <c r="CQ90" s="308"/>
      <c r="CR90" s="308"/>
      <c r="CS90" s="308"/>
      <c r="CT90" s="308"/>
      <c r="CU90" s="308"/>
      <c r="CV90" s="308"/>
      <c r="CW90" s="308"/>
      <c r="CX90" s="308"/>
      <c r="CY90" s="308"/>
      <c r="CZ90" s="308"/>
      <c r="DA90" s="308"/>
      <c r="DB90" s="308"/>
      <c r="DC90" s="308"/>
      <c r="DD90" s="308"/>
      <c r="DE90" s="308"/>
      <c r="DF90" s="308"/>
      <c r="DG90" s="308"/>
      <c r="DH90" s="308"/>
      <c r="DI90" s="308"/>
      <c r="DJ90" s="308"/>
      <c r="DK90" s="308"/>
      <c r="DL90" s="308"/>
      <c r="DM90" s="308"/>
      <c r="DN90" s="308"/>
      <c r="DO90" s="308"/>
      <c r="DP90" s="308"/>
      <c r="DQ90" s="308"/>
      <c r="DR90" s="308"/>
      <c r="DS90" s="308"/>
      <c r="DT90" s="308"/>
      <c r="DU90" s="308"/>
      <c r="DV90" s="308"/>
      <c r="DW90" s="308"/>
      <c r="DX90" s="308"/>
      <c r="DY90" s="308"/>
      <c r="DZ90" s="308"/>
      <c r="EA90" s="308"/>
      <c r="EB90" s="308"/>
      <c r="EC90" s="308"/>
      <c r="ED90" s="308"/>
      <c r="EE90" s="308"/>
      <c r="EF90" s="308"/>
      <c r="EG90" s="308"/>
      <c r="EH90" s="308"/>
      <c r="EI90" s="308"/>
      <c r="EJ90" s="308"/>
      <c r="EK90" s="308"/>
      <c r="EL90" s="308"/>
      <c r="EM90" s="308"/>
      <c r="EN90" s="308"/>
      <c r="EO90" s="308"/>
      <c r="EP90" s="308"/>
      <c r="EQ90" s="308"/>
      <c r="ER90" s="308"/>
      <c r="ES90" s="308"/>
      <c r="ET90" s="308"/>
      <c r="EU90" s="308"/>
      <c r="EV90" s="308"/>
      <c r="EW90" s="308"/>
      <c r="EX90" s="308"/>
      <c r="EY90" s="308"/>
      <c r="EZ90" s="308"/>
      <c r="FA90" s="308"/>
      <c r="FB90" s="308"/>
      <c r="FC90" s="308"/>
      <c r="FD90" s="308"/>
      <c r="FE90" s="308"/>
      <c r="FF90" s="308"/>
      <c r="FG90" s="308"/>
      <c r="FH90" s="308"/>
      <c r="FI90" s="308"/>
      <c r="FJ90" s="308"/>
      <c r="FK90" s="308"/>
      <c r="FL90" s="308"/>
      <c r="FM90" s="308"/>
      <c r="FN90" s="308"/>
      <c r="FO90" s="308"/>
      <c r="FP90" s="308"/>
      <c r="FQ90" s="308"/>
      <c r="FR90" s="308"/>
      <c r="FS90" s="308"/>
      <c r="FT90" s="308"/>
      <c r="FU90" s="308"/>
      <c r="FV90" s="308"/>
      <c r="FW90" s="308"/>
      <c r="FX90" s="308"/>
      <c r="FY90" s="308"/>
      <c r="FZ90" s="308"/>
      <c r="GA90" s="308"/>
      <c r="GB90" s="308"/>
      <c r="GC90" s="308"/>
      <c r="GD90" s="308"/>
      <c r="GE90" s="308"/>
      <c r="GF90" s="308"/>
      <c r="GG90" s="308"/>
      <c r="GH90" s="308"/>
      <c r="GI90" s="308"/>
      <c r="GJ90" s="308"/>
      <c r="GK90" s="308"/>
      <c r="GL90" s="308"/>
      <c r="GM90" s="308"/>
      <c r="GN90" s="308"/>
      <c r="GO90" s="308"/>
      <c r="GP90" s="308"/>
      <c r="GQ90" s="308"/>
      <c r="GR90" s="308"/>
      <c r="GS90" s="308"/>
      <c r="GT90" s="308"/>
      <c r="GU90" s="308"/>
      <c r="GV90" s="308"/>
      <c r="GW90" s="308"/>
      <c r="GX90" s="308"/>
      <c r="GY90" s="308"/>
      <c r="GZ90" s="308"/>
      <c r="HA90" s="308"/>
      <c r="HB90" s="308"/>
      <c r="HC90" s="308"/>
      <c r="HD90" s="308"/>
      <c r="HE90" s="308"/>
      <c r="HF90" s="308"/>
      <c r="HG90" s="308"/>
      <c r="HH90" s="308"/>
      <c r="HI90" s="308"/>
      <c r="HJ90" s="308"/>
      <c r="HK90" s="308"/>
      <c r="HL90" s="308"/>
      <c r="HM90" s="308"/>
      <c r="HN90" s="308"/>
      <c r="HO90" s="308"/>
      <c r="HP90" s="308"/>
      <c r="HQ90" s="308"/>
      <c r="HR90" s="308"/>
      <c r="HS90" s="308"/>
      <c r="HT90" s="308"/>
      <c r="HU90" s="308"/>
      <c r="HV90" s="308"/>
      <c r="HW90" s="308"/>
      <c r="HX90" s="308"/>
      <c r="HY90" s="308"/>
      <c r="HZ90" s="308"/>
      <c r="IA90" s="308"/>
      <c r="IB90" s="308"/>
      <c r="IC90" s="308"/>
      <c r="ID90" s="308"/>
      <c r="IE90" s="308"/>
      <c r="IF90" s="308"/>
      <c r="IG90" s="308"/>
      <c r="IH90" s="308"/>
      <c r="II90" s="308"/>
      <c r="IJ90" s="308"/>
      <c r="IK90" s="308"/>
      <c r="IL90" s="308"/>
      <c r="IM90" s="308"/>
      <c r="IN90" s="308"/>
      <c r="IO90" s="308"/>
      <c r="IP90" s="308"/>
      <c r="IQ90" s="308"/>
      <c r="IR90" s="308"/>
      <c r="IS90" s="308"/>
      <c r="IT90" s="308"/>
      <c r="IU90" s="308"/>
      <c r="IV90" s="308"/>
      <c r="IW90" s="308"/>
      <c r="IX90" s="308"/>
    </row>
    <row r="91" spans="1:258" s="420" customFormat="1" ht="17.399999999999999" x14ac:dyDescent="0.3">
      <c r="A91" s="122" t="s">
        <v>249</v>
      </c>
      <c r="B91" s="150"/>
      <c r="C91" s="110">
        <f>SUM(C95:C106)</f>
        <v>1</v>
      </c>
      <c r="D91" s="269" t="s">
        <v>473</v>
      </c>
      <c r="E91" s="769">
        <f>IF($F$1="GWP100 without fb",E92+E93*'Common input data'!$C$5+E94*'Common input data'!$D$5,IF($F$1="GWP100 with fb",E92+E93*'Common input data'!$C$6+E94*'Common input data'!$D$6,IF($F$1="GTP100 without fb",E92+E93*'Common input data'!$C$7+E94*'Common input data'!$D$7,IF($F$1="GTP100 with fb",E92+E93*'Common input data'!$C$8+E94*'Common input data'!$D$8,E92+E93*'Common input data'!$C$9+E94*'Common input data'!$D$9))))</f>
        <v>6.5449005034588906E-2</v>
      </c>
      <c r="F91" s="326">
        <f>IF($F$1="GWP100 without fb",F92+F93*'Common input data'!$C$5+F94*'Common input data'!$D$5,IF($F$1="GWP100 with fb",F92+F93*'Common input data'!$C$6+F94*'Common input data'!$D$6,IF($F$1="GTP100 without fb",F92+F93*'Common input data'!$C$7+F94*'Common input data'!$D$7,IF($F$1="GTP100 with fb",F92+F93*'Common input data'!$C$8+F94*'Common input data'!$D$8,F92+F93*'Common input data'!$C$9+F94*'Common input data'!$D$9))))</f>
        <v>0.15434647258496989</v>
      </c>
      <c r="G91" s="770">
        <f>IF($F$1="GWP100 without fb",G92+G93*'Common input data'!$C$5+G94*'Common input data'!$D$5,IF($F$1="GWP100 with fb",G92+G93*'Common input data'!$C$6+G94*'Common input data'!$D$6,IF($F$1="GTP100 without fb",G92+G93*'Common input data'!$C$7+G94*'Common input data'!$D$7,IF($F$1="GTP100 with fb",G92+G93*'Common input data'!$C$8+G94*'Common input data'!$D$8,G92+G93*'Common input data'!$C$9+G94*'Common input data'!$D$9))))</f>
        <v>0.32264765793647193</v>
      </c>
      <c r="H91" s="302"/>
      <c r="I91" s="104"/>
      <c r="J91" s="104"/>
      <c r="K91" s="102"/>
      <c r="L91" s="102"/>
      <c r="M91" s="102"/>
      <c r="N91" s="102"/>
      <c r="O91" s="102"/>
      <c r="P91" s="102"/>
      <c r="Q91" s="102"/>
      <c r="R91" s="102"/>
      <c r="S91" s="102"/>
      <c r="T91" s="102"/>
      <c r="U91" s="102"/>
      <c r="V91" s="107"/>
      <c r="W91" s="243"/>
      <c r="X91" s="308"/>
      <c r="Y91" s="308"/>
      <c r="Z91" s="64"/>
      <c r="AA91" s="308"/>
      <c r="AB91" s="308"/>
      <c r="AC91" s="308"/>
      <c r="AD91" s="308"/>
      <c r="AE91" s="308"/>
      <c r="AF91" s="308"/>
      <c r="AG91" s="308"/>
      <c r="AH91" s="308"/>
      <c r="AI91" s="308"/>
      <c r="AJ91" s="308"/>
      <c r="AK91" s="308"/>
      <c r="AL91" s="308"/>
      <c r="AM91" s="308"/>
      <c r="AN91" s="308"/>
      <c r="AO91" s="308"/>
      <c r="AP91" s="308"/>
      <c r="AQ91" s="308"/>
      <c r="AR91" s="308"/>
      <c r="AS91" s="308"/>
      <c r="AT91" s="308"/>
      <c r="AU91" s="308"/>
      <c r="AV91" s="308"/>
      <c r="AW91" s="308"/>
      <c r="AX91" s="308"/>
      <c r="AY91" s="308"/>
      <c r="AZ91" s="308"/>
      <c r="BA91" s="308"/>
      <c r="BB91" s="308"/>
      <c r="BC91" s="308"/>
      <c r="BD91" s="308"/>
      <c r="BE91" s="308"/>
      <c r="BF91" s="308"/>
      <c r="BG91" s="308"/>
      <c r="BH91" s="308"/>
      <c r="BI91" s="308"/>
      <c r="BJ91" s="308"/>
      <c r="BK91" s="308"/>
      <c r="BL91" s="308"/>
      <c r="BM91" s="308"/>
      <c r="BN91" s="308"/>
      <c r="BO91" s="308"/>
      <c r="BP91" s="308"/>
      <c r="BQ91" s="308"/>
      <c r="BR91" s="308"/>
      <c r="BS91" s="308"/>
      <c r="BT91" s="308"/>
      <c r="BU91" s="308"/>
      <c r="BV91" s="308"/>
      <c r="BW91" s="308"/>
      <c r="BX91" s="308"/>
      <c r="BY91" s="308"/>
      <c r="BZ91" s="308"/>
      <c r="CA91" s="308"/>
      <c r="CB91" s="308"/>
      <c r="CC91" s="308"/>
      <c r="CD91" s="308"/>
      <c r="CE91" s="308"/>
      <c r="CF91" s="308"/>
      <c r="CG91" s="308"/>
      <c r="CH91" s="308"/>
      <c r="CI91" s="308"/>
      <c r="CJ91" s="308"/>
      <c r="CK91" s="308"/>
      <c r="CL91" s="308"/>
      <c r="CM91" s="308"/>
      <c r="CN91" s="308"/>
      <c r="CO91" s="308"/>
      <c r="CP91" s="308"/>
      <c r="CQ91" s="308"/>
      <c r="CR91" s="308"/>
      <c r="CS91" s="308"/>
      <c r="CT91" s="308"/>
      <c r="CU91" s="308"/>
      <c r="CV91" s="308"/>
      <c r="CW91" s="308"/>
      <c r="CX91" s="308"/>
      <c r="CY91" s="308"/>
      <c r="CZ91" s="308"/>
      <c r="DA91" s="308"/>
      <c r="DB91" s="308"/>
      <c r="DC91" s="308"/>
      <c r="DD91" s="308"/>
      <c r="DE91" s="308"/>
      <c r="DF91" s="308"/>
      <c r="DG91" s="308"/>
      <c r="DH91" s="308"/>
      <c r="DI91" s="308"/>
      <c r="DJ91" s="308"/>
      <c r="DK91" s="308"/>
      <c r="DL91" s="308"/>
      <c r="DM91" s="308"/>
      <c r="DN91" s="308"/>
      <c r="DO91" s="308"/>
      <c r="DP91" s="308"/>
      <c r="DQ91" s="308"/>
      <c r="DR91" s="308"/>
      <c r="DS91" s="308"/>
      <c r="DT91" s="308"/>
      <c r="DU91" s="308"/>
      <c r="DV91" s="308"/>
      <c r="DW91" s="308"/>
      <c r="DX91" s="308"/>
      <c r="DY91" s="308"/>
      <c r="DZ91" s="308"/>
      <c r="EA91" s="308"/>
      <c r="EB91" s="308"/>
      <c r="EC91" s="308"/>
      <c r="ED91" s="308"/>
      <c r="EE91" s="308"/>
      <c r="EF91" s="308"/>
      <c r="EG91" s="308"/>
      <c r="EH91" s="308"/>
      <c r="EI91" s="308"/>
      <c r="EJ91" s="308"/>
      <c r="EK91" s="308"/>
      <c r="EL91" s="308"/>
      <c r="EM91" s="308"/>
      <c r="EN91" s="308"/>
      <c r="EO91" s="308"/>
      <c r="EP91" s="308"/>
      <c r="EQ91" s="308"/>
      <c r="ER91" s="308"/>
      <c r="ES91" s="308"/>
      <c r="ET91" s="308"/>
      <c r="EU91" s="308"/>
      <c r="EV91" s="308"/>
      <c r="EW91" s="308"/>
      <c r="EX91" s="308"/>
      <c r="EY91" s="308"/>
      <c r="EZ91" s="308"/>
      <c r="FA91" s="308"/>
      <c r="FB91" s="308"/>
      <c r="FC91" s="308"/>
      <c r="FD91" s="308"/>
      <c r="FE91" s="308"/>
      <c r="FF91" s="308"/>
      <c r="FG91" s="308"/>
      <c r="FH91" s="308"/>
      <c r="FI91" s="308"/>
      <c r="FJ91" s="308"/>
      <c r="FK91" s="308"/>
      <c r="FL91" s="308"/>
      <c r="FM91" s="308"/>
      <c r="FN91" s="308"/>
      <c r="FO91" s="308"/>
      <c r="FP91" s="308"/>
      <c r="FQ91" s="308"/>
      <c r="FR91" s="308"/>
      <c r="FS91" s="308"/>
      <c r="FT91" s="308"/>
      <c r="FU91" s="308"/>
      <c r="FV91" s="308"/>
      <c r="FW91" s="308"/>
      <c r="FX91" s="308"/>
      <c r="FY91" s="308"/>
      <c r="FZ91" s="308"/>
      <c r="GA91" s="308"/>
      <c r="GB91" s="308"/>
      <c r="GC91" s="308"/>
      <c r="GD91" s="308"/>
      <c r="GE91" s="308"/>
      <c r="GF91" s="308"/>
      <c r="GG91" s="308"/>
      <c r="GH91" s="308"/>
      <c r="GI91" s="308"/>
      <c r="GJ91" s="308"/>
      <c r="GK91" s="308"/>
      <c r="GL91" s="308"/>
      <c r="GM91" s="308"/>
      <c r="GN91" s="308"/>
      <c r="GO91" s="308"/>
      <c r="GP91" s="308"/>
      <c r="GQ91" s="308"/>
      <c r="GR91" s="308"/>
      <c r="GS91" s="308"/>
      <c r="GT91" s="308"/>
      <c r="GU91" s="308"/>
      <c r="GV91" s="308"/>
      <c r="GW91" s="308"/>
      <c r="GX91" s="308"/>
      <c r="GY91" s="308"/>
      <c r="GZ91" s="308"/>
      <c r="HA91" s="308"/>
      <c r="HB91" s="308"/>
      <c r="HC91" s="308"/>
      <c r="HD91" s="308"/>
      <c r="HE91" s="308"/>
      <c r="HF91" s="308"/>
      <c r="HG91" s="308"/>
      <c r="HH91" s="308"/>
      <c r="HI91" s="308"/>
      <c r="HJ91" s="308"/>
      <c r="HK91" s="308"/>
      <c r="HL91" s="308"/>
      <c r="HM91" s="308"/>
      <c r="HN91" s="308"/>
      <c r="HO91" s="308"/>
      <c r="HP91" s="308"/>
      <c r="HQ91" s="308"/>
      <c r="HR91" s="308"/>
      <c r="HS91" s="308"/>
      <c r="HT91" s="308"/>
      <c r="HU91" s="308"/>
      <c r="HV91" s="308"/>
      <c r="HW91" s="308"/>
      <c r="HX91" s="308"/>
      <c r="HY91" s="308"/>
      <c r="HZ91" s="308"/>
      <c r="IA91" s="308"/>
      <c r="IB91" s="308"/>
      <c r="IC91" s="308"/>
      <c r="ID91" s="308"/>
      <c r="IE91" s="308"/>
      <c r="IF91" s="308"/>
      <c r="IG91" s="308"/>
      <c r="IH91" s="308"/>
      <c r="II91" s="308"/>
      <c r="IJ91" s="308"/>
      <c r="IK91" s="308"/>
      <c r="IL91" s="308"/>
      <c r="IM91" s="308"/>
      <c r="IN91" s="308"/>
      <c r="IO91" s="308"/>
      <c r="IP91" s="308"/>
      <c r="IQ91" s="308"/>
      <c r="IR91" s="308"/>
      <c r="IS91" s="308"/>
      <c r="IT91" s="308"/>
      <c r="IU91" s="308"/>
      <c r="IV91" s="308"/>
      <c r="IW91" s="308"/>
      <c r="IX91" s="308"/>
    </row>
    <row r="92" spans="1:258" s="308" customFormat="1" ht="17.399999999999999" x14ac:dyDescent="0.3">
      <c r="A92" s="103"/>
      <c r="B92" s="84"/>
      <c r="C92" s="64"/>
      <c r="D92" s="83" t="s">
        <v>164</v>
      </c>
      <c r="E92" s="270">
        <f t="shared" ref="E92:G94" si="8">E96*$C$95+E100*$C$99+$C$103*E104</f>
        <v>3.9989486962957101E-2</v>
      </c>
      <c r="F92" s="90">
        <f t="shared" si="8"/>
        <v>0.11528829375182964</v>
      </c>
      <c r="G92" s="278">
        <f t="shared" si="8"/>
        <v>0.27603329007259769</v>
      </c>
      <c r="H92" s="90">
        <f t="shared" ref="H92:U94" si="9">H96*$C$95+H100*$C$99+$C$103*H104</f>
        <v>1.0344634058539118E-2</v>
      </c>
      <c r="I92" s="90">
        <f t="shared" si="9"/>
        <v>2.9999999999999995E-2</v>
      </c>
      <c r="J92" s="90">
        <f t="shared" si="9"/>
        <v>0</v>
      </c>
      <c r="K92" s="90">
        <f t="shared" si="9"/>
        <v>0</v>
      </c>
      <c r="L92" s="90">
        <f t="shared" si="9"/>
        <v>1.4954172730333422E-2</v>
      </c>
      <c r="M92" s="90">
        <f t="shared" si="9"/>
        <v>0</v>
      </c>
      <c r="N92" s="90">
        <f t="shared" si="9"/>
        <v>1.9999999999999997E-2</v>
      </c>
      <c r="O92" s="90">
        <f t="shared" si="9"/>
        <v>0</v>
      </c>
      <c r="P92" s="90">
        <f t="shared" si="9"/>
        <v>3.9989486962957101E-2</v>
      </c>
      <c r="Q92" s="90">
        <f t="shared" si="9"/>
        <v>0</v>
      </c>
      <c r="R92" s="90">
        <f t="shared" si="9"/>
        <v>0</v>
      </c>
      <c r="S92" s="90">
        <f t="shared" si="9"/>
        <v>0.11528829375182964</v>
      </c>
      <c r="T92" s="90">
        <f t="shared" si="9"/>
        <v>0.05</v>
      </c>
      <c r="U92" s="90">
        <f t="shared" si="9"/>
        <v>6.6000000000000003E-2</v>
      </c>
      <c r="V92" s="107"/>
      <c r="W92" s="243"/>
      <c r="Z92" s="64"/>
    </row>
    <row r="93" spans="1:258" s="308" customFormat="1" ht="17.399999999999999" x14ac:dyDescent="0.3">
      <c r="A93" s="103"/>
      <c r="B93" s="84"/>
      <c r="C93" s="142"/>
      <c r="D93" s="83" t="s">
        <v>165</v>
      </c>
      <c r="E93" s="270">
        <f t="shared" si="8"/>
        <v>0</v>
      </c>
      <c r="F93" s="90">
        <f t="shared" si="8"/>
        <v>6.6242250046518025E-6</v>
      </c>
      <c r="G93" s="278">
        <f t="shared" si="8"/>
        <v>7.9057465146817086E-6</v>
      </c>
      <c r="H93" s="90">
        <f t="shared" si="9"/>
        <v>3.0735406371842455E-11</v>
      </c>
      <c r="I93" s="90">
        <f t="shared" si="9"/>
        <v>0</v>
      </c>
      <c r="J93" s="90">
        <f t="shared" si="9"/>
        <v>0</v>
      </c>
      <c r="K93" s="90">
        <f t="shared" si="9"/>
        <v>0</v>
      </c>
      <c r="L93" s="90">
        <f t="shared" si="9"/>
        <v>6.6241942692454307E-6</v>
      </c>
      <c r="M93" s="90">
        <f t="shared" si="9"/>
        <v>0</v>
      </c>
      <c r="N93" s="90">
        <f t="shared" si="9"/>
        <v>0</v>
      </c>
      <c r="O93" s="90">
        <f t="shared" si="9"/>
        <v>0</v>
      </c>
      <c r="P93" s="90">
        <f t="shared" si="9"/>
        <v>0</v>
      </c>
      <c r="Q93" s="90">
        <f t="shared" si="9"/>
        <v>0</v>
      </c>
      <c r="R93" s="90">
        <f t="shared" si="9"/>
        <v>0</v>
      </c>
      <c r="S93" s="90">
        <f t="shared" si="9"/>
        <v>6.6242250046518025E-6</v>
      </c>
      <c r="T93" s="90">
        <f t="shared" si="9"/>
        <v>0</v>
      </c>
      <c r="U93" s="90">
        <f t="shared" si="9"/>
        <v>0</v>
      </c>
      <c r="V93" s="107"/>
      <c r="W93" s="243"/>
      <c r="Z93" s="64"/>
    </row>
    <row r="94" spans="1:258" s="308" customFormat="1" ht="17.399999999999999" x14ac:dyDescent="0.3">
      <c r="A94" s="107"/>
      <c r="B94" s="206"/>
      <c r="C94" s="85"/>
      <c r="D94" s="84" t="s">
        <v>166</v>
      </c>
      <c r="E94" s="270">
        <f t="shared" si="8"/>
        <v>8.5434624401448998E-5</v>
      </c>
      <c r="F94" s="90">
        <f t="shared" si="8"/>
        <v>1.3031193014423519E-4</v>
      </c>
      <c r="G94" s="278">
        <f t="shared" si="8"/>
        <v>1.5552205530998349E-4</v>
      </c>
      <c r="H94" s="90">
        <f t="shared" si="9"/>
        <v>4.4475481291128124E-5</v>
      </c>
      <c r="I94" s="90">
        <f t="shared" si="9"/>
        <v>0</v>
      </c>
      <c r="J94" s="90">
        <f t="shared" si="9"/>
        <v>7.7667840364953623E-5</v>
      </c>
      <c r="K94" s="90">
        <f t="shared" si="9"/>
        <v>7.7667840364953644E-6</v>
      </c>
      <c r="L94" s="90">
        <f t="shared" si="9"/>
        <v>4.0182445165806353E-7</v>
      </c>
      <c r="M94" s="90">
        <f t="shared" si="9"/>
        <v>0</v>
      </c>
      <c r="N94" s="90">
        <f t="shared" si="9"/>
        <v>0</v>
      </c>
      <c r="O94" s="90">
        <f t="shared" si="9"/>
        <v>0</v>
      </c>
      <c r="P94" s="90">
        <f t="shared" si="9"/>
        <v>0</v>
      </c>
      <c r="Q94" s="90">
        <f t="shared" si="9"/>
        <v>0</v>
      </c>
      <c r="R94" s="90">
        <f t="shared" si="9"/>
        <v>0</v>
      </c>
      <c r="S94" s="90">
        <f t="shared" si="9"/>
        <v>1.3031193014423519E-4</v>
      </c>
      <c r="T94" s="90">
        <f t="shared" si="9"/>
        <v>0</v>
      </c>
      <c r="U94" s="90">
        <f t="shared" si="9"/>
        <v>0</v>
      </c>
      <c r="V94" s="107"/>
      <c r="W94" s="243"/>
      <c r="Z94" s="64"/>
    </row>
    <row r="95" spans="1:258" s="420" customFormat="1" ht="17.399999999999999" x14ac:dyDescent="0.3">
      <c r="A95" s="122" t="s">
        <v>1</v>
      </c>
      <c r="B95" s="150" t="s">
        <v>225</v>
      </c>
      <c r="C95" s="111">
        <f>'Input data plant-based products'!D35</f>
        <v>0.82</v>
      </c>
      <c r="D95" s="269" t="s">
        <v>473</v>
      </c>
      <c r="E95" s="320">
        <f>IF($F$1="GWP100 without fb",E96+E97*'Common input data'!$C$5+E98*'Common input data'!$D$5,IF($F$1="GWP100 with fb",E96+E97*'Common input data'!$C$6+E98*'Common input data'!$D$6,IF($F$1="GTP100 without fb",E96+E97*'Common input data'!$C$7+E98*'Common input data'!$D$7,IF($F$1="GTP100 with fb",E96+E97*'Common input data'!$C$8+E98*'Common input data'!$D$8,E96+E97*'Common input data'!$C$9+E98*'Common input data'!$D$9))))</f>
        <v>6.6126513172162893E-2</v>
      </c>
      <c r="F95" s="302">
        <f>IF($F$1="GWP100 without fb",F96+F97*'Common input data'!$C$5+F98*'Common input data'!$D$5,IF($F$1="GWP100 with fb",F96+F97*'Common input data'!$C$6+F98*'Common input data'!$D$6,IF($F$1="GTP100 without fb",F96+F97*'Common input data'!$C$7+F98*'Common input data'!$D$7,IF($F$1="GTP100 with fb",F96+F97*'Common input data'!$C$8+F98*'Common input data'!$D$8,F96+F97*'Common input data'!$C$9+F98*'Common input data'!$D$9))))</f>
        <v>0.15464146915955923</v>
      </c>
      <c r="G95" s="321">
        <f>IF($F$1="GWP100 without fb",G96+G97*'Common input data'!$C$5+G98*'Common input data'!$D$5,IF($F$1="GWP100 with fb",G96+G97*'Common input data'!$C$6+G98*'Common input data'!$D$6,IF($F$1="GTP100 without fb",G96+G97*'Common input data'!$C$7+G98*'Common input data'!$D$7,IF($F$1="GTP100 with fb",G96+G97*'Common input data'!$C$8+G98*'Common input data'!$D$8,G96+G97*'Common input data'!$C$9+G98*'Common input data'!$D$9))))</f>
        <v>0.2800351702584547</v>
      </c>
      <c r="H95" s="102"/>
      <c r="I95" s="102"/>
      <c r="J95" s="102"/>
      <c r="K95" s="102"/>
      <c r="L95" s="102"/>
      <c r="M95" s="102"/>
      <c r="N95" s="102"/>
      <c r="O95" s="102"/>
      <c r="P95" s="102"/>
      <c r="Q95" s="102"/>
      <c r="R95" s="102"/>
      <c r="S95" s="102"/>
      <c r="T95" s="102"/>
      <c r="U95" s="102"/>
      <c r="V95" s="107"/>
      <c r="W95" s="243"/>
      <c r="X95" s="308"/>
      <c r="Y95" s="308"/>
      <c r="Z95" s="64"/>
      <c r="AA95" s="308"/>
      <c r="AB95" s="308"/>
      <c r="AC95" s="308"/>
      <c r="AD95" s="308"/>
      <c r="AE95" s="308"/>
      <c r="AF95" s="308"/>
      <c r="AG95" s="308"/>
      <c r="AH95" s="308"/>
      <c r="AI95" s="308"/>
      <c r="AJ95" s="308"/>
      <c r="AK95" s="308"/>
      <c r="AL95" s="308"/>
      <c r="AM95" s="308"/>
      <c r="AN95" s="308"/>
      <c r="AO95" s="308"/>
      <c r="AP95" s="308"/>
      <c r="AQ95" s="308"/>
      <c r="AR95" s="308"/>
      <c r="AS95" s="308"/>
      <c r="AT95" s="308"/>
      <c r="AU95" s="308"/>
      <c r="AV95" s="308"/>
      <c r="AW95" s="308"/>
      <c r="AX95" s="308"/>
      <c r="AY95" s="308"/>
      <c r="AZ95" s="308"/>
      <c r="BA95" s="308"/>
      <c r="BB95" s="308"/>
      <c r="BC95" s="308"/>
      <c r="BD95" s="308"/>
      <c r="BE95" s="308"/>
      <c r="BF95" s="308"/>
      <c r="BG95" s="308"/>
      <c r="BH95" s="308"/>
      <c r="BI95" s="308"/>
      <c r="BJ95" s="308"/>
      <c r="BK95" s="308"/>
      <c r="BL95" s="308"/>
      <c r="BM95" s="308"/>
      <c r="BN95" s="308"/>
      <c r="BO95" s="308"/>
      <c r="BP95" s="308"/>
      <c r="BQ95" s="308"/>
      <c r="BR95" s="308"/>
      <c r="BS95" s="308"/>
      <c r="BT95" s="308"/>
      <c r="BU95" s="308"/>
      <c r="BV95" s="308"/>
      <c r="BW95" s="308"/>
      <c r="BX95" s="308"/>
      <c r="BY95" s="308"/>
      <c r="BZ95" s="308"/>
      <c r="CA95" s="308"/>
      <c r="CB95" s="308"/>
      <c r="CC95" s="308"/>
      <c r="CD95" s="308"/>
      <c r="CE95" s="308"/>
      <c r="CF95" s="308"/>
      <c r="CG95" s="308"/>
      <c r="CH95" s="308"/>
      <c r="CI95" s="308"/>
      <c r="CJ95" s="308"/>
      <c r="CK95" s="308"/>
      <c r="CL95" s="308"/>
      <c r="CM95" s="308"/>
      <c r="CN95" s="308"/>
      <c r="CO95" s="308"/>
      <c r="CP95" s="308"/>
      <c r="CQ95" s="308"/>
      <c r="CR95" s="308"/>
      <c r="CS95" s="308"/>
      <c r="CT95" s="308"/>
      <c r="CU95" s="308"/>
      <c r="CV95" s="308"/>
      <c r="CW95" s="308"/>
      <c r="CX95" s="308"/>
      <c r="CY95" s="308"/>
      <c r="CZ95" s="308"/>
      <c r="DA95" s="308"/>
      <c r="DB95" s="308"/>
      <c r="DC95" s="308"/>
      <c r="DD95" s="308"/>
      <c r="DE95" s="308"/>
      <c r="DF95" s="308"/>
      <c r="DG95" s="308"/>
      <c r="DH95" s="308"/>
      <c r="DI95" s="308"/>
      <c r="DJ95" s="308"/>
      <c r="DK95" s="308"/>
      <c r="DL95" s="308"/>
      <c r="DM95" s="308"/>
      <c r="DN95" s="308"/>
      <c r="DO95" s="308"/>
      <c r="DP95" s="308"/>
      <c r="DQ95" s="308"/>
      <c r="DR95" s="308"/>
      <c r="DS95" s="308"/>
      <c r="DT95" s="308"/>
      <c r="DU95" s="308"/>
      <c r="DV95" s="308"/>
      <c r="DW95" s="308"/>
      <c r="DX95" s="308"/>
      <c r="DY95" s="308"/>
      <c r="DZ95" s="308"/>
      <c r="EA95" s="308"/>
      <c r="EB95" s="308"/>
      <c r="EC95" s="308"/>
      <c r="ED95" s="308"/>
      <c r="EE95" s="308"/>
      <c r="EF95" s="308"/>
      <c r="EG95" s="308"/>
      <c r="EH95" s="308"/>
      <c r="EI95" s="308"/>
      <c r="EJ95" s="308"/>
      <c r="EK95" s="308"/>
      <c r="EL95" s="308"/>
      <c r="EM95" s="308"/>
      <c r="EN95" s="308"/>
      <c r="EO95" s="308"/>
      <c r="EP95" s="308"/>
      <c r="EQ95" s="308"/>
      <c r="ER95" s="308"/>
      <c r="ES95" s="308"/>
      <c r="ET95" s="308"/>
      <c r="EU95" s="308"/>
      <c r="EV95" s="308"/>
      <c r="EW95" s="308"/>
      <c r="EX95" s="308"/>
      <c r="EY95" s="308"/>
      <c r="EZ95" s="308"/>
      <c r="FA95" s="308"/>
      <c r="FB95" s="308"/>
      <c r="FC95" s="308"/>
      <c r="FD95" s="308"/>
      <c r="FE95" s="308"/>
      <c r="FF95" s="308"/>
      <c r="FG95" s="308"/>
      <c r="FH95" s="308"/>
      <c r="FI95" s="308"/>
      <c r="FJ95" s="308"/>
      <c r="FK95" s="308"/>
      <c r="FL95" s="308"/>
      <c r="FM95" s="308"/>
      <c r="FN95" s="308"/>
      <c r="FO95" s="308"/>
      <c r="FP95" s="308"/>
      <c r="FQ95" s="308"/>
      <c r="FR95" s="308"/>
      <c r="FS95" s="308"/>
      <c r="FT95" s="308"/>
      <c r="FU95" s="308"/>
      <c r="FV95" s="308"/>
      <c r="FW95" s="308"/>
      <c r="FX95" s="308"/>
      <c r="FY95" s="308"/>
      <c r="FZ95" s="308"/>
      <c r="GA95" s="308"/>
      <c r="GB95" s="308"/>
      <c r="GC95" s="308"/>
      <c r="GD95" s="308"/>
      <c r="GE95" s="308"/>
      <c r="GF95" s="308"/>
      <c r="GG95" s="308"/>
      <c r="GH95" s="308"/>
      <c r="GI95" s="308"/>
      <c r="GJ95" s="308"/>
      <c r="GK95" s="308"/>
      <c r="GL95" s="308"/>
      <c r="GM95" s="308"/>
      <c r="GN95" s="308"/>
      <c r="GO95" s="308"/>
      <c r="GP95" s="308"/>
      <c r="GQ95" s="308"/>
      <c r="GR95" s="308"/>
      <c r="GS95" s="308"/>
      <c r="GT95" s="308"/>
      <c r="GU95" s="308"/>
      <c r="GV95" s="308"/>
      <c r="GW95" s="308"/>
      <c r="GX95" s="308"/>
      <c r="GY95" s="308"/>
      <c r="GZ95" s="308"/>
      <c r="HA95" s="308"/>
      <c r="HB95" s="308"/>
      <c r="HC95" s="308"/>
      <c r="HD95" s="308"/>
      <c r="HE95" s="308"/>
      <c r="HF95" s="308"/>
      <c r="HG95" s="308"/>
      <c r="HH95" s="308"/>
      <c r="HI95" s="308"/>
      <c r="HJ95" s="308"/>
      <c r="HK95" s="308"/>
      <c r="HL95" s="308"/>
      <c r="HM95" s="308"/>
      <c r="HN95" s="308"/>
      <c r="HO95" s="308"/>
      <c r="HP95" s="308"/>
      <c r="HQ95" s="308"/>
      <c r="HR95" s="308"/>
      <c r="HS95" s="308"/>
      <c r="HT95" s="308"/>
      <c r="HU95" s="308"/>
      <c r="HV95" s="308"/>
      <c r="HW95" s="308"/>
      <c r="HX95" s="308"/>
      <c r="HY95" s="308"/>
      <c r="HZ95" s="308"/>
      <c r="IA95" s="308"/>
      <c r="IB95" s="308"/>
      <c r="IC95" s="308"/>
      <c r="ID95" s="308"/>
      <c r="IE95" s="308"/>
      <c r="IF95" s="308"/>
      <c r="IG95" s="308"/>
      <c r="IH95" s="308"/>
      <c r="II95" s="308"/>
      <c r="IJ95" s="308"/>
      <c r="IK95" s="308"/>
      <c r="IL95" s="308"/>
      <c r="IM95" s="308"/>
      <c r="IN95" s="308"/>
      <c r="IO95" s="308"/>
      <c r="IP95" s="308"/>
      <c r="IQ95" s="308"/>
      <c r="IR95" s="308"/>
      <c r="IS95" s="308"/>
      <c r="IT95" s="308"/>
      <c r="IU95" s="308"/>
      <c r="IV95" s="308"/>
      <c r="IW95" s="308"/>
      <c r="IX95" s="308"/>
    </row>
    <row r="96" spans="1:258" s="308" customFormat="1" ht="17.399999999999999" x14ac:dyDescent="0.3">
      <c r="A96" s="103"/>
      <c r="B96" s="84"/>
      <c r="C96" s="64"/>
      <c r="D96" s="83" t="s">
        <v>164</v>
      </c>
      <c r="E96" s="270">
        <f>IF(AND($F$2="No",$F$3="No"),SUM(J96:K96),IF(AND($F$2="Yes", $F$3="No"), SUM(J96:K96)+Q96, IF(AND($F$2="No", $F$3="Yes"),SUM(J96:K96)+P96, SUM(J96:K96)+Q96+P96)))</f>
        <v>3.9989486962957101E-2</v>
      </c>
      <c r="F96" s="90">
        <f>IF(AND($F$2="No",$F$3="No"),SUM(H96:O96),IF(AND($F$2="Yes", $F$3="No"), SUM(H96:O96)+Q96, IF(AND($F$2="No", $F$3="Yes"),SUM(H96:O96)+P96, SUM(H96:O96)+Q96+P96)))</f>
        <v>0.11547982186773759</v>
      </c>
      <c r="G96" s="278">
        <f>SUM(S96:U96)/(1-'Common input data'!$B$121)</f>
        <v>0.23329731694442962</v>
      </c>
      <c r="H96" s="90">
        <f>('Input data plant-based products'!$F$35*('Common input data'!$B$76*'Common input data'!B69+'Common input data'!$B$77*'Common input data'!C69))/'Input data plant-based products'!$E$35</f>
        <v>1.0474531405021286E-2</v>
      </c>
      <c r="I96" s="90">
        <f>'Common input data'!$B$81</f>
        <v>0.03</v>
      </c>
      <c r="J96" s="90">
        <v>0</v>
      </c>
      <c r="K96" s="90">
        <v>0</v>
      </c>
      <c r="L96" s="90">
        <f>('Input data plant-based products'!$I$35*'Common input data'!$C$59*'Common input data'!H49)/'Input data plant-based products'!$E$35</f>
        <v>1.501580349975919E-2</v>
      </c>
      <c r="M96" s="90">
        <v>0</v>
      </c>
      <c r="N96" s="90">
        <f>'Input data plant-based products'!$G$152</f>
        <v>0.02</v>
      </c>
      <c r="O96" s="90">
        <v>0</v>
      </c>
      <c r="P96" s="90">
        <f>'Common input data'!$E$13</f>
        <v>3.9989486962957101E-2</v>
      </c>
      <c r="Q96" s="90">
        <v>0</v>
      </c>
      <c r="R96" s="90">
        <v>0</v>
      </c>
      <c r="S96" s="90">
        <f>(F96+R96)</f>
        <v>0.11547982186773759</v>
      </c>
      <c r="T96" s="90">
        <f>'Common input data'!$B$88</f>
        <v>0.05</v>
      </c>
      <c r="U96" s="90">
        <f>'Common input data'!C98</f>
        <v>0.03</v>
      </c>
      <c r="V96" s="107"/>
      <c r="W96" s="243"/>
      <c r="Z96" s="64"/>
    </row>
    <row r="97" spans="1:258" s="308" customFormat="1" ht="17.399999999999999" x14ac:dyDescent="0.3">
      <c r="A97" s="107"/>
      <c r="B97" s="84"/>
      <c r="C97" s="142"/>
      <c r="D97" s="83" t="s">
        <v>165</v>
      </c>
      <c r="E97" s="270">
        <f>SUM(J97:K97)</f>
        <v>0</v>
      </c>
      <c r="F97" s="90">
        <f>SUM(H97:O97)</f>
        <v>6.6515226646973841E-6</v>
      </c>
      <c r="G97" s="278">
        <f>SUM(S97:U97)/(1-'Common input data'!$B$121)</f>
        <v>7.9383251756741673E-6</v>
      </c>
      <c r="H97" s="90">
        <f>('Input data plant-based products'!$F$35*('Common input data'!$B$76*'Common input data'!B70+'Common input data'!$B$77*'Common input data'!C70))/'Input data plant-based products'!$E$35</f>
        <v>2.8042767699470222E-11</v>
      </c>
      <c r="I97" s="90">
        <v>0</v>
      </c>
      <c r="J97" s="90">
        <v>0</v>
      </c>
      <c r="K97" s="90">
        <v>0</v>
      </c>
      <c r="L97" s="90">
        <f>('Input data plant-based products'!$I$35*'Common input data'!$C$59*'Common input data'!H50)/'Input data plant-based products'!$E$35</f>
        <v>6.6514946219296844E-6</v>
      </c>
      <c r="M97" s="90">
        <v>0</v>
      </c>
      <c r="N97" s="90">
        <v>0</v>
      </c>
      <c r="O97" s="90">
        <v>0</v>
      </c>
      <c r="P97" s="90">
        <v>0</v>
      </c>
      <c r="Q97" s="90">
        <v>0</v>
      </c>
      <c r="R97" s="90">
        <v>0</v>
      </c>
      <c r="S97" s="90">
        <f>(F97+R97)</f>
        <v>6.6515226646973841E-6</v>
      </c>
      <c r="T97" s="90">
        <v>0</v>
      </c>
      <c r="U97" s="90">
        <v>0</v>
      </c>
      <c r="V97" s="107"/>
      <c r="W97" s="243"/>
      <c r="Z97" s="64"/>
    </row>
    <row r="98" spans="1:258" s="308" customFormat="1" ht="17.399999999999999" x14ac:dyDescent="0.3">
      <c r="A98" s="174"/>
      <c r="B98" s="206"/>
      <c r="C98" s="85"/>
      <c r="D98" s="84" t="s">
        <v>166</v>
      </c>
      <c r="E98" s="270">
        <f>SUM(J98:K98)</f>
        <v>8.7708141641630155E-5</v>
      </c>
      <c r="F98" s="90">
        <f>SUM(H98:O98)</f>
        <v>1.3065602523899971E-4</v>
      </c>
      <c r="G98" s="278">
        <f>SUM(S98:U98)/(1-'Common input data'!$B$121)</f>
        <v>1.5593271898675225E-4</v>
      </c>
      <c r="H98" s="90">
        <f>('Input data plant-based products'!$F$35*('Common input data'!$B$76*'Common input data'!B71+'Common input data'!$B$77*'Common input data'!C71))/'Input data plant-based products'!$E$35</f>
        <v>4.2544403102908174E-5</v>
      </c>
      <c r="I98" s="90">
        <v>0</v>
      </c>
      <c r="J98" s="90">
        <f>(SUM('Input data plant-based products'!F35:H35)*'Input data plant-based products'!$B$114*44/28)/'Input data plant-based products'!E35</f>
        <v>7.9734674219663775E-5</v>
      </c>
      <c r="K98" s="90">
        <f>J98*'Input data plant-based products'!$B$115</f>
        <v>7.9734674219663785E-6</v>
      </c>
      <c r="L98" s="90">
        <f>('Input data plant-based products'!$I$35*'Common input data'!$C$59*'Common input data'!H51)/'Input data plant-based products'!$E$35</f>
        <v>4.0348049446139028E-7</v>
      </c>
      <c r="M98" s="90">
        <v>0</v>
      </c>
      <c r="N98" s="90">
        <v>0</v>
      </c>
      <c r="O98" s="90">
        <v>0</v>
      </c>
      <c r="P98" s="90">
        <v>0</v>
      </c>
      <c r="Q98" s="90">
        <v>0</v>
      </c>
      <c r="R98" s="90">
        <v>0</v>
      </c>
      <c r="S98" s="90">
        <f>(F98+R98)</f>
        <v>1.3065602523899971E-4</v>
      </c>
      <c r="T98" s="90">
        <v>0</v>
      </c>
      <c r="U98" s="90">
        <v>0</v>
      </c>
      <c r="V98" s="107"/>
      <c r="W98" s="243"/>
      <c r="Z98" s="64"/>
    </row>
    <row r="99" spans="1:258" s="420" customFormat="1" ht="17.399999999999999" x14ac:dyDescent="0.3">
      <c r="A99" s="122" t="s">
        <v>74</v>
      </c>
      <c r="B99" s="150" t="s">
        <v>225</v>
      </c>
      <c r="C99" s="111">
        <f>'Input data plant-based products'!D36</f>
        <v>0.12</v>
      </c>
      <c r="D99" s="269" t="s">
        <v>473</v>
      </c>
      <c r="E99" s="320">
        <f>IF($F$1="GWP100 without fb",E100+E101*'Common input data'!$C$5+E102*'Common input data'!$D$5,IF($F$1="GWP100 with fb",E100+E101*'Common input data'!$C$6+E102*'Common input data'!$D$6,IF($F$1="GTP100 without fb",E100+E101*'Common input data'!$C$7+E102*'Common input data'!$D$7,IF($F$1="GTP100 with fb",E100+E101*'Common input data'!$C$8+E102*'Common input data'!$D$8,E100+E101*'Common input data'!$C$9+E102*'Common input data'!$D$9))))</f>
        <v>6.2444432437860575E-2</v>
      </c>
      <c r="F99" s="302">
        <f>IF($F$1="GWP100 without fb",F100+F101*'Common input data'!$C$5+F102*'Common input data'!$D$5,IF($F$1="GWP100 with fb",F100+F101*'Common input data'!$C$6+F102*'Common input data'!$D$6,IF($F$1="GTP100 without fb",F100+F101*'Common input data'!$C$7+F102*'Common input data'!$D$7,IF($F$1="GTP100 with fb",F100+F101*'Common input data'!$C$8+F102*'Common input data'!$D$8,F100+F101*'Common input data'!$C$9+F102*'Common input data'!$D$9))))</f>
        <v>0.15285206222828768</v>
      </c>
      <c r="G99" s="321">
        <f>IF($F$1="GWP100 without fb",G100+G101*'Common input data'!$C$5+G102*'Common input data'!$D$5,IF($F$1="GWP100 with fb",G100+G101*'Common input data'!$C$6+G102*'Common input data'!$D$6,IF($F$1="GTP100 without fb",G100+G101*'Common input data'!$C$7+G102*'Common input data'!$D$7,IF($F$1="GTP100 with fb",G100+G101*'Common input data'!$C$8+G102*'Common input data'!$D$8,G100+G101*'Common input data'!$C$9+G102*'Common input data'!$D$9))))</f>
        <v>0.51659155296370418</v>
      </c>
      <c r="H99" s="102"/>
      <c r="I99" s="102"/>
      <c r="J99" s="102"/>
      <c r="K99" s="102"/>
      <c r="L99" s="102"/>
      <c r="M99" s="102"/>
      <c r="N99" s="102"/>
      <c r="O99" s="102"/>
      <c r="P99" s="102"/>
      <c r="Q99" s="102"/>
      <c r="R99" s="102"/>
      <c r="S99" s="102"/>
      <c r="T99" s="102"/>
      <c r="U99" s="102"/>
      <c r="V99" s="107"/>
      <c r="W99" s="243"/>
      <c r="X99" s="308"/>
      <c r="Y99" s="308"/>
      <c r="Z99" s="64"/>
      <c r="AA99" s="308"/>
      <c r="AB99" s="308"/>
      <c r="AC99" s="308"/>
      <c r="AD99" s="308"/>
      <c r="AE99" s="308"/>
      <c r="AF99" s="308"/>
      <c r="AG99" s="308"/>
      <c r="AH99" s="308"/>
      <c r="AI99" s="308"/>
      <c r="AJ99" s="308"/>
      <c r="AK99" s="308"/>
      <c r="AL99" s="308"/>
      <c r="AM99" s="308"/>
      <c r="AN99" s="308"/>
      <c r="AO99" s="308"/>
      <c r="AP99" s="308"/>
      <c r="AQ99" s="308"/>
      <c r="AR99" s="308"/>
      <c r="AS99" s="308"/>
      <c r="AT99" s="308"/>
      <c r="AU99" s="308"/>
      <c r="AV99" s="308"/>
      <c r="AW99" s="308"/>
      <c r="AX99" s="308"/>
      <c r="AY99" s="308"/>
      <c r="AZ99" s="308"/>
      <c r="BA99" s="308"/>
      <c r="BB99" s="308"/>
      <c r="BC99" s="308"/>
      <c r="BD99" s="308"/>
      <c r="BE99" s="308"/>
      <c r="BF99" s="308"/>
      <c r="BG99" s="308"/>
      <c r="BH99" s="308"/>
      <c r="BI99" s="308"/>
      <c r="BJ99" s="308"/>
      <c r="BK99" s="308"/>
      <c r="BL99" s="308"/>
      <c r="BM99" s="308"/>
      <c r="BN99" s="308"/>
      <c r="BO99" s="308"/>
      <c r="BP99" s="308"/>
      <c r="BQ99" s="308"/>
      <c r="BR99" s="308"/>
      <c r="BS99" s="308"/>
      <c r="BT99" s="308"/>
      <c r="BU99" s="308"/>
      <c r="BV99" s="308"/>
      <c r="BW99" s="308"/>
      <c r="BX99" s="308"/>
      <c r="BY99" s="308"/>
      <c r="BZ99" s="308"/>
      <c r="CA99" s="308"/>
      <c r="CB99" s="308"/>
      <c r="CC99" s="308"/>
      <c r="CD99" s="308"/>
      <c r="CE99" s="308"/>
      <c r="CF99" s="308"/>
      <c r="CG99" s="308"/>
      <c r="CH99" s="308"/>
      <c r="CI99" s="308"/>
      <c r="CJ99" s="308"/>
      <c r="CK99" s="308"/>
      <c r="CL99" s="308"/>
      <c r="CM99" s="308"/>
      <c r="CN99" s="308"/>
      <c r="CO99" s="308"/>
      <c r="CP99" s="308"/>
      <c r="CQ99" s="308"/>
      <c r="CR99" s="308"/>
      <c r="CS99" s="308"/>
      <c r="CT99" s="308"/>
      <c r="CU99" s="308"/>
      <c r="CV99" s="308"/>
      <c r="CW99" s="308"/>
      <c r="CX99" s="308"/>
      <c r="CY99" s="308"/>
      <c r="CZ99" s="308"/>
      <c r="DA99" s="308"/>
      <c r="DB99" s="308"/>
      <c r="DC99" s="308"/>
      <c r="DD99" s="308"/>
      <c r="DE99" s="308"/>
      <c r="DF99" s="308"/>
      <c r="DG99" s="308"/>
      <c r="DH99" s="308"/>
      <c r="DI99" s="308"/>
      <c r="DJ99" s="308"/>
      <c r="DK99" s="308"/>
      <c r="DL99" s="308"/>
      <c r="DM99" s="308"/>
      <c r="DN99" s="308"/>
      <c r="DO99" s="308"/>
      <c r="DP99" s="308"/>
      <c r="DQ99" s="308"/>
      <c r="DR99" s="308"/>
      <c r="DS99" s="308"/>
      <c r="DT99" s="308"/>
      <c r="DU99" s="308"/>
      <c r="DV99" s="308"/>
      <c r="DW99" s="308"/>
      <c r="DX99" s="308"/>
      <c r="DY99" s="308"/>
      <c r="DZ99" s="308"/>
      <c r="EA99" s="308"/>
      <c r="EB99" s="308"/>
      <c r="EC99" s="308"/>
      <c r="ED99" s="308"/>
      <c r="EE99" s="308"/>
      <c r="EF99" s="308"/>
      <c r="EG99" s="308"/>
      <c r="EH99" s="308"/>
      <c r="EI99" s="308"/>
      <c r="EJ99" s="308"/>
      <c r="EK99" s="308"/>
      <c r="EL99" s="308"/>
      <c r="EM99" s="308"/>
      <c r="EN99" s="308"/>
      <c r="EO99" s="308"/>
      <c r="EP99" s="308"/>
      <c r="EQ99" s="308"/>
      <c r="ER99" s="308"/>
      <c r="ES99" s="308"/>
      <c r="ET99" s="308"/>
      <c r="EU99" s="308"/>
      <c r="EV99" s="308"/>
      <c r="EW99" s="308"/>
      <c r="EX99" s="308"/>
      <c r="EY99" s="308"/>
      <c r="EZ99" s="308"/>
      <c r="FA99" s="308"/>
      <c r="FB99" s="308"/>
      <c r="FC99" s="308"/>
      <c r="FD99" s="308"/>
      <c r="FE99" s="308"/>
      <c r="FF99" s="308"/>
      <c r="FG99" s="308"/>
      <c r="FH99" s="308"/>
      <c r="FI99" s="308"/>
      <c r="FJ99" s="308"/>
      <c r="FK99" s="308"/>
      <c r="FL99" s="308"/>
      <c r="FM99" s="308"/>
      <c r="FN99" s="308"/>
      <c r="FO99" s="308"/>
      <c r="FP99" s="308"/>
      <c r="FQ99" s="308"/>
      <c r="FR99" s="308"/>
      <c r="FS99" s="308"/>
      <c r="FT99" s="308"/>
      <c r="FU99" s="308"/>
      <c r="FV99" s="308"/>
      <c r="FW99" s="308"/>
      <c r="FX99" s="308"/>
      <c r="FY99" s="308"/>
      <c r="FZ99" s="308"/>
      <c r="GA99" s="308"/>
      <c r="GB99" s="308"/>
      <c r="GC99" s="308"/>
      <c r="GD99" s="308"/>
      <c r="GE99" s="308"/>
      <c r="GF99" s="308"/>
      <c r="GG99" s="308"/>
      <c r="GH99" s="308"/>
      <c r="GI99" s="308"/>
      <c r="GJ99" s="308"/>
      <c r="GK99" s="308"/>
      <c r="GL99" s="308"/>
      <c r="GM99" s="308"/>
      <c r="GN99" s="308"/>
      <c r="GO99" s="308"/>
      <c r="GP99" s="308"/>
      <c r="GQ99" s="308"/>
      <c r="GR99" s="308"/>
      <c r="GS99" s="308"/>
      <c r="GT99" s="308"/>
      <c r="GU99" s="308"/>
      <c r="GV99" s="308"/>
      <c r="GW99" s="308"/>
      <c r="GX99" s="308"/>
      <c r="GY99" s="308"/>
      <c r="GZ99" s="308"/>
      <c r="HA99" s="308"/>
      <c r="HB99" s="308"/>
      <c r="HC99" s="308"/>
      <c r="HD99" s="308"/>
      <c r="HE99" s="308"/>
      <c r="HF99" s="308"/>
      <c r="HG99" s="308"/>
      <c r="HH99" s="308"/>
      <c r="HI99" s="308"/>
      <c r="HJ99" s="308"/>
      <c r="HK99" s="308"/>
      <c r="HL99" s="308"/>
      <c r="HM99" s="308"/>
      <c r="HN99" s="308"/>
      <c r="HO99" s="308"/>
      <c r="HP99" s="308"/>
      <c r="HQ99" s="308"/>
      <c r="HR99" s="308"/>
      <c r="HS99" s="308"/>
      <c r="HT99" s="308"/>
      <c r="HU99" s="308"/>
      <c r="HV99" s="308"/>
      <c r="HW99" s="308"/>
      <c r="HX99" s="308"/>
      <c r="HY99" s="308"/>
      <c r="HZ99" s="308"/>
      <c r="IA99" s="308"/>
      <c r="IB99" s="308"/>
      <c r="IC99" s="308"/>
      <c r="ID99" s="308"/>
      <c r="IE99" s="308"/>
      <c r="IF99" s="308"/>
      <c r="IG99" s="308"/>
      <c r="IH99" s="308"/>
      <c r="II99" s="308"/>
      <c r="IJ99" s="308"/>
      <c r="IK99" s="308"/>
      <c r="IL99" s="308"/>
      <c r="IM99" s="308"/>
      <c r="IN99" s="308"/>
      <c r="IO99" s="308"/>
      <c r="IP99" s="308"/>
      <c r="IQ99" s="308"/>
      <c r="IR99" s="308"/>
      <c r="IS99" s="308"/>
      <c r="IT99" s="308"/>
      <c r="IU99" s="308"/>
      <c r="IV99" s="308"/>
      <c r="IW99" s="308"/>
      <c r="IX99" s="308"/>
    </row>
    <row r="100" spans="1:258" s="308" customFormat="1" ht="17.399999999999999" x14ac:dyDescent="0.3">
      <c r="A100" s="144"/>
      <c r="B100" s="84"/>
      <c r="C100" s="64"/>
      <c r="D100" s="83" t="s">
        <v>164</v>
      </c>
      <c r="E100" s="270">
        <f>IF(AND($F$2="No",$F$3="No"),SUM(J100:K100),IF(AND($F$2="Yes", $F$3="No"), SUM(J100:K100)+Q100, IF(AND($F$2="No", $F$3="Yes"),SUM(J100:K100)+P100, SUM(J100:K100)+Q100+P100)))</f>
        <v>3.9989486962957101E-2</v>
      </c>
      <c r="F100" s="90">
        <f>IF(AND($F$2="No",$F$3="No"),SUM(H100:O100),IF(AND($F$2="Yes", $F$3="No"), SUM(H100:O100)+Q100, IF(AND($F$2="No", $F$3="Yes"),SUM(H100:O100)+P100, SUM(H100:O100)+Q100+P100)))</f>
        <v>0.11394301597242132</v>
      </c>
      <c r="G100" s="278">
        <f>SUM(S100:U100)/(1-'Common input data'!$B$121)</f>
        <v>0.47015516884165331</v>
      </c>
      <c r="H100" s="90">
        <f>('Input data plant-based products'!$F$36*('Common input data'!$C$76*'Common input data'!B69+'Common input data'!$C$77*'Common input data'!C69))/'Input data plant-based products'!$E$36</f>
        <v>9.9094689494041554E-3</v>
      </c>
      <c r="I100" s="90">
        <f>'Common input data'!$B$81</f>
        <v>0.03</v>
      </c>
      <c r="J100" s="90">
        <v>0</v>
      </c>
      <c r="K100" s="90">
        <v>0</v>
      </c>
      <c r="L100" s="90">
        <f>('Input data plant-based products'!$I$36*'Common input data'!$C$59*'Common input data'!H49)/'Input data plant-based products'!$E$36</f>
        <v>1.404406006006006E-2</v>
      </c>
      <c r="M100" s="90">
        <v>0</v>
      </c>
      <c r="N100" s="90">
        <f>'Input data plant-based products'!$G$152</f>
        <v>0.02</v>
      </c>
      <c r="O100" s="90">
        <v>0</v>
      </c>
      <c r="P100" s="90">
        <f>'Common input data'!$E$13</f>
        <v>3.9989486962957101E-2</v>
      </c>
      <c r="Q100" s="90">
        <v>0</v>
      </c>
      <c r="R100" s="90">
        <v>0</v>
      </c>
      <c r="S100" s="90">
        <f>(F100+R100)</f>
        <v>0.11394301597242132</v>
      </c>
      <c r="T100" s="90">
        <f>'Common input data'!$B$88</f>
        <v>0.05</v>
      </c>
      <c r="U100" s="90">
        <f>'Common input data'!B100+'Common input data'!C100</f>
        <v>0.23</v>
      </c>
      <c r="V100" s="107"/>
      <c r="W100" s="243"/>
      <c r="Z100" s="64"/>
    </row>
    <row r="101" spans="1:258" s="308" customFormat="1" ht="17.399999999999999" x14ac:dyDescent="0.3">
      <c r="A101" s="107"/>
      <c r="B101" s="84"/>
      <c r="C101" s="142"/>
      <c r="D101" s="83" t="s">
        <v>165</v>
      </c>
      <c r="E101" s="270">
        <f>SUM(J101:K101)</f>
        <v>0</v>
      </c>
      <c r="F101" s="90">
        <f>SUM(H101:O101)</f>
        <v>6.2210887373423425E-6</v>
      </c>
      <c r="G101" s="278">
        <f>SUM(S101:U101)/(1-'Common input data'!$B$121)</f>
        <v>7.4246195695695697E-6</v>
      </c>
      <c r="H101" s="90">
        <f>('Input data plant-based products'!$F$36*('Common input data'!$C$76*'Common input data'!B70+'Common input data'!$C$77*'Common input data'!C70))/'Input data plant-based products'!$E$36</f>
        <v>4.3692297297297295E-11</v>
      </c>
      <c r="I101" s="90">
        <v>0</v>
      </c>
      <c r="J101" s="90">
        <v>0</v>
      </c>
      <c r="K101" s="90">
        <v>0</v>
      </c>
      <c r="L101" s="90">
        <f>('Input data plant-based products'!$I$36*'Common input data'!$C$59*'Common input data'!H50)/'Input data plant-based products'!$E$36</f>
        <v>6.2210450450450453E-6</v>
      </c>
      <c r="M101" s="90">
        <v>0</v>
      </c>
      <c r="N101" s="90">
        <v>0</v>
      </c>
      <c r="O101" s="90">
        <v>0</v>
      </c>
      <c r="P101" s="90">
        <v>0</v>
      </c>
      <c r="Q101" s="90">
        <v>0</v>
      </c>
      <c r="R101" s="90">
        <v>0</v>
      </c>
      <c r="S101" s="90">
        <f>(F101+R101)</f>
        <v>6.2210887373423425E-6</v>
      </c>
      <c r="T101" s="90">
        <v>0</v>
      </c>
      <c r="U101" s="90">
        <v>0</v>
      </c>
      <c r="V101" s="107"/>
      <c r="W101" s="243"/>
      <c r="Z101" s="64"/>
    </row>
    <row r="102" spans="1:258" s="308" customFormat="1" ht="17.399999999999999" x14ac:dyDescent="0.3">
      <c r="A102" s="174"/>
      <c r="B102" s="206"/>
      <c r="C102" s="85"/>
      <c r="D102" s="84" t="s">
        <v>166</v>
      </c>
      <c r="E102" s="270">
        <f>SUM(J102:K102)</f>
        <v>7.5352166023166019E-5</v>
      </c>
      <c r="F102" s="90">
        <f>SUM(H102:O102)</f>
        <v>1.2985748066710311E-4</v>
      </c>
      <c r="G102" s="278">
        <f>SUM(S102:U102)/(1-'Common input data'!$B$121)</f>
        <v>1.5497968810968267E-4</v>
      </c>
      <c r="H102" s="90">
        <f>('Input data plant-based products'!$F$36*('Common input data'!$C$76*'Common input data'!B71+'Common input data'!$C$77*'Common input data'!C71))/'Input data plant-based products'!$E$36</f>
        <v>5.4127945274567705E-5</v>
      </c>
      <c r="I102" s="90">
        <v>0</v>
      </c>
      <c r="J102" s="90">
        <f>(SUM('Input data plant-based products'!F36:H36)*'Input data plant-based products'!$B$114*44/28)/'Input data plant-based products'!E36</f>
        <v>6.8501969111969113E-5</v>
      </c>
      <c r="K102" s="90">
        <f>J102*'Input data plant-based products'!$B$115</f>
        <v>6.8501969111969119E-6</v>
      </c>
      <c r="L102" s="90">
        <f>('Input data plant-based products'!$I$36*'Common input data'!$C$59*'Common input data'!H51)/'Input data plant-based products'!$E$36</f>
        <v>3.773693693693694E-7</v>
      </c>
      <c r="M102" s="90">
        <v>0</v>
      </c>
      <c r="N102" s="90">
        <v>0</v>
      </c>
      <c r="O102" s="90">
        <v>0</v>
      </c>
      <c r="P102" s="90">
        <v>0</v>
      </c>
      <c r="Q102" s="90">
        <v>0</v>
      </c>
      <c r="R102" s="90">
        <v>0</v>
      </c>
      <c r="S102" s="90">
        <f>(F102+R102)</f>
        <v>1.2985748066710311E-4</v>
      </c>
      <c r="T102" s="90">
        <v>0</v>
      </c>
      <c r="U102" s="90">
        <v>0</v>
      </c>
      <c r="V102" s="107"/>
      <c r="W102" s="243"/>
      <c r="Z102" s="64"/>
    </row>
    <row r="103" spans="1:258" s="420" customFormat="1" ht="17.399999999999999" x14ac:dyDescent="0.3">
      <c r="A103" s="122" t="s">
        <v>70</v>
      </c>
      <c r="B103" s="150" t="s">
        <v>225</v>
      </c>
      <c r="C103" s="111">
        <f>'Input data plant-based products'!D37</f>
        <v>0.06</v>
      </c>
      <c r="D103" s="269" t="s">
        <v>473</v>
      </c>
      <c r="E103" s="320">
        <f>IF($F$1="GWP100 without fb",E104+E105*'Common input data'!$C$5+E106*'Common input data'!$D$5,IF($F$1="GWP100 with fb",E104+E105*'Common input data'!$C$6+E106*'Common input data'!$D$6,IF($F$1="GTP100 without fb",E104+E105*'Common input data'!$C$7+E106*'Common input data'!$D$7,IF($F$1="GTP100 with fb",E104+E105*'Common input data'!$C$8+E106*'Common input data'!$D$8,E104+E105*'Common input data'!$C$9+E106*'Common input data'!$D$9))))</f>
        <v>6.2198872347867765E-2</v>
      </c>
      <c r="F103" s="302">
        <f>IF($F$1="GWP100 without fb",F104+F105*'Common input data'!$C$5+F106*'Common input data'!$D$5,IF($F$1="GWP100 with fb",F104+F105*'Common input data'!$C$6+F106*'Common input data'!$D$6,IF($F$1="GTP100 without fb",F104+F105*'Common input data'!$C$7+F106*'Common input data'!$D$7,IF($F$1="GTP100 with fb",F104+F105*'Common input data'!$C$8+F106*'Common input data'!$D$8,F104+F105*'Common input data'!$C$9+F106*'Common input data'!$D$9))))</f>
        <v>0.15330367344561369</v>
      </c>
      <c r="G103" s="321">
        <f>IF($F$1="GWP100 without fb",G104+G105*'Common input data'!$C$5+G106*'Common input data'!$D$5,IF($F$1="GWP100 with fb",G104+G105*'Common input data'!$C$6+G106*'Common input data'!$D$6,IF($F$1="GTP100 without fb",G104+G105*'Common input data'!$C$7+G106*'Common input data'!$D$7,IF($F$1="GTP100 with fb",G104+G105*'Common input data'!$C$8+G106*'Common input data'!$D$8,G104+G105*'Common input data'!$C$9+G106*'Common input data'!$D$9))))</f>
        <v>0.51713053281491073</v>
      </c>
      <c r="H103" s="102"/>
      <c r="I103" s="102"/>
      <c r="J103" s="102"/>
      <c r="K103" s="102"/>
      <c r="L103" s="102"/>
      <c r="M103" s="102"/>
      <c r="N103" s="102"/>
      <c r="O103" s="102"/>
      <c r="P103" s="102"/>
      <c r="Q103" s="102"/>
      <c r="R103" s="102"/>
      <c r="S103" s="102"/>
      <c r="T103" s="102"/>
      <c r="U103" s="102"/>
      <c r="V103" s="107"/>
      <c r="W103" s="243"/>
      <c r="X103" s="308"/>
      <c r="Y103" s="308"/>
      <c r="Z103" s="64"/>
      <c r="AA103" s="308"/>
      <c r="AB103" s="308"/>
      <c r="AC103" s="308"/>
      <c r="AD103" s="308"/>
      <c r="AE103" s="308"/>
      <c r="AF103" s="308"/>
      <c r="AG103" s="308"/>
      <c r="AH103" s="308"/>
      <c r="AI103" s="308"/>
      <c r="AJ103" s="308"/>
      <c r="AK103" s="308"/>
      <c r="AL103" s="308"/>
      <c r="AM103" s="308"/>
      <c r="AN103" s="308"/>
      <c r="AO103" s="308"/>
      <c r="AP103" s="308"/>
      <c r="AQ103" s="308"/>
      <c r="AR103" s="308"/>
      <c r="AS103" s="308"/>
      <c r="AT103" s="308"/>
      <c r="AU103" s="308"/>
      <c r="AV103" s="308"/>
      <c r="AW103" s="308"/>
      <c r="AX103" s="308"/>
      <c r="AY103" s="308"/>
      <c r="AZ103" s="308"/>
      <c r="BA103" s="308"/>
      <c r="BB103" s="308"/>
      <c r="BC103" s="308"/>
      <c r="BD103" s="308"/>
      <c r="BE103" s="308"/>
      <c r="BF103" s="308"/>
      <c r="BG103" s="308"/>
      <c r="BH103" s="308"/>
      <c r="BI103" s="308"/>
      <c r="BJ103" s="308"/>
      <c r="BK103" s="308"/>
      <c r="BL103" s="308"/>
      <c r="BM103" s="308"/>
      <c r="BN103" s="308"/>
      <c r="BO103" s="308"/>
      <c r="BP103" s="308"/>
      <c r="BQ103" s="308"/>
      <c r="BR103" s="308"/>
      <c r="BS103" s="308"/>
      <c r="BT103" s="308"/>
      <c r="BU103" s="308"/>
      <c r="BV103" s="308"/>
      <c r="BW103" s="308"/>
      <c r="BX103" s="308"/>
      <c r="BY103" s="308"/>
      <c r="BZ103" s="308"/>
      <c r="CA103" s="308"/>
      <c r="CB103" s="308"/>
      <c r="CC103" s="308"/>
      <c r="CD103" s="308"/>
      <c r="CE103" s="308"/>
      <c r="CF103" s="308"/>
      <c r="CG103" s="308"/>
      <c r="CH103" s="308"/>
      <c r="CI103" s="308"/>
      <c r="CJ103" s="308"/>
      <c r="CK103" s="308"/>
      <c r="CL103" s="308"/>
      <c r="CM103" s="308"/>
      <c r="CN103" s="308"/>
      <c r="CO103" s="308"/>
      <c r="CP103" s="308"/>
      <c r="CQ103" s="308"/>
      <c r="CR103" s="308"/>
      <c r="CS103" s="308"/>
      <c r="CT103" s="308"/>
      <c r="CU103" s="308"/>
      <c r="CV103" s="308"/>
      <c r="CW103" s="308"/>
      <c r="CX103" s="308"/>
      <c r="CY103" s="308"/>
      <c r="CZ103" s="308"/>
      <c r="DA103" s="308"/>
      <c r="DB103" s="308"/>
      <c r="DC103" s="308"/>
      <c r="DD103" s="308"/>
      <c r="DE103" s="308"/>
      <c r="DF103" s="308"/>
      <c r="DG103" s="308"/>
      <c r="DH103" s="308"/>
      <c r="DI103" s="308"/>
      <c r="DJ103" s="308"/>
      <c r="DK103" s="308"/>
      <c r="DL103" s="308"/>
      <c r="DM103" s="308"/>
      <c r="DN103" s="308"/>
      <c r="DO103" s="308"/>
      <c r="DP103" s="308"/>
      <c r="DQ103" s="308"/>
      <c r="DR103" s="308"/>
      <c r="DS103" s="308"/>
      <c r="DT103" s="308"/>
      <c r="DU103" s="308"/>
      <c r="DV103" s="308"/>
      <c r="DW103" s="308"/>
      <c r="DX103" s="308"/>
      <c r="DY103" s="308"/>
      <c r="DZ103" s="308"/>
      <c r="EA103" s="308"/>
      <c r="EB103" s="308"/>
      <c r="EC103" s="308"/>
      <c r="ED103" s="308"/>
      <c r="EE103" s="308"/>
      <c r="EF103" s="308"/>
      <c r="EG103" s="308"/>
      <c r="EH103" s="308"/>
      <c r="EI103" s="308"/>
      <c r="EJ103" s="308"/>
      <c r="EK103" s="308"/>
      <c r="EL103" s="308"/>
      <c r="EM103" s="308"/>
      <c r="EN103" s="308"/>
      <c r="EO103" s="308"/>
      <c r="EP103" s="308"/>
      <c r="EQ103" s="308"/>
      <c r="ER103" s="308"/>
      <c r="ES103" s="308"/>
      <c r="ET103" s="308"/>
      <c r="EU103" s="308"/>
      <c r="EV103" s="308"/>
      <c r="EW103" s="308"/>
      <c r="EX103" s="308"/>
      <c r="EY103" s="308"/>
      <c r="EZ103" s="308"/>
      <c r="FA103" s="308"/>
      <c r="FB103" s="308"/>
      <c r="FC103" s="308"/>
      <c r="FD103" s="308"/>
      <c r="FE103" s="308"/>
      <c r="FF103" s="308"/>
      <c r="FG103" s="308"/>
      <c r="FH103" s="308"/>
      <c r="FI103" s="308"/>
      <c r="FJ103" s="308"/>
      <c r="FK103" s="308"/>
      <c r="FL103" s="308"/>
      <c r="FM103" s="308"/>
      <c r="FN103" s="308"/>
      <c r="FO103" s="308"/>
      <c r="FP103" s="308"/>
      <c r="FQ103" s="308"/>
      <c r="FR103" s="308"/>
      <c r="FS103" s="308"/>
      <c r="FT103" s="308"/>
      <c r="FU103" s="308"/>
      <c r="FV103" s="308"/>
      <c r="FW103" s="308"/>
      <c r="FX103" s="308"/>
      <c r="FY103" s="308"/>
      <c r="FZ103" s="308"/>
      <c r="GA103" s="308"/>
      <c r="GB103" s="308"/>
      <c r="GC103" s="308"/>
      <c r="GD103" s="308"/>
      <c r="GE103" s="308"/>
      <c r="GF103" s="308"/>
      <c r="GG103" s="308"/>
      <c r="GH103" s="308"/>
      <c r="GI103" s="308"/>
      <c r="GJ103" s="308"/>
      <c r="GK103" s="308"/>
      <c r="GL103" s="308"/>
      <c r="GM103" s="308"/>
      <c r="GN103" s="308"/>
      <c r="GO103" s="308"/>
      <c r="GP103" s="308"/>
      <c r="GQ103" s="308"/>
      <c r="GR103" s="308"/>
      <c r="GS103" s="308"/>
      <c r="GT103" s="308"/>
      <c r="GU103" s="308"/>
      <c r="GV103" s="308"/>
      <c r="GW103" s="308"/>
      <c r="GX103" s="308"/>
      <c r="GY103" s="308"/>
      <c r="GZ103" s="308"/>
      <c r="HA103" s="308"/>
      <c r="HB103" s="308"/>
      <c r="HC103" s="308"/>
      <c r="HD103" s="308"/>
      <c r="HE103" s="308"/>
      <c r="HF103" s="308"/>
      <c r="HG103" s="308"/>
      <c r="HH103" s="308"/>
      <c r="HI103" s="308"/>
      <c r="HJ103" s="308"/>
      <c r="HK103" s="308"/>
      <c r="HL103" s="308"/>
      <c r="HM103" s="308"/>
      <c r="HN103" s="308"/>
      <c r="HO103" s="308"/>
      <c r="HP103" s="308"/>
      <c r="HQ103" s="308"/>
      <c r="HR103" s="308"/>
      <c r="HS103" s="308"/>
      <c r="HT103" s="308"/>
      <c r="HU103" s="308"/>
      <c r="HV103" s="308"/>
      <c r="HW103" s="308"/>
      <c r="HX103" s="308"/>
      <c r="HY103" s="308"/>
      <c r="HZ103" s="308"/>
      <c r="IA103" s="308"/>
      <c r="IB103" s="308"/>
      <c r="IC103" s="308"/>
      <c r="ID103" s="308"/>
      <c r="IE103" s="308"/>
      <c r="IF103" s="308"/>
      <c r="IG103" s="308"/>
      <c r="IH103" s="308"/>
      <c r="II103" s="308"/>
      <c r="IJ103" s="308"/>
      <c r="IK103" s="308"/>
      <c r="IL103" s="308"/>
      <c r="IM103" s="308"/>
      <c r="IN103" s="308"/>
      <c r="IO103" s="308"/>
      <c r="IP103" s="308"/>
      <c r="IQ103" s="308"/>
      <c r="IR103" s="308"/>
      <c r="IS103" s="308"/>
      <c r="IT103" s="308"/>
      <c r="IU103" s="308"/>
      <c r="IV103" s="308"/>
      <c r="IW103" s="308"/>
      <c r="IX103" s="308"/>
    </row>
    <row r="104" spans="1:258" s="308" customFormat="1" ht="17.399999999999999" x14ac:dyDescent="0.3">
      <c r="A104" s="144"/>
      <c r="B104" s="84"/>
      <c r="C104" s="64"/>
      <c r="D104" s="83" t="s">
        <v>164</v>
      </c>
      <c r="E104" s="270">
        <f>IF(AND($F$2="No",$F$3="No"),SUM(J104:K104),IF(AND($F$2="Yes", $F$3="No"), SUM(J104:K104)+Q104, IF(AND($F$2="No", $F$3="Yes"),SUM(J104:K104)+P104, SUM(J104:K104)+Q104+P104)))</f>
        <v>3.9989486962957101E-2</v>
      </c>
      <c r="F104" s="90">
        <f>IF(AND($F$2="No",$F$3="No"),SUM(H104:O104),IF(AND($F$2="Yes", $F$3="No"), SUM(H104:O104)+Q104, IF(AND($F$2="No", $F$3="Yes"),SUM(H104:O104)+P104, SUM(H104:O104)+Q104+P104)))</f>
        <v>0.11536129839323789</v>
      </c>
      <c r="G104" s="278">
        <f>SUM(S104:U104)/(1-'Common input data'!$B$121)</f>
        <v>0.47184783195278424</v>
      </c>
      <c r="H104" s="85">
        <f>('Input data plant-based products'!$F$37*('Common input data'!$C$76*'Common input data'!B69+'Common input data'!$C$77*'Common input data'!C69))/'Input data plant-based products'!$E$37</f>
        <v>9.4397005415527632E-3</v>
      </c>
      <c r="I104" s="90">
        <f>'Common input data'!$B$81</f>
        <v>0.03</v>
      </c>
      <c r="J104" s="85">
        <v>0</v>
      </c>
      <c r="K104" s="90">
        <v>0</v>
      </c>
      <c r="L104" s="85">
        <f>('Input data plant-based products'!$I$37*'Common input data'!$C$59*'Common input data'!H49)/'Input data plant-based products'!$E$37</f>
        <v>1.5932110888728014E-2</v>
      </c>
      <c r="M104" s="90">
        <v>0</v>
      </c>
      <c r="N104" s="90">
        <f>'Input data plant-based products'!$G$152</f>
        <v>0.02</v>
      </c>
      <c r="O104" s="90">
        <v>0</v>
      </c>
      <c r="P104" s="90">
        <f>'Common input data'!$E$13</f>
        <v>3.9989486962957101E-2</v>
      </c>
      <c r="Q104" s="90">
        <v>0</v>
      </c>
      <c r="R104" s="90">
        <v>0</v>
      </c>
      <c r="S104" s="90">
        <f>(F104+R104)</f>
        <v>0.11536129839323789</v>
      </c>
      <c r="T104" s="90">
        <f>'Common input data'!$B$88</f>
        <v>0.05</v>
      </c>
      <c r="U104" s="90">
        <f>'Common input data'!B102+'Common input data'!C102</f>
        <v>0.23000000000000004</v>
      </c>
      <c r="V104" s="107"/>
      <c r="W104" s="243"/>
      <c r="Z104" s="64"/>
    </row>
    <row r="105" spans="1:258" s="308" customFormat="1" ht="17.399999999999999" x14ac:dyDescent="0.3">
      <c r="A105" s="107"/>
      <c r="B105" s="84"/>
      <c r="C105" s="142"/>
      <c r="D105" s="83" t="s">
        <v>165</v>
      </c>
      <c r="E105" s="270">
        <f>SUM(J105:K105)</f>
        <v>0</v>
      </c>
      <c r="F105" s="90">
        <f>SUM(H105:O105)</f>
        <v>7.0574295186477813E-6</v>
      </c>
      <c r="G105" s="278">
        <f>SUM(S105:U105)/(1-'Common input data'!$B$121)</f>
        <v>8.4227587046757148E-6</v>
      </c>
      <c r="H105" s="85">
        <f>('Input data plant-based products'!$F$37*('Common input data'!$C$76*'Common input data'!B70+'Common input data'!$C$77*'Common input data'!C70))/'Input data plant-based products'!$E$37</f>
        <v>4.1621019710020012E-11</v>
      </c>
      <c r="I105" s="90">
        <v>0</v>
      </c>
      <c r="J105" s="85">
        <v>0</v>
      </c>
      <c r="K105" s="90">
        <v>0</v>
      </c>
      <c r="L105" s="85">
        <f>('Input data plant-based products'!$I$37*'Common input data'!$C$59*'Common input data'!H50)/'Input data plant-based products'!$E$37</f>
        <v>7.0573878976280716E-6</v>
      </c>
      <c r="M105" s="90">
        <v>0</v>
      </c>
      <c r="N105" s="90">
        <v>0</v>
      </c>
      <c r="O105" s="90">
        <v>0</v>
      </c>
      <c r="P105" s="90">
        <v>0</v>
      </c>
      <c r="Q105" s="90">
        <v>0</v>
      </c>
      <c r="R105" s="90">
        <v>0</v>
      </c>
      <c r="S105" s="90">
        <f>(F105+R105)</f>
        <v>7.0574295186477813E-6</v>
      </c>
      <c r="T105" s="90">
        <v>0</v>
      </c>
      <c r="U105" s="90">
        <v>0</v>
      </c>
      <c r="V105" s="107"/>
      <c r="W105" s="243"/>
      <c r="Z105" s="64"/>
    </row>
    <row r="106" spans="1:258" s="308" customFormat="1" ht="17.399999999999999" x14ac:dyDescent="0.3">
      <c r="A106" s="174"/>
      <c r="B106" s="206"/>
      <c r="C106" s="85"/>
      <c r="D106" s="84" t="s">
        <v>166</v>
      </c>
      <c r="E106" s="780">
        <f>SUM(J106:K106)</f>
        <v>7.4528138875539149E-5</v>
      </c>
      <c r="F106" s="108">
        <f>SUM(H106:O106)</f>
        <v>1.2651819613671738E-4</v>
      </c>
      <c r="G106" s="521">
        <f>SUM(S106:U106)/(1-'Common input data'!$B$121)</f>
        <v>1.50994386128079E-4</v>
      </c>
      <c r="H106" s="85">
        <f>('Input data plant-based products'!$F$37*('Common input data'!$C$76*'Common input data'!B71+'Common input data'!$C$77*'Common input data'!C71))/'Input data plant-based products'!$E$37</f>
        <v>5.1561955229921593E-5</v>
      </c>
      <c r="I106" s="85">
        <v>0</v>
      </c>
      <c r="J106" s="85">
        <f>(SUM('Input data plant-based products'!F37:H37)*'Input data plant-based products'!$B$114*44/28)/'Input data plant-based products'!E37</f>
        <v>6.7752853523217406E-5</v>
      </c>
      <c r="K106" s="90">
        <f>J106*'Input data plant-based products'!$B$115</f>
        <v>6.7752853523217408E-6</v>
      </c>
      <c r="L106" s="85">
        <f>('Input data plant-based products'!$I$37*'Common input data'!$C$59*'Common input data'!H51)/'Input data plant-based products'!$E$37</f>
        <v>4.2810203125665377E-7</v>
      </c>
      <c r="M106" s="90">
        <v>0</v>
      </c>
      <c r="N106" s="90">
        <v>0</v>
      </c>
      <c r="O106" s="90">
        <v>0</v>
      </c>
      <c r="P106" s="90">
        <v>0</v>
      </c>
      <c r="Q106" s="90">
        <v>0</v>
      </c>
      <c r="R106" s="90">
        <v>0</v>
      </c>
      <c r="S106" s="90">
        <f>(F106+R106)</f>
        <v>1.2651819613671738E-4</v>
      </c>
      <c r="T106" s="90">
        <v>0</v>
      </c>
      <c r="U106" s="90">
        <v>0</v>
      </c>
      <c r="V106" s="107"/>
      <c r="W106" s="243"/>
      <c r="Z106" s="64"/>
    </row>
    <row r="107" spans="1:258" s="308" customFormat="1" ht="17.399999999999999" x14ac:dyDescent="0.3">
      <c r="A107" s="426" t="s">
        <v>619</v>
      </c>
      <c r="B107" s="412"/>
      <c r="C107" s="413"/>
      <c r="D107" s="414"/>
      <c r="E107" s="767" t="s">
        <v>821</v>
      </c>
      <c r="F107" s="768" t="s">
        <v>821</v>
      </c>
      <c r="G107" s="590" t="s">
        <v>821</v>
      </c>
      <c r="H107" s="413"/>
      <c r="I107" s="413"/>
      <c r="J107" s="413"/>
      <c r="K107" s="416"/>
      <c r="L107" s="416"/>
      <c r="M107" s="417"/>
      <c r="N107" s="416"/>
      <c r="O107" s="416"/>
      <c r="P107" s="416"/>
      <c r="Q107" s="416"/>
      <c r="R107" s="416"/>
      <c r="S107" s="416"/>
      <c r="T107" s="416"/>
      <c r="U107" s="416"/>
      <c r="V107" s="107"/>
      <c r="W107" s="243"/>
      <c r="Z107" s="64"/>
    </row>
    <row r="108" spans="1:258" s="308" customFormat="1" ht="17.399999999999999" x14ac:dyDescent="0.3">
      <c r="A108" s="122" t="s">
        <v>249</v>
      </c>
      <c r="B108" s="150"/>
      <c r="C108" s="112">
        <f>SUM(C112:C123)</f>
        <v>1</v>
      </c>
      <c r="D108" s="269" t="s">
        <v>473</v>
      </c>
      <c r="E108" s="769">
        <f>IF($F$1="GWP100 without fb",E109+E110*'Common input data'!$C$5+E111*'Common input data'!$D$5,IF($F$1="GWP100 with fb",E109+E110*'Common input data'!$C$6+E111*'Common input data'!$D$6,IF($F$1="GTP100 without fb",E109+E110*'Common input data'!$C$7+E111*'Common input data'!$D$7,IF($F$1="GTP100 with fb",E109+E110*'Common input data'!$C$8+E111*'Common input data'!$D$8,E109+E110*'Common input data'!$C$9+E111*'Common input data'!$D$9))))</f>
        <v>8.00343435704719E-2</v>
      </c>
      <c r="F108" s="326">
        <f>IF($F$1="GWP100 without fb",F109+F110*'Common input data'!$C$5+F111*'Common input data'!$D$5,IF($F$1="GWP100 with fb",F109+F110*'Common input data'!$C$6+F111*'Common input data'!$D$6,IF($F$1="GTP100 without fb",F109+F110*'Common input data'!$C$7+F111*'Common input data'!$D$7,IF($F$1="GTP100 with fb",F109+F110*'Common input data'!$C$8+F111*'Common input data'!$D$8,F109+F110*'Common input data'!$C$9+F111*'Common input data'!$D$9))))</f>
        <v>0.16471744275266784</v>
      </c>
      <c r="G108" s="770">
        <f>IF($F$1="GWP100 without fb",G109+G110*'Common input data'!$C$5+G111*'Common input data'!$D$5,IF($F$1="GWP100 with fb",G109+G110*'Common input data'!$C$6+G111*'Common input data'!$D$6,IF($F$1="GTP100 without fb",G109+G110*'Common input data'!$C$7+G111*'Common input data'!$D$7,IF($F$1="GTP100 with fb",G109+G110*'Common input data'!$C$8+G111*'Common input data'!$D$8,G109+G110*'Common input data'!$C$9+G111*'Common input data'!$D$9))))</f>
        <v>0.3756385133246698</v>
      </c>
      <c r="H108" s="302"/>
      <c r="I108" s="104"/>
      <c r="J108" s="104"/>
      <c r="K108" s="102"/>
      <c r="L108" s="102"/>
      <c r="M108" s="102"/>
      <c r="N108" s="102"/>
      <c r="O108" s="102"/>
      <c r="P108" s="102"/>
      <c r="Q108" s="102"/>
      <c r="R108" s="102"/>
      <c r="S108" s="102"/>
      <c r="T108" s="102"/>
      <c r="U108" s="102"/>
      <c r="V108" s="107"/>
      <c r="W108" s="243"/>
      <c r="Z108" s="64"/>
    </row>
    <row r="109" spans="1:258" s="308" customFormat="1" ht="17.399999999999999" x14ac:dyDescent="0.3">
      <c r="A109" s="103"/>
      <c r="B109" s="84"/>
      <c r="C109" s="64"/>
      <c r="D109" s="83" t="s">
        <v>164</v>
      </c>
      <c r="E109" s="270">
        <f t="shared" ref="E109:G111" si="10">E113*$C$112+E117*$C$116+E121*$C$120</f>
        <v>3.9989486962957101E-2</v>
      </c>
      <c r="F109" s="90">
        <f t="shared" si="10"/>
        <v>0.11202175397186748</v>
      </c>
      <c r="G109" s="278">
        <f t="shared" si="10"/>
        <v>0.30238443323792491</v>
      </c>
      <c r="H109" s="90">
        <f t="shared" ref="H109:N111" si="11">H113*$C$112+H117*$C$116+H121*$C$120</f>
        <v>9.7184848931437945E-3</v>
      </c>
      <c r="I109" s="90">
        <f t="shared" si="11"/>
        <v>3.0000000000000002E-2</v>
      </c>
      <c r="J109" s="90">
        <f t="shared" si="11"/>
        <v>0</v>
      </c>
      <c r="K109" s="90">
        <f t="shared" si="11"/>
        <v>0</v>
      </c>
      <c r="L109" s="90">
        <f t="shared" si="11"/>
        <v>1.231378211576657E-2</v>
      </c>
      <c r="M109" s="90">
        <f t="shared" si="11"/>
        <v>0</v>
      </c>
      <c r="N109" s="90">
        <f t="shared" si="11"/>
        <v>0.02</v>
      </c>
      <c r="O109" s="90">
        <v>0</v>
      </c>
      <c r="P109" s="90">
        <f t="shared" ref="P109:U111" si="12">P113*$C$112+P117*$C$116+P121*$C$120</f>
        <v>3.9989486962957101E-2</v>
      </c>
      <c r="Q109" s="90">
        <f t="shared" si="12"/>
        <v>0</v>
      </c>
      <c r="R109" s="90">
        <f t="shared" si="12"/>
        <v>0</v>
      </c>
      <c r="S109" s="90">
        <f t="shared" si="12"/>
        <v>0.11202175397186748</v>
      </c>
      <c r="T109" s="90">
        <f t="shared" si="12"/>
        <v>0.05</v>
      </c>
      <c r="U109" s="90">
        <f t="shared" si="12"/>
        <v>5.5500000000000001E-2</v>
      </c>
      <c r="V109" s="107"/>
      <c r="W109" s="243"/>
      <c r="Z109" s="64"/>
    </row>
    <row r="110" spans="1:258" s="308" customFormat="1" ht="17.399999999999999" x14ac:dyDescent="0.3">
      <c r="A110" s="103"/>
      <c r="B110" s="84"/>
      <c r="C110" s="142"/>
      <c r="D110" s="83" t="s">
        <v>165</v>
      </c>
      <c r="E110" s="270">
        <f t="shared" si="10"/>
        <v>0</v>
      </c>
      <c r="F110" s="90">
        <f t="shared" si="10"/>
        <v>5.4546187837843909E-6</v>
      </c>
      <c r="G110" s="278">
        <f t="shared" si="10"/>
        <v>7.5826522145316173E-6</v>
      </c>
      <c r="H110" s="90">
        <f t="shared" si="11"/>
        <v>2.8523599594175581E-11</v>
      </c>
      <c r="I110" s="90">
        <f t="shared" si="11"/>
        <v>0</v>
      </c>
      <c r="J110" s="90">
        <f t="shared" si="11"/>
        <v>0</v>
      </c>
      <c r="K110" s="90">
        <f t="shared" si="11"/>
        <v>0</v>
      </c>
      <c r="L110" s="90">
        <f t="shared" si="11"/>
        <v>5.4545902601847964E-6</v>
      </c>
      <c r="M110" s="90">
        <f t="shared" si="11"/>
        <v>0</v>
      </c>
      <c r="N110" s="90">
        <f t="shared" si="11"/>
        <v>0</v>
      </c>
      <c r="O110" s="90">
        <v>0</v>
      </c>
      <c r="P110" s="90">
        <f t="shared" si="12"/>
        <v>0</v>
      </c>
      <c r="Q110" s="90">
        <f t="shared" si="12"/>
        <v>0</v>
      </c>
      <c r="R110" s="90">
        <f t="shared" si="12"/>
        <v>0</v>
      </c>
      <c r="S110" s="90">
        <f t="shared" si="12"/>
        <v>5.4546187837843909E-6</v>
      </c>
      <c r="T110" s="90">
        <f t="shared" si="12"/>
        <v>0</v>
      </c>
      <c r="U110" s="90">
        <f t="shared" si="12"/>
        <v>0</v>
      </c>
      <c r="V110" s="107"/>
      <c r="W110" s="243"/>
      <c r="Z110" s="64"/>
    </row>
    <row r="111" spans="1:258" s="308" customFormat="1" ht="17.399999999999999" x14ac:dyDescent="0.3">
      <c r="A111" s="107"/>
      <c r="B111" s="206"/>
      <c r="C111" s="85"/>
      <c r="D111" s="84" t="s">
        <v>166</v>
      </c>
      <c r="E111" s="270">
        <f t="shared" si="10"/>
        <v>1.3437871344803621E-4</v>
      </c>
      <c r="F111" s="90">
        <f t="shared" si="10"/>
        <v>1.7620883134950231E-4</v>
      </c>
      <c r="G111" s="278">
        <f t="shared" si="10"/>
        <v>2.4495392587735169E-4</v>
      </c>
      <c r="H111" s="90">
        <f t="shared" si="11"/>
        <v>4.1499241775067777E-5</v>
      </c>
      <c r="I111" s="90">
        <f t="shared" si="11"/>
        <v>0</v>
      </c>
      <c r="J111" s="90">
        <f t="shared" si="11"/>
        <v>1.2216246677094198E-4</v>
      </c>
      <c r="K111" s="90">
        <f t="shared" si="11"/>
        <v>1.2216246677094198E-5</v>
      </c>
      <c r="L111" s="90">
        <f t="shared" si="11"/>
        <v>3.3087612639836413E-7</v>
      </c>
      <c r="M111" s="90">
        <f t="shared" si="11"/>
        <v>0</v>
      </c>
      <c r="N111" s="90">
        <f t="shared" si="11"/>
        <v>0</v>
      </c>
      <c r="O111" s="90">
        <v>0</v>
      </c>
      <c r="P111" s="90">
        <f t="shared" si="12"/>
        <v>0</v>
      </c>
      <c r="Q111" s="90">
        <f t="shared" si="12"/>
        <v>0</v>
      </c>
      <c r="R111" s="90">
        <f t="shared" si="12"/>
        <v>0</v>
      </c>
      <c r="S111" s="90">
        <f t="shared" si="12"/>
        <v>1.7620883134950231E-4</v>
      </c>
      <c r="T111" s="90">
        <f t="shared" si="12"/>
        <v>0</v>
      </c>
      <c r="U111" s="90">
        <f t="shared" si="12"/>
        <v>0</v>
      </c>
      <c r="V111" s="107"/>
      <c r="W111" s="243"/>
      <c r="Z111" s="64"/>
    </row>
    <row r="112" spans="1:258" s="308" customFormat="1" ht="17.399999999999999" x14ac:dyDescent="0.3">
      <c r="A112" s="122" t="s">
        <v>1</v>
      </c>
      <c r="B112" s="150" t="s">
        <v>225</v>
      </c>
      <c r="C112" s="111">
        <f>'Input data plant-based products'!D14</f>
        <v>0.76</v>
      </c>
      <c r="D112" s="269" t="s">
        <v>473</v>
      </c>
      <c r="E112" s="320">
        <f>IF($F$1="GWP100 without fb",E113+E114*'Common input data'!$C$5+E115*'Common input data'!$D$5,IF($F$1="GWP100 with fb",E113+E114*'Common input data'!$C$6+E115*'Common input data'!$D$6,IF($F$1="GTP100 without fb",E113+E114*'Common input data'!$C$7+E115*'Common input data'!$D$7,IF($F$1="GTP100 with fb",E113+E114*'Common input data'!$C$8+E115*'Common input data'!$D$8,E113+E114*'Common input data'!$C$9+E115*'Common input data'!$D$9))))</f>
        <v>8.3070383835545186E-2</v>
      </c>
      <c r="F112" s="302">
        <f>IF($F$1="GWP100 without fb",F113+F114*'Common input data'!$C$5+F115*'Common input data'!$D$5,IF($F$1="GWP100 with fb",F113+F114*'Common input data'!$C$6+F115*'Common input data'!$D$6,IF($F$1="GTP100 without fb",F113+F114*'Common input data'!$C$7+F115*'Common input data'!$D$7,IF($F$1="GTP100 with fb",F113+F114*'Common input data'!$C$8+F115*'Common input data'!$D$8,F113+F114*'Common input data'!$C$9+F115*'Common input data'!$D$9))))</f>
        <v>0.16549003788597683</v>
      </c>
      <c r="G112" s="321">
        <f>IF($F$1="GWP100 without fb",G113+G114*'Common input data'!$C$5+G115*'Common input data'!$D$5,IF($F$1="GWP100 with fb",G113+G114*'Common input data'!$C$6+G115*'Common input data'!$D$6,IF($F$1="GTP100 without fb",G113+G114*'Common input data'!$C$7+G115*'Common input data'!$D$7,IF($F$1="GTP100 with fb",G113+G114*'Common input data'!$C$8+G115*'Common input data'!$D$8,G113+G114*'Common input data'!$C$9+G115*'Common input data'!$D$9))))</f>
        <v>0.34126410171052796</v>
      </c>
      <c r="H112" s="102"/>
      <c r="I112" s="102"/>
      <c r="J112" s="102"/>
      <c r="K112" s="102"/>
      <c r="L112" s="102"/>
      <c r="M112" s="102"/>
      <c r="N112" s="102"/>
      <c r="O112" s="102"/>
      <c r="P112" s="102"/>
      <c r="Q112" s="102"/>
      <c r="R112" s="102"/>
      <c r="S112" s="102"/>
      <c r="T112" s="102"/>
      <c r="U112" s="102"/>
      <c r="V112" s="107"/>
      <c r="W112" s="243"/>
      <c r="Z112" s="64"/>
    </row>
    <row r="113" spans="1:258" s="308" customFormat="1" ht="17.399999999999999" x14ac:dyDescent="0.3">
      <c r="A113" s="103"/>
      <c r="B113" s="84"/>
      <c r="C113" s="64"/>
      <c r="D113" s="83" t="s">
        <v>164</v>
      </c>
      <c r="E113" s="270">
        <f>IF(AND($F$2="No",$F$3="No"),SUM(J113:K113),IF(AND($F$2="Yes", $F$3="No"), SUM(J113:K113)+Q113, IF(AND($F$2="No", $F$3="Yes"),SUM(J113:K113)+P113, SUM(J113:K113)+Q113+P113)))</f>
        <v>3.9989486962957101E-2</v>
      </c>
      <c r="F113" s="90">
        <f>IF(AND($F$2="No",$F$3="No"),SUM(H113:O113),IF(AND($F$2="Yes", $F$3="No"), SUM(H113:O113)+Q113, IF(AND($F$2="No", $F$3="Yes"),SUM(H113:O113)+P113, SUM(H113:O113)+Q113+P113)))</f>
        <v>0.11125506565060317</v>
      </c>
      <c r="G113" s="278">
        <f>SUM(S113:U113)/(1-'Common input data'!$B$123)</f>
        <v>0.26587021102321268</v>
      </c>
      <c r="H113" s="90">
        <f>('Input data plant-based products'!$F$14*('Common input data'!$B$76*'Common input data'!B69+'Common input data'!$B$77*'Common input data'!C69))/'Input data plant-based products'!$E$14</f>
        <v>8.9811762710450618E-3</v>
      </c>
      <c r="I113" s="90">
        <f>'Common input data'!$B$81</f>
        <v>0.03</v>
      </c>
      <c r="J113" s="90">
        <v>0</v>
      </c>
      <c r="K113" s="90">
        <v>0</v>
      </c>
      <c r="L113" s="90">
        <f>('Input data plant-based products'!$I$14*'Common input data'!$C$59*'Common input data'!H49)/'Input data plant-based products'!$E$14</f>
        <v>1.2284402416600998E-2</v>
      </c>
      <c r="M113" s="90">
        <v>0</v>
      </c>
      <c r="N113" s="90">
        <f>'Input data plant-based products'!$G$152</f>
        <v>0.02</v>
      </c>
      <c r="O113" s="90">
        <v>0</v>
      </c>
      <c r="P113" s="90">
        <f>'Common input data'!$E$13</f>
        <v>3.9989486962957101E-2</v>
      </c>
      <c r="Q113" s="90">
        <v>0</v>
      </c>
      <c r="R113" s="90">
        <v>0</v>
      </c>
      <c r="S113" s="90">
        <f>(F113+R113)</f>
        <v>0.11125506565060317</v>
      </c>
      <c r="T113" s="90">
        <f>'Common input data'!$B$88</f>
        <v>0.05</v>
      </c>
      <c r="U113" s="90">
        <f>'Common input data'!C98</f>
        <v>0.03</v>
      </c>
      <c r="V113" s="107"/>
      <c r="W113" s="243"/>
      <c r="Z113" s="64"/>
    </row>
    <row r="114" spans="1:258" s="308" customFormat="1" ht="17.399999999999999" x14ac:dyDescent="0.3">
      <c r="A114" s="107"/>
      <c r="B114" s="84"/>
      <c r="C114" s="142"/>
      <c r="D114" s="83" t="s">
        <v>165</v>
      </c>
      <c r="E114" s="270">
        <f>SUM(J114:K114)</f>
        <v>0</v>
      </c>
      <c r="F114" s="90">
        <f>SUM(H114:O114)</f>
        <v>5.4416000888363544E-6</v>
      </c>
      <c r="G114" s="278">
        <f>SUM(S114:U114)/(1-'Common input data'!$B$123)</f>
        <v>7.5645544812176942E-6</v>
      </c>
      <c r="H114" s="90">
        <f>('Input data plant-based products'!$F$14*('Common input data'!$B$76*'Common input data'!B70+'Common input data'!$B$77*'Common input data'!C70))/'Input data plant-based products'!$E$14</f>
        <v>2.4044707118465985E-11</v>
      </c>
      <c r="I114" s="90">
        <v>0</v>
      </c>
      <c r="J114" s="90">
        <v>0</v>
      </c>
      <c r="K114" s="90">
        <v>0</v>
      </c>
      <c r="L114" s="90">
        <f>('Input data plant-based products'!$I$14*'Common input data'!$C$59*'Common input data'!H50)/'Input data plant-based products'!$E$14</f>
        <v>5.4415760441292357E-6</v>
      </c>
      <c r="M114" s="90">
        <v>0</v>
      </c>
      <c r="N114" s="90">
        <v>0</v>
      </c>
      <c r="O114" s="90">
        <v>0</v>
      </c>
      <c r="P114" s="90">
        <v>0</v>
      </c>
      <c r="Q114" s="90">
        <v>0</v>
      </c>
      <c r="R114" s="90">
        <v>0</v>
      </c>
      <c r="S114" s="90">
        <f>(F114+R114)</f>
        <v>5.4416000888363544E-6</v>
      </c>
      <c r="T114" s="90">
        <v>0</v>
      </c>
      <c r="U114" s="90">
        <v>0</v>
      </c>
      <c r="V114" s="107"/>
      <c r="W114" s="243"/>
      <c r="Z114" s="64"/>
    </row>
    <row r="115" spans="1:258" s="308" customFormat="1" ht="17.399999999999999" x14ac:dyDescent="0.3">
      <c r="A115" s="174"/>
      <c r="B115" s="206"/>
      <c r="C115" s="85"/>
      <c r="D115" s="84" t="s">
        <v>166</v>
      </c>
      <c r="E115" s="270">
        <f>SUM(J115:K115)</f>
        <v>1.4456676802881909E-4</v>
      </c>
      <c r="F115" s="90">
        <f>SUM(H115:O115)</f>
        <v>1.813756974240041E-4</v>
      </c>
      <c r="G115" s="278">
        <f>SUM(S115:U115)/(1-'Common input data'!$B$123)</f>
        <v>2.5213656320454314E-4</v>
      </c>
      <c r="H115" s="90">
        <f>('Input data plant-based products'!$F$14*('Common input data'!$B$76*'Common input data'!B71+'Common input data'!$B$77*'Common input data'!C71))/'Input data plant-based products'!$E$14</f>
        <v>3.6478842712757919E-5</v>
      </c>
      <c r="I115" s="90">
        <v>0</v>
      </c>
      <c r="J115" s="90">
        <f>(SUM('Input data plant-based products'!F14:H14)*'Input data plant-based products'!$B$114*44/28)/'Input data plant-based products'!E14</f>
        <v>1.3142433457165371E-4</v>
      </c>
      <c r="K115" s="90">
        <f>J115*'Input data plant-based products'!$B$115</f>
        <v>1.3142433457165372E-5</v>
      </c>
      <c r="L115" s="90">
        <f>('Input data plant-based products'!$I$14*'Common input data'!$C$59*'Common input data'!H51)/'Input data plant-based products'!$E$14</f>
        <v>3.3008668242710799E-7</v>
      </c>
      <c r="M115" s="90">
        <v>0</v>
      </c>
      <c r="N115" s="90">
        <v>0</v>
      </c>
      <c r="O115" s="90">
        <v>0</v>
      </c>
      <c r="P115" s="90">
        <v>0</v>
      </c>
      <c r="Q115" s="90">
        <v>0</v>
      </c>
      <c r="R115" s="90">
        <v>0</v>
      </c>
      <c r="S115" s="90">
        <f>(F115+R115)</f>
        <v>1.813756974240041E-4</v>
      </c>
      <c r="T115" s="90">
        <v>0</v>
      </c>
      <c r="U115" s="90">
        <v>0</v>
      </c>
      <c r="V115" s="107"/>
      <c r="W115" s="243"/>
      <c r="Z115" s="64"/>
    </row>
    <row r="116" spans="1:258" s="308" customFormat="1" ht="17.399999999999999" x14ac:dyDescent="0.3">
      <c r="A116" s="122" t="s">
        <v>69</v>
      </c>
      <c r="B116" s="150" t="s">
        <v>225</v>
      </c>
      <c r="C116" s="111">
        <f>'Input data plant-based products'!D15</f>
        <v>0.15</v>
      </c>
      <c r="D116" s="269" t="s">
        <v>473</v>
      </c>
      <c r="E116" s="320">
        <f>IF($F$1="GWP100 without fb",E117+E118*'Common input data'!$C$5+E119*'Common input data'!$D$5,IF($F$1="GWP100 with fb",E117+E118*'Common input data'!$C$6+E119*'Common input data'!$D$6,IF($F$1="GTP100 without fb",E117+E118*'Common input data'!$C$7+E119*'Common input data'!$D$7,IF($F$1="GTP100 with fb",E117+E118*'Common input data'!$C$8+E119*'Common input data'!$D$8,E117+E118*'Common input data'!$C$9+E119*'Common input data'!$D$9))))</f>
        <v>6.5126292686431761E-2</v>
      </c>
      <c r="F116" s="302">
        <f>IF($F$1="GWP100 without fb",F117+F118*'Common input data'!$C$5+F119*'Common input data'!$D$5,IF($F$1="GWP100 with fb",F117+F118*'Common input data'!$C$6+F119*'Common input data'!$D$6,IF($F$1="GTP100 without fb",F117+F118*'Common input data'!$C$7+F119*'Common input data'!$D$7,IF($F$1="GTP100 with fb",F117+F118*'Common input data'!$C$8+F119*'Common input data'!$D$8,F117+F118*'Common input data'!$C$9+F119*'Common input data'!$D$9))))</f>
        <v>0.14567712059290722</v>
      </c>
      <c r="G116" s="321">
        <f>IF($F$1="GWP100 without fb",G117+G118*'Common input data'!$C$5+G119*'Common input data'!$D$5,IF($F$1="GWP100 with fb",G117+G118*'Common input data'!$C$6+G119*'Common input data'!$D$6,IF($F$1="GTP100 without fb",G117+G118*'Common input data'!$C$7+G119*'Common input data'!$D$7,IF($F$1="GTP100 with fb",G117+G118*'Common input data'!$C$8+G119*'Common input data'!$D$8,G117+G118*'Common input data'!$C$9+G119*'Common input data'!$D$9))))</f>
        <v>0.38322819830668758</v>
      </c>
      <c r="H116" s="102"/>
      <c r="I116" s="102"/>
      <c r="J116" s="102"/>
      <c r="K116" s="102"/>
      <c r="L116" s="102"/>
      <c r="M116" s="102"/>
      <c r="N116" s="102"/>
      <c r="O116" s="102"/>
      <c r="P116" s="102"/>
      <c r="Q116" s="102"/>
      <c r="R116" s="102"/>
      <c r="S116" s="102"/>
      <c r="T116" s="102"/>
      <c r="U116" s="102"/>
      <c r="V116" s="107"/>
      <c r="W116" s="243"/>
      <c r="Z116" s="64"/>
    </row>
    <row r="117" spans="1:258" s="308" customFormat="1" ht="17.399999999999999" x14ac:dyDescent="0.3">
      <c r="A117" s="144"/>
      <c r="B117" s="84"/>
      <c r="C117" s="64"/>
      <c r="D117" s="83" t="s">
        <v>164</v>
      </c>
      <c r="E117" s="270">
        <f>IF(AND($F$2="No",$F$3="No"),SUM(J117:K117),IF(AND($F$2="Yes", $F$3="No"), SUM(J117:K117)+Q117, IF(AND($F$2="No", $F$3="Yes"),SUM(J117:K117)+P117, SUM(J117:K117)+Q117+P117)))</f>
        <v>3.9989486962957101E-2</v>
      </c>
      <c r="F117" s="90">
        <f>IF(AND($F$2="No",$F$3="No"),SUM(H117:O117),IF(AND($F$2="Yes", $F$3="No"), SUM(H117:O117)+Q117, IF(AND($F$2="No", $F$3="Yes"),SUM(H117:O117)+P117, SUM(H117:O117)+Q117+P117)))</f>
        <v>0.10866034088950127</v>
      </c>
      <c r="G117" s="278">
        <f>SUM(S117:U117)/(1-'Common input data'!$B$123)</f>
        <v>0.3317699062208524</v>
      </c>
      <c r="H117" s="90">
        <f>('Input data plant-based products'!$F$15*('Common input data'!$B$76*'Common input data'!B69+'Common input data'!$B$77*'Common input data'!C69))/'Input data plant-based products'!$E$15</f>
        <v>9.6429653111298509E-3</v>
      </c>
      <c r="I117" s="90">
        <f>'Common input data'!$B$81</f>
        <v>0.03</v>
      </c>
      <c r="J117" s="90">
        <v>0</v>
      </c>
      <c r="K117" s="90">
        <v>0</v>
      </c>
      <c r="L117" s="90">
        <f>('Input data plant-based products'!$I$15*'Common input data'!$C$59*'Common input data'!H49)/'Input data plant-based products'!$E$15</f>
        <v>9.0278886154143145E-3</v>
      </c>
      <c r="M117" s="90">
        <v>0</v>
      </c>
      <c r="N117" s="90">
        <f>'Input data plant-based products'!$G$152</f>
        <v>0.02</v>
      </c>
      <c r="O117" s="90">
        <v>0</v>
      </c>
      <c r="P117" s="90">
        <f>'Common input data'!$E$13</f>
        <v>3.9989486962957101E-2</v>
      </c>
      <c r="Q117" s="90">
        <v>0</v>
      </c>
      <c r="R117" s="90">
        <v>0</v>
      </c>
      <c r="S117" s="90">
        <f>(F117+R117)</f>
        <v>0.10866034088950127</v>
      </c>
      <c r="T117" s="90">
        <f>'Common input data'!$B$88</f>
        <v>0.05</v>
      </c>
      <c r="U117" s="90">
        <f>'Common input data'!B98+'Common input data'!C98</f>
        <v>0.08</v>
      </c>
      <c r="V117" s="107"/>
      <c r="W117" s="243"/>
      <c r="Z117" s="64"/>
    </row>
    <row r="118" spans="1:258" s="308" customFormat="1" ht="17.399999999999999" x14ac:dyDescent="0.3">
      <c r="A118" s="107"/>
      <c r="B118" s="84"/>
      <c r="C118" s="142"/>
      <c r="D118" s="83" t="s">
        <v>165</v>
      </c>
      <c r="E118" s="270">
        <f>SUM(J118:K118)</f>
        <v>0</v>
      </c>
      <c r="F118" s="90">
        <f>SUM(H118:O118)</f>
        <v>3.9990760553590755E-6</v>
      </c>
      <c r="G118" s="278">
        <f>SUM(S118:U118)/(1-'Common input data'!$B$123)</f>
        <v>5.5592524627743965E-6</v>
      </c>
      <c r="H118" s="90">
        <f>('Input data plant-based products'!$F$15*('Common input data'!$B$76*'Common input data'!B70+'Common input data'!$B$77*'Common input data'!C70))/'Input data plant-based products'!$E$15</f>
        <v>2.5816470990237533E-11</v>
      </c>
      <c r="I118" s="90">
        <v>0</v>
      </c>
      <c r="J118" s="90">
        <v>0</v>
      </c>
      <c r="K118" s="90">
        <v>0</v>
      </c>
      <c r="L118" s="90">
        <f>('Input data plant-based products'!$I$15*'Common input data'!$C$59*'Common input data'!H50)/'Input data plant-based products'!$E$15</f>
        <v>3.9990502388880849E-6</v>
      </c>
      <c r="M118" s="90">
        <v>0</v>
      </c>
      <c r="N118" s="90">
        <v>0</v>
      </c>
      <c r="O118" s="90">
        <v>0</v>
      </c>
      <c r="P118" s="90">
        <v>0</v>
      </c>
      <c r="Q118" s="90">
        <v>0</v>
      </c>
      <c r="R118" s="90">
        <v>0</v>
      </c>
      <c r="S118" s="90">
        <f>(F118+R118)</f>
        <v>3.9990760553590755E-6</v>
      </c>
      <c r="T118" s="90">
        <v>0</v>
      </c>
      <c r="U118" s="90">
        <v>0</v>
      </c>
      <c r="V118" s="107"/>
      <c r="W118" s="243"/>
      <c r="Z118" s="64"/>
    </row>
    <row r="119" spans="1:258" s="308" customFormat="1" ht="17.399999999999999" x14ac:dyDescent="0.3">
      <c r="A119" s="174"/>
      <c r="B119" s="206"/>
      <c r="C119" s="85"/>
      <c r="D119" s="84" t="s">
        <v>166</v>
      </c>
      <c r="E119" s="270">
        <f>SUM(J119:K119)</f>
        <v>8.4351697058639792E-5</v>
      </c>
      <c r="F119" s="90">
        <f>SUM(H119:O119)</f>
        <v>1.2376111113263005E-4</v>
      </c>
      <c r="G119" s="278">
        <f>SUM(S119:U119)/(1-'Common input data'!$B$123)</f>
        <v>1.7204455537617733E-4</v>
      </c>
      <c r="H119" s="90">
        <f>('Input data plant-based products'!$F$15*('Common input data'!$B$76*'Common input data'!B71+'Common input data'!$B$77*'Common input data'!C71))/'Input data plant-based products'!$E$15</f>
        <v>3.9166831187063971E-5</v>
      </c>
      <c r="I119" s="90">
        <v>0</v>
      </c>
      <c r="J119" s="90">
        <f>(SUM('Input data plant-based products'!F15:H15)*'Input data plant-based products'!$B$114*44/28)/'Input data plant-based products'!E15</f>
        <v>7.6683360962399806E-5</v>
      </c>
      <c r="K119" s="90">
        <f>J119*'Input data plant-based products'!$B$115</f>
        <v>7.6683360962399809E-6</v>
      </c>
      <c r="L119" s="90">
        <f>('Input data plant-based products'!$I$15*'Common input data'!$C$59*'Common input data'!H51)/'Input data plant-based products'!$E$15</f>
        <v>2.4258288692630663E-7</v>
      </c>
      <c r="M119" s="90">
        <v>0</v>
      </c>
      <c r="N119" s="90">
        <v>0</v>
      </c>
      <c r="O119" s="90">
        <v>0</v>
      </c>
      <c r="P119" s="90">
        <v>0</v>
      </c>
      <c r="Q119" s="90">
        <v>0</v>
      </c>
      <c r="R119" s="90">
        <v>0</v>
      </c>
      <c r="S119" s="90">
        <f>(F119+R119)</f>
        <v>1.2376111113263005E-4</v>
      </c>
      <c r="T119" s="90">
        <v>0</v>
      </c>
      <c r="U119" s="90">
        <v>0</v>
      </c>
      <c r="V119" s="107"/>
      <c r="W119" s="243"/>
      <c r="Z119" s="64"/>
    </row>
    <row r="120" spans="1:258" s="308" customFormat="1" ht="17.399999999999999" x14ac:dyDescent="0.3">
      <c r="A120" s="122" t="s">
        <v>70</v>
      </c>
      <c r="B120" s="150" t="s">
        <v>225</v>
      </c>
      <c r="C120" s="111">
        <f>'Input data plant-based products'!D16</f>
        <v>0.09</v>
      </c>
      <c r="D120" s="269" t="s">
        <v>473</v>
      </c>
      <c r="E120" s="320">
        <f>IF($F$1="GWP100 without fb",E121+E122*'Common input data'!$C$5+E123*'Common input data'!$D$5,IF($F$1="GWP100 with fb",E121+E122*'Common input data'!$C$6+E123*'Common input data'!$D$6,IF($F$1="GTP100 without fb",E121+E122*'Common input data'!$C$7+E123*'Common input data'!$D$7,IF($F$1="GTP100 with fb",E121+E122*'Common input data'!$C$8+E123*'Common input data'!$D$8,E121+E122*'Common input data'!$C$9+E123*'Common input data'!$D$9))))</f>
        <v>7.9243421694364186E-2</v>
      </c>
      <c r="F120" s="302">
        <f>IF($F$1="GWP100 without fb",F121+F122*'Common input data'!$C$5+F123*'Common input data'!$D$5,IF($F$1="GWP100 with fb",F121+F122*'Common input data'!$C$6+F123*'Common input data'!$D$6,IF($F$1="GTP100 without fb",F121+F122*'Common input data'!$C$7+F123*'Common input data'!$D$7,IF($F$1="GTP100 with fb",F121+F122*'Common input data'!$C$8+F123*'Common input data'!$D$8,F121+F122*'Common input data'!$C$9+F123*'Common input data'!$D$9))))</f>
        <v>0.18992717633765954</v>
      </c>
      <c r="G120" s="321">
        <f>IF($F$1="GWP100 without fb",G121+G122*'Common input data'!$C$5+G123*'Common input data'!$D$5,IF($F$1="GWP100 with fb",G121+G122*'Common input data'!$C$6+G123*'Common input data'!$D$6,IF($F$1="GTP100 without fb",G121+G122*'Common input data'!$C$7+G123*'Common input data'!$D$7,IF($F$1="GTP100 with fb",G121+G122*'Common input data'!$C$8+G123*'Common input data'!$D$8,G121+G122*'Common input data'!$C$9+G123*'Common input data'!$D$9))))</f>
        <v>0.65326184754072703</v>
      </c>
      <c r="H120" s="102"/>
      <c r="I120" s="102"/>
      <c r="J120" s="102"/>
      <c r="K120" s="102"/>
      <c r="L120" s="102"/>
      <c r="M120" s="102"/>
      <c r="N120" s="102"/>
      <c r="O120" s="102"/>
      <c r="P120" s="102"/>
      <c r="Q120" s="102"/>
      <c r="R120" s="102"/>
      <c r="S120" s="102"/>
      <c r="T120" s="102"/>
      <c r="U120" s="102"/>
      <c r="V120" s="107"/>
      <c r="W120" s="243"/>
      <c r="Z120" s="64"/>
    </row>
    <row r="121" spans="1:258" s="308" customFormat="1" ht="17.399999999999999" x14ac:dyDescent="0.3">
      <c r="A121" s="144"/>
      <c r="B121" s="84"/>
      <c r="C121" s="64"/>
      <c r="D121" s="83" t="s">
        <v>164</v>
      </c>
      <c r="E121" s="270">
        <f>IF(AND($F$2="No",$F$3="No"),SUM(J121:K121),IF(AND($F$2="Yes", $F$3="No"), SUM(J121:K121)+Q121, IF(AND($F$2="No", $F$3="Yes"),SUM(J121:K121)+P121, SUM(J121:K121)+Q121+P121)))</f>
        <v>3.9989486962957101E-2</v>
      </c>
      <c r="F121" s="90">
        <f>IF(AND($F$2="No",$F$3="No"),SUM(H121:O121),IF(AND($F$2="Yes", $F$3="No"), SUM(H121:O121)+Q121, IF(AND($F$2="No", $F$3="Yes"),SUM(H121:O121)+P121, SUM(H121:O121)+Q121+P121)))</f>
        <v>0.12409836604426527</v>
      </c>
      <c r="G121" s="278">
        <f>SUM(S121:U121)/(1-'Common input data'!$B$123)</f>
        <v>0.56175096585728235</v>
      </c>
      <c r="H121" s="90">
        <f>('Input data plant-based products'!$F$16*('Common input data'!$C$76*'Common input data'!B69+'Common input data'!$C$77*'Common input data'!C69))/'Input data plant-based products'!$E$16</f>
        <v>1.6070512560889663E-2</v>
      </c>
      <c r="I121" s="90">
        <f>'Common input data'!$B$81</f>
        <v>0.03</v>
      </c>
      <c r="J121" s="90">
        <v>0</v>
      </c>
      <c r="K121" s="90">
        <v>0</v>
      </c>
      <c r="L121" s="90">
        <f>('Input data plant-based products'!$I$16*'Common input data'!$C$59*'Common input data'!H49)/'Input data plant-based products'!$E$16</f>
        <v>1.8038366520418493E-2</v>
      </c>
      <c r="M121" s="90">
        <v>0</v>
      </c>
      <c r="N121" s="90">
        <f>'Input data plant-based products'!$G$152</f>
        <v>0.02</v>
      </c>
      <c r="O121" s="90">
        <v>0</v>
      </c>
      <c r="P121" s="90">
        <f>'Common input data'!$E$13</f>
        <v>3.9989486962957101E-2</v>
      </c>
      <c r="Q121" s="90">
        <v>0</v>
      </c>
      <c r="R121" s="90">
        <v>0</v>
      </c>
      <c r="S121" s="90">
        <f>(F121+R121)</f>
        <v>0.12409836604426527</v>
      </c>
      <c r="T121" s="90">
        <f>'Common input data'!$B$88</f>
        <v>0.05</v>
      </c>
      <c r="U121" s="90">
        <f>'Common input data'!B102+'Common input data'!C102</f>
        <v>0.23000000000000004</v>
      </c>
      <c r="V121" s="107"/>
      <c r="W121" s="243"/>
      <c r="Z121" s="64"/>
    </row>
    <row r="122" spans="1:258" s="308" customFormat="1" ht="17.399999999999999" x14ac:dyDescent="0.3">
      <c r="A122" s="107"/>
      <c r="B122" s="84"/>
      <c r="C122" s="142"/>
      <c r="D122" s="83" t="s">
        <v>165</v>
      </c>
      <c r="E122" s="270">
        <f>SUM(J122:K122)</f>
        <v>0</v>
      </c>
      <c r="F122" s="90">
        <f>SUM(H122:O122)</f>
        <v>7.9904589773877833E-6</v>
      </c>
      <c r="G122" s="278">
        <f>SUM(S122:U122)/(1-'Common input data'!$B$123)</f>
        <v>1.1107810437666775E-5</v>
      </c>
      <c r="H122" s="90">
        <f>('Input data plant-based products'!$F$16*('Common input data'!$C$76*'Common input data'!B70+'Common input data'!$C$77*'Common input data'!C70))/'Input data plant-based products'!$E$16</f>
        <v>7.0857239284508943E-11</v>
      </c>
      <c r="I122" s="90">
        <v>0</v>
      </c>
      <c r="J122" s="90">
        <v>0</v>
      </c>
      <c r="K122" s="90">
        <v>0</v>
      </c>
      <c r="L122" s="90">
        <f>('Input data plant-based products'!$I$16*'Common input data'!$C$59*'Common input data'!H50)/'Input data plant-based products'!$E$16</f>
        <v>7.9903881201484991E-6</v>
      </c>
      <c r="M122" s="90">
        <v>0</v>
      </c>
      <c r="N122" s="90">
        <v>0</v>
      </c>
      <c r="O122" s="90">
        <v>0</v>
      </c>
      <c r="P122" s="90">
        <v>0</v>
      </c>
      <c r="Q122" s="90">
        <v>0</v>
      </c>
      <c r="R122" s="90">
        <v>0</v>
      </c>
      <c r="S122" s="90">
        <f>(F122+R122)</f>
        <v>7.9904589773877833E-6</v>
      </c>
      <c r="T122" s="90">
        <v>0</v>
      </c>
      <c r="U122" s="90">
        <v>0</v>
      </c>
      <c r="V122" s="107"/>
      <c r="W122" s="243"/>
      <c r="Z122" s="64"/>
    </row>
    <row r="123" spans="1:258" s="308" customFormat="1" ht="17.399999999999999" x14ac:dyDescent="0.3">
      <c r="A123" s="174"/>
      <c r="B123" s="206"/>
      <c r="C123" s="85"/>
      <c r="D123" s="84" t="s">
        <v>166</v>
      </c>
      <c r="E123" s="780">
        <f>SUM(J123:K123)</f>
        <v>1.3172461319264122E-4</v>
      </c>
      <c r="F123" s="108">
        <f>SUM(H123:O123)</f>
        <v>2.1999038485960763E-4</v>
      </c>
      <c r="G123" s="521">
        <f>SUM(S123:U123)/(1-'Common input data'!$B$123)</f>
        <v>3.0581616150524796E-4</v>
      </c>
      <c r="H123" s="90">
        <f>('Input data plant-based products'!$F$16*('Common input data'!$C$76*'Common input data'!B71+'Common input data'!$C$77*'Common input data'!C71))/'Input data plant-based products'!$E$16</f>
        <v>8.7781073725690678E-5</v>
      </c>
      <c r="I123" s="90">
        <v>0</v>
      </c>
      <c r="J123" s="90">
        <f>(SUM('Input data plant-based products'!F16:H16)*'Input data plant-based products'!$B$114*44/28)/'Input data plant-based products'!E16</f>
        <v>1.1974964835694656E-4</v>
      </c>
      <c r="K123" s="90">
        <f>J123*'Input data plant-based products'!$B$115</f>
        <v>1.1974964835694657E-5</v>
      </c>
      <c r="L123" s="90">
        <f>('Input data plant-based products'!$I$16*'Common input data'!$C$59*'Common input data'!H51)/'Input data plant-based products'!$E$16</f>
        <v>4.8469794127573404E-7</v>
      </c>
      <c r="M123" s="90">
        <v>0</v>
      </c>
      <c r="N123" s="90">
        <v>0</v>
      </c>
      <c r="O123" s="90">
        <v>0</v>
      </c>
      <c r="P123" s="90">
        <v>0</v>
      </c>
      <c r="Q123" s="90">
        <v>0</v>
      </c>
      <c r="R123" s="90">
        <v>0</v>
      </c>
      <c r="S123" s="90">
        <f>(F123+R123)</f>
        <v>2.1999038485960763E-4</v>
      </c>
      <c r="T123" s="90">
        <v>0</v>
      </c>
      <c r="U123" s="90">
        <v>0</v>
      </c>
      <c r="V123" s="107"/>
      <c r="W123" s="243"/>
      <c r="Z123" s="64"/>
    </row>
    <row r="124" spans="1:258" s="427" customFormat="1" ht="17.399999999999999" x14ac:dyDescent="0.3">
      <c r="A124" s="426" t="s">
        <v>603</v>
      </c>
      <c r="B124" s="412"/>
      <c r="C124" s="413"/>
      <c r="D124" s="414"/>
      <c r="E124" s="767" t="s">
        <v>820</v>
      </c>
      <c r="F124" s="768" t="s">
        <v>820</v>
      </c>
      <c r="G124" s="590" t="s">
        <v>820</v>
      </c>
      <c r="H124" s="413"/>
      <c r="I124" s="413"/>
      <c r="J124" s="413"/>
      <c r="K124" s="416"/>
      <c r="L124" s="416"/>
      <c r="M124" s="417"/>
      <c r="N124" s="416"/>
      <c r="O124" s="416"/>
      <c r="P124" s="416"/>
      <c r="Q124" s="416"/>
      <c r="R124" s="416"/>
      <c r="S124" s="416"/>
      <c r="T124" s="416"/>
      <c r="U124" s="416"/>
      <c r="V124" s="430"/>
      <c r="W124" s="243"/>
      <c r="X124" s="308"/>
      <c r="Y124" s="308"/>
      <c r="Z124" s="64"/>
      <c r="AA124" s="308"/>
      <c r="AB124" s="308"/>
      <c r="AC124" s="308"/>
      <c r="AD124" s="308"/>
      <c r="AE124" s="308"/>
      <c r="AF124" s="308"/>
      <c r="AG124" s="308"/>
      <c r="AH124" s="308"/>
      <c r="AI124" s="308"/>
      <c r="AJ124" s="308"/>
      <c r="AK124" s="308"/>
      <c r="AL124" s="308"/>
      <c r="AM124" s="308"/>
      <c r="AN124" s="308"/>
      <c r="AO124" s="308"/>
      <c r="AP124" s="308"/>
      <c r="AQ124" s="308"/>
      <c r="AR124" s="308"/>
      <c r="AS124" s="308"/>
      <c r="AT124" s="308"/>
      <c r="AU124" s="308"/>
      <c r="AV124" s="308"/>
      <c r="AW124" s="308"/>
      <c r="AX124" s="308"/>
      <c r="AY124" s="308"/>
      <c r="AZ124" s="308"/>
      <c r="BA124" s="308"/>
      <c r="BB124" s="308"/>
      <c r="BC124" s="308"/>
      <c r="BD124" s="308"/>
      <c r="BE124" s="308"/>
      <c r="BF124" s="308"/>
      <c r="BG124" s="308"/>
      <c r="BH124" s="308"/>
      <c r="BI124" s="308"/>
      <c r="BJ124" s="308"/>
      <c r="BK124" s="308"/>
      <c r="BL124" s="308"/>
      <c r="BM124" s="308"/>
      <c r="BN124" s="308"/>
      <c r="BO124" s="308"/>
      <c r="BP124" s="308"/>
      <c r="BQ124" s="308"/>
      <c r="BR124" s="308"/>
      <c r="BS124" s="308"/>
      <c r="BT124" s="308"/>
      <c r="BU124" s="308"/>
      <c r="BV124" s="308"/>
      <c r="BW124" s="308"/>
      <c r="BX124" s="308"/>
      <c r="BY124" s="308"/>
      <c r="BZ124" s="308"/>
      <c r="CA124" s="308"/>
      <c r="CB124" s="308"/>
      <c r="CC124" s="308"/>
      <c r="CD124" s="308"/>
      <c r="CE124" s="308"/>
      <c r="CF124" s="308"/>
      <c r="CG124" s="308"/>
      <c r="CH124" s="308"/>
      <c r="CI124" s="308"/>
      <c r="CJ124" s="308"/>
      <c r="CK124" s="308"/>
      <c r="CL124" s="308"/>
      <c r="CM124" s="308"/>
      <c r="CN124" s="308"/>
      <c r="CO124" s="308"/>
      <c r="CP124" s="308"/>
      <c r="CQ124" s="308"/>
      <c r="CR124" s="308"/>
      <c r="CS124" s="308"/>
      <c r="CT124" s="308"/>
      <c r="CU124" s="308"/>
      <c r="CV124" s="308"/>
      <c r="CW124" s="308"/>
      <c r="CX124" s="308"/>
      <c r="CY124" s="308"/>
      <c r="CZ124" s="308"/>
      <c r="DA124" s="308"/>
      <c r="DB124" s="308"/>
      <c r="DC124" s="308"/>
      <c r="DD124" s="308"/>
      <c r="DE124" s="308"/>
      <c r="DF124" s="308"/>
      <c r="DG124" s="308"/>
      <c r="DH124" s="308"/>
      <c r="DI124" s="308"/>
      <c r="DJ124" s="308"/>
      <c r="DK124" s="308"/>
      <c r="DL124" s="308"/>
      <c r="DM124" s="308"/>
      <c r="DN124" s="308"/>
      <c r="DO124" s="308"/>
      <c r="DP124" s="308"/>
      <c r="DQ124" s="308"/>
      <c r="DR124" s="308"/>
      <c r="DS124" s="308"/>
      <c r="DT124" s="308"/>
      <c r="DU124" s="308"/>
      <c r="DV124" s="308"/>
      <c r="DW124" s="308"/>
      <c r="DX124" s="308"/>
      <c r="DY124" s="308"/>
      <c r="DZ124" s="308"/>
      <c r="EA124" s="308"/>
      <c r="EB124" s="308"/>
      <c r="EC124" s="308"/>
      <c r="ED124" s="308"/>
      <c r="EE124" s="308"/>
      <c r="EF124" s="308"/>
      <c r="EG124" s="308"/>
      <c r="EH124" s="308"/>
      <c r="EI124" s="308"/>
      <c r="EJ124" s="308"/>
      <c r="EK124" s="308"/>
      <c r="EL124" s="308"/>
      <c r="EM124" s="308"/>
      <c r="EN124" s="308"/>
      <c r="EO124" s="308"/>
      <c r="EP124" s="308"/>
      <c r="EQ124" s="308"/>
      <c r="ER124" s="308"/>
      <c r="ES124" s="308"/>
      <c r="ET124" s="308"/>
      <c r="EU124" s="308"/>
      <c r="EV124" s="308"/>
      <c r="EW124" s="308"/>
      <c r="EX124" s="308"/>
      <c r="EY124" s="308"/>
      <c r="EZ124" s="308"/>
      <c r="FA124" s="308"/>
      <c r="FB124" s="308"/>
      <c r="FC124" s="308"/>
      <c r="FD124" s="308"/>
      <c r="FE124" s="308"/>
      <c r="FF124" s="308"/>
      <c r="FG124" s="308"/>
      <c r="FH124" s="308"/>
      <c r="FI124" s="308"/>
      <c r="FJ124" s="308"/>
      <c r="FK124" s="308"/>
      <c r="FL124" s="308"/>
      <c r="FM124" s="308"/>
      <c r="FN124" s="308"/>
      <c r="FO124" s="308"/>
      <c r="FP124" s="308"/>
      <c r="FQ124" s="308"/>
      <c r="FR124" s="308"/>
      <c r="FS124" s="308"/>
      <c r="FT124" s="308"/>
      <c r="FU124" s="308"/>
      <c r="FV124" s="308"/>
      <c r="FW124" s="308"/>
      <c r="FX124" s="308"/>
      <c r="FY124" s="308"/>
      <c r="FZ124" s="308"/>
      <c r="GA124" s="308"/>
      <c r="GB124" s="308"/>
      <c r="GC124" s="308"/>
      <c r="GD124" s="308"/>
      <c r="GE124" s="308"/>
      <c r="GF124" s="308"/>
      <c r="GG124" s="308"/>
      <c r="GH124" s="308"/>
      <c r="GI124" s="308"/>
      <c r="GJ124" s="308"/>
      <c r="GK124" s="308"/>
      <c r="GL124" s="308"/>
      <c r="GM124" s="308"/>
      <c r="GN124" s="308"/>
      <c r="GO124" s="308"/>
      <c r="GP124" s="308"/>
      <c r="GQ124" s="308"/>
      <c r="GR124" s="308"/>
      <c r="GS124" s="308"/>
      <c r="GT124" s="308"/>
      <c r="GU124" s="308"/>
      <c r="GV124" s="308"/>
      <c r="GW124" s="308"/>
      <c r="GX124" s="308"/>
      <c r="GY124" s="308"/>
      <c r="GZ124" s="308"/>
      <c r="HA124" s="308"/>
      <c r="HB124" s="308"/>
      <c r="HC124" s="308"/>
      <c r="HD124" s="308"/>
      <c r="HE124" s="308"/>
      <c r="HF124" s="308"/>
      <c r="HG124" s="308"/>
      <c r="HH124" s="308"/>
      <c r="HI124" s="308"/>
      <c r="HJ124" s="308"/>
      <c r="HK124" s="308"/>
      <c r="HL124" s="308"/>
      <c r="HM124" s="308"/>
      <c r="HN124" s="308"/>
      <c r="HO124" s="308"/>
      <c r="HP124" s="308"/>
      <c r="HQ124" s="308"/>
      <c r="HR124" s="308"/>
      <c r="HS124" s="308"/>
      <c r="HT124" s="308"/>
      <c r="HU124" s="308"/>
      <c r="HV124" s="308"/>
      <c r="HW124" s="308"/>
      <c r="HX124" s="308"/>
      <c r="HY124" s="308"/>
      <c r="HZ124" s="308"/>
      <c r="IA124" s="308"/>
      <c r="IB124" s="308"/>
      <c r="IC124" s="308"/>
      <c r="ID124" s="308"/>
      <c r="IE124" s="308"/>
      <c r="IF124" s="308"/>
      <c r="IG124" s="308"/>
      <c r="IH124" s="308"/>
      <c r="II124" s="308"/>
      <c r="IJ124" s="308"/>
      <c r="IK124" s="308"/>
      <c r="IL124" s="308"/>
      <c r="IM124" s="308"/>
      <c r="IN124" s="308"/>
      <c r="IO124" s="308"/>
      <c r="IP124" s="308"/>
      <c r="IQ124" s="308"/>
      <c r="IR124" s="308"/>
      <c r="IS124" s="308"/>
      <c r="IT124" s="308"/>
      <c r="IU124" s="308"/>
      <c r="IV124" s="308"/>
      <c r="IW124" s="308"/>
      <c r="IX124" s="308"/>
    </row>
    <row r="125" spans="1:258" s="420" customFormat="1" ht="17.399999999999999" x14ac:dyDescent="0.3">
      <c r="A125" s="122" t="s">
        <v>249</v>
      </c>
      <c r="B125" s="150"/>
      <c r="C125" s="112">
        <f>SUM(C129:C136)</f>
        <v>1</v>
      </c>
      <c r="D125" s="269" t="s">
        <v>473</v>
      </c>
      <c r="E125" s="769">
        <f>IF($F$1="GWP100 without fb",E126+E127*'Common input data'!$C$5+E128*'Common input data'!$D$5,IF($F$1="GWP100 with fb",E126+E127*'Common input data'!$C$6+E128*'Common input data'!$D$6,IF($F$1="GTP100 without fb",E126+E127*'Common input data'!$C$7+E128*'Common input data'!$D$7,IF($F$1="GTP100 with fb",E126+E127*'Common input data'!$C$8+E128*'Common input data'!$D$8,E126+E127*'Common input data'!$C$9+E128*'Common input data'!$D$9))))</f>
        <v>5.4805569397405149E-2</v>
      </c>
      <c r="F125" s="326">
        <f>IF($F$1="GWP100 without fb",F126+F127*'Common input data'!$C$5+F128*'Common input data'!$D$5,IF($F$1="GWP100 with fb",F126+F127*'Common input data'!$C$6+F128*'Common input data'!$D$6,IF($F$1="GTP100 without fb",F126+F127*'Common input data'!$C$7+F128*'Common input data'!$D$7,IF($F$1="GTP100 with fb",F126+F127*'Common input data'!$C$8+F128*'Common input data'!$D$8,F126+F127*'Common input data'!$C$9+F128*'Common input data'!$D$9))))</f>
        <v>0.12063457283039883</v>
      </c>
      <c r="G125" s="770">
        <f>IF($F$1="GWP100 without fb",G126+G127*'Common input data'!$C$5+G128*'Common input data'!$D$5,IF($F$1="GWP100 with fb",G126+G127*'Common input data'!$C$6+G128*'Common input data'!$D$6,IF($F$1="GTP100 without fb",G126+G127*'Common input data'!$C$7+G128*'Common input data'!$D$7,IF($F$1="GTP100 with fb",G126+G127*'Common input data'!$C$8+G128*'Common input data'!$D$8,G126+G127*'Common input data'!$C$9+G128*'Common input data'!$D$9))))</f>
        <v>0.29837086394116785</v>
      </c>
      <c r="H125" s="302"/>
      <c r="I125" s="104"/>
      <c r="J125" s="104"/>
      <c r="K125" s="102"/>
      <c r="L125" s="102"/>
      <c r="M125" s="102"/>
      <c r="N125" s="102"/>
      <c r="O125" s="102"/>
      <c r="P125" s="102"/>
      <c r="Q125" s="102"/>
      <c r="R125" s="102"/>
      <c r="S125" s="102"/>
      <c r="T125" s="102"/>
      <c r="U125" s="102"/>
      <c r="V125" s="430"/>
      <c r="W125" s="243"/>
      <c r="X125" s="308"/>
      <c r="Y125" s="308"/>
      <c r="Z125" s="64"/>
      <c r="AA125" s="308"/>
      <c r="AB125" s="308"/>
      <c r="AC125" s="308"/>
      <c r="AD125" s="308"/>
      <c r="AE125" s="308"/>
      <c r="AF125" s="308"/>
      <c r="AG125" s="308"/>
      <c r="AH125" s="308"/>
      <c r="AI125" s="308"/>
      <c r="AJ125" s="308"/>
      <c r="AK125" s="308"/>
      <c r="AL125" s="308"/>
      <c r="AM125" s="308"/>
      <c r="AN125" s="308"/>
      <c r="AO125" s="308"/>
      <c r="AP125" s="308"/>
      <c r="AQ125" s="308"/>
      <c r="AR125" s="308"/>
      <c r="AS125" s="308"/>
      <c r="AT125" s="308"/>
      <c r="AU125" s="308"/>
      <c r="AV125" s="308"/>
      <c r="AW125" s="308"/>
      <c r="AX125" s="308"/>
      <c r="AY125" s="308"/>
      <c r="AZ125" s="308"/>
      <c r="BA125" s="308"/>
      <c r="BB125" s="308"/>
      <c r="BC125" s="308"/>
      <c r="BD125" s="308"/>
      <c r="BE125" s="308"/>
      <c r="BF125" s="308"/>
      <c r="BG125" s="308"/>
      <c r="BH125" s="308"/>
      <c r="BI125" s="308"/>
      <c r="BJ125" s="308"/>
      <c r="BK125" s="308"/>
      <c r="BL125" s="308"/>
      <c r="BM125" s="308"/>
      <c r="BN125" s="308"/>
      <c r="BO125" s="308"/>
      <c r="BP125" s="308"/>
      <c r="BQ125" s="308"/>
      <c r="BR125" s="308"/>
      <c r="BS125" s="308"/>
      <c r="BT125" s="308"/>
      <c r="BU125" s="308"/>
      <c r="BV125" s="308"/>
      <c r="BW125" s="308"/>
      <c r="BX125" s="308"/>
      <c r="BY125" s="308"/>
      <c r="BZ125" s="308"/>
      <c r="CA125" s="308"/>
      <c r="CB125" s="308"/>
      <c r="CC125" s="308"/>
      <c r="CD125" s="308"/>
      <c r="CE125" s="308"/>
      <c r="CF125" s="308"/>
      <c r="CG125" s="308"/>
      <c r="CH125" s="308"/>
      <c r="CI125" s="308"/>
      <c r="CJ125" s="308"/>
      <c r="CK125" s="308"/>
      <c r="CL125" s="308"/>
      <c r="CM125" s="308"/>
      <c r="CN125" s="308"/>
      <c r="CO125" s="308"/>
      <c r="CP125" s="308"/>
      <c r="CQ125" s="308"/>
      <c r="CR125" s="308"/>
      <c r="CS125" s="308"/>
      <c r="CT125" s="308"/>
      <c r="CU125" s="308"/>
      <c r="CV125" s="308"/>
      <c r="CW125" s="308"/>
      <c r="CX125" s="308"/>
      <c r="CY125" s="308"/>
      <c r="CZ125" s="308"/>
      <c r="DA125" s="308"/>
      <c r="DB125" s="308"/>
      <c r="DC125" s="308"/>
      <c r="DD125" s="308"/>
      <c r="DE125" s="308"/>
      <c r="DF125" s="308"/>
      <c r="DG125" s="308"/>
      <c r="DH125" s="308"/>
      <c r="DI125" s="308"/>
      <c r="DJ125" s="308"/>
      <c r="DK125" s="308"/>
      <c r="DL125" s="308"/>
      <c r="DM125" s="308"/>
      <c r="DN125" s="308"/>
      <c r="DO125" s="308"/>
      <c r="DP125" s="308"/>
      <c r="DQ125" s="308"/>
      <c r="DR125" s="308"/>
      <c r="DS125" s="308"/>
      <c r="DT125" s="308"/>
      <c r="DU125" s="308"/>
      <c r="DV125" s="308"/>
      <c r="DW125" s="308"/>
      <c r="DX125" s="308"/>
      <c r="DY125" s="308"/>
      <c r="DZ125" s="308"/>
      <c r="EA125" s="308"/>
      <c r="EB125" s="308"/>
      <c r="EC125" s="308"/>
      <c r="ED125" s="308"/>
      <c r="EE125" s="308"/>
      <c r="EF125" s="308"/>
      <c r="EG125" s="308"/>
      <c r="EH125" s="308"/>
      <c r="EI125" s="308"/>
      <c r="EJ125" s="308"/>
      <c r="EK125" s="308"/>
      <c r="EL125" s="308"/>
      <c r="EM125" s="308"/>
      <c r="EN125" s="308"/>
      <c r="EO125" s="308"/>
      <c r="EP125" s="308"/>
      <c r="EQ125" s="308"/>
      <c r="ER125" s="308"/>
      <c r="ES125" s="308"/>
      <c r="ET125" s="308"/>
      <c r="EU125" s="308"/>
      <c r="EV125" s="308"/>
      <c r="EW125" s="308"/>
      <c r="EX125" s="308"/>
      <c r="EY125" s="308"/>
      <c r="EZ125" s="308"/>
      <c r="FA125" s="308"/>
      <c r="FB125" s="308"/>
      <c r="FC125" s="308"/>
      <c r="FD125" s="308"/>
      <c r="FE125" s="308"/>
      <c r="FF125" s="308"/>
      <c r="FG125" s="308"/>
      <c r="FH125" s="308"/>
      <c r="FI125" s="308"/>
      <c r="FJ125" s="308"/>
      <c r="FK125" s="308"/>
      <c r="FL125" s="308"/>
      <c r="FM125" s="308"/>
      <c r="FN125" s="308"/>
      <c r="FO125" s="308"/>
      <c r="FP125" s="308"/>
      <c r="FQ125" s="308"/>
      <c r="FR125" s="308"/>
      <c r="FS125" s="308"/>
      <c r="FT125" s="308"/>
      <c r="FU125" s="308"/>
      <c r="FV125" s="308"/>
      <c r="FW125" s="308"/>
      <c r="FX125" s="308"/>
      <c r="FY125" s="308"/>
      <c r="FZ125" s="308"/>
      <c r="GA125" s="308"/>
      <c r="GB125" s="308"/>
      <c r="GC125" s="308"/>
      <c r="GD125" s="308"/>
      <c r="GE125" s="308"/>
      <c r="GF125" s="308"/>
      <c r="GG125" s="308"/>
      <c r="GH125" s="308"/>
      <c r="GI125" s="308"/>
      <c r="GJ125" s="308"/>
      <c r="GK125" s="308"/>
      <c r="GL125" s="308"/>
      <c r="GM125" s="308"/>
      <c r="GN125" s="308"/>
      <c r="GO125" s="308"/>
      <c r="GP125" s="308"/>
      <c r="GQ125" s="308"/>
      <c r="GR125" s="308"/>
      <c r="GS125" s="308"/>
      <c r="GT125" s="308"/>
      <c r="GU125" s="308"/>
      <c r="GV125" s="308"/>
      <c r="GW125" s="308"/>
      <c r="GX125" s="308"/>
      <c r="GY125" s="308"/>
      <c r="GZ125" s="308"/>
      <c r="HA125" s="308"/>
      <c r="HB125" s="308"/>
      <c r="HC125" s="308"/>
      <c r="HD125" s="308"/>
      <c r="HE125" s="308"/>
      <c r="HF125" s="308"/>
      <c r="HG125" s="308"/>
      <c r="HH125" s="308"/>
      <c r="HI125" s="308"/>
      <c r="HJ125" s="308"/>
      <c r="HK125" s="308"/>
      <c r="HL125" s="308"/>
      <c r="HM125" s="308"/>
      <c r="HN125" s="308"/>
      <c r="HO125" s="308"/>
      <c r="HP125" s="308"/>
      <c r="HQ125" s="308"/>
      <c r="HR125" s="308"/>
      <c r="HS125" s="308"/>
      <c r="HT125" s="308"/>
      <c r="HU125" s="308"/>
      <c r="HV125" s="308"/>
      <c r="HW125" s="308"/>
      <c r="HX125" s="308"/>
      <c r="HY125" s="308"/>
      <c r="HZ125" s="308"/>
      <c r="IA125" s="308"/>
      <c r="IB125" s="308"/>
      <c r="IC125" s="308"/>
      <c r="ID125" s="308"/>
      <c r="IE125" s="308"/>
      <c r="IF125" s="308"/>
      <c r="IG125" s="308"/>
      <c r="IH125" s="308"/>
      <c r="II125" s="308"/>
      <c r="IJ125" s="308"/>
      <c r="IK125" s="308"/>
      <c r="IL125" s="308"/>
      <c r="IM125" s="308"/>
      <c r="IN125" s="308"/>
      <c r="IO125" s="308"/>
      <c r="IP125" s="308"/>
      <c r="IQ125" s="308"/>
      <c r="IR125" s="308"/>
      <c r="IS125" s="308"/>
      <c r="IT125" s="308"/>
      <c r="IU125" s="308"/>
      <c r="IV125" s="308"/>
      <c r="IW125" s="308"/>
      <c r="IX125" s="308"/>
    </row>
    <row r="126" spans="1:258" s="308" customFormat="1" ht="17.399999999999999" x14ac:dyDescent="0.3">
      <c r="A126" s="103"/>
      <c r="B126" s="84"/>
      <c r="C126" s="64"/>
      <c r="D126" s="83" t="s">
        <v>164</v>
      </c>
      <c r="E126" s="270">
        <f t="shared" ref="E126:G128" si="13">E130*$C$129+E134*$C$133</f>
        <v>3.9989486962957101E-2</v>
      </c>
      <c r="F126" s="90">
        <f t="shared" si="13"/>
        <v>0.10059367722832108</v>
      </c>
      <c r="G126" s="278">
        <f t="shared" si="13"/>
        <v>0.27051132921620213</v>
      </c>
      <c r="H126" s="90">
        <f t="shared" ref="H126:U128" si="14">H130*$C$129+H134*$C$133</f>
        <v>3.9503917420353465E-3</v>
      </c>
      <c r="I126" s="90">
        <f t="shared" si="14"/>
        <v>3.0000000000000002E-2</v>
      </c>
      <c r="J126" s="90">
        <f t="shared" si="14"/>
        <v>0</v>
      </c>
      <c r="K126" s="90">
        <f t="shared" si="14"/>
        <v>0</v>
      </c>
      <c r="L126" s="90">
        <f t="shared" si="14"/>
        <v>6.6537985233286207E-3</v>
      </c>
      <c r="M126" s="90">
        <f t="shared" si="14"/>
        <v>0</v>
      </c>
      <c r="N126" s="90">
        <f t="shared" si="14"/>
        <v>2.0000000000000004E-2</v>
      </c>
      <c r="O126" s="90">
        <f t="shared" si="14"/>
        <v>0</v>
      </c>
      <c r="P126" s="90">
        <f t="shared" si="14"/>
        <v>3.9989486962957101E-2</v>
      </c>
      <c r="Q126" s="90">
        <f t="shared" si="14"/>
        <v>0</v>
      </c>
      <c r="R126" s="90">
        <f t="shared" si="14"/>
        <v>0</v>
      </c>
      <c r="S126" s="90">
        <f t="shared" si="14"/>
        <v>0.10059367722832108</v>
      </c>
      <c r="T126" s="90">
        <f t="shared" si="14"/>
        <v>5.000000000000001E-2</v>
      </c>
      <c r="U126" s="90">
        <f t="shared" si="14"/>
        <v>4.4000000000000004E-2</v>
      </c>
      <c r="V126" s="430"/>
      <c r="W126" s="243"/>
      <c r="Z126" s="64"/>
    </row>
    <row r="127" spans="1:258" s="308" customFormat="1" ht="17.399999999999999" x14ac:dyDescent="0.3">
      <c r="A127" s="103"/>
      <c r="B127" s="84"/>
      <c r="C127" s="142"/>
      <c r="D127" s="83" t="s">
        <v>165</v>
      </c>
      <c r="E127" s="270">
        <f t="shared" si="13"/>
        <v>0</v>
      </c>
      <c r="F127" s="90">
        <f t="shared" si="13"/>
        <v>2.9474201604893159E-6</v>
      </c>
      <c r="G127" s="278">
        <f t="shared" si="13"/>
        <v>4.0973096183237992E-6</v>
      </c>
      <c r="H127" s="90">
        <f t="shared" si="14"/>
        <v>1.1778777757510644E-11</v>
      </c>
      <c r="I127" s="90">
        <f t="shared" si="14"/>
        <v>0</v>
      </c>
      <c r="J127" s="90">
        <f t="shared" si="14"/>
        <v>0</v>
      </c>
      <c r="K127" s="90">
        <f t="shared" si="14"/>
        <v>0</v>
      </c>
      <c r="L127" s="90">
        <f t="shared" si="14"/>
        <v>2.9474083817115587E-6</v>
      </c>
      <c r="M127" s="90">
        <f t="shared" si="14"/>
        <v>0</v>
      </c>
      <c r="N127" s="90">
        <f t="shared" si="14"/>
        <v>0</v>
      </c>
      <c r="O127" s="90">
        <f t="shared" si="14"/>
        <v>0</v>
      </c>
      <c r="P127" s="90">
        <f t="shared" si="14"/>
        <v>0</v>
      </c>
      <c r="Q127" s="90">
        <f t="shared" si="14"/>
        <v>0</v>
      </c>
      <c r="R127" s="90">
        <f t="shared" si="14"/>
        <v>0</v>
      </c>
      <c r="S127" s="90">
        <f t="shared" si="14"/>
        <v>2.9474201604893159E-6</v>
      </c>
      <c r="T127" s="90">
        <f t="shared" si="14"/>
        <v>0</v>
      </c>
      <c r="U127" s="90">
        <f t="shared" si="14"/>
        <v>0</v>
      </c>
      <c r="V127" s="430"/>
      <c r="W127" s="243"/>
      <c r="Z127" s="64"/>
    </row>
    <row r="128" spans="1:258" s="308" customFormat="1" ht="17.399999999999999" x14ac:dyDescent="0.3">
      <c r="A128" s="107"/>
      <c r="B128" s="206"/>
      <c r="C128" s="85"/>
      <c r="D128" s="84" t="s">
        <v>166</v>
      </c>
      <c r="E128" s="270">
        <f t="shared" si="13"/>
        <v>4.9718397431033722E-5</v>
      </c>
      <c r="F128" s="90">
        <f t="shared" si="13"/>
        <v>6.6915044686648037E-5</v>
      </c>
      <c r="G128" s="278">
        <f t="shared" si="13"/>
        <v>9.3020893281687119E-5</v>
      </c>
      <c r="H128" s="90">
        <f t="shared" si="14"/>
        <v>1.7017857095082299E-5</v>
      </c>
      <c r="I128" s="90">
        <f t="shared" si="14"/>
        <v>0</v>
      </c>
      <c r="J128" s="90">
        <f t="shared" si="14"/>
        <v>4.5198543119121559E-5</v>
      </c>
      <c r="K128" s="90">
        <f t="shared" si="14"/>
        <v>4.5198543119121567E-6</v>
      </c>
      <c r="L128" s="90">
        <f t="shared" si="14"/>
        <v>1.7879016053201247E-7</v>
      </c>
      <c r="M128" s="90">
        <f t="shared" si="14"/>
        <v>0</v>
      </c>
      <c r="N128" s="90">
        <f t="shared" si="14"/>
        <v>0</v>
      </c>
      <c r="O128" s="90">
        <f t="shared" si="14"/>
        <v>0</v>
      </c>
      <c r="P128" s="90">
        <f t="shared" si="14"/>
        <v>0</v>
      </c>
      <c r="Q128" s="90">
        <f t="shared" si="14"/>
        <v>0</v>
      </c>
      <c r="R128" s="90">
        <f t="shared" si="14"/>
        <v>0</v>
      </c>
      <c r="S128" s="90">
        <f t="shared" si="14"/>
        <v>6.6915044686648037E-5</v>
      </c>
      <c r="T128" s="90">
        <f t="shared" si="14"/>
        <v>0</v>
      </c>
      <c r="U128" s="90">
        <f t="shared" si="14"/>
        <v>0</v>
      </c>
      <c r="V128" s="430"/>
      <c r="W128" s="243"/>
      <c r="Z128" s="64"/>
    </row>
    <row r="129" spans="1:258" s="420" customFormat="1" ht="17.399999999999999" x14ac:dyDescent="0.3">
      <c r="A129" s="122" t="s">
        <v>1</v>
      </c>
      <c r="B129" s="150" t="s">
        <v>225</v>
      </c>
      <c r="C129" s="111">
        <f>'Input data plant-based products'!D43</f>
        <v>0.93</v>
      </c>
      <c r="D129" s="269" t="s">
        <v>473</v>
      </c>
      <c r="E129" s="320">
        <f>IF($F$1="GWP100 without fb",E130+E131*'Common input data'!$C$5+E132*'Common input data'!$D$5,IF($F$1="GWP100 with fb",E130+E131*'Common input data'!$C$6+E132*'Common input data'!$D$6,IF($F$1="GTP100 without fb",E130+E131*'Common input data'!$C$7+E132*'Common input data'!$D$7,IF($F$1="GTP100 with fb",E130+E131*'Common input data'!$C$8+E132*'Common input data'!$D$8,E130+E131*'Common input data'!$C$9+E132*'Common input data'!$D$9))))</f>
        <v>5.3357452507424061E-2</v>
      </c>
      <c r="F129" s="302">
        <f>IF($F$1="GWP100 without fb",F130+F131*'Common input data'!$C$5+F132*'Common input data'!$D$5,IF($F$1="GWP100 with fb",F130+F131*'Common input data'!$C$6+F132*'Common input data'!$D$6,IF($F$1="GTP100 without fb",F130+F131*'Common input data'!$C$7+F132*'Common input data'!$D$7,IF($F$1="GTP100 with fb",F130+F131*'Common input data'!$C$8+F132*'Common input data'!$D$8,F130+F131*'Common input data'!$C$9+F132*'Common input data'!$D$9))))</f>
        <v>0.11753002047949515</v>
      </c>
      <c r="G129" s="321">
        <f>IF($F$1="GWP100 without fb",G130+G131*'Common input data'!$C$5+G132*'Common input data'!$D$5,IF($F$1="GWP100 with fb",G130+G131*'Common input data'!$C$6+G132*'Common input data'!$D$6,IF($F$1="GTP100 without fb",G130+G131*'Common input data'!$C$7+G132*'Common input data'!$D$7,IF($F$1="GTP100 with fb",G130+G131*'Common input data'!$C$8+G132*'Common input data'!$D$8,G130+G131*'Common input data'!$C$9+G132*'Common input data'!$D$9))))</f>
        <v>0.27459324044386313</v>
      </c>
      <c r="H129" s="102"/>
      <c r="I129" s="102"/>
      <c r="J129" s="102"/>
      <c r="K129" s="102"/>
      <c r="L129" s="102"/>
      <c r="M129" s="102"/>
      <c r="N129" s="102"/>
      <c r="O129" s="102"/>
      <c r="P129" s="102"/>
      <c r="Q129" s="102"/>
      <c r="R129" s="102"/>
      <c r="S129" s="102"/>
      <c r="T129" s="102"/>
      <c r="U129" s="102"/>
      <c r="V129" s="430"/>
      <c r="W129" s="243"/>
      <c r="X129" s="308"/>
      <c r="Y129" s="308"/>
      <c r="Z129" s="64"/>
      <c r="AA129" s="308"/>
      <c r="AB129" s="308"/>
      <c r="AC129" s="308"/>
      <c r="AD129" s="308"/>
      <c r="AE129" s="308"/>
      <c r="AF129" s="308"/>
      <c r="AG129" s="308"/>
      <c r="AH129" s="308"/>
      <c r="AI129" s="308"/>
      <c r="AJ129" s="308"/>
      <c r="AK129" s="308"/>
      <c r="AL129" s="308"/>
      <c r="AM129" s="308"/>
      <c r="AN129" s="308"/>
      <c r="AO129" s="308"/>
      <c r="AP129" s="308"/>
      <c r="AQ129" s="308"/>
      <c r="AR129" s="308"/>
      <c r="AS129" s="308"/>
      <c r="AT129" s="308"/>
      <c r="AU129" s="308"/>
      <c r="AV129" s="308"/>
      <c r="AW129" s="308"/>
      <c r="AX129" s="308"/>
      <c r="AY129" s="308"/>
      <c r="AZ129" s="308"/>
      <c r="BA129" s="308"/>
      <c r="BB129" s="308"/>
      <c r="BC129" s="308"/>
      <c r="BD129" s="308"/>
      <c r="BE129" s="308"/>
      <c r="BF129" s="308"/>
      <c r="BG129" s="308"/>
      <c r="BH129" s="308"/>
      <c r="BI129" s="308"/>
      <c r="BJ129" s="308"/>
      <c r="BK129" s="308"/>
      <c r="BL129" s="308"/>
      <c r="BM129" s="308"/>
      <c r="BN129" s="308"/>
      <c r="BO129" s="308"/>
      <c r="BP129" s="308"/>
      <c r="BQ129" s="308"/>
      <c r="BR129" s="308"/>
      <c r="BS129" s="308"/>
      <c r="BT129" s="308"/>
      <c r="BU129" s="308"/>
      <c r="BV129" s="308"/>
      <c r="BW129" s="308"/>
      <c r="BX129" s="308"/>
      <c r="BY129" s="308"/>
      <c r="BZ129" s="308"/>
      <c r="CA129" s="308"/>
      <c r="CB129" s="308"/>
      <c r="CC129" s="308"/>
      <c r="CD129" s="308"/>
      <c r="CE129" s="308"/>
      <c r="CF129" s="308"/>
      <c r="CG129" s="308"/>
      <c r="CH129" s="308"/>
      <c r="CI129" s="308"/>
      <c r="CJ129" s="308"/>
      <c r="CK129" s="308"/>
      <c r="CL129" s="308"/>
      <c r="CM129" s="308"/>
      <c r="CN129" s="308"/>
      <c r="CO129" s="308"/>
      <c r="CP129" s="308"/>
      <c r="CQ129" s="308"/>
      <c r="CR129" s="308"/>
      <c r="CS129" s="308"/>
      <c r="CT129" s="308"/>
      <c r="CU129" s="308"/>
      <c r="CV129" s="308"/>
      <c r="CW129" s="308"/>
      <c r="CX129" s="308"/>
      <c r="CY129" s="308"/>
      <c r="CZ129" s="308"/>
      <c r="DA129" s="308"/>
      <c r="DB129" s="308"/>
      <c r="DC129" s="308"/>
      <c r="DD129" s="308"/>
      <c r="DE129" s="308"/>
      <c r="DF129" s="308"/>
      <c r="DG129" s="308"/>
      <c r="DH129" s="308"/>
      <c r="DI129" s="308"/>
      <c r="DJ129" s="308"/>
      <c r="DK129" s="308"/>
      <c r="DL129" s="308"/>
      <c r="DM129" s="308"/>
      <c r="DN129" s="308"/>
      <c r="DO129" s="308"/>
      <c r="DP129" s="308"/>
      <c r="DQ129" s="308"/>
      <c r="DR129" s="308"/>
      <c r="DS129" s="308"/>
      <c r="DT129" s="308"/>
      <c r="DU129" s="308"/>
      <c r="DV129" s="308"/>
      <c r="DW129" s="308"/>
      <c r="DX129" s="308"/>
      <c r="DY129" s="308"/>
      <c r="DZ129" s="308"/>
      <c r="EA129" s="308"/>
      <c r="EB129" s="308"/>
      <c r="EC129" s="308"/>
      <c r="ED129" s="308"/>
      <c r="EE129" s="308"/>
      <c r="EF129" s="308"/>
      <c r="EG129" s="308"/>
      <c r="EH129" s="308"/>
      <c r="EI129" s="308"/>
      <c r="EJ129" s="308"/>
      <c r="EK129" s="308"/>
      <c r="EL129" s="308"/>
      <c r="EM129" s="308"/>
      <c r="EN129" s="308"/>
      <c r="EO129" s="308"/>
      <c r="EP129" s="308"/>
      <c r="EQ129" s="308"/>
      <c r="ER129" s="308"/>
      <c r="ES129" s="308"/>
      <c r="ET129" s="308"/>
      <c r="EU129" s="308"/>
      <c r="EV129" s="308"/>
      <c r="EW129" s="308"/>
      <c r="EX129" s="308"/>
      <c r="EY129" s="308"/>
      <c r="EZ129" s="308"/>
      <c r="FA129" s="308"/>
      <c r="FB129" s="308"/>
      <c r="FC129" s="308"/>
      <c r="FD129" s="308"/>
      <c r="FE129" s="308"/>
      <c r="FF129" s="308"/>
      <c r="FG129" s="308"/>
      <c r="FH129" s="308"/>
      <c r="FI129" s="308"/>
      <c r="FJ129" s="308"/>
      <c r="FK129" s="308"/>
      <c r="FL129" s="308"/>
      <c r="FM129" s="308"/>
      <c r="FN129" s="308"/>
      <c r="FO129" s="308"/>
      <c r="FP129" s="308"/>
      <c r="FQ129" s="308"/>
      <c r="FR129" s="308"/>
      <c r="FS129" s="308"/>
      <c r="FT129" s="308"/>
      <c r="FU129" s="308"/>
      <c r="FV129" s="308"/>
      <c r="FW129" s="308"/>
      <c r="FX129" s="308"/>
      <c r="FY129" s="308"/>
      <c r="FZ129" s="308"/>
      <c r="GA129" s="308"/>
      <c r="GB129" s="308"/>
      <c r="GC129" s="308"/>
      <c r="GD129" s="308"/>
      <c r="GE129" s="308"/>
      <c r="GF129" s="308"/>
      <c r="GG129" s="308"/>
      <c r="GH129" s="308"/>
      <c r="GI129" s="308"/>
      <c r="GJ129" s="308"/>
      <c r="GK129" s="308"/>
      <c r="GL129" s="308"/>
      <c r="GM129" s="308"/>
      <c r="GN129" s="308"/>
      <c r="GO129" s="308"/>
      <c r="GP129" s="308"/>
      <c r="GQ129" s="308"/>
      <c r="GR129" s="308"/>
      <c r="GS129" s="308"/>
      <c r="GT129" s="308"/>
      <c r="GU129" s="308"/>
      <c r="GV129" s="308"/>
      <c r="GW129" s="308"/>
      <c r="GX129" s="308"/>
      <c r="GY129" s="308"/>
      <c r="GZ129" s="308"/>
      <c r="HA129" s="308"/>
      <c r="HB129" s="308"/>
      <c r="HC129" s="308"/>
      <c r="HD129" s="308"/>
      <c r="HE129" s="308"/>
      <c r="HF129" s="308"/>
      <c r="HG129" s="308"/>
      <c r="HH129" s="308"/>
      <c r="HI129" s="308"/>
      <c r="HJ129" s="308"/>
      <c r="HK129" s="308"/>
      <c r="HL129" s="308"/>
      <c r="HM129" s="308"/>
      <c r="HN129" s="308"/>
      <c r="HO129" s="308"/>
      <c r="HP129" s="308"/>
      <c r="HQ129" s="308"/>
      <c r="HR129" s="308"/>
      <c r="HS129" s="308"/>
      <c r="HT129" s="308"/>
      <c r="HU129" s="308"/>
      <c r="HV129" s="308"/>
      <c r="HW129" s="308"/>
      <c r="HX129" s="308"/>
      <c r="HY129" s="308"/>
      <c r="HZ129" s="308"/>
      <c r="IA129" s="308"/>
      <c r="IB129" s="308"/>
      <c r="IC129" s="308"/>
      <c r="ID129" s="308"/>
      <c r="IE129" s="308"/>
      <c r="IF129" s="308"/>
      <c r="IG129" s="308"/>
      <c r="IH129" s="308"/>
      <c r="II129" s="308"/>
      <c r="IJ129" s="308"/>
      <c r="IK129" s="308"/>
      <c r="IL129" s="308"/>
      <c r="IM129" s="308"/>
      <c r="IN129" s="308"/>
      <c r="IO129" s="308"/>
      <c r="IP129" s="308"/>
      <c r="IQ129" s="308"/>
      <c r="IR129" s="308"/>
      <c r="IS129" s="308"/>
      <c r="IT129" s="308"/>
      <c r="IU129" s="308"/>
      <c r="IV129" s="308"/>
      <c r="IW129" s="308"/>
      <c r="IX129" s="308"/>
    </row>
    <row r="130" spans="1:258" s="308" customFormat="1" ht="17.399999999999999" x14ac:dyDescent="0.3">
      <c r="A130" s="103"/>
      <c r="B130" s="84"/>
      <c r="C130" s="64"/>
      <c r="D130" s="83" t="s">
        <v>164</v>
      </c>
      <c r="E130" s="270">
        <f>IF(AND($F$2="No",$F$3="No"),SUM(J130:K130),IF(AND($F$2="Yes", $F$3="No"), SUM(J130:K130)+Q130, IF(AND($F$2="No", $F$3="Yes"),SUM(J130:K130)+P130, SUM(J130:K130)+Q130+P130)))</f>
        <v>3.9989486962957101E-2</v>
      </c>
      <c r="F130" s="90">
        <f>IF(AND($F$2="No",$F$3="No"),SUM(H130:O130),IF(AND($F$2="Yes", $F$3="No"), SUM(H130:O130)+Q130, IF(AND($F$2="No", $F$3="Yes"),SUM(H130:O130)+P130, SUM(H130:O130)+Q130+P130)))</f>
        <v>9.9779351287388462E-2</v>
      </c>
      <c r="G130" s="278">
        <f>SUM(S130:U130)/(1-'Common input data'!$B$123)</f>
        <v>0.2499174278171257</v>
      </c>
      <c r="H130" s="90">
        <f>('Input data plant-based products'!$F$43*('Common input data'!$B$76*'Common input data'!B69+'Common input data'!$B$77*'Common input data'!C69))/'Input data plant-based products'!$E$43</f>
        <v>3.5010564174858937E-3</v>
      </c>
      <c r="I130" s="90">
        <f>'Common input data'!$B$81</f>
        <v>0.03</v>
      </c>
      <c r="J130" s="90">
        <v>0</v>
      </c>
      <c r="K130" s="90">
        <v>0</v>
      </c>
      <c r="L130" s="90">
        <f>('Input data plant-based products'!$I$43*'Common input data'!$C$59*'Common input data'!H49)/'Input data plant-based products'!$E$43</f>
        <v>6.2888079069454714E-3</v>
      </c>
      <c r="M130" s="90">
        <v>0</v>
      </c>
      <c r="N130" s="90">
        <f>'Input data plant-based products'!$G$152</f>
        <v>0.02</v>
      </c>
      <c r="O130" s="90">
        <v>0</v>
      </c>
      <c r="P130" s="90">
        <f>'Common input data'!$E$13</f>
        <v>3.9989486962957101E-2</v>
      </c>
      <c r="Q130" s="90">
        <v>0</v>
      </c>
      <c r="R130" s="90">
        <v>0</v>
      </c>
      <c r="S130" s="90">
        <f>(F130+R130)</f>
        <v>9.9779351287388462E-2</v>
      </c>
      <c r="T130" s="90">
        <f>'Common input data'!$B$88</f>
        <v>0.05</v>
      </c>
      <c r="U130" s="90">
        <f>'Common input data'!C98</f>
        <v>0.03</v>
      </c>
      <c r="V130" s="430"/>
      <c r="W130" s="243"/>
      <c r="Z130" s="64"/>
    </row>
    <row r="131" spans="1:258" s="308" customFormat="1" ht="17.399999999999999" x14ac:dyDescent="0.3">
      <c r="A131" s="107"/>
      <c r="B131" s="84"/>
      <c r="C131" s="142"/>
      <c r="D131" s="83" t="s">
        <v>165</v>
      </c>
      <c r="E131" s="270">
        <f>SUM(J131:K131)</f>
        <v>0</v>
      </c>
      <c r="F131" s="90">
        <f>SUM(H131:O131)</f>
        <v>2.7857392191756877E-6</v>
      </c>
      <c r="G131" s="278">
        <f>SUM(S131:U131)/(1-'Common input data'!$B$123)</f>
        <v>3.872551409492793E-6</v>
      </c>
      <c r="H131" s="90">
        <f>('Input data plant-based products'!$F$43*('Common input data'!$B$76*'Common input data'!B70+'Common input data'!$B$77*'Common input data'!C70))/'Input data plant-based products'!$E$43</f>
        <v>9.3731459692059439E-12</v>
      </c>
      <c r="I131" s="90">
        <v>0</v>
      </c>
      <c r="J131" s="90">
        <v>0</v>
      </c>
      <c r="K131" s="90">
        <v>0</v>
      </c>
      <c r="L131" s="90">
        <f>('Input data plant-based products'!$I$43*'Common input data'!$C$59*'Common input data'!H50)/'Input data plant-based products'!$E$43</f>
        <v>2.7857298460297185E-6</v>
      </c>
      <c r="M131" s="90">
        <v>0</v>
      </c>
      <c r="N131" s="90">
        <v>0</v>
      </c>
      <c r="O131" s="90">
        <v>0</v>
      </c>
      <c r="P131" s="90">
        <v>0</v>
      </c>
      <c r="Q131" s="90">
        <v>0</v>
      </c>
      <c r="R131" s="90">
        <v>0</v>
      </c>
      <c r="S131" s="90">
        <f>(F131+R131)</f>
        <v>2.7857392191756877E-6</v>
      </c>
      <c r="T131" s="90">
        <v>0</v>
      </c>
      <c r="U131" s="90">
        <v>0</v>
      </c>
      <c r="V131" s="430"/>
      <c r="W131" s="243"/>
      <c r="Z131" s="64"/>
    </row>
    <row r="132" spans="1:258" s="308" customFormat="1" ht="17.399999999999999" x14ac:dyDescent="0.3">
      <c r="A132" s="174"/>
      <c r="B132" s="206"/>
      <c r="C132" s="85"/>
      <c r="D132" s="84" t="s">
        <v>166</v>
      </c>
      <c r="E132" s="270">
        <f>SUM(J132:K132)</f>
        <v>4.4858944780090475E-5</v>
      </c>
      <c r="F132" s="90">
        <f>SUM(H132:O132)</f>
        <v>5.9248167982062843E-5</v>
      </c>
      <c r="G132" s="278">
        <f>SUM(S132:U132)/(1-'Common input data'!$B$123)</f>
        <v>8.2362905633606283E-5</v>
      </c>
      <c r="H132" s="90">
        <f>('Input data plant-based products'!$F$43*('Common input data'!$B$76*'Common input data'!B71+'Common input data'!$B$77*'Common input data'!C71))/'Input data plant-based products'!$E$43</f>
        <v>1.4220240481606604E-5</v>
      </c>
      <c r="I132" s="90">
        <v>0</v>
      </c>
      <c r="J132" s="90">
        <f>(SUM('Input data plant-based products'!F43:H43)*'Input data plant-based products'!$B$114*44/28)/'Input data plant-based products'!E43</f>
        <v>4.0780858890991341E-5</v>
      </c>
      <c r="K132" s="90">
        <f>J132*'Input data plant-based products'!$B$115</f>
        <v>4.0780858890991341E-6</v>
      </c>
      <c r="L132" s="90">
        <f>('Input data plant-based products'!$I$43*'Common input data'!$C$59*'Common input data'!H51)/'Input data plant-based products'!$E$43</f>
        <v>1.6898272036576348E-7</v>
      </c>
      <c r="M132" s="90">
        <v>0</v>
      </c>
      <c r="N132" s="90">
        <v>0</v>
      </c>
      <c r="O132" s="90">
        <v>0</v>
      </c>
      <c r="P132" s="90">
        <v>0</v>
      </c>
      <c r="Q132" s="90">
        <v>0</v>
      </c>
      <c r="R132" s="90">
        <v>0</v>
      </c>
      <c r="S132" s="90">
        <f>(F132+R132)</f>
        <v>5.9248167982062843E-5</v>
      </c>
      <c r="T132" s="90">
        <v>0</v>
      </c>
      <c r="U132" s="90">
        <v>0</v>
      </c>
      <c r="V132" s="430"/>
      <c r="W132" s="243"/>
      <c r="Z132" s="64"/>
    </row>
    <row r="133" spans="1:258" s="420" customFormat="1" ht="17.399999999999999" x14ac:dyDescent="0.3">
      <c r="A133" s="122" t="s">
        <v>70</v>
      </c>
      <c r="B133" s="150" t="s">
        <v>225</v>
      </c>
      <c r="C133" s="111">
        <f>'Input data plant-based products'!D44</f>
        <v>7.0000000000000007E-2</v>
      </c>
      <c r="D133" s="269" t="s">
        <v>473</v>
      </c>
      <c r="E133" s="320">
        <f>IF($F$1="GWP100 without fb",E134+E135*'Common input data'!$C$5+E136*'Common input data'!$D$5,IF($F$1="GWP100 with fb",E134+E135*'Common input data'!$C$6+E136*'Common input data'!$D$6,IF($F$1="GTP100 without fb",E134+E135*'Common input data'!$C$7+E136*'Common input data'!$D$7,IF($F$1="GTP100 with fb",E134+E135*'Common input data'!$C$8+E136*'Common input data'!$D$8,E134+E135*'Common input data'!$C$9+E136*'Common input data'!$D$9))))</f>
        <v>7.404483665001102E-2</v>
      </c>
      <c r="F133" s="302">
        <f>IF($F$1="GWP100 without fb",F134+F135*'Common input data'!$C$5+F136*'Common input data'!$D$5,IF($F$1="GWP100 with fb",F134+F135*'Common input data'!$C$6+F136*'Common input data'!$D$6,IF($F$1="GTP100 without fb",F134+F135*'Common input data'!$C$7+F136*'Common input data'!$D$7,IF($F$1="GTP100 with fb",F134+F135*'Common input data'!$C$8+F136*'Common input data'!$D$8,F134+F135*'Common input data'!$C$9+F136*'Common input data'!$D$9))))</f>
        <v>0.16188076834954729</v>
      </c>
      <c r="G133" s="321">
        <f>IF($F$1="GWP100 without fb",G134+G135*'Common input data'!$C$5+G136*'Common input data'!$D$5,IF($F$1="GWP100 with fb",G134+G135*'Common input data'!$C$6+G136*'Common input data'!$D$6,IF($F$1="GTP100 without fb",G134+G135*'Common input data'!$C$7+G136*'Common input data'!$D$7,IF($F$1="GTP100 with fb",G134+G135*'Common input data'!$C$8+G136*'Common input data'!$D$8,G134+G135*'Common input data'!$C$9+G136*'Common input data'!$D$9))))</f>
        <v>0.61427357611964517</v>
      </c>
      <c r="H133" s="102"/>
      <c r="I133" s="102"/>
      <c r="J133" s="102"/>
      <c r="K133" s="102"/>
      <c r="L133" s="102"/>
      <c r="M133" s="102"/>
      <c r="N133" s="102"/>
      <c r="O133" s="102"/>
      <c r="P133" s="102"/>
      <c r="Q133" s="102"/>
      <c r="R133" s="102"/>
      <c r="S133" s="102"/>
      <c r="T133" s="102"/>
      <c r="U133" s="102"/>
      <c r="V133" s="430"/>
      <c r="W133" s="243"/>
      <c r="X133" s="308"/>
      <c r="Y133" s="308"/>
      <c r="Z133" s="64"/>
      <c r="AA133" s="308"/>
      <c r="AB133" s="308"/>
      <c r="AC133" s="308"/>
      <c r="AD133" s="308"/>
      <c r="AE133" s="308"/>
      <c r="AF133" s="308"/>
      <c r="AG133" s="308"/>
      <c r="AH133" s="308"/>
      <c r="AI133" s="308"/>
      <c r="AJ133" s="308"/>
      <c r="AK133" s="308"/>
      <c r="AL133" s="308"/>
      <c r="AM133" s="308"/>
      <c r="AN133" s="308"/>
      <c r="AO133" s="308"/>
      <c r="AP133" s="308"/>
      <c r="AQ133" s="308"/>
      <c r="AR133" s="308"/>
      <c r="AS133" s="308"/>
      <c r="AT133" s="308"/>
      <c r="AU133" s="308"/>
      <c r="AV133" s="308"/>
      <c r="AW133" s="308"/>
      <c r="AX133" s="308"/>
      <c r="AY133" s="308"/>
      <c r="AZ133" s="308"/>
      <c r="BA133" s="308"/>
      <c r="BB133" s="308"/>
      <c r="BC133" s="308"/>
      <c r="BD133" s="308"/>
      <c r="BE133" s="308"/>
      <c r="BF133" s="308"/>
      <c r="BG133" s="308"/>
      <c r="BH133" s="308"/>
      <c r="BI133" s="308"/>
      <c r="BJ133" s="308"/>
      <c r="BK133" s="308"/>
      <c r="BL133" s="308"/>
      <c r="BM133" s="308"/>
      <c r="BN133" s="308"/>
      <c r="BO133" s="308"/>
      <c r="BP133" s="308"/>
      <c r="BQ133" s="308"/>
      <c r="BR133" s="308"/>
      <c r="BS133" s="308"/>
      <c r="BT133" s="308"/>
      <c r="BU133" s="308"/>
      <c r="BV133" s="308"/>
      <c r="BW133" s="308"/>
      <c r="BX133" s="308"/>
      <c r="BY133" s="308"/>
      <c r="BZ133" s="308"/>
      <c r="CA133" s="308"/>
      <c r="CB133" s="308"/>
      <c r="CC133" s="308"/>
      <c r="CD133" s="308"/>
      <c r="CE133" s="308"/>
      <c r="CF133" s="308"/>
      <c r="CG133" s="308"/>
      <c r="CH133" s="308"/>
      <c r="CI133" s="308"/>
      <c r="CJ133" s="308"/>
      <c r="CK133" s="308"/>
      <c r="CL133" s="308"/>
      <c r="CM133" s="308"/>
      <c r="CN133" s="308"/>
      <c r="CO133" s="308"/>
      <c r="CP133" s="308"/>
      <c r="CQ133" s="308"/>
      <c r="CR133" s="308"/>
      <c r="CS133" s="308"/>
      <c r="CT133" s="308"/>
      <c r="CU133" s="308"/>
      <c r="CV133" s="308"/>
      <c r="CW133" s="308"/>
      <c r="CX133" s="308"/>
      <c r="CY133" s="308"/>
      <c r="CZ133" s="308"/>
      <c r="DA133" s="308"/>
      <c r="DB133" s="308"/>
      <c r="DC133" s="308"/>
      <c r="DD133" s="308"/>
      <c r="DE133" s="308"/>
      <c r="DF133" s="308"/>
      <c r="DG133" s="308"/>
      <c r="DH133" s="308"/>
      <c r="DI133" s="308"/>
      <c r="DJ133" s="308"/>
      <c r="DK133" s="308"/>
      <c r="DL133" s="308"/>
      <c r="DM133" s="308"/>
      <c r="DN133" s="308"/>
      <c r="DO133" s="308"/>
      <c r="DP133" s="308"/>
      <c r="DQ133" s="308"/>
      <c r="DR133" s="308"/>
      <c r="DS133" s="308"/>
      <c r="DT133" s="308"/>
      <c r="DU133" s="308"/>
      <c r="DV133" s="308"/>
      <c r="DW133" s="308"/>
      <c r="DX133" s="308"/>
      <c r="DY133" s="308"/>
      <c r="DZ133" s="308"/>
      <c r="EA133" s="308"/>
      <c r="EB133" s="308"/>
      <c r="EC133" s="308"/>
      <c r="ED133" s="308"/>
      <c r="EE133" s="308"/>
      <c r="EF133" s="308"/>
      <c r="EG133" s="308"/>
      <c r="EH133" s="308"/>
      <c r="EI133" s="308"/>
      <c r="EJ133" s="308"/>
      <c r="EK133" s="308"/>
      <c r="EL133" s="308"/>
      <c r="EM133" s="308"/>
      <c r="EN133" s="308"/>
      <c r="EO133" s="308"/>
      <c r="EP133" s="308"/>
      <c r="EQ133" s="308"/>
      <c r="ER133" s="308"/>
      <c r="ES133" s="308"/>
      <c r="ET133" s="308"/>
      <c r="EU133" s="308"/>
      <c r="EV133" s="308"/>
      <c r="EW133" s="308"/>
      <c r="EX133" s="308"/>
      <c r="EY133" s="308"/>
      <c r="EZ133" s="308"/>
      <c r="FA133" s="308"/>
      <c r="FB133" s="308"/>
      <c r="FC133" s="308"/>
      <c r="FD133" s="308"/>
      <c r="FE133" s="308"/>
      <c r="FF133" s="308"/>
      <c r="FG133" s="308"/>
      <c r="FH133" s="308"/>
      <c r="FI133" s="308"/>
      <c r="FJ133" s="308"/>
      <c r="FK133" s="308"/>
      <c r="FL133" s="308"/>
      <c r="FM133" s="308"/>
      <c r="FN133" s="308"/>
      <c r="FO133" s="308"/>
      <c r="FP133" s="308"/>
      <c r="FQ133" s="308"/>
      <c r="FR133" s="308"/>
      <c r="FS133" s="308"/>
      <c r="FT133" s="308"/>
      <c r="FU133" s="308"/>
      <c r="FV133" s="308"/>
      <c r="FW133" s="308"/>
      <c r="FX133" s="308"/>
      <c r="FY133" s="308"/>
      <c r="FZ133" s="308"/>
      <c r="GA133" s="308"/>
      <c r="GB133" s="308"/>
      <c r="GC133" s="308"/>
      <c r="GD133" s="308"/>
      <c r="GE133" s="308"/>
      <c r="GF133" s="308"/>
      <c r="GG133" s="308"/>
      <c r="GH133" s="308"/>
      <c r="GI133" s="308"/>
      <c r="GJ133" s="308"/>
      <c r="GK133" s="308"/>
      <c r="GL133" s="308"/>
      <c r="GM133" s="308"/>
      <c r="GN133" s="308"/>
      <c r="GO133" s="308"/>
      <c r="GP133" s="308"/>
      <c r="GQ133" s="308"/>
      <c r="GR133" s="308"/>
      <c r="GS133" s="308"/>
      <c r="GT133" s="308"/>
      <c r="GU133" s="308"/>
      <c r="GV133" s="308"/>
      <c r="GW133" s="308"/>
      <c r="GX133" s="308"/>
      <c r="GY133" s="308"/>
      <c r="GZ133" s="308"/>
      <c r="HA133" s="308"/>
      <c r="HB133" s="308"/>
      <c r="HC133" s="308"/>
      <c r="HD133" s="308"/>
      <c r="HE133" s="308"/>
      <c r="HF133" s="308"/>
      <c r="HG133" s="308"/>
      <c r="HH133" s="308"/>
      <c r="HI133" s="308"/>
      <c r="HJ133" s="308"/>
      <c r="HK133" s="308"/>
      <c r="HL133" s="308"/>
      <c r="HM133" s="308"/>
      <c r="HN133" s="308"/>
      <c r="HO133" s="308"/>
      <c r="HP133" s="308"/>
      <c r="HQ133" s="308"/>
      <c r="HR133" s="308"/>
      <c r="HS133" s="308"/>
      <c r="HT133" s="308"/>
      <c r="HU133" s="308"/>
      <c r="HV133" s="308"/>
      <c r="HW133" s="308"/>
      <c r="HX133" s="308"/>
      <c r="HY133" s="308"/>
      <c r="HZ133" s="308"/>
      <c r="IA133" s="308"/>
      <c r="IB133" s="308"/>
      <c r="IC133" s="308"/>
      <c r="ID133" s="308"/>
      <c r="IE133" s="308"/>
      <c r="IF133" s="308"/>
      <c r="IG133" s="308"/>
      <c r="IH133" s="308"/>
      <c r="II133" s="308"/>
      <c r="IJ133" s="308"/>
      <c r="IK133" s="308"/>
      <c r="IL133" s="308"/>
      <c r="IM133" s="308"/>
      <c r="IN133" s="308"/>
      <c r="IO133" s="308"/>
      <c r="IP133" s="308"/>
      <c r="IQ133" s="308"/>
      <c r="IR133" s="308"/>
      <c r="IS133" s="308"/>
      <c r="IT133" s="308"/>
      <c r="IU133" s="308"/>
      <c r="IV133" s="308"/>
      <c r="IW133" s="308"/>
      <c r="IX133" s="308"/>
    </row>
    <row r="134" spans="1:258" s="308" customFormat="1" ht="17.399999999999999" x14ac:dyDescent="0.3">
      <c r="A134" s="144"/>
      <c r="B134" s="84"/>
      <c r="C134" s="64"/>
      <c r="D134" s="83" t="s">
        <v>164</v>
      </c>
      <c r="E134" s="270">
        <f>IF(AND($F$2="No",$F$3="No"),SUM(J134:K134),IF(AND($F$2="Yes", $F$3="No"), SUM(J134:K134)+Q134, IF(AND($F$2="No", $F$3="Yes"),SUM(J134:K134)+P134, SUM(J134:K134)+Q134+P134)))</f>
        <v>3.9989486962957101E-2</v>
      </c>
      <c r="F134" s="90">
        <f>IF(AND($F$2="No",$F$3="No"),SUM(H134:O134),IF(AND($F$2="Yes", $F$3="No"), SUM(H134:O134)+Q134, IF(AND($F$2="No", $F$3="Yes"),SUM(H134:O134)+P134, SUM(H134:O134)+Q134+P134)))</f>
        <v>0.11141257901499704</v>
      </c>
      <c r="G134" s="278">
        <f>SUM(S134:U134)/(1-'Common input data'!$B$123)</f>
        <v>0.54411601923250286</v>
      </c>
      <c r="H134" s="90">
        <f>('Input data plant-based products'!$F$44*('Common input data'!$C$76*'Common input data'!B69+'Common input data'!$C$77*'Common input data'!C69))/'Input data plant-based products'!$E$44</f>
        <v>9.9201324824780713E-3</v>
      </c>
      <c r="I134" s="90">
        <f>'Common input data'!$B$81</f>
        <v>0.03</v>
      </c>
      <c r="J134" s="90">
        <v>0</v>
      </c>
      <c r="K134" s="90">
        <v>0</v>
      </c>
      <c r="L134" s="90">
        <f>('Input data plant-based products'!$I$44*'Common input data'!$C$59*'Common input data'!H49)/'Input data plant-based products'!$E$44</f>
        <v>1.1502959569561875E-2</v>
      </c>
      <c r="M134" s="90">
        <v>0</v>
      </c>
      <c r="N134" s="90">
        <f>'Input data plant-based products'!$G$152</f>
        <v>0.02</v>
      </c>
      <c r="O134" s="90">
        <v>0</v>
      </c>
      <c r="P134" s="90">
        <f>'Common input data'!$E$13</f>
        <v>3.9989486962957101E-2</v>
      </c>
      <c r="Q134" s="90">
        <v>0</v>
      </c>
      <c r="R134" s="90">
        <v>0</v>
      </c>
      <c r="S134" s="90">
        <f>(F134+R134)</f>
        <v>0.11141257901499704</v>
      </c>
      <c r="T134" s="90">
        <f>'Common input data'!$B$88</f>
        <v>0.05</v>
      </c>
      <c r="U134" s="90">
        <f>'Common input data'!B102+'Common input data'!C102</f>
        <v>0.23000000000000004</v>
      </c>
      <c r="V134" s="430"/>
      <c r="W134" s="243"/>
      <c r="Z134" s="64"/>
    </row>
    <row r="135" spans="1:258" s="308" customFormat="1" ht="17.399999999999999" x14ac:dyDescent="0.3">
      <c r="A135" s="144"/>
      <c r="B135" s="84"/>
      <c r="C135" s="142"/>
      <c r="D135" s="83" t="s">
        <v>165</v>
      </c>
      <c r="E135" s="270">
        <f>SUM(J135:K135)</f>
        <v>0</v>
      </c>
      <c r="F135" s="90">
        <f>SUM(H135:O135)</f>
        <v>5.0954669522275174E-6</v>
      </c>
      <c r="G135" s="278">
        <f>SUM(S135:U135)/(1-'Common input data'!$B$123)</f>
        <v>7.0833829642214452E-6</v>
      </c>
      <c r="H135" s="90">
        <f>('Input data plant-based products'!$F$44*('Common input data'!$C$76*'Common input data'!B70+'Common input data'!$C$77*'Common input data'!C70))/'Input data plant-based products'!$E$44</f>
        <v>4.3739314373558798E-11</v>
      </c>
      <c r="I135" s="90">
        <v>0</v>
      </c>
      <c r="J135" s="90">
        <v>0</v>
      </c>
      <c r="K135" s="90">
        <v>0</v>
      </c>
      <c r="L135" s="90">
        <f>('Input data plant-based products'!$I$44*'Common input data'!$C$59*'Common input data'!H50)/'Input data plant-based products'!$E$44</f>
        <v>5.0954232129131442E-6</v>
      </c>
      <c r="M135" s="90">
        <v>0</v>
      </c>
      <c r="N135" s="90">
        <v>0</v>
      </c>
      <c r="O135" s="90">
        <v>0</v>
      </c>
      <c r="P135" s="90">
        <v>0</v>
      </c>
      <c r="Q135" s="90">
        <v>0</v>
      </c>
      <c r="R135" s="90">
        <v>0</v>
      </c>
      <c r="S135" s="90">
        <f>(F135+R135)</f>
        <v>5.0954669522275174E-6</v>
      </c>
      <c r="T135" s="90">
        <v>0</v>
      </c>
      <c r="U135" s="90">
        <v>0</v>
      </c>
      <c r="V135" s="430"/>
      <c r="W135" s="243"/>
      <c r="Z135" s="64"/>
    </row>
    <row r="136" spans="1:258" s="308" customFormat="1" ht="17.399999999999999" x14ac:dyDescent="0.3">
      <c r="A136" s="174"/>
      <c r="B136" s="206"/>
      <c r="C136" s="85"/>
      <c r="D136" s="84" t="s">
        <v>166</v>
      </c>
      <c r="E136" s="780">
        <f>SUM(J136:K136)</f>
        <v>1.1427969693642254E-4</v>
      </c>
      <c r="F136" s="108">
        <f>SUM(H136:O136)</f>
        <v>1.6877497804756547E-4</v>
      </c>
      <c r="G136" s="521">
        <f>SUM(S136:U136)/(1-'Common input data'!$B$123)</f>
        <v>2.3461987203476098E-4</v>
      </c>
      <c r="H136" s="90">
        <f>('Input data plant-based products'!$F$44*('Common input data'!$C$76*'Common input data'!B71+'Common input data'!$C$77*'Common input data'!C71))/'Input data plant-based products'!$E$44</f>
        <v>5.4186192102687923E-5</v>
      </c>
      <c r="I136" s="90">
        <v>0</v>
      </c>
      <c r="J136" s="90">
        <f>(SUM('Input data plant-based products'!F44:H44)*'Input data plant-based products'!$B$114*44/28)/'Input data plant-based products'!E44</f>
        <v>1.0389063357856594E-4</v>
      </c>
      <c r="K136" s="90">
        <f>J136*'Input data plant-based products'!$B$115</f>
        <v>1.0389063357856594E-5</v>
      </c>
      <c r="L136" s="90">
        <f>('Input data plant-based products'!$I$44*'Common input data'!$C$59*'Common input data'!H51)/'Input data plant-based products'!$E$44</f>
        <v>3.0908900845503459E-7</v>
      </c>
      <c r="M136" s="90">
        <v>0</v>
      </c>
      <c r="N136" s="90">
        <v>0</v>
      </c>
      <c r="O136" s="90">
        <v>0</v>
      </c>
      <c r="P136" s="90">
        <v>0</v>
      </c>
      <c r="Q136" s="90">
        <v>0</v>
      </c>
      <c r="R136" s="90">
        <v>0</v>
      </c>
      <c r="S136" s="90">
        <f>(F136+R136)</f>
        <v>1.6877497804756547E-4</v>
      </c>
      <c r="T136" s="90">
        <v>0</v>
      </c>
      <c r="U136" s="90">
        <v>0</v>
      </c>
      <c r="V136" s="430"/>
      <c r="W136" s="243"/>
      <c r="Z136" s="64"/>
    </row>
    <row r="137" spans="1:258" s="427" customFormat="1" ht="17.399999999999999" x14ac:dyDescent="0.3">
      <c r="A137" s="426" t="s">
        <v>615</v>
      </c>
      <c r="B137" s="412"/>
      <c r="C137" s="413"/>
      <c r="D137" s="414"/>
      <c r="E137" s="767" t="s">
        <v>819</v>
      </c>
      <c r="F137" s="768" t="s">
        <v>819</v>
      </c>
      <c r="G137" s="590" t="s">
        <v>819</v>
      </c>
      <c r="H137" s="413"/>
      <c r="I137" s="413"/>
      <c r="J137" s="413"/>
      <c r="K137" s="416"/>
      <c r="L137" s="416"/>
      <c r="M137" s="417"/>
      <c r="N137" s="416"/>
      <c r="O137" s="416"/>
      <c r="P137" s="416"/>
      <c r="Q137" s="416"/>
      <c r="R137" s="416"/>
      <c r="S137" s="416"/>
      <c r="T137" s="416"/>
      <c r="U137" s="416"/>
      <c r="V137" s="430"/>
      <c r="W137" s="243"/>
      <c r="X137" s="308"/>
      <c r="Y137" s="308"/>
      <c r="Z137" s="64"/>
      <c r="AA137" s="308"/>
      <c r="AB137" s="308"/>
      <c r="AC137" s="308"/>
      <c r="AD137" s="308"/>
      <c r="AE137" s="308"/>
      <c r="AF137" s="308"/>
      <c r="AG137" s="308"/>
      <c r="AH137" s="308"/>
      <c r="AI137" s="308"/>
      <c r="AJ137" s="308"/>
      <c r="AK137" s="308"/>
      <c r="AL137" s="308"/>
      <c r="AM137" s="308"/>
      <c r="AN137" s="308"/>
      <c r="AO137" s="308"/>
      <c r="AP137" s="308"/>
      <c r="AQ137" s="308"/>
      <c r="AR137" s="308"/>
      <c r="AS137" s="308"/>
      <c r="AT137" s="308"/>
      <c r="AU137" s="308"/>
      <c r="AV137" s="308"/>
      <c r="AW137" s="308"/>
      <c r="AX137" s="308"/>
      <c r="AY137" s="308"/>
      <c r="AZ137" s="308"/>
      <c r="BA137" s="308"/>
      <c r="BB137" s="308"/>
      <c r="BC137" s="308"/>
      <c r="BD137" s="308"/>
      <c r="BE137" s="308"/>
      <c r="BF137" s="308"/>
      <c r="BG137" s="308"/>
      <c r="BH137" s="308"/>
      <c r="BI137" s="308"/>
      <c r="BJ137" s="308"/>
      <c r="BK137" s="308"/>
      <c r="BL137" s="308"/>
      <c r="BM137" s="308"/>
      <c r="BN137" s="308"/>
      <c r="BO137" s="308"/>
      <c r="BP137" s="308"/>
      <c r="BQ137" s="308"/>
      <c r="BR137" s="308"/>
      <c r="BS137" s="308"/>
      <c r="BT137" s="308"/>
      <c r="BU137" s="308"/>
      <c r="BV137" s="308"/>
      <c r="BW137" s="308"/>
      <c r="BX137" s="308"/>
      <c r="BY137" s="308"/>
      <c r="BZ137" s="308"/>
      <c r="CA137" s="308"/>
      <c r="CB137" s="308"/>
      <c r="CC137" s="308"/>
      <c r="CD137" s="308"/>
      <c r="CE137" s="308"/>
      <c r="CF137" s="308"/>
      <c r="CG137" s="308"/>
      <c r="CH137" s="308"/>
      <c r="CI137" s="308"/>
      <c r="CJ137" s="308"/>
      <c r="CK137" s="308"/>
      <c r="CL137" s="308"/>
      <c r="CM137" s="308"/>
      <c r="CN137" s="308"/>
      <c r="CO137" s="308"/>
      <c r="CP137" s="308"/>
      <c r="CQ137" s="308"/>
      <c r="CR137" s="308"/>
      <c r="CS137" s="308"/>
      <c r="CT137" s="308"/>
      <c r="CU137" s="308"/>
      <c r="CV137" s="308"/>
      <c r="CW137" s="308"/>
      <c r="CX137" s="308"/>
      <c r="CY137" s="308"/>
      <c r="CZ137" s="308"/>
      <c r="DA137" s="308"/>
      <c r="DB137" s="308"/>
      <c r="DC137" s="308"/>
      <c r="DD137" s="308"/>
      <c r="DE137" s="308"/>
      <c r="DF137" s="308"/>
      <c r="DG137" s="308"/>
      <c r="DH137" s="308"/>
      <c r="DI137" s="308"/>
      <c r="DJ137" s="308"/>
      <c r="DK137" s="308"/>
      <c r="DL137" s="308"/>
      <c r="DM137" s="308"/>
      <c r="DN137" s="308"/>
      <c r="DO137" s="308"/>
      <c r="DP137" s="308"/>
      <c r="DQ137" s="308"/>
      <c r="DR137" s="308"/>
      <c r="DS137" s="308"/>
      <c r="DT137" s="308"/>
      <c r="DU137" s="308"/>
      <c r="DV137" s="308"/>
      <c r="DW137" s="308"/>
      <c r="DX137" s="308"/>
      <c r="DY137" s="308"/>
      <c r="DZ137" s="308"/>
      <c r="EA137" s="308"/>
      <c r="EB137" s="308"/>
      <c r="EC137" s="308"/>
      <c r="ED137" s="308"/>
      <c r="EE137" s="308"/>
      <c r="EF137" s="308"/>
      <c r="EG137" s="308"/>
      <c r="EH137" s="308"/>
      <c r="EI137" s="308"/>
      <c r="EJ137" s="308"/>
      <c r="EK137" s="308"/>
      <c r="EL137" s="308"/>
      <c r="EM137" s="308"/>
      <c r="EN137" s="308"/>
      <c r="EO137" s="308"/>
      <c r="EP137" s="308"/>
      <c r="EQ137" s="308"/>
      <c r="ER137" s="308"/>
      <c r="ES137" s="308"/>
      <c r="ET137" s="308"/>
      <c r="EU137" s="308"/>
      <c r="EV137" s="308"/>
      <c r="EW137" s="308"/>
      <c r="EX137" s="308"/>
      <c r="EY137" s="308"/>
      <c r="EZ137" s="308"/>
      <c r="FA137" s="308"/>
      <c r="FB137" s="308"/>
      <c r="FC137" s="308"/>
      <c r="FD137" s="308"/>
      <c r="FE137" s="308"/>
      <c r="FF137" s="308"/>
      <c r="FG137" s="308"/>
      <c r="FH137" s="308"/>
      <c r="FI137" s="308"/>
      <c r="FJ137" s="308"/>
      <c r="FK137" s="308"/>
      <c r="FL137" s="308"/>
      <c r="FM137" s="308"/>
      <c r="FN137" s="308"/>
      <c r="FO137" s="308"/>
      <c r="FP137" s="308"/>
      <c r="FQ137" s="308"/>
      <c r="FR137" s="308"/>
      <c r="FS137" s="308"/>
      <c r="FT137" s="308"/>
      <c r="FU137" s="308"/>
      <c r="FV137" s="308"/>
      <c r="FW137" s="308"/>
      <c r="FX137" s="308"/>
      <c r="FY137" s="308"/>
      <c r="FZ137" s="308"/>
      <c r="GA137" s="308"/>
      <c r="GB137" s="308"/>
      <c r="GC137" s="308"/>
      <c r="GD137" s="308"/>
      <c r="GE137" s="308"/>
      <c r="GF137" s="308"/>
      <c r="GG137" s="308"/>
      <c r="GH137" s="308"/>
      <c r="GI137" s="308"/>
      <c r="GJ137" s="308"/>
      <c r="GK137" s="308"/>
      <c r="GL137" s="308"/>
      <c r="GM137" s="308"/>
      <c r="GN137" s="308"/>
      <c r="GO137" s="308"/>
      <c r="GP137" s="308"/>
      <c r="GQ137" s="308"/>
      <c r="GR137" s="308"/>
      <c r="GS137" s="308"/>
      <c r="GT137" s="308"/>
      <c r="GU137" s="308"/>
      <c r="GV137" s="308"/>
      <c r="GW137" s="308"/>
      <c r="GX137" s="308"/>
      <c r="GY137" s="308"/>
      <c r="GZ137" s="308"/>
      <c r="HA137" s="308"/>
      <c r="HB137" s="308"/>
      <c r="HC137" s="308"/>
      <c r="HD137" s="308"/>
      <c r="HE137" s="308"/>
      <c r="HF137" s="308"/>
      <c r="HG137" s="308"/>
      <c r="HH137" s="308"/>
      <c r="HI137" s="308"/>
      <c r="HJ137" s="308"/>
      <c r="HK137" s="308"/>
      <c r="HL137" s="308"/>
      <c r="HM137" s="308"/>
      <c r="HN137" s="308"/>
      <c r="HO137" s="308"/>
      <c r="HP137" s="308"/>
      <c r="HQ137" s="308"/>
      <c r="HR137" s="308"/>
      <c r="HS137" s="308"/>
      <c r="HT137" s="308"/>
      <c r="HU137" s="308"/>
      <c r="HV137" s="308"/>
      <c r="HW137" s="308"/>
      <c r="HX137" s="308"/>
      <c r="HY137" s="308"/>
      <c r="HZ137" s="308"/>
      <c r="IA137" s="308"/>
      <c r="IB137" s="308"/>
      <c r="IC137" s="308"/>
      <c r="ID137" s="308"/>
      <c r="IE137" s="308"/>
      <c r="IF137" s="308"/>
      <c r="IG137" s="308"/>
      <c r="IH137" s="308"/>
      <c r="II137" s="308"/>
      <c r="IJ137" s="308"/>
      <c r="IK137" s="308"/>
      <c r="IL137" s="308"/>
      <c r="IM137" s="308"/>
      <c r="IN137" s="308"/>
      <c r="IO137" s="308"/>
      <c r="IP137" s="308"/>
      <c r="IQ137" s="308"/>
      <c r="IR137" s="308"/>
      <c r="IS137" s="308"/>
      <c r="IT137" s="308"/>
      <c r="IU137" s="308"/>
      <c r="IV137" s="308"/>
      <c r="IW137" s="308"/>
      <c r="IX137" s="308"/>
    </row>
    <row r="138" spans="1:258" s="420" customFormat="1" ht="17.399999999999999" x14ac:dyDescent="0.3">
      <c r="A138" s="122" t="s">
        <v>249</v>
      </c>
      <c r="B138" s="150"/>
      <c r="C138" s="110">
        <f>SUM(C142:C153)</f>
        <v>1</v>
      </c>
      <c r="D138" s="269" t="s">
        <v>473</v>
      </c>
      <c r="E138" s="769">
        <f>IF($F$1="GWP100 without fb",E139+E140*'Common input data'!$C$5+E141*'Common input data'!$D$5,IF($F$1="GWP100 with fb",E139+E140*'Common input data'!$C$6+E141*'Common input data'!$D$6,IF($F$1="GTP100 without fb",E139+E140*'Common input data'!$C$7+E141*'Common input data'!$D$7,IF($F$1="GTP100 with fb",E139+E140*'Common input data'!$C$8+E141*'Common input data'!$D$8,E139+E140*'Common input data'!$C$9+E141*'Common input data'!$D$9))))</f>
        <v>6.6164569763474582E-2</v>
      </c>
      <c r="F138" s="326">
        <f>IF($F$1="GWP100 without fb",F139+F140*'Common input data'!$C$5+F141*'Common input data'!$D$5,IF($F$1="GWP100 with fb",F139+F140*'Common input data'!$C$6+F141*'Common input data'!$D$6,IF($F$1="GTP100 without fb",F139+F140*'Common input data'!$C$7+F141*'Common input data'!$D$7,IF($F$1="GTP100 with fb",F139+F140*'Common input data'!$C$8+F141*'Common input data'!$D$8,F139+F140*'Common input data'!$C$9+F141*'Common input data'!$D$9))))</f>
        <v>0.1455148462076295</v>
      </c>
      <c r="G138" s="770">
        <f>IF($F$1="GWP100 without fb",G139+G140*'Common input data'!$C$5+G141*'Common input data'!$D$5,IF($F$1="GWP100 with fb",G139+G140*'Common input data'!$C$6+G141*'Common input data'!$D$6,IF($F$1="GTP100 without fb",G139+G140*'Common input data'!$C$7+G141*'Common input data'!$D$7,IF($F$1="GTP100 with fb",G139+G140*'Common input data'!$C$8+G141*'Common input data'!$D$8,G139+G140*'Common input data'!$C$9+G141*'Common input data'!$D$9))))</f>
        <v>0.38161248091363725</v>
      </c>
      <c r="H138" s="302"/>
      <c r="I138" s="104"/>
      <c r="J138" s="104"/>
      <c r="K138" s="102"/>
      <c r="L138" s="102"/>
      <c r="M138" s="102"/>
      <c r="N138" s="102"/>
      <c r="O138" s="102"/>
      <c r="P138" s="102"/>
      <c r="Q138" s="102"/>
      <c r="R138" s="102"/>
      <c r="S138" s="102"/>
      <c r="T138" s="102"/>
      <c r="U138" s="102"/>
      <c r="V138" s="430"/>
      <c r="W138" s="243"/>
      <c r="X138" s="308"/>
      <c r="Y138" s="308"/>
      <c r="Z138" s="64"/>
      <c r="AA138" s="308"/>
      <c r="AB138" s="308"/>
      <c r="AC138" s="308"/>
      <c r="AD138" s="308"/>
      <c r="AE138" s="308"/>
      <c r="AF138" s="308"/>
      <c r="AG138" s="308"/>
      <c r="AH138" s="308"/>
      <c r="AI138" s="308"/>
      <c r="AJ138" s="308"/>
      <c r="AK138" s="308"/>
      <c r="AL138" s="308"/>
      <c r="AM138" s="308"/>
      <c r="AN138" s="308"/>
      <c r="AO138" s="308"/>
      <c r="AP138" s="308"/>
      <c r="AQ138" s="308"/>
      <c r="AR138" s="308"/>
      <c r="AS138" s="308"/>
      <c r="AT138" s="308"/>
      <c r="AU138" s="308"/>
      <c r="AV138" s="308"/>
      <c r="AW138" s="308"/>
      <c r="AX138" s="308"/>
      <c r="AY138" s="308"/>
      <c r="AZ138" s="308"/>
      <c r="BA138" s="308"/>
      <c r="BB138" s="308"/>
      <c r="BC138" s="308"/>
      <c r="BD138" s="308"/>
      <c r="BE138" s="308"/>
      <c r="BF138" s="308"/>
      <c r="BG138" s="308"/>
      <c r="BH138" s="308"/>
      <c r="BI138" s="308"/>
      <c r="BJ138" s="308"/>
      <c r="BK138" s="308"/>
      <c r="BL138" s="308"/>
      <c r="BM138" s="308"/>
      <c r="BN138" s="308"/>
      <c r="BO138" s="308"/>
      <c r="BP138" s="308"/>
      <c r="BQ138" s="308"/>
      <c r="BR138" s="308"/>
      <c r="BS138" s="308"/>
      <c r="BT138" s="308"/>
      <c r="BU138" s="308"/>
      <c r="BV138" s="308"/>
      <c r="BW138" s="308"/>
      <c r="BX138" s="308"/>
      <c r="BY138" s="308"/>
      <c r="BZ138" s="308"/>
      <c r="CA138" s="308"/>
      <c r="CB138" s="308"/>
      <c r="CC138" s="308"/>
      <c r="CD138" s="308"/>
      <c r="CE138" s="308"/>
      <c r="CF138" s="308"/>
      <c r="CG138" s="308"/>
      <c r="CH138" s="308"/>
      <c r="CI138" s="308"/>
      <c r="CJ138" s="308"/>
      <c r="CK138" s="308"/>
      <c r="CL138" s="308"/>
      <c r="CM138" s="308"/>
      <c r="CN138" s="308"/>
      <c r="CO138" s="308"/>
      <c r="CP138" s="308"/>
      <c r="CQ138" s="308"/>
      <c r="CR138" s="308"/>
      <c r="CS138" s="308"/>
      <c r="CT138" s="308"/>
      <c r="CU138" s="308"/>
      <c r="CV138" s="308"/>
      <c r="CW138" s="308"/>
      <c r="CX138" s="308"/>
      <c r="CY138" s="308"/>
      <c r="CZ138" s="308"/>
      <c r="DA138" s="308"/>
      <c r="DB138" s="308"/>
      <c r="DC138" s="308"/>
      <c r="DD138" s="308"/>
      <c r="DE138" s="308"/>
      <c r="DF138" s="308"/>
      <c r="DG138" s="308"/>
      <c r="DH138" s="308"/>
      <c r="DI138" s="308"/>
      <c r="DJ138" s="308"/>
      <c r="DK138" s="308"/>
      <c r="DL138" s="308"/>
      <c r="DM138" s="308"/>
      <c r="DN138" s="308"/>
      <c r="DO138" s="308"/>
      <c r="DP138" s="308"/>
      <c r="DQ138" s="308"/>
      <c r="DR138" s="308"/>
      <c r="DS138" s="308"/>
      <c r="DT138" s="308"/>
      <c r="DU138" s="308"/>
      <c r="DV138" s="308"/>
      <c r="DW138" s="308"/>
      <c r="DX138" s="308"/>
      <c r="DY138" s="308"/>
      <c r="DZ138" s="308"/>
      <c r="EA138" s="308"/>
      <c r="EB138" s="308"/>
      <c r="EC138" s="308"/>
      <c r="ED138" s="308"/>
      <c r="EE138" s="308"/>
      <c r="EF138" s="308"/>
      <c r="EG138" s="308"/>
      <c r="EH138" s="308"/>
      <c r="EI138" s="308"/>
      <c r="EJ138" s="308"/>
      <c r="EK138" s="308"/>
      <c r="EL138" s="308"/>
      <c r="EM138" s="308"/>
      <c r="EN138" s="308"/>
      <c r="EO138" s="308"/>
      <c r="EP138" s="308"/>
      <c r="EQ138" s="308"/>
      <c r="ER138" s="308"/>
      <c r="ES138" s="308"/>
      <c r="ET138" s="308"/>
      <c r="EU138" s="308"/>
      <c r="EV138" s="308"/>
      <c r="EW138" s="308"/>
      <c r="EX138" s="308"/>
      <c r="EY138" s="308"/>
      <c r="EZ138" s="308"/>
      <c r="FA138" s="308"/>
      <c r="FB138" s="308"/>
      <c r="FC138" s="308"/>
      <c r="FD138" s="308"/>
      <c r="FE138" s="308"/>
      <c r="FF138" s="308"/>
      <c r="FG138" s="308"/>
      <c r="FH138" s="308"/>
      <c r="FI138" s="308"/>
      <c r="FJ138" s="308"/>
      <c r="FK138" s="308"/>
      <c r="FL138" s="308"/>
      <c r="FM138" s="308"/>
      <c r="FN138" s="308"/>
      <c r="FO138" s="308"/>
      <c r="FP138" s="308"/>
      <c r="FQ138" s="308"/>
      <c r="FR138" s="308"/>
      <c r="FS138" s="308"/>
      <c r="FT138" s="308"/>
      <c r="FU138" s="308"/>
      <c r="FV138" s="308"/>
      <c r="FW138" s="308"/>
      <c r="FX138" s="308"/>
      <c r="FY138" s="308"/>
      <c r="FZ138" s="308"/>
      <c r="GA138" s="308"/>
      <c r="GB138" s="308"/>
      <c r="GC138" s="308"/>
      <c r="GD138" s="308"/>
      <c r="GE138" s="308"/>
      <c r="GF138" s="308"/>
      <c r="GG138" s="308"/>
      <c r="GH138" s="308"/>
      <c r="GI138" s="308"/>
      <c r="GJ138" s="308"/>
      <c r="GK138" s="308"/>
      <c r="GL138" s="308"/>
      <c r="GM138" s="308"/>
      <c r="GN138" s="308"/>
      <c r="GO138" s="308"/>
      <c r="GP138" s="308"/>
      <c r="GQ138" s="308"/>
      <c r="GR138" s="308"/>
      <c r="GS138" s="308"/>
      <c r="GT138" s="308"/>
      <c r="GU138" s="308"/>
      <c r="GV138" s="308"/>
      <c r="GW138" s="308"/>
      <c r="GX138" s="308"/>
      <c r="GY138" s="308"/>
      <c r="GZ138" s="308"/>
      <c r="HA138" s="308"/>
      <c r="HB138" s="308"/>
      <c r="HC138" s="308"/>
      <c r="HD138" s="308"/>
      <c r="HE138" s="308"/>
      <c r="HF138" s="308"/>
      <c r="HG138" s="308"/>
      <c r="HH138" s="308"/>
      <c r="HI138" s="308"/>
      <c r="HJ138" s="308"/>
      <c r="HK138" s="308"/>
      <c r="HL138" s="308"/>
      <c r="HM138" s="308"/>
      <c r="HN138" s="308"/>
      <c r="HO138" s="308"/>
      <c r="HP138" s="308"/>
      <c r="HQ138" s="308"/>
      <c r="HR138" s="308"/>
      <c r="HS138" s="308"/>
      <c r="HT138" s="308"/>
      <c r="HU138" s="308"/>
      <c r="HV138" s="308"/>
      <c r="HW138" s="308"/>
      <c r="HX138" s="308"/>
      <c r="HY138" s="308"/>
      <c r="HZ138" s="308"/>
      <c r="IA138" s="308"/>
      <c r="IB138" s="308"/>
      <c r="IC138" s="308"/>
      <c r="ID138" s="308"/>
      <c r="IE138" s="308"/>
      <c r="IF138" s="308"/>
      <c r="IG138" s="308"/>
      <c r="IH138" s="308"/>
      <c r="II138" s="308"/>
      <c r="IJ138" s="308"/>
      <c r="IK138" s="308"/>
      <c r="IL138" s="308"/>
      <c r="IM138" s="308"/>
      <c r="IN138" s="308"/>
      <c r="IO138" s="308"/>
      <c r="IP138" s="308"/>
      <c r="IQ138" s="308"/>
      <c r="IR138" s="308"/>
      <c r="IS138" s="308"/>
      <c r="IT138" s="308"/>
      <c r="IU138" s="308"/>
      <c r="IV138" s="308"/>
      <c r="IW138" s="308"/>
      <c r="IX138" s="308"/>
    </row>
    <row r="139" spans="1:258" s="308" customFormat="1" ht="17.399999999999999" x14ac:dyDescent="0.3">
      <c r="A139" s="103"/>
      <c r="B139" s="84"/>
      <c r="C139" s="64"/>
      <c r="D139" s="83" t="s">
        <v>164</v>
      </c>
      <c r="E139" s="270">
        <f t="shared" ref="E139:G141" si="15">E143*$C$142+E147*$C$146+$C$150*E151</f>
        <v>3.9989486962957101E-2</v>
      </c>
      <c r="F139" s="90">
        <f t="shared" si="15"/>
        <v>0.10790124895010786</v>
      </c>
      <c r="G139" s="278">
        <f t="shared" si="15"/>
        <v>0.32932453232424586</v>
      </c>
      <c r="H139" s="90">
        <f t="shared" ref="H139:U141" si="16">H143*$C$142+H147*$C$146+$C$150*H151</f>
        <v>8.1705426791847582E-3</v>
      </c>
      <c r="I139" s="90">
        <f t="shared" si="16"/>
        <v>0.03</v>
      </c>
      <c r="J139" s="90">
        <f t="shared" si="16"/>
        <v>0</v>
      </c>
      <c r="K139" s="90">
        <f t="shared" si="16"/>
        <v>0</v>
      </c>
      <c r="L139" s="90">
        <f t="shared" si="16"/>
        <v>9.7412193079659953E-3</v>
      </c>
      <c r="M139" s="90">
        <f t="shared" si="16"/>
        <v>0</v>
      </c>
      <c r="N139" s="90">
        <f t="shared" si="16"/>
        <v>0.02</v>
      </c>
      <c r="O139" s="90">
        <f t="shared" si="16"/>
        <v>0</v>
      </c>
      <c r="P139" s="90">
        <f t="shared" si="16"/>
        <v>3.9989486962957101E-2</v>
      </c>
      <c r="Q139" s="90">
        <f t="shared" si="16"/>
        <v>0</v>
      </c>
      <c r="R139" s="90">
        <f t="shared" si="16"/>
        <v>0</v>
      </c>
      <c r="S139" s="90">
        <f t="shared" si="16"/>
        <v>0.10790124895010786</v>
      </c>
      <c r="T139" s="90">
        <f t="shared" si="16"/>
        <v>0.05</v>
      </c>
      <c r="U139" s="90">
        <f t="shared" si="16"/>
        <v>7.9000000000000015E-2</v>
      </c>
      <c r="V139" s="430"/>
      <c r="W139" s="243"/>
      <c r="Z139" s="64"/>
    </row>
    <row r="140" spans="1:258" s="308" customFormat="1" ht="17.399999999999999" x14ac:dyDescent="0.3">
      <c r="A140" s="103"/>
      <c r="B140" s="84"/>
      <c r="C140" s="142"/>
      <c r="D140" s="83" t="s">
        <v>165</v>
      </c>
      <c r="E140" s="270">
        <f t="shared" si="15"/>
        <v>0</v>
      </c>
      <c r="F140" s="90">
        <f t="shared" si="15"/>
        <v>4.3150590521769457E-6</v>
      </c>
      <c r="G140" s="278">
        <f t="shared" si="15"/>
        <v>5.9985112387860607E-6</v>
      </c>
      <c r="H140" s="90">
        <f t="shared" si="16"/>
        <v>2.7369788952974287E-11</v>
      </c>
      <c r="I140" s="90">
        <f t="shared" si="16"/>
        <v>0</v>
      </c>
      <c r="J140" s="90">
        <f t="shared" si="16"/>
        <v>0</v>
      </c>
      <c r="K140" s="90">
        <f t="shared" si="16"/>
        <v>0</v>
      </c>
      <c r="L140" s="90">
        <f t="shared" si="16"/>
        <v>4.3150316823879933E-6</v>
      </c>
      <c r="M140" s="90">
        <f t="shared" si="16"/>
        <v>0</v>
      </c>
      <c r="N140" s="90">
        <f t="shared" si="16"/>
        <v>0</v>
      </c>
      <c r="O140" s="90">
        <f t="shared" si="16"/>
        <v>0</v>
      </c>
      <c r="P140" s="90">
        <f t="shared" si="16"/>
        <v>0</v>
      </c>
      <c r="Q140" s="90">
        <f t="shared" si="16"/>
        <v>0</v>
      </c>
      <c r="R140" s="90">
        <f t="shared" si="16"/>
        <v>0</v>
      </c>
      <c r="S140" s="90">
        <f t="shared" si="16"/>
        <v>4.3150590521769457E-6</v>
      </c>
      <c r="T140" s="90">
        <f t="shared" si="16"/>
        <v>0</v>
      </c>
      <c r="U140" s="90">
        <f t="shared" si="16"/>
        <v>0</v>
      </c>
      <c r="V140" s="430"/>
      <c r="W140" s="243"/>
      <c r="Z140" s="64"/>
    </row>
    <row r="141" spans="1:258" s="308" customFormat="1" ht="17.399999999999999" x14ac:dyDescent="0.3">
      <c r="A141" s="107"/>
      <c r="B141" s="206"/>
      <c r="C141" s="85"/>
      <c r="D141" s="84" t="s">
        <v>166</v>
      </c>
      <c r="E141" s="270">
        <f t="shared" si="15"/>
        <v>8.7835848323884177E-5</v>
      </c>
      <c r="F141" s="90">
        <f t="shared" si="15"/>
        <v>1.2572780285150211E-4</v>
      </c>
      <c r="G141" s="278">
        <f t="shared" si="15"/>
        <v>1.7477852082977406E-4</v>
      </c>
      <c r="H141" s="90">
        <f t="shared" si="16"/>
        <v>3.7630204166866495E-5</v>
      </c>
      <c r="I141" s="90">
        <f t="shared" si="16"/>
        <v>0</v>
      </c>
      <c r="J141" s="90">
        <f t="shared" si="16"/>
        <v>7.9850771203531065E-5</v>
      </c>
      <c r="K141" s="90">
        <f t="shared" si="16"/>
        <v>7.9850771203531052E-6</v>
      </c>
      <c r="L141" s="90">
        <f t="shared" si="16"/>
        <v>2.6175036075145725E-7</v>
      </c>
      <c r="M141" s="90">
        <f t="shared" si="16"/>
        <v>0</v>
      </c>
      <c r="N141" s="90">
        <f t="shared" si="16"/>
        <v>0</v>
      </c>
      <c r="O141" s="90">
        <f t="shared" si="16"/>
        <v>0</v>
      </c>
      <c r="P141" s="90">
        <f t="shared" si="16"/>
        <v>0</v>
      </c>
      <c r="Q141" s="90">
        <f t="shared" si="16"/>
        <v>0</v>
      </c>
      <c r="R141" s="90">
        <f t="shared" si="16"/>
        <v>0</v>
      </c>
      <c r="S141" s="90">
        <f t="shared" si="16"/>
        <v>1.2572780285150211E-4</v>
      </c>
      <c r="T141" s="90">
        <f t="shared" si="16"/>
        <v>0</v>
      </c>
      <c r="U141" s="90">
        <f t="shared" si="16"/>
        <v>0</v>
      </c>
      <c r="V141" s="430"/>
      <c r="W141" s="243"/>
      <c r="Z141" s="64"/>
    </row>
    <row r="142" spans="1:258" s="420" customFormat="1" ht="17.399999999999999" x14ac:dyDescent="0.3">
      <c r="A142" s="122" t="s">
        <v>1</v>
      </c>
      <c r="B142" s="150" t="s">
        <v>225</v>
      </c>
      <c r="C142" s="111">
        <f>'Input data plant-based products'!D45</f>
        <v>0.65</v>
      </c>
      <c r="D142" s="269" t="s">
        <v>473</v>
      </c>
      <c r="E142" s="320">
        <f>IF($F$1="GWP100 without fb",E143+E144*'Common input data'!$C$5+E145*'Common input data'!$D$5,IF($F$1="GWP100 with fb",E143+E144*'Common input data'!$C$6+E145*'Common input data'!$D$6,IF($F$1="GTP100 without fb",E143+E144*'Common input data'!$C$7+E145*'Common input data'!$D$7,IF($F$1="GTP100 with fb",E143+E144*'Common input data'!$C$8+E145*'Common input data'!$D$8,E143+E144*'Common input data'!$C$9+E145*'Common input data'!$D$9))))</f>
        <v>6.5558883315540689E-2</v>
      </c>
      <c r="F142" s="302">
        <f>IF($F$1="GWP100 without fb",F143+F144*'Common input data'!$C$5+F145*'Common input data'!$D$5,IF($F$1="GWP100 with fb",F143+F144*'Common input data'!$C$6+F145*'Common input data'!$D$6,IF($F$1="GTP100 without fb",F143+F144*'Common input data'!$C$7+F145*'Common input data'!$D$7,IF($F$1="GTP100 with fb",F143+F144*'Common input data'!$C$8+F145*'Common input data'!$D$8,F143+F144*'Common input data'!$C$9+F145*'Common input data'!$D$9))))</f>
        <v>0.14069746557949386</v>
      </c>
      <c r="G142" s="321">
        <f>IF($F$1="GWP100 without fb",G143+G144*'Common input data'!$C$5+G145*'Common input data'!$D$5,IF($F$1="GWP100 with fb",G143+G144*'Common input data'!$C$6+G145*'Common input data'!$D$6,IF($F$1="GTP100 without fb",G143+G144*'Common input data'!$C$7+G145*'Common input data'!$D$7,IF($F$1="GTP100 with fb",G143+G144*'Common input data'!$C$8+G145*'Common input data'!$D$8,G143+G144*'Common input data'!$C$9+G145*'Common input data'!$D$9))))</f>
        <v>0.30679909860846716</v>
      </c>
      <c r="H142" s="102"/>
      <c r="I142" s="102"/>
      <c r="J142" s="102"/>
      <c r="K142" s="102"/>
      <c r="L142" s="102"/>
      <c r="M142" s="102"/>
      <c r="N142" s="102"/>
      <c r="O142" s="102"/>
      <c r="P142" s="102"/>
      <c r="Q142" s="102"/>
      <c r="R142" s="102"/>
      <c r="S142" s="102"/>
      <c r="T142" s="102"/>
      <c r="U142" s="102"/>
      <c r="V142" s="430"/>
      <c r="W142" s="243"/>
      <c r="X142" s="308"/>
      <c r="Y142" s="308"/>
      <c r="Z142" s="64"/>
      <c r="AA142" s="308"/>
      <c r="AB142" s="308"/>
      <c r="AC142" s="308"/>
      <c r="AD142" s="308"/>
      <c r="AE142" s="308"/>
      <c r="AF142" s="308"/>
      <c r="AG142" s="308"/>
      <c r="AH142" s="308"/>
      <c r="AI142" s="308"/>
      <c r="AJ142" s="308"/>
      <c r="AK142" s="308"/>
      <c r="AL142" s="308"/>
      <c r="AM142" s="308"/>
      <c r="AN142" s="308"/>
      <c r="AO142" s="308"/>
      <c r="AP142" s="308"/>
      <c r="AQ142" s="308"/>
      <c r="AR142" s="308"/>
      <c r="AS142" s="308"/>
      <c r="AT142" s="308"/>
      <c r="AU142" s="308"/>
      <c r="AV142" s="308"/>
      <c r="AW142" s="308"/>
      <c r="AX142" s="308"/>
      <c r="AY142" s="308"/>
      <c r="AZ142" s="308"/>
      <c r="BA142" s="308"/>
      <c r="BB142" s="308"/>
      <c r="BC142" s="308"/>
      <c r="BD142" s="308"/>
      <c r="BE142" s="308"/>
      <c r="BF142" s="308"/>
      <c r="BG142" s="308"/>
      <c r="BH142" s="308"/>
      <c r="BI142" s="308"/>
      <c r="BJ142" s="308"/>
      <c r="BK142" s="308"/>
      <c r="BL142" s="308"/>
      <c r="BM142" s="308"/>
      <c r="BN142" s="308"/>
      <c r="BO142" s="308"/>
      <c r="BP142" s="308"/>
      <c r="BQ142" s="308"/>
      <c r="BR142" s="308"/>
      <c r="BS142" s="308"/>
      <c r="BT142" s="308"/>
      <c r="BU142" s="308"/>
      <c r="BV142" s="308"/>
      <c r="BW142" s="308"/>
      <c r="BX142" s="308"/>
      <c r="BY142" s="308"/>
      <c r="BZ142" s="308"/>
      <c r="CA142" s="308"/>
      <c r="CB142" s="308"/>
      <c r="CC142" s="308"/>
      <c r="CD142" s="308"/>
      <c r="CE142" s="308"/>
      <c r="CF142" s="308"/>
      <c r="CG142" s="308"/>
      <c r="CH142" s="308"/>
      <c r="CI142" s="308"/>
      <c r="CJ142" s="308"/>
      <c r="CK142" s="308"/>
      <c r="CL142" s="308"/>
      <c r="CM142" s="308"/>
      <c r="CN142" s="308"/>
      <c r="CO142" s="308"/>
      <c r="CP142" s="308"/>
      <c r="CQ142" s="308"/>
      <c r="CR142" s="308"/>
      <c r="CS142" s="308"/>
      <c r="CT142" s="308"/>
      <c r="CU142" s="308"/>
      <c r="CV142" s="308"/>
      <c r="CW142" s="308"/>
      <c r="CX142" s="308"/>
      <c r="CY142" s="308"/>
      <c r="CZ142" s="308"/>
      <c r="DA142" s="308"/>
      <c r="DB142" s="308"/>
      <c r="DC142" s="308"/>
      <c r="DD142" s="308"/>
      <c r="DE142" s="308"/>
      <c r="DF142" s="308"/>
      <c r="DG142" s="308"/>
      <c r="DH142" s="308"/>
      <c r="DI142" s="308"/>
      <c r="DJ142" s="308"/>
      <c r="DK142" s="308"/>
      <c r="DL142" s="308"/>
      <c r="DM142" s="308"/>
      <c r="DN142" s="308"/>
      <c r="DO142" s="308"/>
      <c r="DP142" s="308"/>
      <c r="DQ142" s="308"/>
      <c r="DR142" s="308"/>
      <c r="DS142" s="308"/>
      <c r="DT142" s="308"/>
      <c r="DU142" s="308"/>
      <c r="DV142" s="308"/>
      <c r="DW142" s="308"/>
      <c r="DX142" s="308"/>
      <c r="DY142" s="308"/>
      <c r="DZ142" s="308"/>
      <c r="EA142" s="308"/>
      <c r="EB142" s="308"/>
      <c r="EC142" s="308"/>
      <c r="ED142" s="308"/>
      <c r="EE142" s="308"/>
      <c r="EF142" s="308"/>
      <c r="EG142" s="308"/>
      <c r="EH142" s="308"/>
      <c r="EI142" s="308"/>
      <c r="EJ142" s="308"/>
      <c r="EK142" s="308"/>
      <c r="EL142" s="308"/>
      <c r="EM142" s="308"/>
      <c r="EN142" s="308"/>
      <c r="EO142" s="308"/>
      <c r="EP142" s="308"/>
      <c r="EQ142" s="308"/>
      <c r="ER142" s="308"/>
      <c r="ES142" s="308"/>
      <c r="ET142" s="308"/>
      <c r="EU142" s="308"/>
      <c r="EV142" s="308"/>
      <c r="EW142" s="308"/>
      <c r="EX142" s="308"/>
      <c r="EY142" s="308"/>
      <c r="EZ142" s="308"/>
      <c r="FA142" s="308"/>
      <c r="FB142" s="308"/>
      <c r="FC142" s="308"/>
      <c r="FD142" s="308"/>
      <c r="FE142" s="308"/>
      <c r="FF142" s="308"/>
      <c r="FG142" s="308"/>
      <c r="FH142" s="308"/>
      <c r="FI142" s="308"/>
      <c r="FJ142" s="308"/>
      <c r="FK142" s="308"/>
      <c r="FL142" s="308"/>
      <c r="FM142" s="308"/>
      <c r="FN142" s="308"/>
      <c r="FO142" s="308"/>
      <c r="FP142" s="308"/>
      <c r="FQ142" s="308"/>
      <c r="FR142" s="308"/>
      <c r="FS142" s="308"/>
      <c r="FT142" s="308"/>
      <c r="FU142" s="308"/>
      <c r="FV142" s="308"/>
      <c r="FW142" s="308"/>
      <c r="FX142" s="308"/>
      <c r="FY142" s="308"/>
      <c r="FZ142" s="308"/>
      <c r="GA142" s="308"/>
      <c r="GB142" s="308"/>
      <c r="GC142" s="308"/>
      <c r="GD142" s="308"/>
      <c r="GE142" s="308"/>
      <c r="GF142" s="308"/>
      <c r="GG142" s="308"/>
      <c r="GH142" s="308"/>
      <c r="GI142" s="308"/>
      <c r="GJ142" s="308"/>
      <c r="GK142" s="308"/>
      <c r="GL142" s="308"/>
      <c r="GM142" s="308"/>
      <c r="GN142" s="308"/>
      <c r="GO142" s="308"/>
      <c r="GP142" s="308"/>
      <c r="GQ142" s="308"/>
      <c r="GR142" s="308"/>
      <c r="GS142" s="308"/>
      <c r="GT142" s="308"/>
      <c r="GU142" s="308"/>
      <c r="GV142" s="308"/>
      <c r="GW142" s="308"/>
      <c r="GX142" s="308"/>
      <c r="GY142" s="308"/>
      <c r="GZ142" s="308"/>
      <c r="HA142" s="308"/>
      <c r="HB142" s="308"/>
      <c r="HC142" s="308"/>
      <c r="HD142" s="308"/>
      <c r="HE142" s="308"/>
      <c r="HF142" s="308"/>
      <c r="HG142" s="308"/>
      <c r="HH142" s="308"/>
      <c r="HI142" s="308"/>
      <c r="HJ142" s="308"/>
      <c r="HK142" s="308"/>
      <c r="HL142" s="308"/>
      <c r="HM142" s="308"/>
      <c r="HN142" s="308"/>
      <c r="HO142" s="308"/>
      <c r="HP142" s="308"/>
      <c r="HQ142" s="308"/>
      <c r="HR142" s="308"/>
      <c r="HS142" s="308"/>
      <c r="HT142" s="308"/>
      <c r="HU142" s="308"/>
      <c r="HV142" s="308"/>
      <c r="HW142" s="308"/>
      <c r="HX142" s="308"/>
      <c r="HY142" s="308"/>
      <c r="HZ142" s="308"/>
      <c r="IA142" s="308"/>
      <c r="IB142" s="308"/>
      <c r="IC142" s="308"/>
      <c r="ID142" s="308"/>
      <c r="IE142" s="308"/>
      <c r="IF142" s="308"/>
      <c r="IG142" s="308"/>
      <c r="IH142" s="308"/>
      <c r="II142" s="308"/>
      <c r="IJ142" s="308"/>
      <c r="IK142" s="308"/>
      <c r="IL142" s="308"/>
      <c r="IM142" s="308"/>
      <c r="IN142" s="308"/>
      <c r="IO142" s="308"/>
      <c r="IP142" s="308"/>
      <c r="IQ142" s="308"/>
      <c r="IR142" s="308"/>
      <c r="IS142" s="308"/>
      <c r="IT142" s="308"/>
      <c r="IU142" s="308"/>
      <c r="IV142" s="308"/>
      <c r="IW142" s="308"/>
      <c r="IX142" s="308"/>
    </row>
    <row r="143" spans="1:258" s="308" customFormat="1" ht="17.399999999999999" x14ac:dyDescent="0.3">
      <c r="A143" s="103"/>
      <c r="B143" s="84"/>
      <c r="C143" s="64"/>
      <c r="D143" s="83" t="s">
        <v>164</v>
      </c>
      <c r="E143" s="270">
        <f>IF(AND($F$2="No",$F$3="No"),SUM(J143:K143),IF(AND($F$2="Yes", $F$3="No"), SUM(J143:K143)+Q143, IF(AND($F$2="No", $F$3="Yes"),SUM(J143:K143)+P143, SUM(J143:K143)+Q143+P143)))</f>
        <v>3.9989486962957101E-2</v>
      </c>
      <c r="F143" s="90">
        <f>IF(AND($F$2="No",$F$3="No"),SUM(H143:O143),IF(AND($F$2="Yes", $F$3="No"), SUM(H143:O143)+Q143, IF(AND($F$2="No", $F$3="Yes"),SUM(H143:O143)+P143, SUM(H143:O143)+Q143+P143)))</f>
        <v>0.10563832578582974</v>
      </c>
      <c r="G143" s="278">
        <f>SUM(S143:U143)/(1-'Common input data'!$B$123)</f>
        <v>0.25806218874662684</v>
      </c>
      <c r="H143" s="90">
        <f>('Input data plant-based products'!$F$45*('Common input data'!$B$76*'Common input data'!B69+'Common input data'!$B$77*'Common input data'!C69))/'Input data plant-based products'!$E$45</f>
        <v>7.6885460569151992E-3</v>
      </c>
      <c r="I143" s="90">
        <f>'Common input data'!$B$81</f>
        <v>0.03</v>
      </c>
      <c r="J143" s="90">
        <v>0</v>
      </c>
      <c r="K143" s="90">
        <v>0</v>
      </c>
      <c r="L143" s="90">
        <f>('Input data plant-based products'!$I$45*'Common input data'!$C$59*'Common input data'!H49)/'Input data plant-based products'!$E$45</f>
        <v>7.9602927659574475E-3</v>
      </c>
      <c r="M143" s="90">
        <v>0</v>
      </c>
      <c r="N143" s="90">
        <f>'Input data plant-based products'!$G$152</f>
        <v>0.02</v>
      </c>
      <c r="O143" s="90">
        <v>0</v>
      </c>
      <c r="P143" s="90">
        <f>'Common input data'!$E$13</f>
        <v>3.9989486962957101E-2</v>
      </c>
      <c r="Q143" s="90">
        <v>0</v>
      </c>
      <c r="R143" s="90">
        <v>0</v>
      </c>
      <c r="S143" s="90">
        <f>(F143+R143)</f>
        <v>0.10563832578582974</v>
      </c>
      <c r="T143" s="90">
        <f>'Common input data'!$B$88</f>
        <v>0.05</v>
      </c>
      <c r="U143" s="90">
        <f>'Common input data'!C98</f>
        <v>0.03</v>
      </c>
      <c r="V143" s="430"/>
      <c r="W143" s="243"/>
      <c r="Z143" s="64"/>
    </row>
    <row r="144" spans="1:258" s="308" customFormat="1" ht="17.399999999999999" x14ac:dyDescent="0.3">
      <c r="A144" s="107"/>
      <c r="B144" s="84"/>
      <c r="C144" s="142"/>
      <c r="D144" s="83" t="s">
        <v>165</v>
      </c>
      <c r="E144" s="270">
        <f>SUM(J144:K144)</f>
        <v>0</v>
      </c>
      <c r="F144" s="90">
        <f>SUM(H144:O144)</f>
        <v>3.5261618606297871E-6</v>
      </c>
      <c r="G144" s="278">
        <f>SUM(S144:U144)/(1-'Common input data'!$B$123)</f>
        <v>4.9018382587592878E-6</v>
      </c>
      <c r="H144" s="90">
        <f>('Input data plant-based products'!$F$45*('Common input data'!$B$76*'Common input data'!B70+'Common input data'!$B$77*'Common input data'!C70))/'Input data plant-based products'!$E$45</f>
        <v>2.0584034042553192E-11</v>
      </c>
      <c r="I144" s="90">
        <v>0</v>
      </c>
      <c r="J144" s="90">
        <v>0</v>
      </c>
      <c r="K144" s="90">
        <v>0</v>
      </c>
      <c r="L144" s="90">
        <f>('Input data plant-based products'!$I$45*'Common input data'!$C$59*'Common input data'!H50)/'Input data plant-based products'!$E$45</f>
        <v>3.5261412765957448E-6</v>
      </c>
      <c r="M144" s="90">
        <v>0</v>
      </c>
      <c r="N144" s="90">
        <v>0</v>
      </c>
      <c r="O144" s="90">
        <v>0</v>
      </c>
      <c r="P144" s="90">
        <v>0</v>
      </c>
      <c r="Q144" s="90">
        <v>0</v>
      </c>
      <c r="R144" s="90">
        <v>0</v>
      </c>
      <c r="S144" s="90">
        <f>(F144+R144)</f>
        <v>3.5261618606297871E-6</v>
      </c>
      <c r="T144" s="90">
        <v>0</v>
      </c>
      <c r="U144" s="90">
        <v>0</v>
      </c>
      <c r="V144" s="430"/>
      <c r="W144" s="243"/>
      <c r="Z144" s="64"/>
    </row>
    <row r="145" spans="1:258" s="308" customFormat="1" ht="17.399999999999999" x14ac:dyDescent="0.3">
      <c r="A145" s="174"/>
      <c r="B145" s="206"/>
      <c r="C145" s="85"/>
      <c r="D145" s="84" t="s">
        <v>166</v>
      </c>
      <c r="E145" s="270">
        <f>SUM(J145:K145)</f>
        <v>8.5803343465045608E-5</v>
      </c>
      <c r="F145" s="90">
        <f>SUM(H145:O145)</f>
        <v>1.172458063436333E-4</v>
      </c>
      <c r="G145" s="278">
        <f>SUM(S145:U145)/(1-'Common input data'!$B$123)</f>
        <v>1.6298740725182045E-4</v>
      </c>
      <c r="H145" s="90">
        <f>('Input data plant-based products'!$F$45*('Common input data'!$B$76*'Common input data'!B71+'Common input data'!$B$77*'Common input data'!C71))/'Input data plant-based products'!$E$45</f>
        <v>3.1228566708374929E-5</v>
      </c>
      <c r="I145" s="90">
        <v>0</v>
      </c>
      <c r="J145" s="90">
        <f>(SUM('Input data plant-based products'!F45:H45)*'Input data plant-based products'!$B$114*44/28)/'Input data plant-based products'!E45</f>
        <v>7.800303951367783E-5</v>
      </c>
      <c r="K145" s="90">
        <f>J145*'Input data plant-based products'!$B$115</f>
        <v>7.8003039513677827E-6</v>
      </c>
      <c r="L145" s="90">
        <f>('Input data plant-based products'!$I$45*'Common input data'!$C$59*'Common input data'!H51)/'Input data plant-based products'!$E$45</f>
        <v>2.1389617021276597E-7</v>
      </c>
      <c r="M145" s="90">
        <v>0</v>
      </c>
      <c r="N145" s="90">
        <v>0</v>
      </c>
      <c r="O145" s="90">
        <v>0</v>
      </c>
      <c r="P145" s="90">
        <v>0</v>
      </c>
      <c r="Q145" s="90">
        <v>0</v>
      </c>
      <c r="R145" s="90">
        <v>0</v>
      </c>
      <c r="S145" s="90">
        <f>(F145+R145)</f>
        <v>1.172458063436333E-4</v>
      </c>
      <c r="T145" s="90">
        <v>0</v>
      </c>
      <c r="U145" s="90">
        <v>0</v>
      </c>
      <c r="V145" s="430"/>
      <c r="W145" s="243"/>
      <c r="Z145" s="64"/>
    </row>
    <row r="146" spans="1:258" s="420" customFormat="1" ht="17.399999999999999" x14ac:dyDescent="0.3">
      <c r="A146" s="122" t="s">
        <v>79</v>
      </c>
      <c r="B146" s="150" t="s">
        <v>225</v>
      </c>
      <c r="C146" s="111">
        <f>'Input data plant-based products'!D46</f>
        <v>0.21</v>
      </c>
      <c r="D146" s="269" t="s">
        <v>473</v>
      </c>
      <c r="E146" s="320">
        <f>IF($F$1="GWP100 without fb",E147+E148*'Common input data'!$C$5+E149*'Common input data'!$D$5,IF($F$1="GWP100 with fb",E147+E148*'Common input data'!$C$6+E149*'Common input data'!$D$6,IF($F$1="GTP100 without fb",E147+E148*'Common input data'!$C$7+E149*'Common input data'!$D$7,IF($F$1="GTP100 with fb",E147+E148*'Common input data'!$C$8+E149*'Common input data'!$D$8,E147+E148*'Common input data'!$C$9+E149*'Common input data'!$D$9))))</f>
        <v>6.7411702200736168E-2</v>
      </c>
      <c r="F146" s="302">
        <f>IF($F$1="GWP100 without fb",F147+F148*'Common input data'!$C$5+F149*'Common input data'!$D$5,IF($F$1="GWP100 with fb",F147+F148*'Common input data'!$C$6+F149*'Common input data'!$D$6,IF($F$1="GTP100 without fb",F147+F148*'Common input data'!$C$7+F149*'Common input data'!$D$7,IF($F$1="GTP100 with fb",F147+F148*'Common input data'!$C$8+F149*'Common input data'!$D$8,F147+F148*'Common input data'!$C$9+F149*'Common input data'!$D$9))))</f>
        <v>0.14934220515426544</v>
      </c>
      <c r="G146" s="321">
        <f>IF($F$1="GWP100 without fb",G147+G148*'Common input data'!$C$5+G149*'Common input data'!$D$5,IF($F$1="GWP100 with fb",G147+G148*'Common input data'!$C$6+G149*'Common input data'!$D$6,IF($F$1="GTP100 without fb",G147+G148*'Common input data'!$C$7+G149*'Common input data'!$D$7,IF($F$1="GTP100 with fb",G147+G148*'Common input data'!$C$8+G149*'Common input data'!$D$8,G147+G148*'Common input data'!$C$9+G149*'Common input data'!$D$9))))</f>
        <v>0.45782986863824598</v>
      </c>
      <c r="H146" s="102"/>
      <c r="I146" s="102"/>
      <c r="J146" s="102"/>
      <c r="K146" s="102"/>
      <c r="L146" s="102"/>
      <c r="M146" s="102"/>
      <c r="N146" s="102"/>
      <c r="O146" s="102"/>
      <c r="P146" s="102"/>
      <c r="Q146" s="102"/>
      <c r="R146" s="102"/>
      <c r="S146" s="102"/>
      <c r="T146" s="102"/>
      <c r="U146" s="102"/>
      <c r="V146" s="430"/>
      <c r="W146" s="243"/>
      <c r="X146" s="308"/>
      <c r="Y146" s="308"/>
      <c r="Z146" s="64"/>
      <c r="AA146" s="308"/>
      <c r="AB146" s="308"/>
      <c r="AC146" s="308"/>
      <c r="AD146" s="308"/>
      <c r="AE146" s="308"/>
      <c r="AF146" s="308"/>
      <c r="AG146" s="308"/>
      <c r="AH146" s="308"/>
      <c r="AI146" s="308"/>
      <c r="AJ146" s="308"/>
      <c r="AK146" s="308"/>
      <c r="AL146" s="308"/>
      <c r="AM146" s="308"/>
      <c r="AN146" s="308"/>
      <c r="AO146" s="308"/>
      <c r="AP146" s="308"/>
      <c r="AQ146" s="308"/>
      <c r="AR146" s="308"/>
      <c r="AS146" s="308"/>
      <c r="AT146" s="308"/>
      <c r="AU146" s="308"/>
      <c r="AV146" s="308"/>
      <c r="AW146" s="308"/>
      <c r="AX146" s="308"/>
      <c r="AY146" s="308"/>
      <c r="AZ146" s="308"/>
      <c r="BA146" s="308"/>
      <c r="BB146" s="308"/>
      <c r="BC146" s="308"/>
      <c r="BD146" s="308"/>
      <c r="BE146" s="308"/>
      <c r="BF146" s="308"/>
      <c r="BG146" s="308"/>
      <c r="BH146" s="308"/>
      <c r="BI146" s="308"/>
      <c r="BJ146" s="308"/>
      <c r="BK146" s="308"/>
      <c r="BL146" s="308"/>
      <c r="BM146" s="308"/>
      <c r="BN146" s="308"/>
      <c r="BO146" s="308"/>
      <c r="BP146" s="308"/>
      <c r="BQ146" s="308"/>
      <c r="BR146" s="308"/>
      <c r="BS146" s="308"/>
      <c r="BT146" s="308"/>
      <c r="BU146" s="308"/>
      <c r="BV146" s="308"/>
      <c r="BW146" s="308"/>
      <c r="BX146" s="308"/>
      <c r="BY146" s="308"/>
      <c r="BZ146" s="308"/>
      <c r="CA146" s="308"/>
      <c r="CB146" s="308"/>
      <c r="CC146" s="308"/>
      <c r="CD146" s="308"/>
      <c r="CE146" s="308"/>
      <c r="CF146" s="308"/>
      <c r="CG146" s="308"/>
      <c r="CH146" s="308"/>
      <c r="CI146" s="308"/>
      <c r="CJ146" s="308"/>
      <c r="CK146" s="308"/>
      <c r="CL146" s="308"/>
      <c r="CM146" s="308"/>
      <c r="CN146" s="308"/>
      <c r="CO146" s="308"/>
      <c r="CP146" s="308"/>
      <c r="CQ146" s="308"/>
      <c r="CR146" s="308"/>
      <c r="CS146" s="308"/>
      <c r="CT146" s="308"/>
      <c r="CU146" s="308"/>
      <c r="CV146" s="308"/>
      <c r="CW146" s="308"/>
      <c r="CX146" s="308"/>
      <c r="CY146" s="308"/>
      <c r="CZ146" s="308"/>
      <c r="DA146" s="308"/>
      <c r="DB146" s="308"/>
      <c r="DC146" s="308"/>
      <c r="DD146" s="308"/>
      <c r="DE146" s="308"/>
      <c r="DF146" s="308"/>
      <c r="DG146" s="308"/>
      <c r="DH146" s="308"/>
      <c r="DI146" s="308"/>
      <c r="DJ146" s="308"/>
      <c r="DK146" s="308"/>
      <c r="DL146" s="308"/>
      <c r="DM146" s="308"/>
      <c r="DN146" s="308"/>
      <c r="DO146" s="308"/>
      <c r="DP146" s="308"/>
      <c r="DQ146" s="308"/>
      <c r="DR146" s="308"/>
      <c r="DS146" s="308"/>
      <c r="DT146" s="308"/>
      <c r="DU146" s="308"/>
      <c r="DV146" s="308"/>
      <c r="DW146" s="308"/>
      <c r="DX146" s="308"/>
      <c r="DY146" s="308"/>
      <c r="DZ146" s="308"/>
      <c r="EA146" s="308"/>
      <c r="EB146" s="308"/>
      <c r="EC146" s="308"/>
      <c r="ED146" s="308"/>
      <c r="EE146" s="308"/>
      <c r="EF146" s="308"/>
      <c r="EG146" s="308"/>
      <c r="EH146" s="308"/>
      <c r="EI146" s="308"/>
      <c r="EJ146" s="308"/>
      <c r="EK146" s="308"/>
      <c r="EL146" s="308"/>
      <c r="EM146" s="308"/>
      <c r="EN146" s="308"/>
      <c r="EO146" s="308"/>
      <c r="EP146" s="308"/>
      <c r="EQ146" s="308"/>
      <c r="ER146" s="308"/>
      <c r="ES146" s="308"/>
      <c r="ET146" s="308"/>
      <c r="EU146" s="308"/>
      <c r="EV146" s="308"/>
      <c r="EW146" s="308"/>
      <c r="EX146" s="308"/>
      <c r="EY146" s="308"/>
      <c r="EZ146" s="308"/>
      <c r="FA146" s="308"/>
      <c r="FB146" s="308"/>
      <c r="FC146" s="308"/>
      <c r="FD146" s="308"/>
      <c r="FE146" s="308"/>
      <c r="FF146" s="308"/>
      <c r="FG146" s="308"/>
      <c r="FH146" s="308"/>
      <c r="FI146" s="308"/>
      <c r="FJ146" s="308"/>
      <c r="FK146" s="308"/>
      <c r="FL146" s="308"/>
      <c r="FM146" s="308"/>
      <c r="FN146" s="308"/>
      <c r="FO146" s="308"/>
      <c r="FP146" s="308"/>
      <c r="FQ146" s="308"/>
      <c r="FR146" s="308"/>
      <c r="FS146" s="308"/>
      <c r="FT146" s="308"/>
      <c r="FU146" s="308"/>
      <c r="FV146" s="308"/>
      <c r="FW146" s="308"/>
      <c r="FX146" s="308"/>
      <c r="FY146" s="308"/>
      <c r="FZ146" s="308"/>
      <c r="GA146" s="308"/>
      <c r="GB146" s="308"/>
      <c r="GC146" s="308"/>
      <c r="GD146" s="308"/>
      <c r="GE146" s="308"/>
      <c r="GF146" s="308"/>
      <c r="GG146" s="308"/>
      <c r="GH146" s="308"/>
      <c r="GI146" s="308"/>
      <c r="GJ146" s="308"/>
      <c r="GK146" s="308"/>
      <c r="GL146" s="308"/>
      <c r="GM146" s="308"/>
      <c r="GN146" s="308"/>
      <c r="GO146" s="308"/>
      <c r="GP146" s="308"/>
      <c r="GQ146" s="308"/>
      <c r="GR146" s="308"/>
      <c r="GS146" s="308"/>
      <c r="GT146" s="308"/>
      <c r="GU146" s="308"/>
      <c r="GV146" s="308"/>
      <c r="GW146" s="308"/>
      <c r="GX146" s="308"/>
      <c r="GY146" s="308"/>
      <c r="GZ146" s="308"/>
      <c r="HA146" s="308"/>
      <c r="HB146" s="308"/>
      <c r="HC146" s="308"/>
      <c r="HD146" s="308"/>
      <c r="HE146" s="308"/>
      <c r="HF146" s="308"/>
      <c r="HG146" s="308"/>
      <c r="HH146" s="308"/>
      <c r="HI146" s="308"/>
      <c r="HJ146" s="308"/>
      <c r="HK146" s="308"/>
      <c r="HL146" s="308"/>
      <c r="HM146" s="308"/>
      <c r="HN146" s="308"/>
      <c r="HO146" s="308"/>
      <c r="HP146" s="308"/>
      <c r="HQ146" s="308"/>
      <c r="HR146" s="308"/>
      <c r="HS146" s="308"/>
      <c r="HT146" s="308"/>
      <c r="HU146" s="308"/>
      <c r="HV146" s="308"/>
      <c r="HW146" s="308"/>
      <c r="HX146" s="308"/>
      <c r="HY146" s="308"/>
      <c r="HZ146" s="308"/>
      <c r="IA146" s="308"/>
      <c r="IB146" s="308"/>
      <c r="IC146" s="308"/>
      <c r="ID146" s="308"/>
      <c r="IE146" s="308"/>
      <c r="IF146" s="308"/>
      <c r="IG146" s="308"/>
      <c r="IH146" s="308"/>
      <c r="II146" s="308"/>
      <c r="IJ146" s="308"/>
      <c r="IK146" s="308"/>
      <c r="IL146" s="308"/>
      <c r="IM146" s="308"/>
      <c r="IN146" s="308"/>
      <c r="IO146" s="308"/>
      <c r="IP146" s="308"/>
      <c r="IQ146" s="308"/>
      <c r="IR146" s="308"/>
      <c r="IS146" s="308"/>
      <c r="IT146" s="308"/>
      <c r="IU146" s="308"/>
      <c r="IV146" s="308"/>
      <c r="IW146" s="308"/>
      <c r="IX146" s="308"/>
    </row>
    <row r="147" spans="1:258" s="308" customFormat="1" ht="17.399999999999999" x14ac:dyDescent="0.3">
      <c r="A147" s="144"/>
      <c r="B147" s="84"/>
      <c r="C147" s="64"/>
      <c r="D147" s="83" t="s">
        <v>164</v>
      </c>
      <c r="E147" s="270">
        <f>IF(AND($F$2="No",$F$3="No"),SUM(J147:K147),IF(AND($F$2="Yes", $F$3="No"), SUM(J147:K147)+Q147, IF(AND($F$2="No", $F$3="Yes"),SUM(J147:K147)+P147, SUM(J147:K147)+Q147+P147)))</f>
        <v>3.9989486962957101E-2</v>
      </c>
      <c r="F147" s="90">
        <f>IF(AND($F$2="No",$F$3="No"),SUM(H147:O147),IF(AND($F$2="Yes", $F$3="No"), SUM(H147:O147)+Q147, IF(AND($F$2="No", $F$3="Yes"),SUM(H147:O147)+P147, SUM(H147:O147)+Q147+P147)))</f>
        <v>0.10688122447962953</v>
      </c>
      <c r="G147" s="278">
        <f>SUM(S147:U147)/(1-'Common input data'!$B$123)</f>
        <v>0.39880340649558221</v>
      </c>
      <c r="H147" s="90">
        <f>('Input data plant-based products'!$F$46*('Common input data'!$C$76*'Common input data'!B69+'Common input data'!$C$77*'Common input data'!C69))/'Input data plant-based products'!$E$46</f>
        <v>9.1289821012852622E-3</v>
      </c>
      <c r="I147" s="90">
        <f>'Common input data'!$B$81</f>
        <v>0.03</v>
      </c>
      <c r="J147" s="90">
        <v>0</v>
      </c>
      <c r="K147" s="90">
        <v>0</v>
      </c>
      <c r="L147" s="90">
        <f>('Input data plant-based products'!$I$46*'Common input data'!$C$59*'Common input data'!H49)/'Input data plant-based products'!$E$46</f>
        <v>7.7627554153871688E-3</v>
      </c>
      <c r="M147" s="90">
        <v>0</v>
      </c>
      <c r="N147" s="90">
        <f>'Input data plant-based products'!$G$152</f>
        <v>0.02</v>
      </c>
      <c r="O147" s="90">
        <v>0</v>
      </c>
      <c r="P147" s="90">
        <f>'Common input data'!$E$13</f>
        <v>3.9989486962957101E-2</v>
      </c>
      <c r="Q147" s="90">
        <v>0</v>
      </c>
      <c r="R147" s="90">
        <v>0</v>
      </c>
      <c r="S147" s="90">
        <f>(F147+R147)</f>
        <v>0.10688122447962953</v>
      </c>
      <c r="T147" s="90">
        <f>'Common input data'!$B$88</f>
        <v>0.05</v>
      </c>
      <c r="U147" s="90">
        <f>'Common input data'!B99+'Common input data'!C99</f>
        <v>0.13</v>
      </c>
      <c r="V147" s="430"/>
      <c r="W147" s="243"/>
      <c r="Z147" s="64"/>
    </row>
    <row r="148" spans="1:258" s="308" customFormat="1" ht="17.399999999999999" x14ac:dyDescent="0.3">
      <c r="A148" s="107"/>
      <c r="B148" s="84"/>
      <c r="C148" s="142"/>
      <c r="D148" s="83" t="s">
        <v>165</v>
      </c>
      <c r="E148" s="270">
        <f>SUM(J148:K148)</f>
        <v>0</v>
      </c>
      <c r="F148" s="90">
        <f>SUM(H148:O148)</f>
        <v>3.4386791422109719E-6</v>
      </c>
      <c r="G148" s="278">
        <f>SUM(S148:U148)/(1-'Common input data'!$B$123)</f>
        <v>4.7802255384489881E-6</v>
      </c>
      <c r="H148" s="90">
        <f>('Input data plant-based products'!$F$46*('Common input data'!$C$76*'Common input data'!B70+'Common input data'!$C$77*'Common input data'!C70))/'Input data plant-based products'!$E$46</f>
        <v>4.0251016681882314E-11</v>
      </c>
      <c r="I148" s="90">
        <v>0</v>
      </c>
      <c r="J148" s="90">
        <v>0</v>
      </c>
      <c r="K148" s="90">
        <v>0</v>
      </c>
      <c r="L148" s="90">
        <f>('Input data plant-based products'!$I$46*'Common input data'!$C$59*'Common input data'!H50)/'Input data plant-based products'!$E$46</f>
        <v>3.43863889119429E-6</v>
      </c>
      <c r="M148" s="90">
        <v>0</v>
      </c>
      <c r="N148" s="90">
        <v>0</v>
      </c>
      <c r="O148" s="90">
        <v>0</v>
      </c>
      <c r="P148" s="90">
        <v>0</v>
      </c>
      <c r="Q148" s="90">
        <v>0</v>
      </c>
      <c r="R148" s="90">
        <v>0</v>
      </c>
      <c r="S148" s="90">
        <f>(F148+R148)</f>
        <v>3.4386791422109719E-6</v>
      </c>
      <c r="T148" s="90">
        <v>0</v>
      </c>
      <c r="U148" s="90">
        <v>0</v>
      </c>
      <c r="V148" s="430"/>
      <c r="W148" s="243"/>
      <c r="Z148" s="64"/>
    </row>
    <row r="149" spans="1:258" s="308" customFormat="1" ht="17.399999999999999" x14ac:dyDescent="0.3">
      <c r="A149" s="174"/>
      <c r="B149" s="206"/>
      <c r="C149" s="85"/>
      <c r="D149" s="84" t="s">
        <v>166</v>
      </c>
      <c r="E149" s="270">
        <f>SUM(J149:K149)</f>
        <v>9.2020856502614333E-5</v>
      </c>
      <c r="F149" s="90">
        <f>SUM(H149:O149)</f>
        <v>1.4209417981141185E-4</v>
      </c>
      <c r="G149" s="278">
        <f>SUM(S149:U149)/(1-'Common input data'!$B$123)</f>
        <v>1.9752998145757222E-4</v>
      </c>
      <c r="H149" s="90">
        <f>('Input data plant-based products'!$F$46*('Common input data'!$C$76*'Common input data'!B71+'Common input data'!$C$77*'Common input data'!C71))/'Input data plant-based products'!$E$46</f>
        <v>4.986473504421127E-5</v>
      </c>
      <c r="I149" s="90">
        <v>0</v>
      </c>
      <c r="J149" s="90">
        <f>(SUM('Input data plant-based products'!F46:H46)*'Input data plant-based products'!$B$114*44/28)/'Input data plant-based products'!E46</f>
        <v>8.3655324093285762E-5</v>
      </c>
      <c r="K149" s="90">
        <f>J149*'Input data plant-based products'!$B$115</f>
        <v>8.3655324093285759E-6</v>
      </c>
      <c r="L149" s="90">
        <f>('Input data plant-based products'!$I$46*'Common input data'!$C$59*'Common input data'!H51)/'Input data plant-based products'!$E$46</f>
        <v>2.0858826458627274E-7</v>
      </c>
      <c r="M149" s="90">
        <v>0</v>
      </c>
      <c r="N149" s="90">
        <v>0</v>
      </c>
      <c r="O149" s="90">
        <v>0</v>
      </c>
      <c r="P149" s="90">
        <v>0</v>
      </c>
      <c r="Q149" s="90">
        <v>0</v>
      </c>
      <c r="R149" s="90">
        <v>0</v>
      </c>
      <c r="S149" s="90">
        <f>(F149+R149)</f>
        <v>1.4209417981141185E-4</v>
      </c>
      <c r="T149" s="90">
        <v>0</v>
      </c>
      <c r="U149" s="90">
        <v>0</v>
      </c>
      <c r="V149" s="430"/>
      <c r="W149" s="243"/>
      <c r="Z149" s="64"/>
    </row>
    <row r="150" spans="1:258" s="420" customFormat="1" ht="17.399999999999999" x14ac:dyDescent="0.3">
      <c r="A150" s="122" t="s">
        <v>70</v>
      </c>
      <c r="B150" s="150" t="s">
        <v>225</v>
      </c>
      <c r="C150" s="111">
        <f>'Input data plant-based products'!D47</f>
        <v>0.14000000000000001</v>
      </c>
      <c r="D150" s="269" t="s">
        <v>473</v>
      </c>
      <c r="E150" s="320">
        <f>IF($F$1="GWP100 without fb",E151+E152*'Common input data'!$C$5+E153*'Common input data'!$D$5,IF($F$1="GWP100 with fb",E151+E152*'Common input data'!$C$6+E153*'Common input data'!$D$6,IF($F$1="GTP100 without fb",E151+E152*'Common input data'!$C$7+E153*'Common input data'!$D$7,IF($F$1="GTP100 with fb",E151+E152*'Common input data'!$C$8+E153*'Common input data'!$D$8,E151+E152*'Common input data'!$C$9+E153*'Common input data'!$D$9))))</f>
        <v>6.7105986758703828E-2</v>
      </c>
      <c r="F150" s="302">
        <f>IF($F$1="GWP100 without fb",F151+F152*'Common input data'!$C$5+F153*'Common input data'!$D$5,IF($F$1="GWP100 with fb",F151+F152*'Common input data'!$C$6+F153*'Common input data'!$D$6,IF($F$1="GTP100 without fb",F151+F152*'Common input data'!$C$7+F153*'Common input data'!$D$7,IF($F$1="GTP100 with fb",F151+F152*'Common input data'!$C$8+F153*'Common input data'!$D$8,F151+F152*'Common input data'!$C$9+F153*'Common input data'!$D$9))))</f>
        <v>0.16214021784687666</v>
      </c>
      <c r="G150" s="321">
        <f>IF($F$1="GWP100 without fb",G151+G152*'Common input data'!$C$5+G153*'Common input data'!$D$5,IF($F$1="GWP100 with fb",G151+G152*'Common input data'!$C$6+G153*'Common input data'!$D$6,IF($F$1="GTP100 without fb",G151+G152*'Common input data'!$C$7+G153*'Common input data'!$D$7,IF($F$1="GTP100 with fb",G151+G152*'Common input data'!$C$8+G153*'Common input data'!$D$8,G151+G152*'Common input data'!$C$9+G153*'Common input data'!$D$9))))</f>
        <v>0.61463424574358527</v>
      </c>
      <c r="H150" s="102"/>
      <c r="I150" s="102"/>
      <c r="J150" s="102"/>
      <c r="K150" s="102"/>
      <c r="L150" s="102"/>
      <c r="M150" s="102"/>
      <c r="N150" s="102"/>
      <c r="O150" s="102"/>
      <c r="P150" s="102"/>
      <c r="Q150" s="102"/>
      <c r="R150" s="102"/>
      <c r="S150" s="102"/>
      <c r="T150" s="102"/>
      <c r="U150" s="102"/>
      <c r="V150" s="430"/>
      <c r="W150" s="243"/>
      <c r="X150" s="308"/>
      <c r="Y150" s="308"/>
      <c r="Z150" s="64"/>
      <c r="AA150" s="308"/>
      <c r="AB150" s="308"/>
      <c r="AC150" s="308"/>
      <c r="AD150" s="308"/>
      <c r="AE150" s="308"/>
      <c r="AF150" s="308"/>
      <c r="AG150" s="308"/>
      <c r="AH150" s="308"/>
      <c r="AI150" s="308"/>
      <c r="AJ150" s="308"/>
      <c r="AK150" s="308"/>
      <c r="AL150" s="308"/>
      <c r="AM150" s="308"/>
      <c r="AN150" s="308"/>
      <c r="AO150" s="308"/>
      <c r="AP150" s="308"/>
      <c r="AQ150" s="308"/>
      <c r="AR150" s="308"/>
      <c r="AS150" s="308"/>
      <c r="AT150" s="308"/>
      <c r="AU150" s="308"/>
      <c r="AV150" s="308"/>
      <c r="AW150" s="308"/>
      <c r="AX150" s="308"/>
      <c r="AY150" s="308"/>
      <c r="AZ150" s="308"/>
      <c r="BA150" s="308"/>
      <c r="BB150" s="308"/>
      <c r="BC150" s="308"/>
      <c r="BD150" s="308"/>
      <c r="BE150" s="308"/>
      <c r="BF150" s="308"/>
      <c r="BG150" s="308"/>
      <c r="BH150" s="308"/>
      <c r="BI150" s="308"/>
      <c r="BJ150" s="308"/>
      <c r="BK150" s="308"/>
      <c r="BL150" s="308"/>
      <c r="BM150" s="308"/>
      <c r="BN150" s="308"/>
      <c r="BO150" s="308"/>
      <c r="BP150" s="308"/>
      <c r="BQ150" s="308"/>
      <c r="BR150" s="308"/>
      <c r="BS150" s="308"/>
      <c r="BT150" s="308"/>
      <c r="BU150" s="308"/>
      <c r="BV150" s="308"/>
      <c r="BW150" s="308"/>
      <c r="BX150" s="308"/>
      <c r="BY150" s="308"/>
      <c r="BZ150" s="308"/>
      <c r="CA150" s="308"/>
      <c r="CB150" s="308"/>
      <c r="CC150" s="308"/>
      <c r="CD150" s="308"/>
      <c r="CE150" s="308"/>
      <c r="CF150" s="308"/>
      <c r="CG150" s="308"/>
      <c r="CH150" s="308"/>
      <c r="CI150" s="308"/>
      <c r="CJ150" s="308"/>
      <c r="CK150" s="308"/>
      <c r="CL150" s="308"/>
      <c r="CM150" s="308"/>
      <c r="CN150" s="308"/>
      <c r="CO150" s="308"/>
      <c r="CP150" s="308"/>
      <c r="CQ150" s="308"/>
      <c r="CR150" s="308"/>
      <c r="CS150" s="308"/>
      <c r="CT150" s="308"/>
      <c r="CU150" s="308"/>
      <c r="CV150" s="308"/>
      <c r="CW150" s="308"/>
      <c r="CX150" s="308"/>
      <c r="CY150" s="308"/>
      <c r="CZ150" s="308"/>
      <c r="DA150" s="308"/>
      <c r="DB150" s="308"/>
      <c r="DC150" s="308"/>
      <c r="DD150" s="308"/>
      <c r="DE150" s="308"/>
      <c r="DF150" s="308"/>
      <c r="DG150" s="308"/>
      <c r="DH150" s="308"/>
      <c r="DI150" s="308"/>
      <c r="DJ150" s="308"/>
      <c r="DK150" s="308"/>
      <c r="DL150" s="308"/>
      <c r="DM150" s="308"/>
      <c r="DN150" s="308"/>
      <c r="DO150" s="308"/>
      <c r="DP150" s="308"/>
      <c r="DQ150" s="308"/>
      <c r="DR150" s="308"/>
      <c r="DS150" s="308"/>
      <c r="DT150" s="308"/>
      <c r="DU150" s="308"/>
      <c r="DV150" s="308"/>
      <c r="DW150" s="308"/>
      <c r="DX150" s="308"/>
      <c r="DY150" s="308"/>
      <c r="DZ150" s="308"/>
      <c r="EA150" s="308"/>
      <c r="EB150" s="308"/>
      <c r="EC150" s="308"/>
      <c r="ED150" s="308"/>
      <c r="EE150" s="308"/>
      <c r="EF150" s="308"/>
      <c r="EG150" s="308"/>
      <c r="EH150" s="308"/>
      <c r="EI150" s="308"/>
      <c r="EJ150" s="308"/>
      <c r="EK150" s="308"/>
      <c r="EL150" s="308"/>
      <c r="EM150" s="308"/>
      <c r="EN150" s="308"/>
      <c r="EO150" s="308"/>
      <c r="EP150" s="308"/>
      <c r="EQ150" s="308"/>
      <c r="ER150" s="308"/>
      <c r="ES150" s="308"/>
      <c r="ET150" s="308"/>
      <c r="EU150" s="308"/>
      <c r="EV150" s="308"/>
      <c r="EW150" s="308"/>
      <c r="EX150" s="308"/>
      <c r="EY150" s="308"/>
      <c r="EZ150" s="308"/>
      <c r="FA150" s="308"/>
      <c r="FB150" s="308"/>
      <c r="FC150" s="308"/>
      <c r="FD150" s="308"/>
      <c r="FE150" s="308"/>
      <c r="FF150" s="308"/>
      <c r="FG150" s="308"/>
      <c r="FH150" s="308"/>
      <c r="FI150" s="308"/>
      <c r="FJ150" s="308"/>
      <c r="FK150" s="308"/>
      <c r="FL150" s="308"/>
      <c r="FM150" s="308"/>
      <c r="FN150" s="308"/>
      <c r="FO150" s="308"/>
      <c r="FP150" s="308"/>
      <c r="FQ150" s="308"/>
      <c r="FR150" s="308"/>
      <c r="FS150" s="308"/>
      <c r="FT150" s="308"/>
      <c r="FU150" s="308"/>
      <c r="FV150" s="308"/>
      <c r="FW150" s="308"/>
      <c r="FX150" s="308"/>
      <c r="FY150" s="308"/>
      <c r="FZ150" s="308"/>
      <c r="GA150" s="308"/>
      <c r="GB150" s="308"/>
      <c r="GC150" s="308"/>
      <c r="GD150" s="308"/>
      <c r="GE150" s="308"/>
      <c r="GF150" s="308"/>
      <c r="GG150" s="308"/>
      <c r="GH150" s="308"/>
      <c r="GI150" s="308"/>
      <c r="GJ150" s="308"/>
      <c r="GK150" s="308"/>
      <c r="GL150" s="308"/>
      <c r="GM150" s="308"/>
      <c r="GN150" s="308"/>
      <c r="GO150" s="308"/>
      <c r="GP150" s="308"/>
      <c r="GQ150" s="308"/>
      <c r="GR150" s="308"/>
      <c r="GS150" s="308"/>
      <c r="GT150" s="308"/>
      <c r="GU150" s="308"/>
      <c r="GV150" s="308"/>
      <c r="GW150" s="308"/>
      <c r="GX150" s="308"/>
      <c r="GY150" s="308"/>
      <c r="GZ150" s="308"/>
      <c r="HA150" s="308"/>
      <c r="HB150" s="308"/>
      <c r="HC150" s="308"/>
      <c r="HD150" s="308"/>
      <c r="HE150" s="308"/>
      <c r="HF150" s="308"/>
      <c r="HG150" s="308"/>
      <c r="HH150" s="308"/>
      <c r="HI150" s="308"/>
      <c r="HJ150" s="308"/>
      <c r="HK150" s="308"/>
      <c r="HL150" s="308"/>
      <c r="HM150" s="308"/>
      <c r="HN150" s="308"/>
      <c r="HO150" s="308"/>
      <c r="HP150" s="308"/>
      <c r="HQ150" s="308"/>
      <c r="HR150" s="308"/>
      <c r="HS150" s="308"/>
      <c r="HT150" s="308"/>
      <c r="HU150" s="308"/>
      <c r="HV150" s="308"/>
      <c r="HW150" s="308"/>
      <c r="HX150" s="308"/>
      <c r="HY150" s="308"/>
      <c r="HZ150" s="308"/>
      <c r="IA150" s="308"/>
      <c r="IB150" s="308"/>
      <c r="IC150" s="308"/>
      <c r="ID150" s="308"/>
      <c r="IE150" s="308"/>
      <c r="IF150" s="308"/>
      <c r="IG150" s="308"/>
      <c r="IH150" s="308"/>
      <c r="II150" s="308"/>
      <c r="IJ150" s="308"/>
      <c r="IK150" s="308"/>
      <c r="IL150" s="308"/>
      <c r="IM150" s="308"/>
      <c r="IN150" s="308"/>
      <c r="IO150" s="308"/>
      <c r="IP150" s="308"/>
      <c r="IQ150" s="308"/>
      <c r="IR150" s="308"/>
      <c r="IS150" s="308"/>
      <c r="IT150" s="308"/>
      <c r="IU150" s="308"/>
      <c r="IV150" s="308"/>
      <c r="IW150" s="308"/>
      <c r="IX150" s="308"/>
    </row>
    <row r="151" spans="1:258" s="308" customFormat="1" ht="17.399999999999999" x14ac:dyDescent="0.3">
      <c r="A151" s="144"/>
      <c r="B151" s="84"/>
      <c r="C151" s="64"/>
      <c r="D151" s="83" t="s">
        <v>164</v>
      </c>
      <c r="E151" s="270">
        <f>IF(AND($F$2="No",$F$3="No"),SUM(J151:K151),IF(AND($F$2="Yes", $F$3="No"), SUM(J151:K151)+Q151, IF(AND($F$2="No", $F$3="Yes"),SUM(J151:K151)+P151, SUM(J151:K151)+Q151+P151)))</f>
        <v>3.9989486962957101E-2</v>
      </c>
      <c r="F151" s="90">
        <f>IF(AND($F$2="No",$F$3="No"),SUM(H151:O151),IF(AND($F$2="Yes", $F$3="No"), SUM(H151:O151)+Q151, IF(AND($F$2="No", $F$3="Yes"),SUM(H151:O151)+P151, SUM(H151:O151)+Q151+P151)))</f>
        <v>0.11993771463283084</v>
      </c>
      <c r="G151" s="278">
        <f>SUM(S151:U151)/(1-'Common input data'!$B$123)</f>
        <v>0.55596710196332955</v>
      </c>
      <c r="H151" s="85">
        <f>('Input data plant-based products'!$F$47*('Common input data'!$C$76*'Common input data'!B69+'Common input data'!$C$77*'Common input data'!C69))/'Input data plant-based products'!$E$47</f>
        <v>8.9707250065712354E-3</v>
      </c>
      <c r="I151" s="90">
        <f>'Common input data'!$B$81</f>
        <v>0.03</v>
      </c>
      <c r="J151" s="85">
        <v>0</v>
      </c>
      <c r="K151" s="90">
        <v>0</v>
      </c>
      <c r="L151" s="85">
        <f>('Input data plant-based products'!$I$47*'Common input data'!$C$59*'Common input data'!H49)/'Input data plant-based products'!$E$47</f>
        <v>2.0977502663302495E-2</v>
      </c>
      <c r="M151" s="90">
        <v>0</v>
      </c>
      <c r="N151" s="90">
        <f>'Input data plant-based products'!$G$152</f>
        <v>0.02</v>
      </c>
      <c r="O151" s="90">
        <v>0</v>
      </c>
      <c r="P151" s="90">
        <f>'Common input data'!$E$13</f>
        <v>3.9989486962957101E-2</v>
      </c>
      <c r="Q151" s="90">
        <v>0</v>
      </c>
      <c r="R151" s="90">
        <v>0</v>
      </c>
      <c r="S151" s="90">
        <f>(F151+R151)</f>
        <v>0.11993771463283084</v>
      </c>
      <c r="T151" s="90">
        <f>'Common input data'!$B$88</f>
        <v>0.05</v>
      </c>
      <c r="U151" s="90">
        <f>'Common input data'!B102+'Common input data'!C102</f>
        <v>0.23000000000000004</v>
      </c>
      <c r="V151" s="430"/>
      <c r="W151" s="243"/>
      <c r="Z151" s="64"/>
    </row>
    <row r="152" spans="1:258" s="308" customFormat="1" ht="17.399999999999999" x14ac:dyDescent="0.3">
      <c r="A152" s="107"/>
      <c r="B152" s="84"/>
      <c r="C152" s="142"/>
      <c r="D152" s="83" t="s">
        <v>165</v>
      </c>
      <c r="E152" s="270">
        <f>SUM(J152:K152)</f>
        <v>0</v>
      </c>
      <c r="F152" s="90">
        <f>SUM(H152:O152)</f>
        <v>9.2923658778805712E-6</v>
      </c>
      <c r="G152" s="278">
        <f>SUM(S152:U152)/(1-'Common input data'!$B$123)</f>
        <v>1.2917635767987394E-5</v>
      </c>
      <c r="H152" s="85">
        <f>('Input data plant-based products'!$F$47*('Common input data'!$C$76*'Common input data'!B70+'Common input data'!$C$77*'Common input data'!C70))/'Input data plant-based products'!$E$47</f>
        <v>3.9553238015138772E-11</v>
      </c>
      <c r="I152" s="90">
        <v>0</v>
      </c>
      <c r="J152" s="85">
        <v>0</v>
      </c>
      <c r="K152" s="90">
        <v>0</v>
      </c>
      <c r="L152" s="85">
        <f>('Input data plant-based products'!$I$47*'Common input data'!$C$59*'Common input data'!H50)/'Input data plant-based products'!$E$47</f>
        <v>9.2923263246425568E-6</v>
      </c>
      <c r="M152" s="90">
        <v>0</v>
      </c>
      <c r="N152" s="90">
        <v>0</v>
      </c>
      <c r="O152" s="90">
        <v>0</v>
      </c>
      <c r="P152" s="90">
        <v>0</v>
      </c>
      <c r="Q152" s="90">
        <v>0</v>
      </c>
      <c r="R152" s="90">
        <v>0</v>
      </c>
      <c r="S152" s="90">
        <f>(F152+R152)</f>
        <v>9.2923658778805712E-6</v>
      </c>
      <c r="T152" s="90">
        <v>0</v>
      </c>
      <c r="U152" s="90">
        <v>0</v>
      </c>
      <c r="V152" s="430"/>
      <c r="W152" s="243"/>
      <c r="Z152" s="64"/>
    </row>
    <row r="153" spans="1:258" s="308" customFormat="1" ht="17.399999999999999" x14ac:dyDescent="0.3">
      <c r="A153" s="174"/>
      <c r="B153" s="206"/>
      <c r="C153" s="85"/>
      <c r="D153" s="84" t="s">
        <v>166</v>
      </c>
      <c r="E153" s="780">
        <f>SUM(J153:K153)</f>
        <v>9.0994965757539345E-5</v>
      </c>
      <c r="F153" s="108">
        <f>SUM(H153:O153)</f>
        <v>1.4055893548388552E-4</v>
      </c>
      <c r="G153" s="521">
        <f>SUM(S153:U153)/(1-'Common input data'!$B$123)</f>
        <v>1.9539578578571851E-4</v>
      </c>
      <c r="H153" s="85">
        <f>('Input data plant-based products'!$F$47*('Common input data'!$C$76*'Common input data'!B71+'Common input data'!$C$77*'Common input data'!C71))/'Input data plant-based products'!$E$47</f>
        <v>4.9000296050988742E-5</v>
      </c>
      <c r="I153" s="85">
        <v>0</v>
      </c>
      <c r="J153" s="85">
        <f>(SUM('Input data plant-based products'!F47:H47)*'Input data plant-based products'!$B$114*44/28)/'Input data plant-based products'!E47</f>
        <v>8.2722696143217587E-5</v>
      </c>
      <c r="K153" s="90">
        <f>J153*'Input data plant-based products'!$B$115</f>
        <v>8.2722696143217587E-6</v>
      </c>
      <c r="L153" s="85">
        <f>('Input data plant-based products'!$I$47*'Common input data'!$C$59*'Common input data'!H51)/'Input data plant-based products'!$E$47</f>
        <v>5.6367367535744325E-7</v>
      </c>
      <c r="M153" s="90">
        <v>0</v>
      </c>
      <c r="N153" s="90">
        <v>0</v>
      </c>
      <c r="O153" s="90">
        <v>0</v>
      </c>
      <c r="P153" s="90">
        <v>0</v>
      </c>
      <c r="Q153" s="90">
        <v>0</v>
      </c>
      <c r="R153" s="90">
        <v>0</v>
      </c>
      <c r="S153" s="90">
        <f>(F153+R153)</f>
        <v>1.4055893548388552E-4</v>
      </c>
      <c r="T153" s="90">
        <v>0</v>
      </c>
      <c r="U153" s="90">
        <v>0</v>
      </c>
      <c r="V153" s="430"/>
      <c r="W153" s="243"/>
      <c r="Z153" s="64"/>
    </row>
    <row r="154" spans="1:258" s="427" customFormat="1" ht="17.399999999999999" x14ac:dyDescent="0.3">
      <c r="A154" s="426" t="s">
        <v>614</v>
      </c>
      <c r="B154" s="412"/>
      <c r="C154" s="413"/>
      <c r="D154" s="414"/>
      <c r="E154" s="767" t="s">
        <v>818</v>
      </c>
      <c r="F154" s="768" t="s">
        <v>818</v>
      </c>
      <c r="G154" s="590" t="s">
        <v>818</v>
      </c>
      <c r="H154" s="413"/>
      <c r="I154" s="413"/>
      <c r="J154" s="413"/>
      <c r="K154" s="416"/>
      <c r="L154" s="416"/>
      <c r="M154" s="417"/>
      <c r="N154" s="416"/>
      <c r="O154" s="416"/>
      <c r="P154" s="416"/>
      <c r="Q154" s="416"/>
      <c r="R154" s="416"/>
      <c r="S154" s="416"/>
      <c r="T154" s="416"/>
      <c r="U154" s="416"/>
      <c r="V154" s="430"/>
      <c r="W154" s="243"/>
      <c r="X154" s="308"/>
      <c r="Y154" s="308"/>
      <c r="Z154" s="64"/>
      <c r="AA154" s="308"/>
      <c r="AB154" s="308"/>
      <c r="AC154" s="308"/>
      <c r="AD154" s="308"/>
      <c r="AE154" s="308"/>
      <c r="AF154" s="308"/>
      <c r="AG154" s="308"/>
      <c r="AH154" s="308"/>
      <c r="AI154" s="308"/>
      <c r="AJ154" s="308"/>
      <c r="AK154" s="308"/>
      <c r="AL154" s="308"/>
      <c r="AM154" s="308"/>
      <c r="AN154" s="308"/>
      <c r="AO154" s="308"/>
      <c r="AP154" s="308"/>
      <c r="AQ154" s="308"/>
      <c r="AR154" s="308"/>
      <c r="AS154" s="308"/>
      <c r="AT154" s="308"/>
      <c r="AU154" s="308"/>
      <c r="AV154" s="308"/>
      <c r="AW154" s="308"/>
      <c r="AX154" s="308"/>
      <c r="AY154" s="308"/>
      <c r="AZ154" s="308"/>
      <c r="BA154" s="308"/>
      <c r="BB154" s="308"/>
      <c r="BC154" s="308"/>
      <c r="BD154" s="308"/>
      <c r="BE154" s="308"/>
      <c r="BF154" s="308"/>
      <c r="BG154" s="308"/>
      <c r="BH154" s="308"/>
      <c r="BI154" s="308"/>
      <c r="BJ154" s="308"/>
      <c r="BK154" s="308"/>
      <c r="BL154" s="308"/>
      <c r="BM154" s="308"/>
      <c r="BN154" s="308"/>
      <c r="BO154" s="308"/>
      <c r="BP154" s="308"/>
      <c r="BQ154" s="308"/>
      <c r="BR154" s="308"/>
      <c r="BS154" s="308"/>
      <c r="BT154" s="308"/>
      <c r="BU154" s="308"/>
      <c r="BV154" s="308"/>
      <c r="BW154" s="308"/>
      <c r="BX154" s="308"/>
      <c r="BY154" s="308"/>
      <c r="BZ154" s="308"/>
      <c r="CA154" s="308"/>
      <c r="CB154" s="308"/>
      <c r="CC154" s="308"/>
      <c r="CD154" s="308"/>
      <c r="CE154" s="308"/>
      <c r="CF154" s="308"/>
      <c r="CG154" s="308"/>
      <c r="CH154" s="308"/>
      <c r="CI154" s="308"/>
      <c r="CJ154" s="308"/>
      <c r="CK154" s="308"/>
      <c r="CL154" s="308"/>
      <c r="CM154" s="308"/>
      <c r="CN154" s="308"/>
      <c r="CO154" s="308"/>
      <c r="CP154" s="308"/>
      <c r="CQ154" s="308"/>
      <c r="CR154" s="308"/>
      <c r="CS154" s="308"/>
      <c r="CT154" s="308"/>
      <c r="CU154" s="308"/>
      <c r="CV154" s="308"/>
      <c r="CW154" s="308"/>
      <c r="CX154" s="308"/>
      <c r="CY154" s="308"/>
      <c r="CZ154" s="308"/>
      <c r="DA154" s="308"/>
      <c r="DB154" s="308"/>
      <c r="DC154" s="308"/>
      <c r="DD154" s="308"/>
      <c r="DE154" s="308"/>
      <c r="DF154" s="308"/>
      <c r="DG154" s="308"/>
      <c r="DH154" s="308"/>
      <c r="DI154" s="308"/>
      <c r="DJ154" s="308"/>
      <c r="DK154" s="308"/>
      <c r="DL154" s="308"/>
      <c r="DM154" s="308"/>
      <c r="DN154" s="308"/>
      <c r="DO154" s="308"/>
      <c r="DP154" s="308"/>
      <c r="DQ154" s="308"/>
      <c r="DR154" s="308"/>
      <c r="DS154" s="308"/>
      <c r="DT154" s="308"/>
      <c r="DU154" s="308"/>
      <c r="DV154" s="308"/>
      <c r="DW154" s="308"/>
      <c r="DX154" s="308"/>
      <c r="DY154" s="308"/>
      <c r="DZ154" s="308"/>
      <c r="EA154" s="308"/>
      <c r="EB154" s="308"/>
      <c r="EC154" s="308"/>
      <c r="ED154" s="308"/>
      <c r="EE154" s="308"/>
      <c r="EF154" s="308"/>
      <c r="EG154" s="308"/>
      <c r="EH154" s="308"/>
      <c r="EI154" s="308"/>
      <c r="EJ154" s="308"/>
      <c r="EK154" s="308"/>
      <c r="EL154" s="308"/>
      <c r="EM154" s="308"/>
      <c r="EN154" s="308"/>
      <c r="EO154" s="308"/>
      <c r="EP154" s="308"/>
      <c r="EQ154" s="308"/>
      <c r="ER154" s="308"/>
      <c r="ES154" s="308"/>
      <c r="ET154" s="308"/>
      <c r="EU154" s="308"/>
      <c r="EV154" s="308"/>
      <c r="EW154" s="308"/>
      <c r="EX154" s="308"/>
      <c r="EY154" s="308"/>
      <c r="EZ154" s="308"/>
      <c r="FA154" s="308"/>
      <c r="FB154" s="308"/>
      <c r="FC154" s="308"/>
      <c r="FD154" s="308"/>
      <c r="FE154" s="308"/>
      <c r="FF154" s="308"/>
      <c r="FG154" s="308"/>
      <c r="FH154" s="308"/>
      <c r="FI154" s="308"/>
      <c r="FJ154" s="308"/>
      <c r="FK154" s="308"/>
      <c r="FL154" s="308"/>
      <c r="FM154" s="308"/>
      <c r="FN154" s="308"/>
      <c r="FO154" s="308"/>
      <c r="FP154" s="308"/>
      <c r="FQ154" s="308"/>
      <c r="FR154" s="308"/>
      <c r="FS154" s="308"/>
      <c r="FT154" s="308"/>
      <c r="FU154" s="308"/>
      <c r="FV154" s="308"/>
      <c r="FW154" s="308"/>
      <c r="FX154" s="308"/>
      <c r="FY154" s="308"/>
      <c r="FZ154" s="308"/>
      <c r="GA154" s="308"/>
      <c r="GB154" s="308"/>
      <c r="GC154" s="308"/>
      <c r="GD154" s="308"/>
      <c r="GE154" s="308"/>
      <c r="GF154" s="308"/>
      <c r="GG154" s="308"/>
      <c r="GH154" s="308"/>
      <c r="GI154" s="308"/>
      <c r="GJ154" s="308"/>
      <c r="GK154" s="308"/>
      <c r="GL154" s="308"/>
      <c r="GM154" s="308"/>
      <c r="GN154" s="308"/>
      <c r="GO154" s="308"/>
      <c r="GP154" s="308"/>
      <c r="GQ154" s="308"/>
      <c r="GR154" s="308"/>
      <c r="GS154" s="308"/>
      <c r="GT154" s="308"/>
      <c r="GU154" s="308"/>
      <c r="GV154" s="308"/>
      <c r="GW154" s="308"/>
      <c r="GX154" s="308"/>
      <c r="GY154" s="308"/>
      <c r="GZ154" s="308"/>
      <c r="HA154" s="308"/>
      <c r="HB154" s="308"/>
      <c r="HC154" s="308"/>
      <c r="HD154" s="308"/>
      <c r="HE154" s="308"/>
      <c r="HF154" s="308"/>
      <c r="HG154" s="308"/>
      <c r="HH154" s="308"/>
      <c r="HI154" s="308"/>
      <c r="HJ154" s="308"/>
      <c r="HK154" s="308"/>
      <c r="HL154" s="308"/>
      <c r="HM154" s="308"/>
      <c r="HN154" s="308"/>
      <c r="HO154" s="308"/>
      <c r="HP154" s="308"/>
      <c r="HQ154" s="308"/>
      <c r="HR154" s="308"/>
      <c r="HS154" s="308"/>
      <c r="HT154" s="308"/>
      <c r="HU154" s="308"/>
      <c r="HV154" s="308"/>
      <c r="HW154" s="308"/>
      <c r="HX154" s="308"/>
      <c r="HY154" s="308"/>
      <c r="HZ154" s="308"/>
      <c r="IA154" s="308"/>
      <c r="IB154" s="308"/>
      <c r="IC154" s="308"/>
      <c r="ID154" s="308"/>
      <c r="IE154" s="308"/>
      <c r="IF154" s="308"/>
      <c r="IG154" s="308"/>
      <c r="IH154" s="308"/>
      <c r="II154" s="308"/>
      <c r="IJ154" s="308"/>
      <c r="IK154" s="308"/>
      <c r="IL154" s="308"/>
      <c r="IM154" s="308"/>
      <c r="IN154" s="308"/>
      <c r="IO154" s="308"/>
      <c r="IP154" s="308"/>
      <c r="IQ154" s="308"/>
      <c r="IR154" s="308"/>
      <c r="IS154" s="308"/>
      <c r="IT154" s="308"/>
      <c r="IU154" s="308"/>
      <c r="IV154" s="308"/>
      <c r="IW154" s="308"/>
      <c r="IX154" s="308"/>
    </row>
    <row r="155" spans="1:258" s="420" customFormat="1" ht="17.399999999999999" x14ac:dyDescent="0.3">
      <c r="A155" s="122" t="s">
        <v>249</v>
      </c>
      <c r="B155" s="150"/>
      <c r="C155" s="110">
        <f>SUM(C159:C170)</f>
        <v>1</v>
      </c>
      <c r="D155" s="269" t="s">
        <v>473</v>
      </c>
      <c r="E155" s="769">
        <f>IF($F$1="GWP100 without fb",E156+E157*'Common input data'!$C$5+E158*'Common input data'!$D$5,IF($F$1="GWP100 with fb",E156+E157*'Common input data'!$C$6+E158*'Common input data'!$D$6,IF($F$1="GTP100 without fb",E156+E157*'Common input data'!$C$7+E158*'Common input data'!$D$7,IF($F$1="GTP100 with fb",E156+E157*'Common input data'!$C$8+E158*'Common input data'!$D$8,E156+E157*'Common input data'!$C$9+E158*'Common input data'!$D$9))))</f>
        <v>7.6359160724584527E-2</v>
      </c>
      <c r="F155" s="326">
        <f>IF($F$1="GWP100 without fb",F156+F157*'Common input data'!$C$5+F158*'Common input data'!$D$5,IF($F$1="GWP100 with fb",F156+F157*'Common input data'!$C$6+F158*'Common input data'!$D$6,IF($F$1="GTP100 without fb",F156+F157*'Common input data'!$C$7+F158*'Common input data'!$D$7,IF($F$1="GTP100 with fb",F156+F157*'Common input data'!$C$8+F158*'Common input data'!$D$8,F156+F157*'Common input data'!$C$9+F158*'Common input data'!$D$9))))</f>
        <v>0.17544092798801053</v>
      </c>
      <c r="G155" s="770">
        <f>IF($F$1="GWP100 without fb",G156+G157*'Common input data'!$C$5+G158*'Common input data'!$D$5,IF($F$1="GWP100 with fb",G156+G157*'Common input data'!$C$6+G158*'Common input data'!$D$6,IF($F$1="GTP100 without fb",G156+G157*'Common input data'!$C$7+G158*'Common input data'!$D$7,IF($F$1="GTP100 with fb",G156+G157*'Common input data'!$C$8+G158*'Common input data'!$D$8,G156+G157*'Common input data'!$C$9+G158*'Common input data'!$D$9))))</f>
        <v>0.39556143691133849</v>
      </c>
      <c r="H155" s="302"/>
      <c r="I155" s="104"/>
      <c r="J155" s="104"/>
      <c r="K155" s="102"/>
      <c r="L155" s="102"/>
      <c r="M155" s="102"/>
      <c r="N155" s="102"/>
      <c r="O155" s="102"/>
      <c r="P155" s="102"/>
      <c r="Q155" s="102"/>
      <c r="R155" s="102"/>
      <c r="S155" s="102"/>
      <c r="T155" s="102"/>
      <c r="U155" s="102"/>
      <c r="V155" s="430"/>
      <c r="W155" s="243"/>
      <c r="X155" s="308"/>
      <c r="Y155" s="308"/>
      <c r="Z155" s="64"/>
      <c r="AA155" s="308"/>
      <c r="AB155" s="308"/>
      <c r="AC155" s="308"/>
      <c r="AD155" s="308"/>
      <c r="AE155" s="308"/>
      <c r="AF155" s="308"/>
      <c r="AG155" s="308"/>
      <c r="AH155" s="308"/>
      <c r="AI155" s="308"/>
      <c r="AJ155" s="308"/>
      <c r="AK155" s="308"/>
      <c r="AL155" s="308"/>
      <c r="AM155" s="308"/>
      <c r="AN155" s="308"/>
      <c r="AO155" s="308"/>
      <c r="AP155" s="308"/>
      <c r="AQ155" s="308"/>
      <c r="AR155" s="308"/>
      <c r="AS155" s="308"/>
      <c r="AT155" s="308"/>
      <c r="AU155" s="308"/>
      <c r="AV155" s="308"/>
      <c r="AW155" s="308"/>
      <c r="AX155" s="308"/>
      <c r="AY155" s="308"/>
      <c r="AZ155" s="308"/>
      <c r="BA155" s="308"/>
      <c r="BB155" s="308"/>
      <c r="BC155" s="308"/>
      <c r="BD155" s="308"/>
      <c r="BE155" s="308"/>
      <c r="BF155" s="308"/>
      <c r="BG155" s="308"/>
      <c r="BH155" s="308"/>
      <c r="BI155" s="308"/>
      <c r="BJ155" s="308"/>
      <c r="BK155" s="308"/>
      <c r="BL155" s="308"/>
      <c r="BM155" s="308"/>
      <c r="BN155" s="308"/>
      <c r="BO155" s="308"/>
      <c r="BP155" s="308"/>
      <c r="BQ155" s="308"/>
      <c r="BR155" s="308"/>
      <c r="BS155" s="308"/>
      <c r="BT155" s="308"/>
      <c r="BU155" s="308"/>
      <c r="BV155" s="308"/>
      <c r="BW155" s="308"/>
      <c r="BX155" s="308"/>
      <c r="BY155" s="308"/>
      <c r="BZ155" s="308"/>
      <c r="CA155" s="308"/>
      <c r="CB155" s="308"/>
      <c r="CC155" s="308"/>
      <c r="CD155" s="308"/>
      <c r="CE155" s="308"/>
      <c r="CF155" s="308"/>
      <c r="CG155" s="308"/>
      <c r="CH155" s="308"/>
      <c r="CI155" s="308"/>
      <c r="CJ155" s="308"/>
      <c r="CK155" s="308"/>
      <c r="CL155" s="308"/>
      <c r="CM155" s="308"/>
      <c r="CN155" s="308"/>
      <c r="CO155" s="308"/>
      <c r="CP155" s="308"/>
      <c r="CQ155" s="308"/>
      <c r="CR155" s="308"/>
      <c r="CS155" s="308"/>
      <c r="CT155" s="308"/>
      <c r="CU155" s="308"/>
      <c r="CV155" s="308"/>
      <c r="CW155" s="308"/>
      <c r="CX155" s="308"/>
      <c r="CY155" s="308"/>
      <c r="CZ155" s="308"/>
      <c r="DA155" s="308"/>
      <c r="DB155" s="308"/>
      <c r="DC155" s="308"/>
      <c r="DD155" s="308"/>
      <c r="DE155" s="308"/>
      <c r="DF155" s="308"/>
      <c r="DG155" s="308"/>
      <c r="DH155" s="308"/>
      <c r="DI155" s="308"/>
      <c r="DJ155" s="308"/>
      <c r="DK155" s="308"/>
      <c r="DL155" s="308"/>
      <c r="DM155" s="308"/>
      <c r="DN155" s="308"/>
      <c r="DO155" s="308"/>
      <c r="DP155" s="308"/>
      <c r="DQ155" s="308"/>
      <c r="DR155" s="308"/>
      <c r="DS155" s="308"/>
      <c r="DT155" s="308"/>
      <c r="DU155" s="308"/>
      <c r="DV155" s="308"/>
      <c r="DW155" s="308"/>
      <c r="DX155" s="308"/>
      <c r="DY155" s="308"/>
      <c r="DZ155" s="308"/>
      <c r="EA155" s="308"/>
      <c r="EB155" s="308"/>
      <c r="EC155" s="308"/>
      <c r="ED155" s="308"/>
      <c r="EE155" s="308"/>
      <c r="EF155" s="308"/>
      <c r="EG155" s="308"/>
      <c r="EH155" s="308"/>
      <c r="EI155" s="308"/>
      <c r="EJ155" s="308"/>
      <c r="EK155" s="308"/>
      <c r="EL155" s="308"/>
      <c r="EM155" s="308"/>
      <c r="EN155" s="308"/>
      <c r="EO155" s="308"/>
      <c r="EP155" s="308"/>
      <c r="EQ155" s="308"/>
      <c r="ER155" s="308"/>
      <c r="ES155" s="308"/>
      <c r="ET155" s="308"/>
      <c r="EU155" s="308"/>
      <c r="EV155" s="308"/>
      <c r="EW155" s="308"/>
      <c r="EX155" s="308"/>
      <c r="EY155" s="308"/>
      <c r="EZ155" s="308"/>
      <c r="FA155" s="308"/>
      <c r="FB155" s="308"/>
      <c r="FC155" s="308"/>
      <c r="FD155" s="308"/>
      <c r="FE155" s="308"/>
      <c r="FF155" s="308"/>
      <c r="FG155" s="308"/>
      <c r="FH155" s="308"/>
      <c r="FI155" s="308"/>
      <c r="FJ155" s="308"/>
      <c r="FK155" s="308"/>
      <c r="FL155" s="308"/>
      <c r="FM155" s="308"/>
      <c r="FN155" s="308"/>
      <c r="FO155" s="308"/>
      <c r="FP155" s="308"/>
      <c r="FQ155" s="308"/>
      <c r="FR155" s="308"/>
      <c r="FS155" s="308"/>
      <c r="FT155" s="308"/>
      <c r="FU155" s="308"/>
      <c r="FV155" s="308"/>
      <c r="FW155" s="308"/>
      <c r="FX155" s="308"/>
      <c r="FY155" s="308"/>
      <c r="FZ155" s="308"/>
      <c r="GA155" s="308"/>
      <c r="GB155" s="308"/>
      <c r="GC155" s="308"/>
      <c r="GD155" s="308"/>
      <c r="GE155" s="308"/>
      <c r="GF155" s="308"/>
      <c r="GG155" s="308"/>
      <c r="GH155" s="308"/>
      <c r="GI155" s="308"/>
      <c r="GJ155" s="308"/>
      <c r="GK155" s="308"/>
      <c r="GL155" s="308"/>
      <c r="GM155" s="308"/>
      <c r="GN155" s="308"/>
      <c r="GO155" s="308"/>
      <c r="GP155" s="308"/>
      <c r="GQ155" s="308"/>
      <c r="GR155" s="308"/>
      <c r="GS155" s="308"/>
      <c r="GT155" s="308"/>
      <c r="GU155" s="308"/>
      <c r="GV155" s="308"/>
      <c r="GW155" s="308"/>
      <c r="GX155" s="308"/>
      <c r="GY155" s="308"/>
      <c r="GZ155" s="308"/>
      <c r="HA155" s="308"/>
      <c r="HB155" s="308"/>
      <c r="HC155" s="308"/>
      <c r="HD155" s="308"/>
      <c r="HE155" s="308"/>
      <c r="HF155" s="308"/>
      <c r="HG155" s="308"/>
      <c r="HH155" s="308"/>
      <c r="HI155" s="308"/>
      <c r="HJ155" s="308"/>
      <c r="HK155" s="308"/>
      <c r="HL155" s="308"/>
      <c r="HM155" s="308"/>
      <c r="HN155" s="308"/>
      <c r="HO155" s="308"/>
      <c r="HP155" s="308"/>
      <c r="HQ155" s="308"/>
      <c r="HR155" s="308"/>
      <c r="HS155" s="308"/>
      <c r="HT155" s="308"/>
      <c r="HU155" s="308"/>
      <c r="HV155" s="308"/>
      <c r="HW155" s="308"/>
      <c r="HX155" s="308"/>
      <c r="HY155" s="308"/>
      <c r="HZ155" s="308"/>
      <c r="IA155" s="308"/>
      <c r="IB155" s="308"/>
      <c r="IC155" s="308"/>
      <c r="ID155" s="308"/>
      <c r="IE155" s="308"/>
      <c r="IF155" s="308"/>
      <c r="IG155" s="308"/>
      <c r="IH155" s="308"/>
      <c r="II155" s="308"/>
      <c r="IJ155" s="308"/>
      <c r="IK155" s="308"/>
      <c r="IL155" s="308"/>
      <c r="IM155" s="308"/>
      <c r="IN155" s="308"/>
      <c r="IO155" s="308"/>
      <c r="IP155" s="308"/>
      <c r="IQ155" s="308"/>
      <c r="IR155" s="308"/>
      <c r="IS155" s="308"/>
      <c r="IT155" s="308"/>
      <c r="IU155" s="308"/>
      <c r="IV155" s="308"/>
      <c r="IW155" s="308"/>
      <c r="IX155" s="308"/>
    </row>
    <row r="156" spans="1:258" s="308" customFormat="1" ht="17.399999999999999" x14ac:dyDescent="0.3">
      <c r="A156" s="103"/>
      <c r="B156" s="84"/>
      <c r="C156" s="64"/>
      <c r="D156" s="83" t="s">
        <v>164</v>
      </c>
      <c r="E156" s="270">
        <f t="shared" ref="E156:G158" si="17">E160*$C$159+E164*$C$163+$C$167*E168</f>
        <v>3.9989486962957094E-2</v>
      </c>
      <c r="F156" s="90">
        <f t="shared" si="17"/>
        <v>0.11679410550629751</v>
      </c>
      <c r="G156" s="278">
        <f t="shared" si="17"/>
        <v>0.32556880953132539</v>
      </c>
      <c r="H156" s="90">
        <f t="shared" ref="H156:U158" si="18">H160*$C$159+H164*$C$163+$C$167*H168</f>
        <v>1.521410351429564E-2</v>
      </c>
      <c r="I156" s="90">
        <f t="shared" si="18"/>
        <v>0.03</v>
      </c>
      <c r="J156" s="90">
        <f t="shared" si="18"/>
        <v>0</v>
      </c>
      <c r="K156" s="90">
        <f t="shared" si="18"/>
        <v>0</v>
      </c>
      <c r="L156" s="90">
        <f t="shared" si="18"/>
        <v>1.1590515029044762E-2</v>
      </c>
      <c r="M156" s="90">
        <f t="shared" si="18"/>
        <v>0</v>
      </c>
      <c r="N156" s="90">
        <f t="shared" si="18"/>
        <v>0.02</v>
      </c>
      <c r="O156" s="90">
        <f t="shared" si="18"/>
        <v>0</v>
      </c>
      <c r="P156" s="90">
        <f t="shared" si="18"/>
        <v>3.9989486962957094E-2</v>
      </c>
      <c r="Q156" s="90">
        <f t="shared" si="18"/>
        <v>0</v>
      </c>
      <c r="R156" s="90">
        <f t="shared" si="18"/>
        <v>0</v>
      </c>
      <c r="S156" s="90">
        <f t="shared" si="18"/>
        <v>0.11679410550629751</v>
      </c>
      <c r="T156" s="90">
        <f t="shared" si="18"/>
        <v>4.9999999999999996E-2</v>
      </c>
      <c r="U156" s="90">
        <f t="shared" si="18"/>
        <v>0.10600000000000001</v>
      </c>
      <c r="V156" s="430"/>
      <c r="W156" s="243"/>
      <c r="Z156" s="64"/>
    </row>
    <row r="157" spans="1:258" s="308" customFormat="1" ht="17.399999999999999" x14ac:dyDescent="0.3">
      <c r="A157" s="103"/>
      <c r="B157" s="84"/>
      <c r="C157" s="142"/>
      <c r="D157" s="83" t="s">
        <v>165</v>
      </c>
      <c r="E157" s="270">
        <f t="shared" si="17"/>
        <v>0</v>
      </c>
      <c r="F157" s="90">
        <f t="shared" si="17"/>
        <v>5.1342629781467089E-6</v>
      </c>
      <c r="G157" s="278">
        <f t="shared" si="17"/>
        <v>6.1275366728090565E-6</v>
      </c>
      <c r="H157" s="90">
        <f t="shared" si="18"/>
        <v>5.5649026906112962E-11</v>
      </c>
      <c r="I157" s="90">
        <f t="shared" si="18"/>
        <v>0</v>
      </c>
      <c r="J157" s="90">
        <f t="shared" si="18"/>
        <v>0</v>
      </c>
      <c r="K157" s="90">
        <f t="shared" si="18"/>
        <v>0</v>
      </c>
      <c r="L157" s="90">
        <f t="shared" si="18"/>
        <v>5.1342073291198032E-6</v>
      </c>
      <c r="M157" s="90">
        <f t="shared" si="18"/>
        <v>0</v>
      </c>
      <c r="N157" s="90">
        <f t="shared" si="18"/>
        <v>0</v>
      </c>
      <c r="O157" s="90">
        <f t="shared" si="18"/>
        <v>0</v>
      </c>
      <c r="P157" s="90">
        <f t="shared" si="18"/>
        <v>0</v>
      </c>
      <c r="Q157" s="90">
        <f t="shared" si="18"/>
        <v>0</v>
      </c>
      <c r="R157" s="90">
        <f t="shared" si="18"/>
        <v>0</v>
      </c>
      <c r="S157" s="90">
        <f t="shared" si="18"/>
        <v>5.1342629781467089E-6</v>
      </c>
      <c r="T157" s="90">
        <f t="shared" si="18"/>
        <v>0</v>
      </c>
      <c r="U157" s="90">
        <f t="shared" si="18"/>
        <v>0</v>
      </c>
      <c r="V157" s="430"/>
      <c r="W157" s="243"/>
      <c r="Z157" s="64"/>
    </row>
    <row r="158" spans="1:258" s="308" customFormat="1" ht="17.399999999999999" x14ac:dyDescent="0.3">
      <c r="A158" s="107"/>
      <c r="B158" s="206"/>
      <c r="C158" s="85"/>
      <c r="D158" s="84" t="s">
        <v>166</v>
      </c>
      <c r="E158" s="270">
        <f t="shared" si="17"/>
        <v>1.2204588510613234E-4</v>
      </c>
      <c r="F158" s="90">
        <f t="shared" si="17"/>
        <v>1.9621562933038931E-4</v>
      </c>
      <c r="G158" s="278">
        <f t="shared" si="17"/>
        <v>2.3417547360113296E-4</v>
      </c>
      <c r="H158" s="90">
        <f t="shared" si="18"/>
        <v>7.3858302566469149E-5</v>
      </c>
      <c r="I158" s="90">
        <f t="shared" si="18"/>
        <v>0</v>
      </c>
      <c r="J158" s="90">
        <f t="shared" si="18"/>
        <v>1.1095080464193849E-4</v>
      </c>
      <c r="K158" s="90">
        <f t="shared" si="18"/>
        <v>1.1095080464193849E-5</v>
      </c>
      <c r="L158" s="90">
        <f t="shared" si="18"/>
        <v>3.1144165778782028E-7</v>
      </c>
      <c r="M158" s="90">
        <f t="shared" si="18"/>
        <v>0</v>
      </c>
      <c r="N158" s="90">
        <f t="shared" si="18"/>
        <v>0</v>
      </c>
      <c r="O158" s="90">
        <f t="shared" si="18"/>
        <v>0</v>
      </c>
      <c r="P158" s="90">
        <f t="shared" si="18"/>
        <v>0</v>
      </c>
      <c r="Q158" s="90">
        <f t="shared" si="18"/>
        <v>0</v>
      </c>
      <c r="R158" s="90">
        <f t="shared" si="18"/>
        <v>0</v>
      </c>
      <c r="S158" s="90">
        <f t="shared" si="18"/>
        <v>1.9621562933038931E-4</v>
      </c>
      <c r="T158" s="90">
        <f t="shared" si="18"/>
        <v>0</v>
      </c>
      <c r="U158" s="90">
        <f t="shared" si="18"/>
        <v>0</v>
      </c>
      <c r="V158" s="430"/>
      <c r="W158" s="243"/>
      <c r="Z158" s="64"/>
    </row>
    <row r="159" spans="1:258" s="420" customFormat="1" ht="17.399999999999999" x14ac:dyDescent="0.3">
      <c r="A159" s="122" t="s">
        <v>1</v>
      </c>
      <c r="B159" s="150" t="s">
        <v>225</v>
      </c>
      <c r="C159" s="111">
        <f>'Input data plant-based products'!D48</f>
        <v>0.35</v>
      </c>
      <c r="D159" s="269" t="s">
        <v>473</v>
      </c>
      <c r="E159" s="320">
        <f>IF($F$1="GWP100 without fb",E160+E161*'Common input data'!$C$5+E162*'Common input data'!$D$5,IF($F$1="GWP100 with fb",E160+E161*'Common input data'!$C$6+E162*'Common input data'!$D$6,IF($F$1="GTP100 without fb",E160+E161*'Common input data'!$C$7+E162*'Common input data'!$D$7,IF($F$1="GTP100 with fb",E160+E161*'Common input data'!$C$8+E162*'Common input data'!$D$8,E160+E161*'Common input data'!$C$9+E162*'Common input data'!$D$9))))</f>
        <v>8.4884055828464561E-2</v>
      </c>
      <c r="F159" s="302">
        <f>IF($F$1="GWP100 without fb",F160+F161*'Common input data'!$C$5+F162*'Common input data'!$D$5,IF($F$1="GWP100 with fb",F160+F161*'Common input data'!$C$6+F162*'Common input data'!$D$6,IF($F$1="GTP100 without fb",F160+F161*'Common input data'!$C$7+F162*'Common input data'!$D$7,IF($F$1="GTP100 with fb",F160+F161*'Common input data'!$C$8+F162*'Common input data'!$D$8,F160+F161*'Common input data'!$C$9+F162*'Common input data'!$D$9))))</f>
        <v>0.189646988911889</v>
      </c>
      <c r="G159" s="321">
        <f>IF($F$1="GWP100 without fb",G160+G161*'Common input data'!$C$5+G162*'Common input data'!$D$5,IF($F$1="GWP100 with fb",G160+G161*'Common input data'!$C$6+G162*'Common input data'!$D$6,IF($F$1="GTP100 without fb",G160+G161*'Common input data'!$C$7+G162*'Common input data'!$D$7,IF($F$1="GTP100 with fb",G160+G161*'Common input data'!$C$8+G162*'Common input data'!$D$8,G160+G161*'Common input data'!$C$9+G162*'Common input data'!$D$9))))</f>
        <v>0.32181285226386086</v>
      </c>
      <c r="H159" s="102"/>
      <c r="I159" s="102"/>
      <c r="J159" s="102"/>
      <c r="K159" s="102"/>
      <c r="L159" s="102"/>
      <c r="M159" s="102"/>
      <c r="N159" s="102"/>
      <c r="O159" s="102"/>
      <c r="P159" s="102"/>
      <c r="Q159" s="102"/>
      <c r="R159" s="102"/>
      <c r="S159" s="102"/>
      <c r="T159" s="102"/>
      <c r="U159" s="102"/>
      <c r="V159" s="430"/>
      <c r="W159" s="243"/>
      <c r="X159" s="308"/>
      <c r="Y159" s="308"/>
      <c r="Z159" s="64"/>
      <c r="AA159" s="308"/>
      <c r="AB159" s="308"/>
      <c r="AC159" s="308"/>
      <c r="AD159" s="308"/>
      <c r="AE159" s="308"/>
      <c r="AF159" s="308"/>
      <c r="AG159" s="308"/>
      <c r="AH159" s="308"/>
      <c r="AI159" s="308"/>
      <c r="AJ159" s="308"/>
      <c r="AK159" s="308"/>
      <c r="AL159" s="308"/>
      <c r="AM159" s="308"/>
      <c r="AN159" s="308"/>
      <c r="AO159" s="308"/>
      <c r="AP159" s="308"/>
      <c r="AQ159" s="308"/>
      <c r="AR159" s="308"/>
      <c r="AS159" s="308"/>
      <c r="AT159" s="308"/>
      <c r="AU159" s="308"/>
      <c r="AV159" s="308"/>
      <c r="AW159" s="308"/>
      <c r="AX159" s="308"/>
      <c r="AY159" s="308"/>
      <c r="AZ159" s="308"/>
      <c r="BA159" s="308"/>
      <c r="BB159" s="308"/>
      <c r="BC159" s="308"/>
      <c r="BD159" s="308"/>
      <c r="BE159" s="308"/>
      <c r="BF159" s="308"/>
      <c r="BG159" s="308"/>
      <c r="BH159" s="308"/>
      <c r="BI159" s="308"/>
      <c r="BJ159" s="308"/>
      <c r="BK159" s="308"/>
      <c r="BL159" s="308"/>
      <c r="BM159" s="308"/>
      <c r="BN159" s="308"/>
      <c r="BO159" s="308"/>
      <c r="BP159" s="308"/>
      <c r="BQ159" s="308"/>
      <c r="BR159" s="308"/>
      <c r="BS159" s="308"/>
      <c r="BT159" s="308"/>
      <c r="BU159" s="308"/>
      <c r="BV159" s="308"/>
      <c r="BW159" s="308"/>
      <c r="BX159" s="308"/>
      <c r="BY159" s="308"/>
      <c r="BZ159" s="308"/>
      <c r="CA159" s="308"/>
      <c r="CB159" s="308"/>
      <c r="CC159" s="308"/>
      <c r="CD159" s="308"/>
      <c r="CE159" s="308"/>
      <c r="CF159" s="308"/>
      <c r="CG159" s="308"/>
      <c r="CH159" s="308"/>
      <c r="CI159" s="308"/>
      <c r="CJ159" s="308"/>
      <c r="CK159" s="308"/>
      <c r="CL159" s="308"/>
      <c r="CM159" s="308"/>
      <c r="CN159" s="308"/>
      <c r="CO159" s="308"/>
      <c r="CP159" s="308"/>
      <c r="CQ159" s="308"/>
      <c r="CR159" s="308"/>
      <c r="CS159" s="308"/>
      <c r="CT159" s="308"/>
      <c r="CU159" s="308"/>
      <c r="CV159" s="308"/>
      <c r="CW159" s="308"/>
      <c r="CX159" s="308"/>
      <c r="CY159" s="308"/>
      <c r="CZ159" s="308"/>
      <c r="DA159" s="308"/>
      <c r="DB159" s="308"/>
      <c r="DC159" s="308"/>
      <c r="DD159" s="308"/>
      <c r="DE159" s="308"/>
      <c r="DF159" s="308"/>
      <c r="DG159" s="308"/>
      <c r="DH159" s="308"/>
      <c r="DI159" s="308"/>
      <c r="DJ159" s="308"/>
      <c r="DK159" s="308"/>
      <c r="DL159" s="308"/>
      <c r="DM159" s="308"/>
      <c r="DN159" s="308"/>
      <c r="DO159" s="308"/>
      <c r="DP159" s="308"/>
      <c r="DQ159" s="308"/>
      <c r="DR159" s="308"/>
      <c r="DS159" s="308"/>
      <c r="DT159" s="308"/>
      <c r="DU159" s="308"/>
      <c r="DV159" s="308"/>
      <c r="DW159" s="308"/>
      <c r="DX159" s="308"/>
      <c r="DY159" s="308"/>
      <c r="DZ159" s="308"/>
      <c r="EA159" s="308"/>
      <c r="EB159" s="308"/>
      <c r="EC159" s="308"/>
      <c r="ED159" s="308"/>
      <c r="EE159" s="308"/>
      <c r="EF159" s="308"/>
      <c r="EG159" s="308"/>
      <c r="EH159" s="308"/>
      <c r="EI159" s="308"/>
      <c r="EJ159" s="308"/>
      <c r="EK159" s="308"/>
      <c r="EL159" s="308"/>
      <c r="EM159" s="308"/>
      <c r="EN159" s="308"/>
      <c r="EO159" s="308"/>
      <c r="EP159" s="308"/>
      <c r="EQ159" s="308"/>
      <c r="ER159" s="308"/>
      <c r="ES159" s="308"/>
      <c r="ET159" s="308"/>
      <c r="EU159" s="308"/>
      <c r="EV159" s="308"/>
      <c r="EW159" s="308"/>
      <c r="EX159" s="308"/>
      <c r="EY159" s="308"/>
      <c r="EZ159" s="308"/>
      <c r="FA159" s="308"/>
      <c r="FB159" s="308"/>
      <c r="FC159" s="308"/>
      <c r="FD159" s="308"/>
      <c r="FE159" s="308"/>
      <c r="FF159" s="308"/>
      <c r="FG159" s="308"/>
      <c r="FH159" s="308"/>
      <c r="FI159" s="308"/>
      <c r="FJ159" s="308"/>
      <c r="FK159" s="308"/>
      <c r="FL159" s="308"/>
      <c r="FM159" s="308"/>
      <c r="FN159" s="308"/>
      <c r="FO159" s="308"/>
      <c r="FP159" s="308"/>
      <c r="FQ159" s="308"/>
      <c r="FR159" s="308"/>
      <c r="FS159" s="308"/>
      <c r="FT159" s="308"/>
      <c r="FU159" s="308"/>
      <c r="FV159" s="308"/>
      <c r="FW159" s="308"/>
      <c r="FX159" s="308"/>
      <c r="FY159" s="308"/>
      <c r="FZ159" s="308"/>
      <c r="GA159" s="308"/>
      <c r="GB159" s="308"/>
      <c r="GC159" s="308"/>
      <c r="GD159" s="308"/>
      <c r="GE159" s="308"/>
      <c r="GF159" s="308"/>
      <c r="GG159" s="308"/>
      <c r="GH159" s="308"/>
      <c r="GI159" s="308"/>
      <c r="GJ159" s="308"/>
      <c r="GK159" s="308"/>
      <c r="GL159" s="308"/>
      <c r="GM159" s="308"/>
      <c r="GN159" s="308"/>
      <c r="GO159" s="308"/>
      <c r="GP159" s="308"/>
      <c r="GQ159" s="308"/>
      <c r="GR159" s="308"/>
      <c r="GS159" s="308"/>
      <c r="GT159" s="308"/>
      <c r="GU159" s="308"/>
      <c r="GV159" s="308"/>
      <c r="GW159" s="308"/>
      <c r="GX159" s="308"/>
      <c r="GY159" s="308"/>
      <c r="GZ159" s="308"/>
      <c r="HA159" s="308"/>
      <c r="HB159" s="308"/>
      <c r="HC159" s="308"/>
      <c r="HD159" s="308"/>
      <c r="HE159" s="308"/>
      <c r="HF159" s="308"/>
      <c r="HG159" s="308"/>
      <c r="HH159" s="308"/>
      <c r="HI159" s="308"/>
      <c r="HJ159" s="308"/>
      <c r="HK159" s="308"/>
      <c r="HL159" s="308"/>
      <c r="HM159" s="308"/>
      <c r="HN159" s="308"/>
      <c r="HO159" s="308"/>
      <c r="HP159" s="308"/>
      <c r="HQ159" s="308"/>
      <c r="HR159" s="308"/>
      <c r="HS159" s="308"/>
      <c r="HT159" s="308"/>
      <c r="HU159" s="308"/>
      <c r="HV159" s="308"/>
      <c r="HW159" s="308"/>
      <c r="HX159" s="308"/>
      <c r="HY159" s="308"/>
      <c r="HZ159" s="308"/>
      <c r="IA159" s="308"/>
      <c r="IB159" s="308"/>
      <c r="IC159" s="308"/>
      <c r="ID159" s="308"/>
      <c r="IE159" s="308"/>
      <c r="IF159" s="308"/>
      <c r="IG159" s="308"/>
      <c r="IH159" s="308"/>
      <c r="II159" s="308"/>
      <c r="IJ159" s="308"/>
      <c r="IK159" s="308"/>
      <c r="IL159" s="308"/>
      <c r="IM159" s="308"/>
      <c r="IN159" s="308"/>
      <c r="IO159" s="308"/>
      <c r="IP159" s="308"/>
      <c r="IQ159" s="308"/>
      <c r="IR159" s="308"/>
      <c r="IS159" s="308"/>
      <c r="IT159" s="308"/>
      <c r="IU159" s="308"/>
      <c r="IV159" s="308"/>
      <c r="IW159" s="308"/>
      <c r="IX159" s="308"/>
    </row>
    <row r="160" spans="1:258" s="308" customFormat="1" ht="17.399999999999999" x14ac:dyDescent="0.3">
      <c r="A160" s="103"/>
      <c r="B160" s="84"/>
      <c r="C160" s="64"/>
      <c r="D160" s="83" t="s">
        <v>164</v>
      </c>
      <c r="E160" s="270">
        <f>IF(AND($F$2="No",$F$3="No"),SUM(J160:K160),IF(AND($F$2="Yes", $F$3="No"), SUM(J160:K160)+Q160, IF(AND($F$2="No", $F$3="Yes"),SUM(J160:K160)+P160, SUM(J160:K160)+Q160+P160)))</f>
        <v>3.9989486962957101E-2</v>
      </c>
      <c r="F160" s="90">
        <f>IF(AND($F$2="No",$F$3="No"),SUM(H160:O160),IF(AND($F$2="Yes", $F$3="No"), SUM(H160:O160)+Q160, IF(AND($F$2="No", $F$3="Yes"),SUM(H160:O160)+P160, SUM(H160:O160)+Q160+P160)))</f>
        <v>0.1216300458749672</v>
      </c>
      <c r="G160" s="278">
        <f>SUM(S160:U160)/(1-'Common input data'!$B$121)</f>
        <v>0.24063736230453184</v>
      </c>
      <c r="H160" s="90">
        <f>('Input data plant-based products'!$F$48*('Common input data'!$B$76*'Common input data'!B69+'Common input data'!$B$77*'Common input data'!C69))/'Input data plant-based products'!$E$48</f>
        <v>1.8859711031710857E-2</v>
      </c>
      <c r="I160" s="90">
        <f>'Common input data'!$B$81</f>
        <v>0.03</v>
      </c>
      <c r="J160" s="90">
        <v>0</v>
      </c>
      <c r="K160" s="90">
        <v>0</v>
      </c>
      <c r="L160" s="90">
        <f>('Input data plant-based products'!$I$48*'Common input data'!$C$59*'Common input data'!H49)/'Input data plant-based products'!$E$48</f>
        <v>1.2780847880299252E-2</v>
      </c>
      <c r="M160" s="90">
        <v>0</v>
      </c>
      <c r="N160" s="90">
        <f>'Input data plant-based products'!$G$152</f>
        <v>0.02</v>
      </c>
      <c r="O160" s="90">
        <v>0</v>
      </c>
      <c r="P160" s="90">
        <f>'Common input data'!$E$13</f>
        <v>3.9989486962957101E-2</v>
      </c>
      <c r="Q160" s="90">
        <v>0</v>
      </c>
      <c r="R160" s="90">
        <v>0</v>
      </c>
      <c r="S160" s="90">
        <f>(F160+R160)</f>
        <v>0.1216300458749672</v>
      </c>
      <c r="T160" s="90">
        <f>'Common input data'!$B$88</f>
        <v>0.05</v>
      </c>
      <c r="U160" s="90">
        <f>'Common input data'!C98</f>
        <v>0.03</v>
      </c>
      <c r="V160" s="430"/>
      <c r="W160" s="243"/>
      <c r="Z160" s="64"/>
    </row>
    <row r="161" spans="1:258" s="308" customFormat="1" ht="17.399999999999999" x14ac:dyDescent="0.3">
      <c r="A161" s="107"/>
      <c r="B161" s="84"/>
      <c r="C161" s="142"/>
      <c r="D161" s="83" t="s">
        <v>165</v>
      </c>
      <c r="E161" s="270">
        <f>SUM(J161:K161)</f>
        <v>0</v>
      </c>
      <c r="F161" s="90">
        <f>SUM(H161:O161)</f>
        <v>5.6615351364055614E-6</v>
      </c>
      <c r="G161" s="278">
        <f>SUM(S161:U161)/(1-'Common input data'!$B$121)</f>
        <v>6.7568148184813955E-6</v>
      </c>
      <c r="H161" s="90">
        <f>('Input data plant-based products'!$F$48*('Common input data'!$B$76*'Common input data'!B70+'Common input data'!$B$77*'Common input data'!C70))/'Input data plant-based products'!$E$48</f>
        <v>5.0491852560379879E-11</v>
      </c>
      <c r="I161" s="90">
        <v>0</v>
      </c>
      <c r="J161" s="90">
        <v>0</v>
      </c>
      <c r="K161" s="90">
        <v>0</v>
      </c>
      <c r="L161" s="90">
        <f>('Input data plant-based products'!$I$48*'Common input data'!$C$59*'Common input data'!H50)/'Input data plant-based products'!$E$48</f>
        <v>5.6614846445530013E-6</v>
      </c>
      <c r="M161" s="90">
        <v>0</v>
      </c>
      <c r="N161" s="90">
        <v>0</v>
      </c>
      <c r="O161" s="90">
        <v>0</v>
      </c>
      <c r="P161" s="90">
        <v>0</v>
      </c>
      <c r="Q161" s="90">
        <v>0</v>
      </c>
      <c r="R161" s="90">
        <v>0</v>
      </c>
      <c r="S161" s="90">
        <f>(F161+R161)</f>
        <v>5.6615351364055614E-6</v>
      </c>
      <c r="T161" s="90">
        <v>0</v>
      </c>
      <c r="U161" s="90">
        <v>0</v>
      </c>
      <c r="V161" s="430"/>
      <c r="W161" s="243"/>
      <c r="Z161" s="64"/>
    </row>
    <row r="162" spans="1:258" s="308" customFormat="1" ht="17.399999999999999" x14ac:dyDescent="0.3">
      <c r="A162" s="174"/>
      <c r="B162" s="206"/>
      <c r="C162" s="85"/>
      <c r="D162" s="84" t="s">
        <v>166</v>
      </c>
      <c r="E162" s="270">
        <f>SUM(J162:K162)</f>
        <v>1.5065291565606533E-4</v>
      </c>
      <c r="F162" s="90">
        <f>SUM(H162:O162)</f>
        <v>2.2759882832981207E-4</v>
      </c>
      <c r="G162" s="278">
        <f>SUM(S162:U162)/(1-'Common input data'!$B$121)</f>
        <v>2.7163006126006931E-4</v>
      </c>
      <c r="H162" s="90">
        <f>('Input data plant-based products'!$F$48*('Common input data'!$B$76*'Common input data'!B71+'Common input data'!$B$77*'Common input data'!C71))/'Input data plant-based products'!$E$48</f>
        <v>7.6602486308153872E-5</v>
      </c>
      <c r="I162" s="90">
        <v>0</v>
      </c>
      <c r="J162" s="90">
        <f>(SUM('Input data plant-based products'!F48:H48)*'Input data plant-based products'!$B$114*44/28)/'Input data plant-based products'!E48</f>
        <v>1.3695719605096848E-4</v>
      </c>
      <c r="K162" s="90">
        <f>J162*'Input data plant-based products'!$B$115</f>
        <v>1.3695719605096848E-5</v>
      </c>
      <c r="L162" s="90">
        <f>('Input data plant-based products'!$I$48*'Common input data'!$C$59*'Common input data'!H51)/'Input data plant-based products'!$E$48</f>
        <v>3.4342636559286715E-7</v>
      </c>
      <c r="M162" s="90">
        <v>0</v>
      </c>
      <c r="N162" s="90">
        <v>0</v>
      </c>
      <c r="O162" s="90">
        <v>0</v>
      </c>
      <c r="P162" s="90">
        <v>0</v>
      </c>
      <c r="Q162" s="90">
        <v>0</v>
      </c>
      <c r="R162" s="90">
        <v>0</v>
      </c>
      <c r="S162" s="90">
        <f>(F162+R162)</f>
        <v>2.2759882832981207E-4</v>
      </c>
      <c r="T162" s="90">
        <v>0</v>
      </c>
      <c r="U162" s="90">
        <v>0</v>
      </c>
      <c r="V162" s="430"/>
      <c r="W162" s="243"/>
      <c r="Z162" s="64"/>
    </row>
    <row r="163" spans="1:258" s="420" customFormat="1" ht="17.399999999999999" x14ac:dyDescent="0.3">
      <c r="A163" s="122" t="s">
        <v>79</v>
      </c>
      <c r="B163" s="150" t="s">
        <v>225</v>
      </c>
      <c r="C163" s="111">
        <f>'Input data plant-based products'!D49</f>
        <v>0.54</v>
      </c>
      <c r="D163" s="269" t="s">
        <v>473</v>
      </c>
      <c r="E163" s="320">
        <f>IF($F$1="GWP100 without fb",E164+E165*'Common input data'!$C$5+E166*'Common input data'!$D$5,IF($F$1="GWP100 with fb",E164+E165*'Common input data'!$C$6+E166*'Common input data'!$D$6,IF($F$1="GTP100 without fb",E164+E165*'Common input data'!$C$7+E166*'Common input data'!$D$7,IF($F$1="GTP100 with fb",E164+E165*'Common input data'!$C$8+E166*'Common input data'!$D$8,E164+E165*'Common input data'!$C$9+E166*'Common input data'!$D$9))))</f>
        <v>7.0567340123598887E-2</v>
      </c>
      <c r="F163" s="302">
        <f>IF($F$1="GWP100 without fb",F164+F165*'Common input data'!$C$5+F166*'Common input data'!$D$5,IF($F$1="GWP100 with fb",F164+F165*'Common input data'!$C$6+F166*'Common input data'!$D$6,IF($F$1="GTP100 without fb",F164+F165*'Common input data'!$C$7+F166*'Common input data'!$D$7,IF($F$1="GTP100 with fb",F164+F165*'Common input data'!$C$8+F166*'Common input data'!$D$8,F164+F165*'Common input data'!$C$9+F166*'Common input data'!$D$9))))</f>
        <v>0.16454409863017239</v>
      </c>
      <c r="G163" s="321">
        <f>IF($F$1="GWP100 without fb",G164+G165*'Common input data'!$C$5+G166*'Common input data'!$D$5,IF($F$1="GWP100 with fb",G164+G165*'Common input data'!$C$6+G166*'Common input data'!$D$6,IF($F$1="GTP100 without fb",G164+G165*'Common input data'!$C$7+G166*'Common input data'!$D$7,IF($F$1="GTP100 with fb",G164+G165*'Common input data'!$C$8+G166*'Common input data'!$D$8,G164+G165*'Common input data'!$C$9+G166*'Common input data'!$D$9))))</f>
        <v>0.41119954485042653</v>
      </c>
      <c r="H163" s="102"/>
      <c r="I163" s="102"/>
      <c r="J163" s="102"/>
      <c r="K163" s="102"/>
      <c r="L163" s="102"/>
      <c r="M163" s="102"/>
      <c r="N163" s="102"/>
      <c r="O163" s="102"/>
      <c r="P163" s="102"/>
      <c r="Q163" s="102"/>
      <c r="R163" s="102"/>
      <c r="S163" s="102"/>
      <c r="T163" s="102"/>
      <c r="U163" s="102"/>
      <c r="V163" s="430"/>
      <c r="W163" s="243"/>
      <c r="X163" s="308"/>
      <c r="Y163" s="308"/>
      <c r="Z163" s="64"/>
      <c r="AA163" s="308"/>
      <c r="AB163" s="308"/>
      <c r="AC163" s="308"/>
      <c r="AD163" s="308"/>
      <c r="AE163" s="308"/>
      <c r="AF163" s="308"/>
      <c r="AG163" s="308"/>
      <c r="AH163" s="308"/>
      <c r="AI163" s="308"/>
      <c r="AJ163" s="308"/>
      <c r="AK163" s="308"/>
      <c r="AL163" s="308"/>
      <c r="AM163" s="308"/>
      <c r="AN163" s="308"/>
      <c r="AO163" s="308"/>
      <c r="AP163" s="308"/>
      <c r="AQ163" s="308"/>
      <c r="AR163" s="308"/>
      <c r="AS163" s="308"/>
      <c r="AT163" s="308"/>
      <c r="AU163" s="308"/>
      <c r="AV163" s="308"/>
      <c r="AW163" s="308"/>
      <c r="AX163" s="308"/>
      <c r="AY163" s="308"/>
      <c r="AZ163" s="308"/>
      <c r="BA163" s="308"/>
      <c r="BB163" s="308"/>
      <c r="BC163" s="308"/>
      <c r="BD163" s="308"/>
      <c r="BE163" s="308"/>
      <c r="BF163" s="308"/>
      <c r="BG163" s="308"/>
      <c r="BH163" s="308"/>
      <c r="BI163" s="308"/>
      <c r="BJ163" s="308"/>
      <c r="BK163" s="308"/>
      <c r="BL163" s="308"/>
      <c r="BM163" s="308"/>
      <c r="BN163" s="308"/>
      <c r="BO163" s="308"/>
      <c r="BP163" s="308"/>
      <c r="BQ163" s="308"/>
      <c r="BR163" s="308"/>
      <c r="BS163" s="308"/>
      <c r="BT163" s="308"/>
      <c r="BU163" s="308"/>
      <c r="BV163" s="308"/>
      <c r="BW163" s="308"/>
      <c r="BX163" s="308"/>
      <c r="BY163" s="308"/>
      <c r="BZ163" s="308"/>
      <c r="CA163" s="308"/>
      <c r="CB163" s="308"/>
      <c r="CC163" s="308"/>
      <c r="CD163" s="308"/>
      <c r="CE163" s="308"/>
      <c r="CF163" s="308"/>
      <c r="CG163" s="308"/>
      <c r="CH163" s="308"/>
      <c r="CI163" s="308"/>
      <c r="CJ163" s="308"/>
      <c r="CK163" s="308"/>
      <c r="CL163" s="308"/>
      <c r="CM163" s="308"/>
      <c r="CN163" s="308"/>
      <c r="CO163" s="308"/>
      <c r="CP163" s="308"/>
      <c r="CQ163" s="308"/>
      <c r="CR163" s="308"/>
      <c r="CS163" s="308"/>
      <c r="CT163" s="308"/>
      <c r="CU163" s="308"/>
      <c r="CV163" s="308"/>
      <c r="CW163" s="308"/>
      <c r="CX163" s="308"/>
      <c r="CY163" s="308"/>
      <c r="CZ163" s="308"/>
      <c r="DA163" s="308"/>
      <c r="DB163" s="308"/>
      <c r="DC163" s="308"/>
      <c r="DD163" s="308"/>
      <c r="DE163" s="308"/>
      <c r="DF163" s="308"/>
      <c r="DG163" s="308"/>
      <c r="DH163" s="308"/>
      <c r="DI163" s="308"/>
      <c r="DJ163" s="308"/>
      <c r="DK163" s="308"/>
      <c r="DL163" s="308"/>
      <c r="DM163" s="308"/>
      <c r="DN163" s="308"/>
      <c r="DO163" s="308"/>
      <c r="DP163" s="308"/>
      <c r="DQ163" s="308"/>
      <c r="DR163" s="308"/>
      <c r="DS163" s="308"/>
      <c r="DT163" s="308"/>
      <c r="DU163" s="308"/>
      <c r="DV163" s="308"/>
      <c r="DW163" s="308"/>
      <c r="DX163" s="308"/>
      <c r="DY163" s="308"/>
      <c r="DZ163" s="308"/>
      <c r="EA163" s="308"/>
      <c r="EB163" s="308"/>
      <c r="EC163" s="308"/>
      <c r="ED163" s="308"/>
      <c r="EE163" s="308"/>
      <c r="EF163" s="308"/>
      <c r="EG163" s="308"/>
      <c r="EH163" s="308"/>
      <c r="EI163" s="308"/>
      <c r="EJ163" s="308"/>
      <c r="EK163" s="308"/>
      <c r="EL163" s="308"/>
      <c r="EM163" s="308"/>
      <c r="EN163" s="308"/>
      <c r="EO163" s="308"/>
      <c r="EP163" s="308"/>
      <c r="EQ163" s="308"/>
      <c r="ER163" s="308"/>
      <c r="ES163" s="308"/>
      <c r="ET163" s="308"/>
      <c r="EU163" s="308"/>
      <c r="EV163" s="308"/>
      <c r="EW163" s="308"/>
      <c r="EX163" s="308"/>
      <c r="EY163" s="308"/>
      <c r="EZ163" s="308"/>
      <c r="FA163" s="308"/>
      <c r="FB163" s="308"/>
      <c r="FC163" s="308"/>
      <c r="FD163" s="308"/>
      <c r="FE163" s="308"/>
      <c r="FF163" s="308"/>
      <c r="FG163" s="308"/>
      <c r="FH163" s="308"/>
      <c r="FI163" s="308"/>
      <c r="FJ163" s="308"/>
      <c r="FK163" s="308"/>
      <c r="FL163" s="308"/>
      <c r="FM163" s="308"/>
      <c r="FN163" s="308"/>
      <c r="FO163" s="308"/>
      <c r="FP163" s="308"/>
      <c r="FQ163" s="308"/>
      <c r="FR163" s="308"/>
      <c r="FS163" s="308"/>
      <c r="FT163" s="308"/>
      <c r="FU163" s="308"/>
      <c r="FV163" s="308"/>
      <c r="FW163" s="308"/>
      <c r="FX163" s="308"/>
      <c r="FY163" s="308"/>
      <c r="FZ163" s="308"/>
      <c r="GA163" s="308"/>
      <c r="GB163" s="308"/>
      <c r="GC163" s="308"/>
      <c r="GD163" s="308"/>
      <c r="GE163" s="308"/>
      <c r="GF163" s="308"/>
      <c r="GG163" s="308"/>
      <c r="GH163" s="308"/>
      <c r="GI163" s="308"/>
      <c r="GJ163" s="308"/>
      <c r="GK163" s="308"/>
      <c r="GL163" s="308"/>
      <c r="GM163" s="308"/>
      <c r="GN163" s="308"/>
      <c r="GO163" s="308"/>
      <c r="GP163" s="308"/>
      <c r="GQ163" s="308"/>
      <c r="GR163" s="308"/>
      <c r="GS163" s="308"/>
      <c r="GT163" s="308"/>
      <c r="GU163" s="308"/>
      <c r="GV163" s="308"/>
      <c r="GW163" s="308"/>
      <c r="GX163" s="308"/>
      <c r="GY163" s="308"/>
      <c r="GZ163" s="308"/>
      <c r="HA163" s="308"/>
      <c r="HB163" s="308"/>
      <c r="HC163" s="308"/>
      <c r="HD163" s="308"/>
      <c r="HE163" s="308"/>
      <c r="HF163" s="308"/>
      <c r="HG163" s="308"/>
      <c r="HH163" s="308"/>
      <c r="HI163" s="308"/>
      <c r="HJ163" s="308"/>
      <c r="HK163" s="308"/>
      <c r="HL163" s="308"/>
      <c r="HM163" s="308"/>
      <c r="HN163" s="308"/>
      <c r="HO163" s="308"/>
      <c r="HP163" s="308"/>
      <c r="HQ163" s="308"/>
      <c r="HR163" s="308"/>
      <c r="HS163" s="308"/>
      <c r="HT163" s="308"/>
      <c r="HU163" s="308"/>
      <c r="HV163" s="308"/>
      <c r="HW163" s="308"/>
      <c r="HX163" s="308"/>
      <c r="HY163" s="308"/>
      <c r="HZ163" s="308"/>
      <c r="IA163" s="308"/>
      <c r="IB163" s="308"/>
      <c r="IC163" s="308"/>
      <c r="ID163" s="308"/>
      <c r="IE163" s="308"/>
      <c r="IF163" s="308"/>
      <c r="IG163" s="308"/>
      <c r="IH163" s="308"/>
      <c r="II163" s="308"/>
      <c r="IJ163" s="308"/>
      <c r="IK163" s="308"/>
      <c r="IL163" s="308"/>
      <c r="IM163" s="308"/>
      <c r="IN163" s="308"/>
      <c r="IO163" s="308"/>
      <c r="IP163" s="308"/>
      <c r="IQ163" s="308"/>
      <c r="IR163" s="308"/>
      <c r="IS163" s="308"/>
      <c r="IT163" s="308"/>
      <c r="IU163" s="308"/>
      <c r="IV163" s="308"/>
      <c r="IW163" s="308"/>
      <c r="IX163" s="308"/>
    </row>
    <row r="164" spans="1:258" s="308" customFormat="1" ht="17.399999999999999" x14ac:dyDescent="0.3">
      <c r="A164" s="144"/>
      <c r="B164" s="84"/>
      <c r="C164" s="64"/>
      <c r="D164" s="83" t="s">
        <v>164</v>
      </c>
      <c r="E164" s="270">
        <f>IF(AND($F$2="No",$F$3="No"),SUM(J164:K164),IF(AND($F$2="Yes", $F$3="No"), SUM(J164:K164)+Q164, IF(AND($F$2="No", $F$3="Yes"),SUM(J164:K164)+P164, SUM(J164:K164)+Q164+P164)))</f>
        <v>3.9989486962957101E-2</v>
      </c>
      <c r="F164" s="90">
        <f>IF(AND($F$2="No",$F$3="No"),SUM(H164:O164),IF(AND($F$2="Yes", $F$3="No"), SUM(H164:O164)+Q164, IF(AND($F$2="No", $F$3="Yes"),SUM(H164:O164)+P164, SUM(H164:O164)+Q164+P164)))</f>
        <v>0.11316590287912068</v>
      </c>
      <c r="G164" s="278">
        <f>SUM(S164:U164)/(1-'Common input data'!$B$121)</f>
        <v>0.34988173156596336</v>
      </c>
      <c r="H164" s="90">
        <f>('Input data plant-based products'!$F$49*('Common input data'!$C$76*'Common input data'!B69+'Common input data'!$C$77*'Common input data'!C69))/'Input data plant-based products'!$E$49</f>
        <v>1.262911776550954E-2</v>
      </c>
      <c r="I164" s="90">
        <f>'Common input data'!$B$81</f>
        <v>0.03</v>
      </c>
      <c r="J164" s="90">
        <v>0</v>
      </c>
      <c r="K164" s="90">
        <v>0</v>
      </c>
      <c r="L164" s="90">
        <f>('Input data plant-based products'!$I$49*'Common input data'!$C$59*'Common input data'!H49)/'Input data plant-based products'!$E$49</f>
        <v>1.0547298150654036E-2</v>
      </c>
      <c r="M164" s="90">
        <v>0</v>
      </c>
      <c r="N164" s="90">
        <f>'Input data plant-based products'!$G$152</f>
        <v>0.02</v>
      </c>
      <c r="O164" s="90">
        <v>0</v>
      </c>
      <c r="P164" s="90">
        <f>'Common input data'!$E$13</f>
        <v>3.9989486962957101E-2</v>
      </c>
      <c r="Q164" s="90">
        <v>0</v>
      </c>
      <c r="R164" s="90">
        <v>0</v>
      </c>
      <c r="S164" s="90">
        <f>(F164+R164)</f>
        <v>0.11316590287912068</v>
      </c>
      <c r="T164" s="90">
        <f>'Common input data'!$B$88</f>
        <v>0.05</v>
      </c>
      <c r="U164" s="90">
        <f>'Common input data'!B99+'Common input data'!C99</f>
        <v>0.13</v>
      </c>
      <c r="V164" s="430"/>
      <c r="W164" s="243"/>
      <c r="Z164" s="64"/>
    </row>
    <row r="165" spans="1:258" s="308" customFormat="1" ht="17.399999999999999" x14ac:dyDescent="0.3">
      <c r="A165" s="107"/>
      <c r="B165" s="84"/>
      <c r="C165" s="142"/>
      <c r="D165" s="83" t="s">
        <v>165</v>
      </c>
      <c r="E165" s="270">
        <f>SUM(J165:K165)</f>
        <v>0</v>
      </c>
      <c r="F165" s="90">
        <f>SUM(H165:O165)</f>
        <v>4.6721531125845739E-6</v>
      </c>
      <c r="G165" s="278">
        <f>SUM(S165:U165)/(1-'Common input data'!$B$121)</f>
        <v>5.5760271065575539E-6</v>
      </c>
      <c r="H165" s="90">
        <f>('Input data plant-based products'!$F$49*('Common input data'!$C$76*'Common input data'!B70+'Common input data'!$C$77*'Common input data'!C70))/'Input data plant-based products'!$E$49</f>
        <v>5.5683626522327464E-11</v>
      </c>
      <c r="I165" s="90">
        <v>0</v>
      </c>
      <c r="J165" s="90">
        <v>0</v>
      </c>
      <c r="K165" s="90">
        <v>0</v>
      </c>
      <c r="L165" s="90">
        <f>('Input data plant-based products'!$I$49*'Common input data'!$C$59*'Common input data'!H50)/'Input data plant-based products'!$E$49</f>
        <v>4.672097428958052E-6</v>
      </c>
      <c r="M165" s="90">
        <v>0</v>
      </c>
      <c r="N165" s="90">
        <v>0</v>
      </c>
      <c r="O165" s="90">
        <v>0</v>
      </c>
      <c r="P165" s="90">
        <v>0</v>
      </c>
      <c r="Q165" s="90">
        <v>0</v>
      </c>
      <c r="R165" s="90">
        <v>0</v>
      </c>
      <c r="S165" s="90">
        <f>(F165+R165)</f>
        <v>4.6721531125845739E-6</v>
      </c>
      <c r="T165" s="90">
        <v>0</v>
      </c>
      <c r="U165" s="90">
        <v>0</v>
      </c>
      <c r="V165" s="430"/>
      <c r="W165" s="243"/>
      <c r="Z165" s="64"/>
    </row>
    <row r="166" spans="1:258" s="308" customFormat="1" ht="17.399999999999999" x14ac:dyDescent="0.3">
      <c r="A166" s="174"/>
      <c r="B166" s="206"/>
      <c r="C166" s="85"/>
      <c r="D166" s="84" t="s">
        <v>166</v>
      </c>
      <c r="E166" s="270">
        <f>SUM(J166:K166)</f>
        <v>1.0261024550550936E-4</v>
      </c>
      <c r="F166" s="90">
        <f>SUM(H166:O166)</f>
        <v>1.7187698840679137E-4</v>
      </c>
      <c r="G166" s="278">
        <f>SUM(S166:U166)/(1-'Common input data'!$B$121)</f>
        <v>2.0512828309677929E-4</v>
      </c>
      <c r="H166" s="90">
        <f>('Input data plant-based products'!$F$49*('Common input data'!$C$76*'Common input data'!B71+'Common input data'!$C$77*'Common input data'!C71))/'Input data plant-based products'!$E$49</f>
        <v>6.8983332887750216E-5</v>
      </c>
      <c r="I166" s="90">
        <v>0</v>
      </c>
      <c r="J166" s="90">
        <f>(SUM('Input data plant-based products'!F49:H49)*'Input data plant-based products'!$B$114*44/28)/'Input data plant-based products'!E49</f>
        <v>9.3282041368644871E-5</v>
      </c>
      <c r="K166" s="90">
        <f>J166*'Input data plant-based products'!$B$115</f>
        <v>9.3282041368644874E-6</v>
      </c>
      <c r="L166" s="90">
        <f>('Input data plant-based products'!$I$49*'Common input data'!$C$59*'Common input data'!H51)/'Input data plant-based products'!$E$49</f>
        <v>2.8341001353179975E-7</v>
      </c>
      <c r="M166" s="90">
        <v>0</v>
      </c>
      <c r="N166" s="90">
        <v>0</v>
      </c>
      <c r="O166" s="90">
        <v>0</v>
      </c>
      <c r="P166" s="90">
        <v>0</v>
      </c>
      <c r="Q166" s="90">
        <v>0</v>
      </c>
      <c r="R166" s="90">
        <v>0</v>
      </c>
      <c r="S166" s="90">
        <f>(F166+R166)</f>
        <v>1.7187698840679137E-4</v>
      </c>
      <c r="T166" s="90">
        <v>0</v>
      </c>
      <c r="U166" s="90">
        <v>0</v>
      </c>
      <c r="V166" s="430"/>
      <c r="W166" s="243"/>
      <c r="Z166" s="64"/>
    </row>
    <row r="167" spans="1:258" s="420" customFormat="1" ht="17.399999999999999" x14ac:dyDescent="0.3">
      <c r="A167" s="122" t="s">
        <v>70</v>
      </c>
      <c r="B167" s="150" t="s">
        <v>225</v>
      </c>
      <c r="C167" s="111">
        <f>'Input data plant-based products'!D50</f>
        <v>0.11</v>
      </c>
      <c r="D167" s="269" t="s">
        <v>473</v>
      </c>
      <c r="E167" s="320">
        <f>IF($F$1="GWP100 without fb",E168+E169*'Common input data'!$C$5+E170*'Common input data'!$D$5,IF($F$1="GWP100 with fb",E168+E169*'Common input data'!$C$6+E170*'Common input data'!$D$6,IF($F$1="GTP100 without fb",E168+E169*'Common input data'!$C$7+E170*'Common input data'!$D$7,IF($F$1="GTP100 with fb",E168+E169*'Common input data'!$C$8+E170*'Common input data'!$D$8,E168+E169*'Common input data'!$C$9+E170*'Common input data'!$D$9))))</f>
        <v>7.7667068344350332E-2</v>
      </c>
      <c r="F167" s="302">
        <f>IF($F$1="GWP100 without fb",F168+F169*'Common input data'!$C$5+F170*'Common input data'!$D$5,IF($F$1="GWP100 with fb",F168+F169*'Common input data'!$C$6+F170*'Common input data'!$D$6,IF($F$1="GTP100 without fb",F168+F169*'Common input data'!$C$7+F170*'Common input data'!$D$7,IF($F$1="GTP100 with fb",F168+F169*'Common input data'!$C$8+F170*'Common input data'!$D$8,F168+F169*'Common input data'!$C$9+F170*'Common input data'!$D$9))))</f>
        <v>0.18373335098687518</v>
      </c>
      <c r="G167" s="321">
        <f>IF($F$1="GWP100 without fb",G168+G169*'Common input data'!$C$5+G170*'Common input data'!$D$5,IF($F$1="GWP100 with fb",G168+G169*'Common input data'!$C$6+G170*'Common input data'!$D$6,IF($F$1="GTP100 without fb",G168+G169*'Common input data'!$C$7+G170*'Common input data'!$D$7,IF($F$1="GTP100 with fb",G168+G169*'Common input data'!$C$8+G170*'Common input data'!$D$8,G168+G169*'Common input data'!$C$9+G170*'Common input data'!$D$9))))</f>
        <v>0.55344713090688058</v>
      </c>
      <c r="H167" s="102"/>
      <c r="I167" s="102"/>
      <c r="J167" s="102"/>
      <c r="K167" s="102"/>
      <c r="L167" s="102"/>
      <c r="M167" s="102"/>
      <c r="N167" s="102"/>
      <c r="O167" s="102"/>
      <c r="P167" s="102"/>
      <c r="Q167" s="102"/>
      <c r="R167" s="102"/>
      <c r="S167" s="102"/>
      <c r="T167" s="102"/>
      <c r="U167" s="102"/>
      <c r="V167" s="430"/>
      <c r="W167" s="243"/>
      <c r="X167" s="308"/>
      <c r="Y167" s="308"/>
      <c r="Z167" s="64"/>
      <c r="AA167" s="308"/>
      <c r="AB167" s="308"/>
      <c r="AC167" s="308"/>
      <c r="AD167" s="308"/>
      <c r="AE167" s="308"/>
      <c r="AF167" s="308"/>
      <c r="AG167" s="308"/>
      <c r="AH167" s="308"/>
      <c r="AI167" s="308"/>
      <c r="AJ167" s="308"/>
      <c r="AK167" s="308"/>
      <c r="AL167" s="308"/>
      <c r="AM167" s="308"/>
      <c r="AN167" s="308"/>
      <c r="AO167" s="308"/>
      <c r="AP167" s="308"/>
      <c r="AQ167" s="308"/>
      <c r="AR167" s="308"/>
      <c r="AS167" s="308"/>
      <c r="AT167" s="308"/>
      <c r="AU167" s="308"/>
      <c r="AV167" s="308"/>
      <c r="AW167" s="308"/>
      <c r="AX167" s="308"/>
      <c r="AY167" s="308"/>
      <c r="AZ167" s="308"/>
      <c r="BA167" s="308"/>
      <c r="BB167" s="308"/>
      <c r="BC167" s="308"/>
      <c r="BD167" s="308"/>
      <c r="BE167" s="308"/>
      <c r="BF167" s="308"/>
      <c r="BG167" s="308"/>
      <c r="BH167" s="308"/>
      <c r="BI167" s="308"/>
      <c r="BJ167" s="308"/>
      <c r="BK167" s="308"/>
      <c r="BL167" s="308"/>
      <c r="BM167" s="308"/>
      <c r="BN167" s="308"/>
      <c r="BO167" s="308"/>
      <c r="BP167" s="308"/>
      <c r="BQ167" s="308"/>
      <c r="BR167" s="308"/>
      <c r="BS167" s="308"/>
      <c r="BT167" s="308"/>
      <c r="BU167" s="308"/>
      <c r="BV167" s="308"/>
      <c r="BW167" s="308"/>
      <c r="BX167" s="308"/>
      <c r="BY167" s="308"/>
      <c r="BZ167" s="308"/>
      <c r="CA167" s="308"/>
      <c r="CB167" s="308"/>
      <c r="CC167" s="308"/>
      <c r="CD167" s="308"/>
      <c r="CE167" s="308"/>
      <c r="CF167" s="308"/>
      <c r="CG167" s="308"/>
      <c r="CH167" s="308"/>
      <c r="CI167" s="308"/>
      <c r="CJ167" s="308"/>
      <c r="CK167" s="308"/>
      <c r="CL167" s="308"/>
      <c r="CM167" s="308"/>
      <c r="CN167" s="308"/>
      <c r="CO167" s="308"/>
      <c r="CP167" s="308"/>
      <c r="CQ167" s="308"/>
      <c r="CR167" s="308"/>
      <c r="CS167" s="308"/>
      <c r="CT167" s="308"/>
      <c r="CU167" s="308"/>
      <c r="CV167" s="308"/>
      <c r="CW167" s="308"/>
      <c r="CX167" s="308"/>
      <c r="CY167" s="308"/>
      <c r="CZ167" s="308"/>
      <c r="DA167" s="308"/>
      <c r="DB167" s="308"/>
      <c r="DC167" s="308"/>
      <c r="DD167" s="308"/>
      <c r="DE167" s="308"/>
      <c r="DF167" s="308"/>
      <c r="DG167" s="308"/>
      <c r="DH167" s="308"/>
      <c r="DI167" s="308"/>
      <c r="DJ167" s="308"/>
      <c r="DK167" s="308"/>
      <c r="DL167" s="308"/>
      <c r="DM167" s="308"/>
      <c r="DN167" s="308"/>
      <c r="DO167" s="308"/>
      <c r="DP167" s="308"/>
      <c r="DQ167" s="308"/>
      <c r="DR167" s="308"/>
      <c r="DS167" s="308"/>
      <c r="DT167" s="308"/>
      <c r="DU167" s="308"/>
      <c r="DV167" s="308"/>
      <c r="DW167" s="308"/>
      <c r="DX167" s="308"/>
      <c r="DY167" s="308"/>
      <c r="DZ167" s="308"/>
      <c r="EA167" s="308"/>
      <c r="EB167" s="308"/>
      <c r="EC167" s="308"/>
      <c r="ED167" s="308"/>
      <c r="EE167" s="308"/>
      <c r="EF167" s="308"/>
      <c r="EG167" s="308"/>
      <c r="EH167" s="308"/>
      <c r="EI167" s="308"/>
      <c r="EJ167" s="308"/>
      <c r="EK167" s="308"/>
      <c r="EL167" s="308"/>
      <c r="EM167" s="308"/>
      <c r="EN167" s="308"/>
      <c r="EO167" s="308"/>
      <c r="EP167" s="308"/>
      <c r="EQ167" s="308"/>
      <c r="ER167" s="308"/>
      <c r="ES167" s="308"/>
      <c r="ET167" s="308"/>
      <c r="EU167" s="308"/>
      <c r="EV167" s="308"/>
      <c r="EW167" s="308"/>
      <c r="EX167" s="308"/>
      <c r="EY167" s="308"/>
      <c r="EZ167" s="308"/>
      <c r="FA167" s="308"/>
      <c r="FB167" s="308"/>
      <c r="FC167" s="308"/>
      <c r="FD167" s="308"/>
      <c r="FE167" s="308"/>
      <c r="FF167" s="308"/>
      <c r="FG167" s="308"/>
      <c r="FH167" s="308"/>
      <c r="FI167" s="308"/>
      <c r="FJ167" s="308"/>
      <c r="FK167" s="308"/>
      <c r="FL167" s="308"/>
      <c r="FM167" s="308"/>
      <c r="FN167" s="308"/>
      <c r="FO167" s="308"/>
      <c r="FP167" s="308"/>
      <c r="FQ167" s="308"/>
      <c r="FR167" s="308"/>
      <c r="FS167" s="308"/>
      <c r="FT167" s="308"/>
      <c r="FU167" s="308"/>
      <c r="FV167" s="308"/>
      <c r="FW167" s="308"/>
      <c r="FX167" s="308"/>
      <c r="FY167" s="308"/>
      <c r="FZ167" s="308"/>
      <c r="GA167" s="308"/>
      <c r="GB167" s="308"/>
      <c r="GC167" s="308"/>
      <c r="GD167" s="308"/>
      <c r="GE167" s="308"/>
      <c r="GF167" s="308"/>
      <c r="GG167" s="308"/>
      <c r="GH167" s="308"/>
      <c r="GI167" s="308"/>
      <c r="GJ167" s="308"/>
      <c r="GK167" s="308"/>
      <c r="GL167" s="308"/>
      <c r="GM167" s="308"/>
      <c r="GN167" s="308"/>
      <c r="GO167" s="308"/>
      <c r="GP167" s="308"/>
      <c r="GQ167" s="308"/>
      <c r="GR167" s="308"/>
      <c r="GS167" s="308"/>
      <c r="GT167" s="308"/>
      <c r="GU167" s="308"/>
      <c r="GV167" s="308"/>
      <c r="GW167" s="308"/>
      <c r="GX167" s="308"/>
      <c r="GY167" s="308"/>
      <c r="GZ167" s="308"/>
      <c r="HA167" s="308"/>
      <c r="HB167" s="308"/>
      <c r="HC167" s="308"/>
      <c r="HD167" s="308"/>
      <c r="HE167" s="308"/>
      <c r="HF167" s="308"/>
      <c r="HG167" s="308"/>
      <c r="HH167" s="308"/>
      <c r="HI167" s="308"/>
      <c r="HJ167" s="308"/>
      <c r="HK167" s="308"/>
      <c r="HL167" s="308"/>
      <c r="HM167" s="308"/>
      <c r="HN167" s="308"/>
      <c r="HO167" s="308"/>
      <c r="HP167" s="308"/>
      <c r="HQ167" s="308"/>
      <c r="HR167" s="308"/>
      <c r="HS167" s="308"/>
      <c r="HT167" s="308"/>
      <c r="HU167" s="308"/>
      <c r="HV167" s="308"/>
      <c r="HW167" s="308"/>
      <c r="HX167" s="308"/>
      <c r="HY167" s="308"/>
      <c r="HZ167" s="308"/>
      <c r="IA167" s="308"/>
      <c r="IB167" s="308"/>
      <c r="IC167" s="308"/>
      <c r="ID167" s="308"/>
      <c r="IE167" s="308"/>
      <c r="IF167" s="308"/>
      <c r="IG167" s="308"/>
      <c r="IH167" s="308"/>
      <c r="II167" s="308"/>
      <c r="IJ167" s="308"/>
      <c r="IK167" s="308"/>
      <c r="IL167" s="308"/>
      <c r="IM167" s="308"/>
      <c r="IN167" s="308"/>
      <c r="IO167" s="308"/>
      <c r="IP167" s="308"/>
      <c r="IQ167" s="308"/>
      <c r="IR167" s="308"/>
      <c r="IS167" s="308"/>
      <c r="IT167" s="308"/>
      <c r="IU167" s="308"/>
      <c r="IV167" s="308"/>
      <c r="IW167" s="308"/>
      <c r="IX167" s="308"/>
    </row>
    <row r="168" spans="1:258" s="308" customFormat="1" ht="17.399999999999999" x14ac:dyDescent="0.3">
      <c r="A168" s="144"/>
      <c r="B168" s="84"/>
      <c r="C168" s="64"/>
      <c r="D168" s="83" t="s">
        <v>164</v>
      </c>
      <c r="E168" s="270">
        <f>IF(AND($F$2="No",$F$3="No"),SUM(J168:K168),IF(AND($F$2="Yes", $F$3="No"), SUM(J168:K168)+Q168, IF(AND($F$2="No", $F$3="Yes"),SUM(J168:K168)+P168, SUM(J168:K168)+Q168+P168)))</f>
        <v>3.9989486962957101E-2</v>
      </c>
      <c r="F168" s="90">
        <f>IF(AND($F$2="No",$F$3="No"),SUM(H168:O168),IF(AND($F$2="Yes", $F$3="No"), SUM(H168:O168)+Q168, IF(AND($F$2="No", $F$3="Yes"),SUM(H168:O168)+P168, SUM(H168:O168)+Q168+P168)))</f>
        <v>0.11921819904848924</v>
      </c>
      <c r="G168" s="278">
        <f>SUM(S168:U168)/(1-'Common input data'!$B$121)</f>
        <v>0.47645088799199103</v>
      </c>
      <c r="H168" s="85">
        <f>('Input data plant-based products'!$F$50*('Common input data'!$C$76*'Common input data'!B69+'Common input data'!$C$77*'Common input data'!C69))/'Input data plant-based products'!$E$50</f>
        <v>1.6304373271106263E-2</v>
      </c>
      <c r="I168" s="90">
        <f>'Common input data'!$B$81</f>
        <v>0.03</v>
      </c>
      <c r="J168" s="85">
        <v>0</v>
      </c>
      <c r="K168" s="90">
        <v>0</v>
      </c>
      <c r="L168" s="85">
        <f>('Input data plant-based products'!$I$50*'Common input data'!$C$59*'Common input data'!H49)/'Input data plant-based products'!$E$50</f>
        <v>1.2924338814425868E-2</v>
      </c>
      <c r="M168" s="90">
        <v>0</v>
      </c>
      <c r="N168" s="90">
        <f>'Input data plant-based products'!$G$152</f>
        <v>0.02</v>
      </c>
      <c r="O168" s="90">
        <v>0</v>
      </c>
      <c r="P168" s="90">
        <f>'Common input data'!$E$13</f>
        <v>3.9989486962957101E-2</v>
      </c>
      <c r="Q168" s="90">
        <v>0</v>
      </c>
      <c r="R168" s="90">
        <v>0</v>
      </c>
      <c r="S168" s="90">
        <f>(F168+R168)</f>
        <v>0.11921819904848924</v>
      </c>
      <c r="T168" s="90">
        <f>'Common input data'!$B$88</f>
        <v>0.05</v>
      </c>
      <c r="U168" s="90">
        <f>'Common input data'!B102+'Common input data'!C102</f>
        <v>0.23000000000000004</v>
      </c>
      <c r="V168" s="430"/>
      <c r="W168" s="243"/>
      <c r="Z168" s="64"/>
    </row>
    <row r="169" spans="1:258" s="308" customFormat="1" ht="17.399999999999999" x14ac:dyDescent="0.3">
      <c r="A169" s="107"/>
      <c r="B169" s="84"/>
      <c r="C169" s="142"/>
      <c r="D169" s="83" t="s">
        <v>165</v>
      </c>
      <c r="E169" s="270">
        <f>SUM(J169:K169)</f>
        <v>0</v>
      </c>
      <c r="F169" s="90">
        <f>SUM(H169:O169)</f>
        <v>5.7251181782644743E-6</v>
      </c>
      <c r="G169" s="278">
        <f>SUM(S169:U169)/(1-'Common input data'!$B$121)</f>
        <v>6.8326986254499035E-6</v>
      </c>
      <c r="H169" s="85">
        <f>('Input data plant-based products'!$F$50*('Common input data'!$C$76*'Common input data'!B70+'Common input data'!$C$77*'Common input data'!C70))/'Input data plant-based products'!$E$50</f>
        <v>7.1888365344756113E-11</v>
      </c>
      <c r="I169" s="90">
        <v>0</v>
      </c>
      <c r="J169" s="85">
        <v>0</v>
      </c>
      <c r="K169" s="90">
        <v>0</v>
      </c>
      <c r="L169" s="85">
        <f>('Input data plant-based products'!$I$50*'Common input data'!$C$59*'Common input data'!H50)/'Input data plant-based products'!$E$50</f>
        <v>5.7250462898991296E-6</v>
      </c>
      <c r="M169" s="90">
        <v>0</v>
      </c>
      <c r="N169" s="90">
        <v>0</v>
      </c>
      <c r="O169" s="90">
        <v>0</v>
      </c>
      <c r="P169" s="90">
        <v>0</v>
      </c>
      <c r="Q169" s="90">
        <v>0</v>
      </c>
      <c r="R169" s="90">
        <v>0</v>
      </c>
      <c r="S169" s="90">
        <f>(F169+R169)</f>
        <v>5.7251181782644743E-6</v>
      </c>
      <c r="T169" s="90">
        <v>0</v>
      </c>
      <c r="U169" s="90">
        <v>0</v>
      </c>
      <c r="V169" s="430"/>
      <c r="W169" s="243"/>
      <c r="Z169" s="64"/>
    </row>
    <row r="170" spans="1:258" s="308" customFormat="1" ht="17.399999999999999" x14ac:dyDescent="0.3">
      <c r="A170" s="174"/>
      <c r="B170" s="206"/>
      <c r="C170" s="85"/>
      <c r="D170" s="84" t="s">
        <v>166</v>
      </c>
      <c r="E170" s="780">
        <f>SUM(J170:K170)</f>
        <v>1.2643483685031287E-4</v>
      </c>
      <c r="F170" s="108">
        <f>SUM(H170:O170)</f>
        <v>2.1584059704807032E-4</v>
      </c>
      <c r="G170" s="521">
        <f>SUM(S170:U170)/(1-'Common input data'!$B$121)</f>
        <v>2.5759708443498069E-4</v>
      </c>
      <c r="H170" s="85">
        <f>('Input data plant-based products'!$F$50*('Common input data'!$C$76*'Common input data'!B71+'Common input data'!$C$77*'Common input data'!C71))/'Input data plant-based products'!$E$50</f>
        <v>8.9058478174819795E-5</v>
      </c>
      <c r="I170" s="85">
        <v>0</v>
      </c>
      <c r="J170" s="85">
        <f>(SUM('Input data plant-based products'!F50:H50)*'Input data plant-based products'!$B$114*44/28)/'Input data plant-based products'!E50</f>
        <v>1.1494076077301169E-4</v>
      </c>
      <c r="K170" s="90">
        <f>J170*'Input data plant-based products'!$B$115</f>
        <v>1.149407607730117E-5</v>
      </c>
      <c r="L170" s="85">
        <f>('Input data plant-based products'!$I$50*'Common input data'!$C$59*'Common input data'!H51)/'Input data plant-based products'!$E$50</f>
        <v>3.4728202293768135E-7</v>
      </c>
      <c r="M170" s="90">
        <v>0</v>
      </c>
      <c r="N170" s="90">
        <v>0</v>
      </c>
      <c r="O170" s="90">
        <v>0</v>
      </c>
      <c r="P170" s="90">
        <v>0</v>
      </c>
      <c r="Q170" s="90">
        <v>0</v>
      </c>
      <c r="R170" s="90">
        <v>0</v>
      </c>
      <c r="S170" s="90">
        <f>(F170+R170)</f>
        <v>2.1584059704807032E-4</v>
      </c>
      <c r="T170" s="90">
        <v>0</v>
      </c>
      <c r="U170" s="90">
        <v>0</v>
      </c>
      <c r="V170" s="430"/>
      <c r="W170" s="243"/>
      <c r="Z170" s="64"/>
    </row>
    <row r="171" spans="1:258" s="427" customFormat="1" ht="17.399999999999999" x14ac:dyDescent="0.3">
      <c r="A171" s="426" t="s">
        <v>612</v>
      </c>
      <c r="B171" s="412"/>
      <c r="C171" s="413"/>
      <c r="D171" s="414"/>
      <c r="E171" s="767" t="s">
        <v>817</v>
      </c>
      <c r="F171" s="768" t="s">
        <v>817</v>
      </c>
      <c r="G171" s="590" t="s">
        <v>817</v>
      </c>
      <c r="H171" s="413"/>
      <c r="I171" s="413"/>
      <c r="J171" s="413"/>
      <c r="K171" s="416"/>
      <c r="L171" s="416"/>
      <c r="M171" s="417"/>
      <c r="N171" s="416"/>
      <c r="O171" s="416"/>
      <c r="P171" s="416"/>
      <c r="Q171" s="416"/>
      <c r="R171" s="416"/>
      <c r="S171" s="416"/>
      <c r="T171" s="416"/>
      <c r="U171" s="416"/>
      <c r="V171" s="430"/>
      <c r="W171" s="243"/>
      <c r="X171" s="308"/>
      <c r="Y171" s="308"/>
      <c r="Z171" s="64"/>
      <c r="AA171" s="308"/>
      <c r="AB171" s="308"/>
      <c r="AC171" s="308"/>
      <c r="AD171" s="308"/>
      <c r="AE171" s="308"/>
      <c r="AF171" s="308"/>
      <c r="AG171" s="308"/>
      <c r="AH171" s="308"/>
      <c r="AI171" s="308"/>
      <c r="AJ171" s="308"/>
      <c r="AK171" s="308"/>
      <c r="AL171" s="308"/>
      <c r="AM171" s="308"/>
      <c r="AN171" s="308"/>
      <c r="AO171" s="308"/>
      <c r="AP171" s="308"/>
      <c r="AQ171" s="308"/>
      <c r="AR171" s="308"/>
      <c r="AS171" s="308"/>
      <c r="AT171" s="308"/>
      <c r="AU171" s="308"/>
      <c r="AV171" s="308"/>
      <c r="AW171" s="308"/>
      <c r="AX171" s="308"/>
      <c r="AY171" s="308"/>
      <c r="AZ171" s="308"/>
      <c r="BA171" s="308"/>
      <c r="BB171" s="308"/>
      <c r="BC171" s="308"/>
      <c r="BD171" s="308"/>
      <c r="BE171" s="308"/>
      <c r="BF171" s="308"/>
      <c r="BG171" s="308"/>
      <c r="BH171" s="308"/>
      <c r="BI171" s="308"/>
      <c r="BJ171" s="308"/>
      <c r="BK171" s="308"/>
      <c r="BL171" s="308"/>
      <c r="BM171" s="308"/>
      <c r="BN171" s="308"/>
      <c r="BO171" s="308"/>
      <c r="BP171" s="308"/>
      <c r="BQ171" s="308"/>
      <c r="BR171" s="308"/>
      <c r="BS171" s="308"/>
      <c r="BT171" s="308"/>
      <c r="BU171" s="308"/>
      <c r="BV171" s="308"/>
      <c r="BW171" s="308"/>
      <c r="BX171" s="308"/>
      <c r="BY171" s="308"/>
      <c r="BZ171" s="308"/>
      <c r="CA171" s="308"/>
      <c r="CB171" s="308"/>
      <c r="CC171" s="308"/>
      <c r="CD171" s="308"/>
      <c r="CE171" s="308"/>
      <c r="CF171" s="308"/>
      <c r="CG171" s="308"/>
      <c r="CH171" s="308"/>
      <c r="CI171" s="308"/>
      <c r="CJ171" s="308"/>
      <c r="CK171" s="308"/>
      <c r="CL171" s="308"/>
      <c r="CM171" s="308"/>
      <c r="CN171" s="308"/>
      <c r="CO171" s="308"/>
      <c r="CP171" s="308"/>
      <c r="CQ171" s="308"/>
      <c r="CR171" s="308"/>
      <c r="CS171" s="308"/>
      <c r="CT171" s="308"/>
      <c r="CU171" s="308"/>
      <c r="CV171" s="308"/>
      <c r="CW171" s="308"/>
      <c r="CX171" s="308"/>
      <c r="CY171" s="308"/>
      <c r="CZ171" s="308"/>
      <c r="DA171" s="308"/>
      <c r="DB171" s="308"/>
      <c r="DC171" s="308"/>
      <c r="DD171" s="308"/>
      <c r="DE171" s="308"/>
      <c r="DF171" s="308"/>
      <c r="DG171" s="308"/>
      <c r="DH171" s="308"/>
      <c r="DI171" s="308"/>
      <c r="DJ171" s="308"/>
      <c r="DK171" s="308"/>
      <c r="DL171" s="308"/>
      <c r="DM171" s="308"/>
      <c r="DN171" s="308"/>
      <c r="DO171" s="308"/>
      <c r="DP171" s="308"/>
      <c r="DQ171" s="308"/>
      <c r="DR171" s="308"/>
      <c r="DS171" s="308"/>
      <c r="DT171" s="308"/>
      <c r="DU171" s="308"/>
      <c r="DV171" s="308"/>
      <c r="DW171" s="308"/>
      <c r="DX171" s="308"/>
      <c r="DY171" s="308"/>
      <c r="DZ171" s="308"/>
      <c r="EA171" s="308"/>
      <c r="EB171" s="308"/>
      <c r="EC171" s="308"/>
      <c r="ED171" s="308"/>
      <c r="EE171" s="308"/>
      <c r="EF171" s="308"/>
      <c r="EG171" s="308"/>
      <c r="EH171" s="308"/>
      <c r="EI171" s="308"/>
      <c r="EJ171" s="308"/>
      <c r="EK171" s="308"/>
      <c r="EL171" s="308"/>
      <c r="EM171" s="308"/>
      <c r="EN171" s="308"/>
      <c r="EO171" s="308"/>
      <c r="EP171" s="308"/>
      <c r="EQ171" s="308"/>
      <c r="ER171" s="308"/>
      <c r="ES171" s="308"/>
      <c r="ET171" s="308"/>
      <c r="EU171" s="308"/>
      <c r="EV171" s="308"/>
      <c r="EW171" s="308"/>
      <c r="EX171" s="308"/>
      <c r="EY171" s="308"/>
      <c r="EZ171" s="308"/>
      <c r="FA171" s="308"/>
      <c r="FB171" s="308"/>
      <c r="FC171" s="308"/>
      <c r="FD171" s="308"/>
      <c r="FE171" s="308"/>
      <c r="FF171" s="308"/>
      <c r="FG171" s="308"/>
      <c r="FH171" s="308"/>
      <c r="FI171" s="308"/>
      <c r="FJ171" s="308"/>
      <c r="FK171" s="308"/>
      <c r="FL171" s="308"/>
      <c r="FM171" s="308"/>
      <c r="FN171" s="308"/>
      <c r="FO171" s="308"/>
      <c r="FP171" s="308"/>
      <c r="FQ171" s="308"/>
      <c r="FR171" s="308"/>
      <c r="FS171" s="308"/>
      <c r="FT171" s="308"/>
      <c r="FU171" s="308"/>
      <c r="FV171" s="308"/>
      <c r="FW171" s="308"/>
      <c r="FX171" s="308"/>
      <c r="FY171" s="308"/>
      <c r="FZ171" s="308"/>
      <c r="GA171" s="308"/>
      <c r="GB171" s="308"/>
      <c r="GC171" s="308"/>
      <c r="GD171" s="308"/>
      <c r="GE171" s="308"/>
      <c r="GF171" s="308"/>
      <c r="GG171" s="308"/>
      <c r="GH171" s="308"/>
      <c r="GI171" s="308"/>
      <c r="GJ171" s="308"/>
      <c r="GK171" s="308"/>
      <c r="GL171" s="308"/>
      <c r="GM171" s="308"/>
      <c r="GN171" s="308"/>
      <c r="GO171" s="308"/>
      <c r="GP171" s="308"/>
      <c r="GQ171" s="308"/>
      <c r="GR171" s="308"/>
      <c r="GS171" s="308"/>
      <c r="GT171" s="308"/>
      <c r="GU171" s="308"/>
      <c r="GV171" s="308"/>
      <c r="GW171" s="308"/>
      <c r="GX171" s="308"/>
      <c r="GY171" s="308"/>
      <c r="GZ171" s="308"/>
      <c r="HA171" s="308"/>
      <c r="HB171" s="308"/>
      <c r="HC171" s="308"/>
      <c r="HD171" s="308"/>
      <c r="HE171" s="308"/>
      <c r="HF171" s="308"/>
      <c r="HG171" s="308"/>
      <c r="HH171" s="308"/>
      <c r="HI171" s="308"/>
      <c r="HJ171" s="308"/>
      <c r="HK171" s="308"/>
      <c r="HL171" s="308"/>
      <c r="HM171" s="308"/>
      <c r="HN171" s="308"/>
      <c r="HO171" s="308"/>
      <c r="HP171" s="308"/>
      <c r="HQ171" s="308"/>
      <c r="HR171" s="308"/>
      <c r="HS171" s="308"/>
      <c r="HT171" s="308"/>
      <c r="HU171" s="308"/>
      <c r="HV171" s="308"/>
      <c r="HW171" s="308"/>
      <c r="HX171" s="308"/>
      <c r="HY171" s="308"/>
      <c r="HZ171" s="308"/>
      <c r="IA171" s="308"/>
      <c r="IB171" s="308"/>
      <c r="IC171" s="308"/>
      <c r="ID171" s="308"/>
      <c r="IE171" s="308"/>
      <c r="IF171" s="308"/>
      <c r="IG171" s="308"/>
      <c r="IH171" s="308"/>
      <c r="II171" s="308"/>
      <c r="IJ171" s="308"/>
      <c r="IK171" s="308"/>
      <c r="IL171" s="308"/>
      <c r="IM171" s="308"/>
      <c r="IN171" s="308"/>
      <c r="IO171" s="308"/>
      <c r="IP171" s="308"/>
      <c r="IQ171" s="308"/>
      <c r="IR171" s="308"/>
      <c r="IS171" s="308"/>
      <c r="IT171" s="308"/>
      <c r="IU171" s="308"/>
      <c r="IV171" s="308"/>
      <c r="IW171" s="308"/>
      <c r="IX171" s="308"/>
    </row>
    <row r="172" spans="1:258" s="420" customFormat="1" ht="17.399999999999999" x14ac:dyDescent="0.3">
      <c r="A172" s="122" t="s">
        <v>249</v>
      </c>
      <c r="B172" s="150"/>
      <c r="C172" s="112">
        <f>SUM(C176:C187)</f>
        <v>1</v>
      </c>
      <c r="D172" s="269" t="s">
        <v>473</v>
      </c>
      <c r="E172" s="769">
        <f>IF($F$1="GWP100 without fb",E173+E174*'Common input data'!$C$5+E175*'Common input data'!$D$5,IF($F$1="GWP100 with fb",E173+E174*'Common input data'!$C$6+E175*'Common input data'!$D$6,IF($F$1="GTP100 without fb",E173+E174*'Common input data'!$C$7+E175*'Common input data'!$D$7,IF($F$1="GTP100 with fb",E173+E174*'Common input data'!$C$8+E175*'Common input data'!$D$8,E173+E174*'Common input data'!$C$9+E175*'Common input data'!$D$9))))</f>
        <v>0.19180657631742729</v>
      </c>
      <c r="F172" s="326">
        <f>IF($F$1="GWP100 without fb",F173+F174*'Common input data'!$C$5+F175*'Common input data'!$D$5,IF($F$1="GWP100 with fb",F173+F174*'Common input data'!$C$6+F175*'Common input data'!$D$6,IF($F$1="GTP100 without fb",F173+F174*'Common input data'!$C$7+F175*'Common input data'!$D$7,IF($F$1="GTP100 with fb",F173+F174*'Common input data'!$C$8+F175*'Common input data'!$D$8,F173+F174*'Common input data'!$C$9+F175*'Common input data'!$D$9))))</f>
        <v>0.37809631747809258</v>
      </c>
      <c r="G172" s="770">
        <f>IF($F$1="GWP100 without fb",G173+G174*'Common input data'!$C$5+G175*'Common input data'!$D$5,IF($F$1="GWP100 with fb",G173+G174*'Common input data'!$C$6+G175*'Common input data'!$D$6,IF($F$1="GTP100 without fb",G173+G174*'Common input data'!$C$7+G175*'Common input data'!$D$7,IF($F$1="GTP100 with fb",G173+G174*'Common input data'!$C$8+G175*'Common input data'!$D$8,G173+G174*'Common input data'!$C$9+G175*'Common input data'!$D$9))))</f>
        <v>0.62787482692217766</v>
      </c>
      <c r="H172" s="302"/>
      <c r="I172" s="104"/>
      <c r="J172" s="104"/>
      <c r="K172" s="102"/>
      <c r="L172" s="102"/>
      <c r="M172" s="102"/>
      <c r="N172" s="102"/>
      <c r="O172" s="102"/>
      <c r="P172" s="102"/>
      <c r="Q172" s="102"/>
      <c r="R172" s="102"/>
      <c r="S172" s="102"/>
      <c r="T172" s="102"/>
      <c r="U172" s="102"/>
      <c r="V172" s="430"/>
      <c r="W172" s="243"/>
      <c r="X172" s="308"/>
      <c r="Y172" s="308"/>
      <c r="Z172" s="64"/>
      <c r="AA172" s="308"/>
      <c r="AB172" s="308"/>
      <c r="AC172" s="308"/>
      <c r="AD172" s="308"/>
      <c r="AE172" s="308"/>
      <c r="AF172" s="308"/>
      <c r="AG172" s="308"/>
      <c r="AH172" s="308"/>
      <c r="AI172" s="308"/>
      <c r="AJ172" s="308"/>
      <c r="AK172" s="308"/>
      <c r="AL172" s="308"/>
      <c r="AM172" s="308"/>
      <c r="AN172" s="308"/>
      <c r="AO172" s="308"/>
      <c r="AP172" s="308"/>
      <c r="AQ172" s="308"/>
      <c r="AR172" s="308"/>
      <c r="AS172" s="308"/>
      <c r="AT172" s="308"/>
      <c r="AU172" s="308"/>
      <c r="AV172" s="308"/>
      <c r="AW172" s="308"/>
      <c r="AX172" s="308"/>
      <c r="AY172" s="308"/>
      <c r="AZ172" s="308"/>
      <c r="BA172" s="308"/>
      <c r="BB172" s="308"/>
      <c r="BC172" s="308"/>
      <c r="BD172" s="308"/>
      <c r="BE172" s="308"/>
      <c r="BF172" s="308"/>
      <c r="BG172" s="308"/>
      <c r="BH172" s="308"/>
      <c r="BI172" s="308"/>
      <c r="BJ172" s="308"/>
      <c r="BK172" s="308"/>
      <c r="BL172" s="308"/>
      <c r="BM172" s="308"/>
      <c r="BN172" s="308"/>
      <c r="BO172" s="308"/>
      <c r="BP172" s="308"/>
      <c r="BQ172" s="308"/>
      <c r="BR172" s="308"/>
      <c r="BS172" s="308"/>
      <c r="BT172" s="308"/>
      <c r="BU172" s="308"/>
      <c r="BV172" s="308"/>
      <c r="BW172" s="308"/>
      <c r="BX172" s="308"/>
      <c r="BY172" s="308"/>
      <c r="BZ172" s="308"/>
      <c r="CA172" s="308"/>
      <c r="CB172" s="308"/>
      <c r="CC172" s="308"/>
      <c r="CD172" s="308"/>
      <c r="CE172" s="308"/>
      <c r="CF172" s="308"/>
      <c r="CG172" s="308"/>
      <c r="CH172" s="308"/>
      <c r="CI172" s="308"/>
      <c r="CJ172" s="308"/>
      <c r="CK172" s="308"/>
      <c r="CL172" s="308"/>
      <c r="CM172" s="308"/>
      <c r="CN172" s="308"/>
      <c r="CO172" s="308"/>
      <c r="CP172" s="308"/>
      <c r="CQ172" s="308"/>
      <c r="CR172" s="308"/>
      <c r="CS172" s="308"/>
      <c r="CT172" s="308"/>
      <c r="CU172" s="308"/>
      <c r="CV172" s="308"/>
      <c r="CW172" s="308"/>
      <c r="CX172" s="308"/>
      <c r="CY172" s="308"/>
      <c r="CZ172" s="308"/>
      <c r="DA172" s="308"/>
      <c r="DB172" s="308"/>
      <c r="DC172" s="308"/>
      <c r="DD172" s="308"/>
      <c r="DE172" s="308"/>
      <c r="DF172" s="308"/>
      <c r="DG172" s="308"/>
      <c r="DH172" s="308"/>
      <c r="DI172" s="308"/>
      <c r="DJ172" s="308"/>
      <c r="DK172" s="308"/>
      <c r="DL172" s="308"/>
      <c r="DM172" s="308"/>
      <c r="DN172" s="308"/>
      <c r="DO172" s="308"/>
      <c r="DP172" s="308"/>
      <c r="DQ172" s="308"/>
      <c r="DR172" s="308"/>
      <c r="DS172" s="308"/>
      <c r="DT172" s="308"/>
      <c r="DU172" s="308"/>
      <c r="DV172" s="308"/>
      <c r="DW172" s="308"/>
      <c r="DX172" s="308"/>
      <c r="DY172" s="308"/>
      <c r="DZ172" s="308"/>
      <c r="EA172" s="308"/>
      <c r="EB172" s="308"/>
      <c r="EC172" s="308"/>
      <c r="ED172" s="308"/>
      <c r="EE172" s="308"/>
      <c r="EF172" s="308"/>
      <c r="EG172" s="308"/>
      <c r="EH172" s="308"/>
      <c r="EI172" s="308"/>
      <c r="EJ172" s="308"/>
      <c r="EK172" s="308"/>
      <c r="EL172" s="308"/>
      <c r="EM172" s="308"/>
      <c r="EN172" s="308"/>
      <c r="EO172" s="308"/>
      <c r="EP172" s="308"/>
      <c r="EQ172" s="308"/>
      <c r="ER172" s="308"/>
      <c r="ES172" s="308"/>
      <c r="ET172" s="308"/>
      <c r="EU172" s="308"/>
      <c r="EV172" s="308"/>
      <c r="EW172" s="308"/>
      <c r="EX172" s="308"/>
      <c r="EY172" s="308"/>
      <c r="EZ172" s="308"/>
      <c r="FA172" s="308"/>
      <c r="FB172" s="308"/>
      <c r="FC172" s="308"/>
      <c r="FD172" s="308"/>
      <c r="FE172" s="308"/>
      <c r="FF172" s="308"/>
      <c r="FG172" s="308"/>
      <c r="FH172" s="308"/>
      <c r="FI172" s="308"/>
      <c r="FJ172" s="308"/>
      <c r="FK172" s="308"/>
      <c r="FL172" s="308"/>
      <c r="FM172" s="308"/>
      <c r="FN172" s="308"/>
      <c r="FO172" s="308"/>
      <c r="FP172" s="308"/>
      <c r="FQ172" s="308"/>
      <c r="FR172" s="308"/>
      <c r="FS172" s="308"/>
      <c r="FT172" s="308"/>
      <c r="FU172" s="308"/>
      <c r="FV172" s="308"/>
      <c r="FW172" s="308"/>
      <c r="FX172" s="308"/>
      <c r="FY172" s="308"/>
      <c r="FZ172" s="308"/>
      <c r="GA172" s="308"/>
      <c r="GB172" s="308"/>
      <c r="GC172" s="308"/>
      <c r="GD172" s="308"/>
      <c r="GE172" s="308"/>
      <c r="GF172" s="308"/>
      <c r="GG172" s="308"/>
      <c r="GH172" s="308"/>
      <c r="GI172" s="308"/>
      <c r="GJ172" s="308"/>
      <c r="GK172" s="308"/>
      <c r="GL172" s="308"/>
      <c r="GM172" s="308"/>
      <c r="GN172" s="308"/>
      <c r="GO172" s="308"/>
      <c r="GP172" s="308"/>
      <c r="GQ172" s="308"/>
      <c r="GR172" s="308"/>
      <c r="GS172" s="308"/>
      <c r="GT172" s="308"/>
      <c r="GU172" s="308"/>
      <c r="GV172" s="308"/>
      <c r="GW172" s="308"/>
      <c r="GX172" s="308"/>
      <c r="GY172" s="308"/>
      <c r="GZ172" s="308"/>
      <c r="HA172" s="308"/>
      <c r="HB172" s="308"/>
      <c r="HC172" s="308"/>
      <c r="HD172" s="308"/>
      <c r="HE172" s="308"/>
      <c r="HF172" s="308"/>
      <c r="HG172" s="308"/>
      <c r="HH172" s="308"/>
      <c r="HI172" s="308"/>
      <c r="HJ172" s="308"/>
      <c r="HK172" s="308"/>
      <c r="HL172" s="308"/>
      <c r="HM172" s="308"/>
      <c r="HN172" s="308"/>
      <c r="HO172" s="308"/>
      <c r="HP172" s="308"/>
      <c r="HQ172" s="308"/>
      <c r="HR172" s="308"/>
      <c r="HS172" s="308"/>
      <c r="HT172" s="308"/>
      <c r="HU172" s="308"/>
      <c r="HV172" s="308"/>
      <c r="HW172" s="308"/>
      <c r="HX172" s="308"/>
      <c r="HY172" s="308"/>
      <c r="HZ172" s="308"/>
      <c r="IA172" s="308"/>
      <c r="IB172" s="308"/>
      <c r="IC172" s="308"/>
      <c r="ID172" s="308"/>
      <c r="IE172" s="308"/>
      <c r="IF172" s="308"/>
      <c r="IG172" s="308"/>
      <c r="IH172" s="308"/>
      <c r="II172" s="308"/>
      <c r="IJ172" s="308"/>
      <c r="IK172" s="308"/>
      <c r="IL172" s="308"/>
      <c r="IM172" s="308"/>
      <c r="IN172" s="308"/>
      <c r="IO172" s="308"/>
      <c r="IP172" s="308"/>
      <c r="IQ172" s="308"/>
      <c r="IR172" s="308"/>
      <c r="IS172" s="308"/>
      <c r="IT172" s="308"/>
      <c r="IU172" s="308"/>
      <c r="IV172" s="308"/>
      <c r="IW172" s="308"/>
      <c r="IX172" s="308"/>
    </row>
    <row r="173" spans="1:258" s="308" customFormat="1" ht="17.399999999999999" x14ac:dyDescent="0.3">
      <c r="A173" s="103"/>
      <c r="B173" s="84"/>
      <c r="C173" s="64"/>
      <c r="D173" s="83" t="s">
        <v>164</v>
      </c>
      <c r="E173" s="270">
        <f t="shared" ref="E173:G175" si="19">E177*$C$176+E181*$C$180+$C$184*E185</f>
        <v>3.9989486962957101E-2</v>
      </c>
      <c r="F173" s="90">
        <f t="shared" si="19"/>
        <v>0.16889605227590926</v>
      </c>
      <c r="G173" s="278">
        <f t="shared" si="19"/>
        <v>0.3782027118700434</v>
      </c>
      <c r="H173" s="90">
        <f t="shared" ref="H173:U175" si="20">H177*$C$176+H181*$C$180+$C$184*H185</f>
        <v>4.2291697731878894E-2</v>
      </c>
      <c r="I173" s="90">
        <f t="shared" si="20"/>
        <v>0.03</v>
      </c>
      <c r="J173" s="90">
        <f t="shared" si="20"/>
        <v>0</v>
      </c>
      <c r="K173" s="90">
        <f t="shared" si="20"/>
        <v>0</v>
      </c>
      <c r="L173" s="90">
        <f t="shared" si="20"/>
        <v>3.6614867581073282E-2</v>
      </c>
      <c r="M173" s="90">
        <f t="shared" si="20"/>
        <v>0</v>
      </c>
      <c r="N173" s="90">
        <f t="shared" si="20"/>
        <v>0.02</v>
      </c>
      <c r="O173" s="90">
        <f t="shared" si="20"/>
        <v>0</v>
      </c>
      <c r="P173" s="90">
        <f t="shared" si="20"/>
        <v>3.9989486962957101E-2</v>
      </c>
      <c r="Q173" s="90">
        <f t="shared" si="20"/>
        <v>0</v>
      </c>
      <c r="R173" s="90">
        <f t="shared" si="20"/>
        <v>0</v>
      </c>
      <c r="S173" s="90">
        <f t="shared" si="20"/>
        <v>0.16889605227590926</v>
      </c>
      <c r="T173" s="90">
        <f t="shared" si="20"/>
        <v>0.05</v>
      </c>
      <c r="U173" s="90">
        <f t="shared" si="20"/>
        <v>9.8000000000000018E-2</v>
      </c>
      <c r="V173" s="430"/>
      <c r="W173" s="243"/>
      <c r="Z173" s="64"/>
    </row>
    <row r="174" spans="1:258" s="308" customFormat="1" ht="17.399999999999999" x14ac:dyDescent="0.3">
      <c r="A174" s="103"/>
      <c r="B174" s="84"/>
      <c r="C174" s="142"/>
      <c r="D174" s="83" t="s">
        <v>165</v>
      </c>
      <c r="E174" s="270">
        <f t="shared" si="19"/>
        <v>0</v>
      </c>
      <c r="F174" s="90">
        <f t="shared" si="19"/>
        <v>1.6219287118124664E-5</v>
      </c>
      <c r="G174" s="278">
        <f t="shared" si="19"/>
        <v>1.9357067810149976E-5</v>
      </c>
      <c r="H174" s="90">
        <f t="shared" si="20"/>
        <v>1.3542224090858298E-10</v>
      </c>
      <c r="I174" s="90">
        <f t="shared" si="20"/>
        <v>0</v>
      </c>
      <c r="J174" s="90">
        <f t="shared" si="20"/>
        <v>0</v>
      </c>
      <c r="K174" s="90">
        <f t="shared" si="20"/>
        <v>0</v>
      </c>
      <c r="L174" s="90">
        <f t="shared" si="20"/>
        <v>1.6219151695883755E-5</v>
      </c>
      <c r="M174" s="90">
        <f t="shared" si="20"/>
        <v>0</v>
      </c>
      <c r="N174" s="90">
        <f t="shared" si="20"/>
        <v>0</v>
      </c>
      <c r="O174" s="90">
        <f t="shared" si="20"/>
        <v>0</v>
      </c>
      <c r="P174" s="90">
        <f t="shared" si="20"/>
        <v>0</v>
      </c>
      <c r="Q174" s="90">
        <f t="shared" si="20"/>
        <v>0</v>
      </c>
      <c r="R174" s="90">
        <f t="shared" si="20"/>
        <v>0</v>
      </c>
      <c r="S174" s="90">
        <f t="shared" si="20"/>
        <v>1.6219287118124664E-5</v>
      </c>
      <c r="T174" s="90">
        <f t="shared" si="20"/>
        <v>0</v>
      </c>
      <c r="U174" s="90">
        <f t="shared" si="20"/>
        <v>0</v>
      </c>
      <c r="V174" s="430"/>
      <c r="W174" s="243"/>
      <c r="Z174" s="64"/>
    </row>
    <row r="175" spans="1:258" s="308" customFormat="1" ht="17.399999999999999" x14ac:dyDescent="0.3">
      <c r="A175" s="107"/>
      <c r="B175" s="206"/>
      <c r="C175" s="85"/>
      <c r="D175" s="84" t="s">
        <v>166</v>
      </c>
      <c r="E175" s="270">
        <f t="shared" si="19"/>
        <v>5.0945331998144357E-4</v>
      </c>
      <c r="F175" s="90">
        <f t="shared" si="19"/>
        <v>7.0016379006767487E-4</v>
      </c>
      <c r="G175" s="278">
        <f t="shared" si="19"/>
        <v>8.3561736492144027E-4</v>
      </c>
      <c r="H175" s="90">
        <f t="shared" si="20"/>
        <v>1.8972661431877359E-4</v>
      </c>
      <c r="I175" s="90">
        <f t="shared" si="20"/>
        <v>0</v>
      </c>
      <c r="J175" s="90">
        <f t="shared" si="20"/>
        <v>4.6313938180131224E-4</v>
      </c>
      <c r="K175" s="90">
        <f t="shared" si="20"/>
        <v>4.6313938180131227E-5</v>
      </c>
      <c r="L175" s="90">
        <f t="shared" si="20"/>
        <v>9.8385576745771222E-7</v>
      </c>
      <c r="M175" s="90">
        <f t="shared" si="20"/>
        <v>0</v>
      </c>
      <c r="N175" s="90">
        <f t="shared" si="20"/>
        <v>0</v>
      </c>
      <c r="O175" s="90">
        <f t="shared" si="20"/>
        <v>0</v>
      </c>
      <c r="P175" s="90">
        <f t="shared" si="20"/>
        <v>0</v>
      </c>
      <c r="Q175" s="90">
        <f t="shared" si="20"/>
        <v>0</v>
      </c>
      <c r="R175" s="90">
        <f t="shared" si="20"/>
        <v>0</v>
      </c>
      <c r="S175" s="90">
        <f t="shared" si="20"/>
        <v>7.0016379006767487E-4</v>
      </c>
      <c r="T175" s="90">
        <f t="shared" si="20"/>
        <v>0</v>
      </c>
      <c r="U175" s="90">
        <f t="shared" si="20"/>
        <v>0</v>
      </c>
      <c r="V175" s="430"/>
      <c r="W175" s="243"/>
      <c r="Z175" s="64"/>
    </row>
    <row r="176" spans="1:258" s="420" customFormat="1" ht="17.399999999999999" x14ac:dyDescent="0.3">
      <c r="A176" s="122" t="s">
        <v>1</v>
      </c>
      <c r="B176" s="150" t="s">
        <v>225</v>
      </c>
      <c r="C176" s="111">
        <f>'Input data plant-based products'!D58</f>
        <v>0.66</v>
      </c>
      <c r="D176" s="269" t="s">
        <v>473</v>
      </c>
      <c r="E176" s="320">
        <f>IF($F$1="GWP100 without fb",E177+E178*'Common input data'!$C$5+E179*'Common input data'!$D$5,IF($F$1="GWP100 with fb",E177+E178*'Common input data'!$C$6+E179*'Common input data'!$D$6,IF($F$1="GTP100 without fb",E177+E178*'Common input data'!$C$7+E179*'Common input data'!$D$7,IF($F$1="GTP100 with fb",E177+E178*'Common input data'!$C$8+E179*'Common input data'!$D$8,E177+E178*'Common input data'!$C$9+E179*'Common input data'!$D$9))))</f>
        <v>0.20094562461723553</v>
      </c>
      <c r="F176" s="302">
        <f>IF($F$1="GWP100 without fb",F177+F178*'Common input data'!$C$5+F179*'Common input data'!$D$5,IF($F$1="GWP100 with fb",F177+F178*'Common input data'!$C$6+F179*'Common input data'!$D$6,IF($F$1="GTP100 without fb",F177+F178*'Common input data'!$C$7+F179*'Common input data'!$D$7,IF($F$1="GTP100 with fb",F177+F178*'Common input data'!$C$8+F179*'Common input data'!$D$8,F177+F178*'Common input data'!$C$9+F179*'Common input data'!$D$9))))</f>
        <v>0.39507123091547386</v>
      </c>
      <c r="G176" s="321">
        <f>IF($F$1="GWP100 without fb",G177+G178*'Common input data'!$C$5+G179*'Common input data'!$D$5,IF($F$1="GWP100 with fb",G177+G178*'Common input data'!$C$6+G179*'Common input data'!$D$6,IF($F$1="GTP100 without fb",G177+G178*'Common input data'!$C$7+G179*'Common input data'!$D$7,IF($F$1="GTP100 with fb",G177+G178*'Common input data'!$C$8+G179*'Common input data'!$D$8,G177+G178*'Common input data'!$C$9+G179*'Common input data'!$D$9))))</f>
        <v>0.56697843527327119</v>
      </c>
      <c r="H176" s="102"/>
      <c r="I176" s="102"/>
      <c r="J176" s="102"/>
      <c r="K176" s="102"/>
      <c r="L176" s="102"/>
      <c r="M176" s="102"/>
      <c r="N176" s="102"/>
      <c r="O176" s="102"/>
      <c r="P176" s="102"/>
      <c r="Q176" s="102"/>
      <c r="R176" s="102"/>
      <c r="S176" s="102"/>
      <c r="T176" s="102"/>
      <c r="U176" s="102"/>
      <c r="V176" s="430"/>
      <c r="W176" s="243"/>
      <c r="X176" s="308"/>
      <c r="Y176" s="308"/>
      <c r="Z176" s="64"/>
      <c r="AA176" s="308"/>
      <c r="AB176" s="308"/>
      <c r="AC176" s="308"/>
      <c r="AD176" s="308"/>
      <c r="AE176" s="308"/>
      <c r="AF176" s="308"/>
      <c r="AG176" s="308"/>
      <c r="AH176" s="308"/>
      <c r="AI176" s="308"/>
      <c r="AJ176" s="308"/>
      <c r="AK176" s="308"/>
      <c r="AL176" s="308"/>
      <c r="AM176" s="308"/>
      <c r="AN176" s="308"/>
      <c r="AO176" s="308"/>
      <c r="AP176" s="308"/>
      <c r="AQ176" s="308"/>
      <c r="AR176" s="308"/>
      <c r="AS176" s="308"/>
      <c r="AT176" s="308"/>
      <c r="AU176" s="308"/>
      <c r="AV176" s="308"/>
      <c r="AW176" s="308"/>
      <c r="AX176" s="308"/>
      <c r="AY176" s="308"/>
      <c r="AZ176" s="308"/>
      <c r="BA176" s="308"/>
      <c r="BB176" s="308"/>
      <c r="BC176" s="308"/>
      <c r="BD176" s="308"/>
      <c r="BE176" s="308"/>
      <c r="BF176" s="308"/>
      <c r="BG176" s="308"/>
      <c r="BH176" s="308"/>
      <c r="BI176" s="308"/>
      <c r="BJ176" s="308"/>
      <c r="BK176" s="308"/>
      <c r="BL176" s="308"/>
      <c r="BM176" s="308"/>
      <c r="BN176" s="308"/>
      <c r="BO176" s="308"/>
      <c r="BP176" s="308"/>
      <c r="BQ176" s="308"/>
      <c r="BR176" s="308"/>
      <c r="BS176" s="308"/>
      <c r="BT176" s="308"/>
      <c r="BU176" s="308"/>
      <c r="BV176" s="308"/>
      <c r="BW176" s="308"/>
      <c r="BX176" s="308"/>
      <c r="BY176" s="308"/>
      <c r="BZ176" s="308"/>
      <c r="CA176" s="308"/>
      <c r="CB176" s="308"/>
      <c r="CC176" s="308"/>
      <c r="CD176" s="308"/>
      <c r="CE176" s="308"/>
      <c r="CF176" s="308"/>
      <c r="CG176" s="308"/>
      <c r="CH176" s="308"/>
      <c r="CI176" s="308"/>
      <c r="CJ176" s="308"/>
      <c r="CK176" s="308"/>
      <c r="CL176" s="308"/>
      <c r="CM176" s="308"/>
      <c r="CN176" s="308"/>
      <c r="CO176" s="308"/>
      <c r="CP176" s="308"/>
      <c r="CQ176" s="308"/>
      <c r="CR176" s="308"/>
      <c r="CS176" s="308"/>
      <c r="CT176" s="308"/>
      <c r="CU176" s="308"/>
      <c r="CV176" s="308"/>
      <c r="CW176" s="308"/>
      <c r="CX176" s="308"/>
      <c r="CY176" s="308"/>
      <c r="CZ176" s="308"/>
      <c r="DA176" s="308"/>
      <c r="DB176" s="308"/>
      <c r="DC176" s="308"/>
      <c r="DD176" s="308"/>
      <c r="DE176" s="308"/>
      <c r="DF176" s="308"/>
      <c r="DG176" s="308"/>
      <c r="DH176" s="308"/>
      <c r="DI176" s="308"/>
      <c r="DJ176" s="308"/>
      <c r="DK176" s="308"/>
      <c r="DL176" s="308"/>
      <c r="DM176" s="308"/>
      <c r="DN176" s="308"/>
      <c r="DO176" s="308"/>
      <c r="DP176" s="308"/>
      <c r="DQ176" s="308"/>
      <c r="DR176" s="308"/>
      <c r="DS176" s="308"/>
      <c r="DT176" s="308"/>
      <c r="DU176" s="308"/>
      <c r="DV176" s="308"/>
      <c r="DW176" s="308"/>
      <c r="DX176" s="308"/>
      <c r="DY176" s="308"/>
      <c r="DZ176" s="308"/>
      <c r="EA176" s="308"/>
      <c r="EB176" s="308"/>
      <c r="EC176" s="308"/>
      <c r="ED176" s="308"/>
      <c r="EE176" s="308"/>
      <c r="EF176" s="308"/>
      <c r="EG176" s="308"/>
      <c r="EH176" s="308"/>
      <c r="EI176" s="308"/>
      <c r="EJ176" s="308"/>
      <c r="EK176" s="308"/>
      <c r="EL176" s="308"/>
      <c r="EM176" s="308"/>
      <c r="EN176" s="308"/>
      <c r="EO176" s="308"/>
      <c r="EP176" s="308"/>
      <c r="EQ176" s="308"/>
      <c r="ER176" s="308"/>
      <c r="ES176" s="308"/>
      <c r="ET176" s="308"/>
      <c r="EU176" s="308"/>
      <c r="EV176" s="308"/>
      <c r="EW176" s="308"/>
      <c r="EX176" s="308"/>
      <c r="EY176" s="308"/>
      <c r="EZ176" s="308"/>
      <c r="FA176" s="308"/>
      <c r="FB176" s="308"/>
      <c r="FC176" s="308"/>
      <c r="FD176" s="308"/>
      <c r="FE176" s="308"/>
      <c r="FF176" s="308"/>
      <c r="FG176" s="308"/>
      <c r="FH176" s="308"/>
      <c r="FI176" s="308"/>
      <c r="FJ176" s="308"/>
      <c r="FK176" s="308"/>
      <c r="FL176" s="308"/>
      <c r="FM176" s="308"/>
      <c r="FN176" s="308"/>
      <c r="FO176" s="308"/>
      <c r="FP176" s="308"/>
      <c r="FQ176" s="308"/>
      <c r="FR176" s="308"/>
      <c r="FS176" s="308"/>
      <c r="FT176" s="308"/>
      <c r="FU176" s="308"/>
      <c r="FV176" s="308"/>
      <c r="FW176" s="308"/>
      <c r="FX176" s="308"/>
      <c r="FY176" s="308"/>
      <c r="FZ176" s="308"/>
      <c r="GA176" s="308"/>
      <c r="GB176" s="308"/>
      <c r="GC176" s="308"/>
      <c r="GD176" s="308"/>
      <c r="GE176" s="308"/>
      <c r="GF176" s="308"/>
      <c r="GG176" s="308"/>
      <c r="GH176" s="308"/>
      <c r="GI176" s="308"/>
      <c r="GJ176" s="308"/>
      <c r="GK176" s="308"/>
      <c r="GL176" s="308"/>
      <c r="GM176" s="308"/>
      <c r="GN176" s="308"/>
      <c r="GO176" s="308"/>
      <c r="GP176" s="308"/>
      <c r="GQ176" s="308"/>
      <c r="GR176" s="308"/>
      <c r="GS176" s="308"/>
      <c r="GT176" s="308"/>
      <c r="GU176" s="308"/>
      <c r="GV176" s="308"/>
      <c r="GW176" s="308"/>
      <c r="GX176" s="308"/>
      <c r="GY176" s="308"/>
      <c r="GZ176" s="308"/>
      <c r="HA176" s="308"/>
      <c r="HB176" s="308"/>
      <c r="HC176" s="308"/>
      <c r="HD176" s="308"/>
      <c r="HE176" s="308"/>
      <c r="HF176" s="308"/>
      <c r="HG176" s="308"/>
      <c r="HH176" s="308"/>
      <c r="HI176" s="308"/>
      <c r="HJ176" s="308"/>
      <c r="HK176" s="308"/>
      <c r="HL176" s="308"/>
      <c r="HM176" s="308"/>
      <c r="HN176" s="308"/>
      <c r="HO176" s="308"/>
      <c r="HP176" s="308"/>
      <c r="HQ176" s="308"/>
      <c r="HR176" s="308"/>
      <c r="HS176" s="308"/>
      <c r="HT176" s="308"/>
      <c r="HU176" s="308"/>
      <c r="HV176" s="308"/>
      <c r="HW176" s="308"/>
      <c r="HX176" s="308"/>
      <c r="HY176" s="308"/>
      <c r="HZ176" s="308"/>
      <c r="IA176" s="308"/>
      <c r="IB176" s="308"/>
      <c r="IC176" s="308"/>
      <c r="ID176" s="308"/>
      <c r="IE176" s="308"/>
      <c r="IF176" s="308"/>
      <c r="IG176" s="308"/>
      <c r="IH176" s="308"/>
      <c r="II176" s="308"/>
      <c r="IJ176" s="308"/>
      <c r="IK176" s="308"/>
      <c r="IL176" s="308"/>
      <c r="IM176" s="308"/>
      <c r="IN176" s="308"/>
      <c r="IO176" s="308"/>
      <c r="IP176" s="308"/>
      <c r="IQ176" s="308"/>
      <c r="IR176" s="308"/>
      <c r="IS176" s="308"/>
      <c r="IT176" s="308"/>
      <c r="IU176" s="308"/>
      <c r="IV176" s="308"/>
      <c r="IW176" s="308"/>
      <c r="IX176" s="308"/>
    </row>
    <row r="177" spans="1:258" s="308" customFormat="1" ht="17.399999999999999" x14ac:dyDescent="0.3">
      <c r="A177" s="103"/>
      <c r="B177" s="84"/>
      <c r="C177" s="64"/>
      <c r="D177" s="83" t="s">
        <v>164</v>
      </c>
      <c r="E177" s="270">
        <f>IF(AND($F$2="No",$F$3="No"),SUM(J177:K177),IF(AND($F$2="Yes", $F$3="No"), SUM(J177:K177)+Q177, IF(AND($F$2="No", $F$3="Yes"),SUM(J177:K177)+P177, SUM(J177:K177)+Q177+P177)))</f>
        <v>3.9989486962957101E-2</v>
      </c>
      <c r="F177" s="90">
        <f>IF(AND($F$2="No",$F$3="No"),SUM(H177:O177),IF(AND($F$2="Yes", $F$3="No"), SUM(H177:O177)+Q177, IF(AND($F$2="No", $F$3="Yes"),SUM(H177:O177)+P177, SUM(H177:O177)+Q177+P177)))</f>
        <v>0.17903646450013871</v>
      </c>
      <c r="G177" s="278">
        <f>SUM(S177:U177)/(1-'Common input data'!$B$121)</f>
        <v>0.30914961749628683</v>
      </c>
      <c r="H177" s="90">
        <f>('Input data plant-based products'!$F$58*('Common input data'!$B$76*'Common input data'!B69+'Common input data'!$B$77*'Common input data'!C69))/'Input data plant-based products'!$E$58</f>
        <v>4.4659015891171112E-2</v>
      </c>
      <c r="I177" s="90">
        <f>'Common input data'!$B$81</f>
        <v>0.03</v>
      </c>
      <c r="J177" s="90">
        <v>0</v>
      </c>
      <c r="K177" s="90">
        <v>0</v>
      </c>
      <c r="L177" s="90">
        <f>('Input data plant-based products'!$I$58*'Common input data'!$C$59*'Common input data'!H49)/'Input data plant-based products'!$E$58</f>
        <v>4.4387961646010526E-2</v>
      </c>
      <c r="M177" s="90">
        <v>0</v>
      </c>
      <c r="N177" s="90">
        <f>'Input data plant-based products'!$G$152</f>
        <v>0.02</v>
      </c>
      <c r="O177" s="90">
        <v>0</v>
      </c>
      <c r="P177" s="90">
        <f>'Common input data'!$E$13</f>
        <v>3.9989486962957101E-2</v>
      </c>
      <c r="Q177" s="90">
        <v>0</v>
      </c>
      <c r="R177" s="90">
        <v>0</v>
      </c>
      <c r="S177" s="90">
        <f>(F177+R177)</f>
        <v>0.17903646450013871</v>
      </c>
      <c r="T177" s="90">
        <f>'Common input data'!$B$88</f>
        <v>0.05</v>
      </c>
      <c r="U177" s="90">
        <f>'Common input data'!C98</f>
        <v>0.03</v>
      </c>
      <c r="V177" s="430"/>
      <c r="W177" s="243"/>
      <c r="Z177" s="64"/>
    </row>
    <row r="178" spans="1:258" s="308" customFormat="1" ht="17.399999999999999" x14ac:dyDescent="0.3">
      <c r="A178" s="107"/>
      <c r="B178" s="84"/>
      <c r="C178" s="142"/>
      <c r="D178" s="83" t="s">
        <v>165</v>
      </c>
      <c r="E178" s="270">
        <f>SUM(J178:K178)</f>
        <v>0</v>
      </c>
      <c r="F178" s="90">
        <f>SUM(H178:O178)</f>
        <v>1.9662489822831583E-5</v>
      </c>
      <c r="G178" s="278">
        <f>SUM(S178:U178)/(1-'Common input data'!$B$121)</f>
        <v>2.3466391959460059E-5</v>
      </c>
      <c r="H178" s="90">
        <f>('Input data plant-based products'!$F$58*('Common input data'!$B$76*'Common input data'!B70+'Common input data'!$B$77*'Common input data'!C70))/'Input data plant-based products'!$E$58</f>
        <v>1.1956261907073975E-10</v>
      </c>
      <c r="I178" s="90">
        <v>0</v>
      </c>
      <c r="J178" s="90">
        <v>0</v>
      </c>
      <c r="K178" s="90">
        <v>0</v>
      </c>
      <c r="L178" s="90">
        <f>('Input data plant-based products'!$I$58*'Common input data'!$C$59*'Common input data'!H50)/'Input data plant-based products'!$E$58</f>
        <v>1.9662370260212514E-5</v>
      </c>
      <c r="M178" s="90">
        <v>0</v>
      </c>
      <c r="N178" s="90">
        <v>0</v>
      </c>
      <c r="O178" s="90">
        <v>0</v>
      </c>
      <c r="P178" s="90">
        <v>0</v>
      </c>
      <c r="Q178" s="90">
        <v>0</v>
      </c>
      <c r="R178" s="90">
        <v>0</v>
      </c>
      <c r="S178" s="90">
        <f>(F178+R178)</f>
        <v>1.9662489822831583E-5</v>
      </c>
      <c r="T178" s="90">
        <v>0</v>
      </c>
      <c r="U178" s="90">
        <v>0</v>
      </c>
      <c r="V178" s="430"/>
      <c r="W178" s="243"/>
      <c r="Z178" s="64"/>
    </row>
    <row r="179" spans="1:258" s="308" customFormat="1" ht="17.399999999999999" x14ac:dyDescent="0.3">
      <c r="A179" s="174"/>
      <c r="B179" s="206"/>
      <c r="C179" s="85"/>
      <c r="D179" s="84" t="s">
        <v>166</v>
      </c>
      <c r="E179" s="270">
        <f>SUM(J179:K179)</f>
        <v>5.4012126729623632E-4</v>
      </c>
      <c r="F179" s="90">
        <f>SUM(H179:O179)</f>
        <v>7.2270550926630493E-4</v>
      </c>
      <c r="G179" s="278">
        <f>SUM(S179:U179)/(1-'Common input data'!$B$121)</f>
        <v>8.6252000151128413E-4</v>
      </c>
      <c r="H179" s="90">
        <f>('Input data plant-based products'!$F$58*('Common input data'!$B$76*'Common input data'!B71+'Common input data'!$B$77*'Common input data'!C71))/'Input data plant-based products'!$E$58</f>
        <v>1.8139152013448034E-4</v>
      </c>
      <c r="I179" s="90">
        <v>0</v>
      </c>
      <c r="J179" s="90">
        <f>(SUM('Input data plant-based products'!F58:H58)*'Input data plant-based products'!$B$114*44/28)/'Input data plant-based products'!E58</f>
        <v>4.9101933390566937E-4</v>
      </c>
      <c r="K179" s="90">
        <f>J179*'Input data plant-based products'!$B$115</f>
        <v>4.9101933390566941E-5</v>
      </c>
      <c r="L179" s="90">
        <f>('Input data plant-based products'!$I$58*'Common input data'!$C$59*'Common input data'!H51)/'Input data plant-based products'!$E$58</f>
        <v>1.1927218355882702E-6</v>
      </c>
      <c r="M179" s="90">
        <v>0</v>
      </c>
      <c r="N179" s="90">
        <v>0</v>
      </c>
      <c r="O179" s="90">
        <v>0</v>
      </c>
      <c r="P179" s="90">
        <v>0</v>
      </c>
      <c r="Q179" s="90">
        <v>0</v>
      </c>
      <c r="R179" s="90">
        <v>0</v>
      </c>
      <c r="S179" s="90">
        <f>(F179+R179)</f>
        <v>7.2270550926630493E-4</v>
      </c>
      <c r="T179" s="90">
        <v>0</v>
      </c>
      <c r="U179" s="90">
        <v>0</v>
      </c>
      <c r="V179" s="430"/>
      <c r="W179" s="243"/>
      <c r="Z179" s="64"/>
    </row>
    <row r="180" spans="1:258" s="420" customFormat="1" ht="17.399999999999999" x14ac:dyDescent="0.3">
      <c r="A180" s="122" t="s">
        <v>74</v>
      </c>
      <c r="B180" s="150" t="s">
        <v>225</v>
      </c>
      <c r="C180" s="111">
        <f>'Input data plant-based products'!D59</f>
        <v>0.14000000000000001</v>
      </c>
      <c r="D180" s="269" t="s">
        <v>473</v>
      </c>
      <c r="E180" s="320">
        <f>IF($F$1="GWP100 without fb",E181+E182*'Common input data'!$C$5+E183*'Common input data'!$D$5,IF($F$1="GWP100 with fb",E181+E182*'Common input data'!$C$6+E183*'Common input data'!$D$6,IF($F$1="GTP100 without fb",E181+E182*'Common input data'!$C$7+E183*'Common input data'!$D$7,IF($F$1="GTP100 with fb",E181+E182*'Common input data'!$C$8+E183*'Common input data'!$D$8,E181+E182*'Common input data'!$C$9+E183*'Common input data'!$D$9))))</f>
        <v>0.18603892937571403</v>
      </c>
      <c r="F180" s="302">
        <f>IF($F$1="GWP100 without fb",F181+F182*'Common input data'!$C$5+F183*'Common input data'!$D$5,IF($F$1="GWP100 with fb",F181+F182*'Common input data'!$C$6+F183*'Common input data'!$D$6,IF($F$1="GTP100 without fb",F181+F182*'Common input data'!$C$7+F183*'Common input data'!$D$7,IF($F$1="GTP100 with fb",F181+F182*'Common input data'!$C$8+F183*'Common input data'!$D$8,F181+F182*'Common input data'!$C$9+F183*'Common input data'!$D$9))))</f>
        <v>0.37842676231199179</v>
      </c>
      <c r="G180" s="321">
        <f>IF($F$1="GWP100 without fb",G181+G182*'Common input data'!$C$5+G183*'Common input data'!$D$5,IF($F$1="GWP100 with fb",G181+G182*'Common input data'!$C$6+G183*'Common input data'!$D$6,IF($F$1="GTP100 without fb",G181+G182*'Common input data'!$C$7+G183*'Common input data'!$D$7,IF($F$1="GTP100 with fb",G181+G182*'Common input data'!$C$8+G183*'Common input data'!$D$8,G181+G182*'Common input data'!$C$9+G183*'Common input data'!$D$9))))</f>
        <v>0.78580589845087934</v>
      </c>
      <c r="H180" s="102"/>
      <c r="I180" s="102"/>
      <c r="J180" s="102"/>
      <c r="K180" s="102"/>
      <c r="L180" s="102"/>
      <c r="M180" s="102"/>
      <c r="N180" s="102"/>
      <c r="O180" s="102"/>
      <c r="P180" s="102"/>
      <c r="Q180" s="102"/>
      <c r="R180" s="102"/>
      <c r="S180" s="102"/>
      <c r="T180" s="102"/>
      <c r="U180" s="102"/>
      <c r="V180" s="430"/>
      <c r="W180" s="243"/>
      <c r="X180" s="308"/>
      <c r="Y180" s="308"/>
      <c r="Z180" s="64"/>
      <c r="AA180" s="308"/>
      <c r="AB180" s="308"/>
      <c r="AC180" s="308"/>
      <c r="AD180" s="308"/>
      <c r="AE180" s="308"/>
      <c r="AF180" s="308"/>
      <c r="AG180" s="308"/>
      <c r="AH180" s="308"/>
      <c r="AI180" s="308"/>
      <c r="AJ180" s="308"/>
      <c r="AK180" s="308"/>
      <c r="AL180" s="308"/>
      <c r="AM180" s="308"/>
      <c r="AN180" s="308"/>
      <c r="AO180" s="308"/>
      <c r="AP180" s="308"/>
      <c r="AQ180" s="308"/>
      <c r="AR180" s="308"/>
      <c r="AS180" s="308"/>
      <c r="AT180" s="308"/>
      <c r="AU180" s="308"/>
      <c r="AV180" s="308"/>
      <c r="AW180" s="308"/>
      <c r="AX180" s="308"/>
      <c r="AY180" s="308"/>
      <c r="AZ180" s="308"/>
      <c r="BA180" s="308"/>
      <c r="BB180" s="308"/>
      <c r="BC180" s="308"/>
      <c r="BD180" s="308"/>
      <c r="BE180" s="308"/>
      <c r="BF180" s="308"/>
      <c r="BG180" s="308"/>
      <c r="BH180" s="308"/>
      <c r="BI180" s="308"/>
      <c r="BJ180" s="308"/>
      <c r="BK180" s="308"/>
      <c r="BL180" s="308"/>
      <c r="BM180" s="308"/>
      <c r="BN180" s="308"/>
      <c r="BO180" s="308"/>
      <c r="BP180" s="308"/>
      <c r="BQ180" s="308"/>
      <c r="BR180" s="308"/>
      <c r="BS180" s="308"/>
      <c r="BT180" s="308"/>
      <c r="BU180" s="308"/>
      <c r="BV180" s="308"/>
      <c r="BW180" s="308"/>
      <c r="BX180" s="308"/>
      <c r="BY180" s="308"/>
      <c r="BZ180" s="308"/>
      <c r="CA180" s="308"/>
      <c r="CB180" s="308"/>
      <c r="CC180" s="308"/>
      <c r="CD180" s="308"/>
      <c r="CE180" s="308"/>
      <c r="CF180" s="308"/>
      <c r="CG180" s="308"/>
      <c r="CH180" s="308"/>
      <c r="CI180" s="308"/>
      <c r="CJ180" s="308"/>
      <c r="CK180" s="308"/>
      <c r="CL180" s="308"/>
      <c r="CM180" s="308"/>
      <c r="CN180" s="308"/>
      <c r="CO180" s="308"/>
      <c r="CP180" s="308"/>
      <c r="CQ180" s="308"/>
      <c r="CR180" s="308"/>
      <c r="CS180" s="308"/>
      <c r="CT180" s="308"/>
      <c r="CU180" s="308"/>
      <c r="CV180" s="308"/>
      <c r="CW180" s="308"/>
      <c r="CX180" s="308"/>
      <c r="CY180" s="308"/>
      <c r="CZ180" s="308"/>
      <c r="DA180" s="308"/>
      <c r="DB180" s="308"/>
      <c r="DC180" s="308"/>
      <c r="DD180" s="308"/>
      <c r="DE180" s="308"/>
      <c r="DF180" s="308"/>
      <c r="DG180" s="308"/>
      <c r="DH180" s="308"/>
      <c r="DI180" s="308"/>
      <c r="DJ180" s="308"/>
      <c r="DK180" s="308"/>
      <c r="DL180" s="308"/>
      <c r="DM180" s="308"/>
      <c r="DN180" s="308"/>
      <c r="DO180" s="308"/>
      <c r="DP180" s="308"/>
      <c r="DQ180" s="308"/>
      <c r="DR180" s="308"/>
      <c r="DS180" s="308"/>
      <c r="DT180" s="308"/>
      <c r="DU180" s="308"/>
      <c r="DV180" s="308"/>
      <c r="DW180" s="308"/>
      <c r="DX180" s="308"/>
      <c r="DY180" s="308"/>
      <c r="DZ180" s="308"/>
      <c r="EA180" s="308"/>
      <c r="EB180" s="308"/>
      <c r="EC180" s="308"/>
      <c r="ED180" s="308"/>
      <c r="EE180" s="308"/>
      <c r="EF180" s="308"/>
      <c r="EG180" s="308"/>
      <c r="EH180" s="308"/>
      <c r="EI180" s="308"/>
      <c r="EJ180" s="308"/>
      <c r="EK180" s="308"/>
      <c r="EL180" s="308"/>
      <c r="EM180" s="308"/>
      <c r="EN180" s="308"/>
      <c r="EO180" s="308"/>
      <c r="EP180" s="308"/>
      <c r="EQ180" s="308"/>
      <c r="ER180" s="308"/>
      <c r="ES180" s="308"/>
      <c r="ET180" s="308"/>
      <c r="EU180" s="308"/>
      <c r="EV180" s="308"/>
      <c r="EW180" s="308"/>
      <c r="EX180" s="308"/>
      <c r="EY180" s="308"/>
      <c r="EZ180" s="308"/>
      <c r="FA180" s="308"/>
      <c r="FB180" s="308"/>
      <c r="FC180" s="308"/>
      <c r="FD180" s="308"/>
      <c r="FE180" s="308"/>
      <c r="FF180" s="308"/>
      <c r="FG180" s="308"/>
      <c r="FH180" s="308"/>
      <c r="FI180" s="308"/>
      <c r="FJ180" s="308"/>
      <c r="FK180" s="308"/>
      <c r="FL180" s="308"/>
      <c r="FM180" s="308"/>
      <c r="FN180" s="308"/>
      <c r="FO180" s="308"/>
      <c r="FP180" s="308"/>
      <c r="FQ180" s="308"/>
      <c r="FR180" s="308"/>
      <c r="FS180" s="308"/>
      <c r="FT180" s="308"/>
      <c r="FU180" s="308"/>
      <c r="FV180" s="308"/>
      <c r="FW180" s="308"/>
      <c r="FX180" s="308"/>
      <c r="FY180" s="308"/>
      <c r="FZ180" s="308"/>
      <c r="GA180" s="308"/>
      <c r="GB180" s="308"/>
      <c r="GC180" s="308"/>
      <c r="GD180" s="308"/>
      <c r="GE180" s="308"/>
      <c r="GF180" s="308"/>
      <c r="GG180" s="308"/>
      <c r="GH180" s="308"/>
      <c r="GI180" s="308"/>
      <c r="GJ180" s="308"/>
      <c r="GK180" s="308"/>
      <c r="GL180" s="308"/>
      <c r="GM180" s="308"/>
      <c r="GN180" s="308"/>
      <c r="GO180" s="308"/>
      <c r="GP180" s="308"/>
      <c r="GQ180" s="308"/>
      <c r="GR180" s="308"/>
      <c r="GS180" s="308"/>
      <c r="GT180" s="308"/>
      <c r="GU180" s="308"/>
      <c r="GV180" s="308"/>
      <c r="GW180" s="308"/>
      <c r="GX180" s="308"/>
      <c r="GY180" s="308"/>
      <c r="GZ180" s="308"/>
      <c r="HA180" s="308"/>
      <c r="HB180" s="308"/>
      <c r="HC180" s="308"/>
      <c r="HD180" s="308"/>
      <c r="HE180" s="308"/>
      <c r="HF180" s="308"/>
      <c r="HG180" s="308"/>
      <c r="HH180" s="308"/>
      <c r="HI180" s="308"/>
      <c r="HJ180" s="308"/>
      <c r="HK180" s="308"/>
      <c r="HL180" s="308"/>
      <c r="HM180" s="308"/>
      <c r="HN180" s="308"/>
      <c r="HO180" s="308"/>
      <c r="HP180" s="308"/>
      <c r="HQ180" s="308"/>
      <c r="HR180" s="308"/>
      <c r="HS180" s="308"/>
      <c r="HT180" s="308"/>
      <c r="HU180" s="308"/>
      <c r="HV180" s="308"/>
      <c r="HW180" s="308"/>
      <c r="HX180" s="308"/>
      <c r="HY180" s="308"/>
      <c r="HZ180" s="308"/>
      <c r="IA180" s="308"/>
      <c r="IB180" s="308"/>
      <c r="IC180" s="308"/>
      <c r="ID180" s="308"/>
      <c r="IE180" s="308"/>
      <c r="IF180" s="308"/>
      <c r="IG180" s="308"/>
      <c r="IH180" s="308"/>
      <c r="II180" s="308"/>
      <c r="IJ180" s="308"/>
      <c r="IK180" s="308"/>
      <c r="IL180" s="308"/>
      <c r="IM180" s="308"/>
      <c r="IN180" s="308"/>
      <c r="IO180" s="308"/>
      <c r="IP180" s="308"/>
      <c r="IQ180" s="308"/>
      <c r="IR180" s="308"/>
      <c r="IS180" s="308"/>
      <c r="IT180" s="308"/>
      <c r="IU180" s="308"/>
      <c r="IV180" s="308"/>
      <c r="IW180" s="308"/>
      <c r="IX180" s="308"/>
    </row>
    <row r="181" spans="1:258" s="308" customFormat="1" ht="17.399999999999999" x14ac:dyDescent="0.3">
      <c r="A181" s="144"/>
      <c r="B181" s="84"/>
      <c r="C181" s="64"/>
      <c r="D181" s="83" t="s">
        <v>164</v>
      </c>
      <c r="E181" s="270">
        <f>IF(AND($F$2="No",$F$3="No"),SUM(J181:K181),IF(AND($F$2="Yes", $F$3="No"), SUM(J181:K181)+Q181, IF(AND($F$2="No", $F$3="Yes"),SUM(J181:K181)+P181, SUM(J181:K181)+Q181+P181)))</f>
        <v>3.9989486962957101E-2</v>
      </c>
      <c r="F181" s="90">
        <f>IF(AND($F$2="No",$F$3="No"),SUM(H181:O181),IF(AND($F$2="Yes", $F$3="No"), SUM(H181:O181)+Q181, IF(AND($F$2="No", $F$3="Yes"),SUM(H181:O181)+P181, SUM(H181:O181)+Q181+P181)))</f>
        <v>0.15734182180100145</v>
      </c>
      <c r="G181" s="278">
        <f>SUM(S181:U181)/(1-'Common input data'!$B$121)</f>
        <v>0.52194990070533653</v>
      </c>
      <c r="H181" s="90">
        <f>('Input data plant-based products'!$F$59*('Common input data'!$C$76*'Common input data'!B69+'Common input data'!$C$77*'Common input data'!C69))/'Input data plant-based products'!$E$59</f>
        <v>4.5792157347120575E-2</v>
      </c>
      <c r="I181" s="90">
        <f>'Common input data'!$B$81</f>
        <v>0.03</v>
      </c>
      <c r="J181" s="90">
        <v>0</v>
      </c>
      <c r="K181" s="90">
        <v>0</v>
      </c>
      <c r="L181" s="90">
        <f>('Input data plant-based products'!$I$59*'Common input data'!$C$59*'Common input data'!H49)/'Input data plant-based products'!$E$59</f>
        <v>2.156017749092376E-2</v>
      </c>
      <c r="M181" s="90">
        <v>0</v>
      </c>
      <c r="N181" s="90">
        <f>'Input data plant-based products'!$G$152</f>
        <v>0.02</v>
      </c>
      <c r="O181" s="90">
        <v>0</v>
      </c>
      <c r="P181" s="90">
        <f>'Common input data'!$E$13</f>
        <v>3.9989486962957101E-2</v>
      </c>
      <c r="Q181" s="90">
        <v>0</v>
      </c>
      <c r="R181" s="90">
        <v>0</v>
      </c>
      <c r="S181" s="90">
        <f>(F181+R181)</f>
        <v>0.15734182180100145</v>
      </c>
      <c r="T181" s="90">
        <f>'Common input data'!$B$88</f>
        <v>0.05</v>
      </c>
      <c r="U181" s="90">
        <f>'Common input data'!B100+'Common input data'!C100</f>
        <v>0.23</v>
      </c>
      <c r="V181" s="430"/>
      <c r="W181" s="243"/>
      <c r="Z181" s="64"/>
    </row>
    <row r="182" spans="1:258" s="308" customFormat="1" ht="17.399999999999999" x14ac:dyDescent="0.3">
      <c r="A182" s="107"/>
      <c r="B182" s="84"/>
      <c r="C182" s="142"/>
      <c r="D182" s="83" t="s">
        <v>165</v>
      </c>
      <c r="E182" s="270">
        <f>SUM(J182:K182)</f>
        <v>0</v>
      </c>
      <c r="F182" s="90">
        <f>SUM(H182:O182)</f>
        <v>9.5506335299717641E-6</v>
      </c>
      <c r="G182" s="278">
        <f>SUM(S182:U182)/(1-'Common input data'!$B$121)</f>
        <v>1.1398297565308228E-5</v>
      </c>
      <c r="H182" s="90">
        <f>('Input data plant-based products'!$F$59*('Common input data'!$C$76*'Common input data'!B70+'Common input data'!$C$77*'Common input data'!C70))/'Input data plant-based products'!$E$59</f>
        <v>2.0190431625655506E-10</v>
      </c>
      <c r="I182" s="90">
        <v>0</v>
      </c>
      <c r="J182" s="90">
        <v>0</v>
      </c>
      <c r="K182" s="90">
        <v>0</v>
      </c>
      <c r="L182" s="90">
        <f>('Input data plant-based products'!$I$59*'Common input data'!$C$59*'Common input data'!H50)/'Input data plant-based products'!$E$59</f>
        <v>9.5504316256555069E-6</v>
      </c>
      <c r="M182" s="90">
        <v>0</v>
      </c>
      <c r="N182" s="90">
        <v>0</v>
      </c>
      <c r="O182" s="90">
        <v>0</v>
      </c>
      <c r="P182" s="90">
        <v>0</v>
      </c>
      <c r="Q182" s="90">
        <v>0</v>
      </c>
      <c r="R182" s="90">
        <v>0</v>
      </c>
      <c r="S182" s="90">
        <f>(F182+R182)</f>
        <v>9.5506335299717641E-6</v>
      </c>
      <c r="T182" s="90">
        <v>0</v>
      </c>
      <c r="U182" s="90">
        <v>0</v>
      </c>
      <c r="V182" s="430"/>
      <c r="W182" s="243"/>
      <c r="Z182" s="64"/>
    </row>
    <row r="183" spans="1:258" s="308" customFormat="1" ht="17.399999999999999" x14ac:dyDescent="0.3">
      <c r="A183" s="174"/>
      <c r="B183" s="206"/>
      <c r="C183" s="85"/>
      <c r="D183" s="84" t="s">
        <v>166</v>
      </c>
      <c r="E183" s="270">
        <f>SUM(J183:K183)</f>
        <v>4.9009880004280849E-4</v>
      </c>
      <c r="F183" s="90">
        <f>SUM(H183:O183)</f>
        <v>7.4080610392943385E-4</v>
      </c>
      <c r="G183" s="278">
        <f>SUM(S183:U183)/(1-'Common input data'!$B$121)</f>
        <v>8.8412233432322935E-4</v>
      </c>
      <c r="H183" s="90">
        <f>('Input data plant-based products'!$F$59*('Common input data'!$C$76*'Common input data'!B71+'Common input data'!$C$77*'Common input data'!C71))/'Input data plant-based products'!$E$59</f>
        <v>2.5012797351147402E-4</v>
      </c>
      <c r="I183" s="90">
        <v>0</v>
      </c>
      <c r="J183" s="90">
        <f>(SUM('Input data plant-based products'!F59:H59)*'Input data plant-based products'!$B$114*44/28)/'Input data plant-based products'!E59</f>
        <v>4.455443636752804E-4</v>
      </c>
      <c r="K183" s="90">
        <f>J183*'Input data plant-based products'!$B$115</f>
        <v>4.4554436367528043E-5</v>
      </c>
      <c r="L183" s="90">
        <f>('Input data plant-based products'!$I$59*'Common input data'!$C$59*'Common input data'!H51)/'Input data plant-based products'!$E$59</f>
        <v>5.7933037515127074E-7</v>
      </c>
      <c r="M183" s="90">
        <v>0</v>
      </c>
      <c r="N183" s="90">
        <v>0</v>
      </c>
      <c r="O183" s="90">
        <v>0</v>
      </c>
      <c r="P183" s="90">
        <v>0</v>
      </c>
      <c r="Q183" s="90">
        <v>0</v>
      </c>
      <c r="R183" s="90">
        <v>0</v>
      </c>
      <c r="S183" s="90">
        <f>(F183+R183)</f>
        <v>7.4080610392943385E-4</v>
      </c>
      <c r="T183" s="90">
        <v>0</v>
      </c>
      <c r="U183" s="90">
        <v>0</v>
      </c>
      <c r="V183" s="430"/>
      <c r="W183" s="243"/>
      <c r="Z183" s="64"/>
    </row>
    <row r="184" spans="1:258" s="420" customFormat="1" ht="17.399999999999999" x14ac:dyDescent="0.3">
      <c r="A184" s="122" t="s">
        <v>70</v>
      </c>
      <c r="B184" s="150" t="s">
        <v>225</v>
      </c>
      <c r="C184" s="111">
        <f>'Input data plant-based products'!D60</f>
        <v>0.2</v>
      </c>
      <c r="D184" s="269" t="s">
        <v>473</v>
      </c>
      <c r="E184" s="320">
        <f>IF($F$1="GWP100 without fb",E185+E186*'Common input data'!$C$5+E187*'Common input data'!$D$5,IF($F$1="GWP100 with fb",E185+E186*'Common input data'!$C$6+E187*'Common input data'!$D$6,IF($F$1="GTP100 without fb",E185+E186*'Common input data'!$C$7+E187*'Common input data'!$D$7,IF($F$1="GTP100 with fb",E185+E186*'Common input data'!$C$8+E187*'Common input data'!$D$8,E185+E186*'Common input data'!$C$9+E187*'Common input data'!$D$9))))</f>
        <v>0.16568506978725925</v>
      </c>
      <c r="F184" s="302">
        <f>IF($F$1="GWP100 without fb",F185+F186*'Common input data'!$C$5+F187*'Common input data'!$D$5,IF($F$1="GWP100 with fb",F185+F186*'Common input data'!$C$6+F187*'Common input data'!$D$6,IF($F$1="GTP100 without fb",F185+F186*'Common input data'!$C$7+F187*'Common input data'!$D$7,IF($F$1="GTP100 with fb",F185+F186*'Common input data'!$C$8+F187*'Common input data'!$D$8,F185+F186*'Common input data'!$C$9+F187*'Common input data'!$D$9))))</f>
        <v>0.32184779175100497</v>
      </c>
      <c r="G184" s="321">
        <f>IF($F$1="GWP100 without fb",G185+G186*'Common input data'!$C$5+G187*'Common input data'!$D$5,IF($F$1="GWP100 with fb",G185+G186*'Common input data'!$C$6+G187*'Common input data'!$D$6,IF($F$1="GTP100 without fb",G185+G186*'Common input data'!$C$7+G187*'Common input data'!$D$7,IF($F$1="GTP100 with fb",G185+G186*'Common input data'!$C$8+G187*'Common input data'!$D$8,G185+G186*'Common input data'!$C$9+G187*'Common input data'!$D$9))))</f>
        <v>0.71828116929347785</v>
      </c>
      <c r="H184" s="102"/>
      <c r="I184" s="102"/>
      <c r="J184" s="102"/>
      <c r="K184" s="102"/>
      <c r="L184" s="102"/>
      <c r="M184" s="102"/>
      <c r="N184" s="102"/>
      <c r="O184" s="102"/>
      <c r="P184" s="102"/>
      <c r="Q184" s="102"/>
      <c r="R184" s="102"/>
      <c r="S184" s="102"/>
      <c r="T184" s="102"/>
      <c r="U184" s="102"/>
      <c r="V184" s="430"/>
      <c r="W184" s="243"/>
      <c r="X184" s="308"/>
      <c r="Y184" s="308"/>
      <c r="Z184" s="64"/>
      <c r="AA184" s="308"/>
      <c r="AB184" s="308"/>
      <c r="AC184" s="308"/>
      <c r="AD184" s="308"/>
      <c r="AE184" s="308"/>
      <c r="AF184" s="308"/>
      <c r="AG184" s="308"/>
      <c r="AH184" s="308"/>
      <c r="AI184" s="308"/>
      <c r="AJ184" s="308"/>
      <c r="AK184" s="308"/>
      <c r="AL184" s="308"/>
      <c r="AM184" s="308"/>
      <c r="AN184" s="308"/>
      <c r="AO184" s="308"/>
      <c r="AP184" s="308"/>
      <c r="AQ184" s="308"/>
      <c r="AR184" s="308"/>
      <c r="AS184" s="308"/>
      <c r="AT184" s="308"/>
      <c r="AU184" s="308"/>
      <c r="AV184" s="308"/>
      <c r="AW184" s="308"/>
      <c r="AX184" s="308"/>
      <c r="AY184" s="308"/>
      <c r="AZ184" s="308"/>
      <c r="BA184" s="308"/>
      <c r="BB184" s="308"/>
      <c r="BC184" s="308"/>
      <c r="BD184" s="308"/>
      <c r="BE184" s="308"/>
      <c r="BF184" s="308"/>
      <c r="BG184" s="308"/>
      <c r="BH184" s="308"/>
      <c r="BI184" s="308"/>
      <c r="BJ184" s="308"/>
      <c r="BK184" s="308"/>
      <c r="BL184" s="308"/>
      <c r="BM184" s="308"/>
      <c r="BN184" s="308"/>
      <c r="BO184" s="308"/>
      <c r="BP184" s="308"/>
      <c r="BQ184" s="308"/>
      <c r="BR184" s="308"/>
      <c r="BS184" s="308"/>
      <c r="BT184" s="308"/>
      <c r="BU184" s="308"/>
      <c r="BV184" s="308"/>
      <c r="BW184" s="308"/>
      <c r="BX184" s="308"/>
      <c r="BY184" s="308"/>
      <c r="BZ184" s="308"/>
      <c r="CA184" s="308"/>
      <c r="CB184" s="308"/>
      <c r="CC184" s="308"/>
      <c r="CD184" s="308"/>
      <c r="CE184" s="308"/>
      <c r="CF184" s="308"/>
      <c r="CG184" s="308"/>
      <c r="CH184" s="308"/>
      <c r="CI184" s="308"/>
      <c r="CJ184" s="308"/>
      <c r="CK184" s="308"/>
      <c r="CL184" s="308"/>
      <c r="CM184" s="308"/>
      <c r="CN184" s="308"/>
      <c r="CO184" s="308"/>
      <c r="CP184" s="308"/>
      <c r="CQ184" s="308"/>
      <c r="CR184" s="308"/>
      <c r="CS184" s="308"/>
      <c r="CT184" s="308"/>
      <c r="CU184" s="308"/>
      <c r="CV184" s="308"/>
      <c r="CW184" s="308"/>
      <c r="CX184" s="308"/>
      <c r="CY184" s="308"/>
      <c r="CZ184" s="308"/>
      <c r="DA184" s="308"/>
      <c r="DB184" s="308"/>
      <c r="DC184" s="308"/>
      <c r="DD184" s="308"/>
      <c r="DE184" s="308"/>
      <c r="DF184" s="308"/>
      <c r="DG184" s="308"/>
      <c r="DH184" s="308"/>
      <c r="DI184" s="308"/>
      <c r="DJ184" s="308"/>
      <c r="DK184" s="308"/>
      <c r="DL184" s="308"/>
      <c r="DM184" s="308"/>
      <c r="DN184" s="308"/>
      <c r="DO184" s="308"/>
      <c r="DP184" s="308"/>
      <c r="DQ184" s="308"/>
      <c r="DR184" s="308"/>
      <c r="DS184" s="308"/>
      <c r="DT184" s="308"/>
      <c r="DU184" s="308"/>
      <c r="DV184" s="308"/>
      <c r="DW184" s="308"/>
      <c r="DX184" s="308"/>
      <c r="DY184" s="308"/>
      <c r="DZ184" s="308"/>
      <c r="EA184" s="308"/>
      <c r="EB184" s="308"/>
      <c r="EC184" s="308"/>
      <c r="ED184" s="308"/>
      <c r="EE184" s="308"/>
      <c r="EF184" s="308"/>
      <c r="EG184" s="308"/>
      <c r="EH184" s="308"/>
      <c r="EI184" s="308"/>
      <c r="EJ184" s="308"/>
      <c r="EK184" s="308"/>
      <c r="EL184" s="308"/>
      <c r="EM184" s="308"/>
      <c r="EN184" s="308"/>
      <c r="EO184" s="308"/>
      <c r="EP184" s="308"/>
      <c r="EQ184" s="308"/>
      <c r="ER184" s="308"/>
      <c r="ES184" s="308"/>
      <c r="ET184" s="308"/>
      <c r="EU184" s="308"/>
      <c r="EV184" s="308"/>
      <c r="EW184" s="308"/>
      <c r="EX184" s="308"/>
      <c r="EY184" s="308"/>
      <c r="EZ184" s="308"/>
      <c r="FA184" s="308"/>
      <c r="FB184" s="308"/>
      <c r="FC184" s="308"/>
      <c r="FD184" s="308"/>
      <c r="FE184" s="308"/>
      <c r="FF184" s="308"/>
      <c r="FG184" s="308"/>
      <c r="FH184" s="308"/>
      <c r="FI184" s="308"/>
      <c r="FJ184" s="308"/>
      <c r="FK184" s="308"/>
      <c r="FL184" s="308"/>
      <c r="FM184" s="308"/>
      <c r="FN184" s="308"/>
      <c r="FO184" s="308"/>
      <c r="FP184" s="308"/>
      <c r="FQ184" s="308"/>
      <c r="FR184" s="308"/>
      <c r="FS184" s="308"/>
      <c r="FT184" s="308"/>
      <c r="FU184" s="308"/>
      <c r="FV184" s="308"/>
      <c r="FW184" s="308"/>
      <c r="FX184" s="308"/>
      <c r="FY184" s="308"/>
      <c r="FZ184" s="308"/>
      <c r="GA184" s="308"/>
      <c r="GB184" s="308"/>
      <c r="GC184" s="308"/>
      <c r="GD184" s="308"/>
      <c r="GE184" s="308"/>
      <c r="GF184" s="308"/>
      <c r="GG184" s="308"/>
      <c r="GH184" s="308"/>
      <c r="GI184" s="308"/>
      <c r="GJ184" s="308"/>
      <c r="GK184" s="308"/>
      <c r="GL184" s="308"/>
      <c r="GM184" s="308"/>
      <c r="GN184" s="308"/>
      <c r="GO184" s="308"/>
      <c r="GP184" s="308"/>
      <c r="GQ184" s="308"/>
      <c r="GR184" s="308"/>
      <c r="GS184" s="308"/>
      <c r="GT184" s="308"/>
      <c r="GU184" s="308"/>
      <c r="GV184" s="308"/>
      <c r="GW184" s="308"/>
      <c r="GX184" s="308"/>
      <c r="GY184" s="308"/>
      <c r="GZ184" s="308"/>
      <c r="HA184" s="308"/>
      <c r="HB184" s="308"/>
      <c r="HC184" s="308"/>
      <c r="HD184" s="308"/>
      <c r="HE184" s="308"/>
      <c r="HF184" s="308"/>
      <c r="HG184" s="308"/>
      <c r="HH184" s="308"/>
      <c r="HI184" s="308"/>
      <c r="HJ184" s="308"/>
      <c r="HK184" s="308"/>
      <c r="HL184" s="308"/>
      <c r="HM184" s="308"/>
      <c r="HN184" s="308"/>
      <c r="HO184" s="308"/>
      <c r="HP184" s="308"/>
      <c r="HQ184" s="308"/>
      <c r="HR184" s="308"/>
      <c r="HS184" s="308"/>
      <c r="HT184" s="308"/>
      <c r="HU184" s="308"/>
      <c r="HV184" s="308"/>
      <c r="HW184" s="308"/>
      <c r="HX184" s="308"/>
      <c r="HY184" s="308"/>
      <c r="HZ184" s="308"/>
      <c r="IA184" s="308"/>
      <c r="IB184" s="308"/>
      <c r="IC184" s="308"/>
      <c r="ID184" s="308"/>
      <c r="IE184" s="308"/>
      <c r="IF184" s="308"/>
      <c r="IG184" s="308"/>
      <c r="IH184" s="308"/>
      <c r="II184" s="308"/>
      <c r="IJ184" s="308"/>
      <c r="IK184" s="308"/>
      <c r="IL184" s="308"/>
      <c r="IM184" s="308"/>
      <c r="IN184" s="308"/>
      <c r="IO184" s="308"/>
      <c r="IP184" s="308"/>
      <c r="IQ184" s="308"/>
      <c r="IR184" s="308"/>
      <c r="IS184" s="308"/>
      <c r="IT184" s="308"/>
      <c r="IU184" s="308"/>
      <c r="IV184" s="308"/>
      <c r="IW184" s="308"/>
      <c r="IX184" s="308"/>
    </row>
    <row r="185" spans="1:258" s="308" customFormat="1" ht="17.399999999999999" x14ac:dyDescent="0.3">
      <c r="A185" s="144"/>
      <c r="B185" s="84"/>
      <c r="C185" s="64"/>
      <c r="D185" s="83" t="s">
        <v>164</v>
      </c>
      <c r="E185" s="270">
        <f>IF(AND($F$2="No",$F$3="No"),SUM(J185:K185),IF(AND($F$2="Yes", $F$3="No"), SUM(J185:K185)+Q185, IF(AND($F$2="No", $F$3="Yes"),SUM(J185:K185)+P185, SUM(J185:K185)+Q185+P185)))</f>
        <v>3.9989486962957101E-2</v>
      </c>
      <c r="F185" s="90">
        <f>IF(AND($F$2="No",$F$3="No"),SUM(H185:O185),IF(AND($F$2="Yes", $F$3="No"), SUM(H185:O185)+Q185, IF(AND($F$2="No", $F$3="Yes"),SUM(H185:O185)+P185, SUM(H185:O185)+Q185+P185)))</f>
        <v>0.14352065326838753</v>
      </c>
      <c r="G185" s="278">
        <f>SUM(S185:U185)/(1-'Common input data'!$B$121)</f>
        <v>0.50545489111873443</v>
      </c>
      <c r="H185" s="85">
        <f>('Input data plant-based products'!$F$60*('Common input data'!$C$76*'Common input data'!B69+'Common input data'!$C$77*'Common input data'!C69))/'Input data plant-based products'!$E$60</f>
        <v>3.2029226075545383E-2</v>
      </c>
      <c r="I185" s="90">
        <f>'Common input data'!$B$81</f>
        <v>0.03</v>
      </c>
      <c r="J185" s="85">
        <v>0</v>
      </c>
      <c r="K185" s="90">
        <v>0</v>
      </c>
      <c r="L185" s="85">
        <f>('Input data plant-based products'!$I$60*'Common input data'!$C$59*'Common input data'!H49)/'Input data plant-based products'!$E$60</f>
        <v>2.1501940229885056E-2</v>
      </c>
      <c r="M185" s="90">
        <v>0</v>
      </c>
      <c r="N185" s="90">
        <f>'Input data plant-based products'!$G$152</f>
        <v>0.02</v>
      </c>
      <c r="O185" s="90">
        <v>0</v>
      </c>
      <c r="P185" s="90">
        <f>'Common input data'!$E$13</f>
        <v>3.9989486962957101E-2</v>
      </c>
      <c r="Q185" s="90">
        <v>0</v>
      </c>
      <c r="R185" s="90">
        <v>0</v>
      </c>
      <c r="S185" s="90">
        <f>(F185+R185)</f>
        <v>0.14352065326838753</v>
      </c>
      <c r="T185" s="90">
        <f>'Common input data'!$B$88</f>
        <v>0.05</v>
      </c>
      <c r="U185" s="90">
        <f>'Common input data'!B102+'Common input data'!C102</f>
        <v>0.23000000000000004</v>
      </c>
      <c r="V185" s="430"/>
      <c r="W185" s="243"/>
      <c r="Z185" s="64"/>
    </row>
    <row r="186" spans="1:258" s="308" customFormat="1" ht="17.399999999999999" x14ac:dyDescent="0.3">
      <c r="A186" s="107"/>
      <c r="B186" s="84"/>
      <c r="C186" s="142"/>
      <c r="D186" s="83" t="s">
        <v>165</v>
      </c>
      <c r="E186" s="270">
        <f>SUM(J186:K186)</f>
        <v>0</v>
      </c>
      <c r="F186" s="90">
        <f>SUM(H186:O186)</f>
        <v>9.5247757042988517E-6</v>
      </c>
      <c r="G186" s="278">
        <f>SUM(S186:U186)/(1-'Common input data'!$B$121)</f>
        <v>1.1367437288815911E-5</v>
      </c>
      <c r="H186" s="85">
        <f>('Input data plant-based products'!$F$60*('Common input data'!$C$76*'Common input data'!B70+'Common input data'!$C$77*'Common input data'!C70))/'Input data plant-based products'!$E$60</f>
        <v>1.4122154022988506E-10</v>
      </c>
      <c r="I186" s="90">
        <v>0</v>
      </c>
      <c r="J186" s="85">
        <v>0</v>
      </c>
      <c r="K186" s="90">
        <v>0</v>
      </c>
      <c r="L186" s="85">
        <f>('Input data plant-based products'!$I$60*'Common input data'!$C$59*'Common input data'!H50)/'Input data plant-based products'!$E$60</f>
        <v>9.524634482758622E-6</v>
      </c>
      <c r="M186" s="90">
        <v>0</v>
      </c>
      <c r="N186" s="90">
        <v>0</v>
      </c>
      <c r="O186" s="90">
        <v>0</v>
      </c>
      <c r="P186" s="90">
        <v>0</v>
      </c>
      <c r="Q186" s="90">
        <v>0</v>
      </c>
      <c r="R186" s="90">
        <v>0</v>
      </c>
      <c r="S186" s="90">
        <f>(F186+R186)</f>
        <v>9.5247757042988517E-6</v>
      </c>
      <c r="T186" s="90">
        <v>0</v>
      </c>
      <c r="U186" s="90">
        <v>0</v>
      </c>
      <c r="V186" s="430"/>
      <c r="W186" s="243"/>
      <c r="Z186" s="64"/>
    </row>
    <row r="187" spans="1:258" s="308" customFormat="1" ht="17.399999999999999" x14ac:dyDescent="0.3">
      <c r="A187" s="174"/>
      <c r="B187" s="206"/>
      <c r="C187" s="85"/>
      <c r="D187" s="84" t="s">
        <v>166</v>
      </c>
      <c r="E187" s="780">
        <f>SUM(J187:K187)</f>
        <v>4.2179725779967165E-4</v>
      </c>
      <c r="F187" s="108">
        <f>SUM(H187:O187)</f>
        <v>5.9732649700896406E-4</v>
      </c>
      <c r="G187" s="521">
        <f>SUM(S187:U187)/(1-'Common input data'!$B$121)</f>
        <v>7.128851855937034E-4</v>
      </c>
      <c r="H187" s="85">
        <f>('Input data plant-based products'!$F$60*('Common input data'!$C$76*'Common input data'!B71+'Common input data'!$C$77*'Common input data'!C71))/'Input data plant-based products'!$E$60</f>
        <v>1.7495147369205104E-4</v>
      </c>
      <c r="I187" s="85">
        <v>0</v>
      </c>
      <c r="J187" s="85">
        <f>(SUM('Input data plant-based products'!F60:H60)*'Input data plant-based products'!$B$114*44/28)/'Input data plant-based products'!E60</f>
        <v>3.8345205254515605E-4</v>
      </c>
      <c r="K187" s="90">
        <f>J187*'Input data plant-based products'!$B$115</f>
        <v>3.8345205254515607E-5</v>
      </c>
      <c r="L187" s="85">
        <f>('Input data plant-based products'!$I$60*'Common input data'!$C$59*'Common input data'!H51)/'Input data plant-based products'!$E$60</f>
        <v>5.7776551724137936E-7</v>
      </c>
      <c r="M187" s="90">
        <v>0</v>
      </c>
      <c r="N187" s="90">
        <v>0</v>
      </c>
      <c r="O187" s="90">
        <v>0</v>
      </c>
      <c r="P187" s="90">
        <v>0</v>
      </c>
      <c r="Q187" s="90">
        <v>0</v>
      </c>
      <c r="R187" s="90">
        <v>0</v>
      </c>
      <c r="S187" s="90">
        <f>(F187+R187)</f>
        <v>5.9732649700896406E-4</v>
      </c>
      <c r="T187" s="90">
        <v>0</v>
      </c>
      <c r="U187" s="90">
        <v>0</v>
      </c>
      <c r="V187" s="430"/>
      <c r="W187" s="243"/>
      <c r="Z187" s="64"/>
    </row>
    <row r="188" spans="1:258" s="427" customFormat="1" ht="17.399999999999999" x14ac:dyDescent="0.3">
      <c r="A188" s="426" t="s">
        <v>613</v>
      </c>
      <c r="B188" s="412"/>
      <c r="C188" s="413"/>
      <c r="D188" s="414"/>
      <c r="E188" s="767" t="s">
        <v>816</v>
      </c>
      <c r="F188" s="768" t="s">
        <v>816</v>
      </c>
      <c r="G188" s="590" t="s">
        <v>816</v>
      </c>
      <c r="H188" s="413"/>
      <c r="I188" s="413"/>
      <c r="J188" s="413"/>
      <c r="K188" s="416"/>
      <c r="L188" s="416"/>
      <c r="M188" s="417"/>
      <c r="N188" s="416"/>
      <c r="O188" s="416"/>
      <c r="P188" s="416"/>
      <c r="Q188" s="416"/>
      <c r="R188" s="416"/>
      <c r="S188" s="416"/>
      <c r="T188" s="416"/>
      <c r="U188" s="416"/>
      <c r="V188" s="430"/>
      <c r="W188" s="243"/>
      <c r="X188" s="308"/>
      <c r="Y188" s="308"/>
      <c r="Z188" s="64"/>
      <c r="AA188" s="308"/>
      <c r="AB188" s="308"/>
      <c r="AC188" s="308"/>
      <c r="AD188" s="308"/>
      <c r="AE188" s="308"/>
      <c r="AF188" s="308"/>
      <c r="AG188" s="308"/>
      <c r="AH188" s="308"/>
      <c r="AI188" s="308"/>
      <c r="AJ188" s="308"/>
      <c r="AK188" s="308"/>
      <c r="AL188" s="308"/>
      <c r="AM188" s="308"/>
      <c r="AN188" s="308"/>
      <c r="AO188" s="308"/>
      <c r="AP188" s="308"/>
      <c r="AQ188" s="308"/>
      <c r="AR188" s="308"/>
      <c r="AS188" s="308"/>
      <c r="AT188" s="308"/>
      <c r="AU188" s="308"/>
      <c r="AV188" s="308"/>
      <c r="AW188" s="308"/>
      <c r="AX188" s="308"/>
      <c r="AY188" s="308"/>
      <c r="AZ188" s="308"/>
      <c r="BA188" s="308"/>
      <c r="BB188" s="308"/>
      <c r="BC188" s="308"/>
      <c r="BD188" s="308"/>
      <c r="BE188" s="308"/>
      <c r="BF188" s="308"/>
      <c r="BG188" s="308"/>
      <c r="BH188" s="308"/>
      <c r="BI188" s="308"/>
      <c r="BJ188" s="308"/>
      <c r="BK188" s="308"/>
      <c r="BL188" s="308"/>
      <c r="BM188" s="308"/>
      <c r="BN188" s="308"/>
      <c r="BO188" s="308"/>
      <c r="BP188" s="308"/>
      <c r="BQ188" s="308"/>
      <c r="BR188" s="308"/>
      <c r="BS188" s="308"/>
      <c r="BT188" s="308"/>
      <c r="BU188" s="308"/>
      <c r="BV188" s="308"/>
      <c r="BW188" s="308"/>
      <c r="BX188" s="308"/>
      <c r="BY188" s="308"/>
      <c r="BZ188" s="308"/>
      <c r="CA188" s="308"/>
      <c r="CB188" s="308"/>
      <c r="CC188" s="308"/>
      <c r="CD188" s="308"/>
      <c r="CE188" s="308"/>
      <c r="CF188" s="308"/>
      <c r="CG188" s="308"/>
      <c r="CH188" s="308"/>
      <c r="CI188" s="308"/>
      <c r="CJ188" s="308"/>
      <c r="CK188" s="308"/>
      <c r="CL188" s="308"/>
      <c r="CM188" s="308"/>
      <c r="CN188" s="308"/>
      <c r="CO188" s="308"/>
      <c r="CP188" s="308"/>
      <c r="CQ188" s="308"/>
      <c r="CR188" s="308"/>
      <c r="CS188" s="308"/>
      <c r="CT188" s="308"/>
      <c r="CU188" s="308"/>
      <c r="CV188" s="308"/>
      <c r="CW188" s="308"/>
      <c r="CX188" s="308"/>
      <c r="CY188" s="308"/>
      <c r="CZ188" s="308"/>
      <c r="DA188" s="308"/>
      <c r="DB188" s="308"/>
      <c r="DC188" s="308"/>
      <c r="DD188" s="308"/>
      <c r="DE188" s="308"/>
      <c r="DF188" s="308"/>
      <c r="DG188" s="308"/>
      <c r="DH188" s="308"/>
      <c r="DI188" s="308"/>
      <c r="DJ188" s="308"/>
      <c r="DK188" s="308"/>
      <c r="DL188" s="308"/>
      <c r="DM188" s="308"/>
      <c r="DN188" s="308"/>
      <c r="DO188" s="308"/>
      <c r="DP188" s="308"/>
      <c r="DQ188" s="308"/>
      <c r="DR188" s="308"/>
      <c r="DS188" s="308"/>
      <c r="DT188" s="308"/>
      <c r="DU188" s="308"/>
      <c r="DV188" s="308"/>
      <c r="DW188" s="308"/>
      <c r="DX188" s="308"/>
      <c r="DY188" s="308"/>
      <c r="DZ188" s="308"/>
      <c r="EA188" s="308"/>
      <c r="EB188" s="308"/>
      <c r="EC188" s="308"/>
      <c r="ED188" s="308"/>
      <c r="EE188" s="308"/>
      <c r="EF188" s="308"/>
      <c r="EG188" s="308"/>
      <c r="EH188" s="308"/>
      <c r="EI188" s="308"/>
      <c r="EJ188" s="308"/>
      <c r="EK188" s="308"/>
      <c r="EL188" s="308"/>
      <c r="EM188" s="308"/>
      <c r="EN188" s="308"/>
      <c r="EO188" s="308"/>
      <c r="EP188" s="308"/>
      <c r="EQ188" s="308"/>
      <c r="ER188" s="308"/>
      <c r="ES188" s="308"/>
      <c r="ET188" s="308"/>
      <c r="EU188" s="308"/>
      <c r="EV188" s="308"/>
      <c r="EW188" s="308"/>
      <c r="EX188" s="308"/>
      <c r="EY188" s="308"/>
      <c r="EZ188" s="308"/>
      <c r="FA188" s="308"/>
      <c r="FB188" s="308"/>
      <c r="FC188" s="308"/>
      <c r="FD188" s="308"/>
      <c r="FE188" s="308"/>
      <c r="FF188" s="308"/>
      <c r="FG188" s="308"/>
      <c r="FH188" s="308"/>
      <c r="FI188" s="308"/>
      <c r="FJ188" s="308"/>
      <c r="FK188" s="308"/>
      <c r="FL188" s="308"/>
      <c r="FM188" s="308"/>
      <c r="FN188" s="308"/>
      <c r="FO188" s="308"/>
      <c r="FP188" s="308"/>
      <c r="FQ188" s="308"/>
      <c r="FR188" s="308"/>
      <c r="FS188" s="308"/>
      <c r="FT188" s="308"/>
      <c r="FU188" s="308"/>
      <c r="FV188" s="308"/>
      <c r="FW188" s="308"/>
      <c r="FX188" s="308"/>
      <c r="FY188" s="308"/>
      <c r="FZ188" s="308"/>
      <c r="GA188" s="308"/>
      <c r="GB188" s="308"/>
      <c r="GC188" s="308"/>
      <c r="GD188" s="308"/>
      <c r="GE188" s="308"/>
      <c r="GF188" s="308"/>
      <c r="GG188" s="308"/>
      <c r="GH188" s="308"/>
      <c r="GI188" s="308"/>
      <c r="GJ188" s="308"/>
      <c r="GK188" s="308"/>
      <c r="GL188" s="308"/>
      <c r="GM188" s="308"/>
      <c r="GN188" s="308"/>
      <c r="GO188" s="308"/>
      <c r="GP188" s="308"/>
      <c r="GQ188" s="308"/>
      <c r="GR188" s="308"/>
      <c r="GS188" s="308"/>
      <c r="GT188" s="308"/>
      <c r="GU188" s="308"/>
      <c r="GV188" s="308"/>
      <c r="GW188" s="308"/>
      <c r="GX188" s="308"/>
      <c r="GY188" s="308"/>
      <c r="GZ188" s="308"/>
      <c r="HA188" s="308"/>
      <c r="HB188" s="308"/>
      <c r="HC188" s="308"/>
      <c r="HD188" s="308"/>
      <c r="HE188" s="308"/>
      <c r="HF188" s="308"/>
      <c r="HG188" s="308"/>
      <c r="HH188" s="308"/>
      <c r="HI188" s="308"/>
      <c r="HJ188" s="308"/>
      <c r="HK188" s="308"/>
      <c r="HL188" s="308"/>
      <c r="HM188" s="308"/>
      <c r="HN188" s="308"/>
      <c r="HO188" s="308"/>
      <c r="HP188" s="308"/>
      <c r="HQ188" s="308"/>
      <c r="HR188" s="308"/>
      <c r="HS188" s="308"/>
      <c r="HT188" s="308"/>
      <c r="HU188" s="308"/>
      <c r="HV188" s="308"/>
      <c r="HW188" s="308"/>
      <c r="HX188" s="308"/>
      <c r="HY188" s="308"/>
      <c r="HZ188" s="308"/>
      <c r="IA188" s="308"/>
      <c r="IB188" s="308"/>
      <c r="IC188" s="308"/>
      <c r="ID188" s="308"/>
      <c r="IE188" s="308"/>
      <c r="IF188" s="308"/>
      <c r="IG188" s="308"/>
      <c r="IH188" s="308"/>
      <c r="II188" s="308"/>
      <c r="IJ188" s="308"/>
      <c r="IK188" s="308"/>
      <c r="IL188" s="308"/>
      <c r="IM188" s="308"/>
      <c r="IN188" s="308"/>
      <c r="IO188" s="308"/>
      <c r="IP188" s="308"/>
      <c r="IQ188" s="308"/>
      <c r="IR188" s="308"/>
      <c r="IS188" s="308"/>
      <c r="IT188" s="308"/>
      <c r="IU188" s="308"/>
      <c r="IV188" s="308"/>
      <c r="IW188" s="308"/>
      <c r="IX188" s="308"/>
    </row>
    <row r="189" spans="1:258" s="420" customFormat="1" ht="17.399999999999999" x14ac:dyDescent="0.3">
      <c r="A189" s="122" t="s">
        <v>249</v>
      </c>
      <c r="B189" s="150"/>
      <c r="C189" s="112">
        <f>SUM(C193:C204)</f>
        <v>1</v>
      </c>
      <c r="D189" s="269" t="s">
        <v>473</v>
      </c>
      <c r="E189" s="769">
        <f>IF($F$1="GWP100 without fb",E190+E191*'Common input data'!$C$5+E192*'Common input data'!$D$5,IF($F$1="GWP100 with fb",E190+E191*'Common input data'!$C$6+E192*'Common input data'!$D$6,IF($F$1="GTP100 without fb",E190+E191*'Common input data'!$C$7+E192*'Common input data'!$D$7,IF($F$1="GTP100 with fb",E190+E191*'Common input data'!$C$8+E192*'Common input data'!$D$8,E190+E191*'Common input data'!$C$9+E192*'Common input data'!$D$9))))</f>
        <v>7.39819475927595E-2</v>
      </c>
      <c r="F189" s="326">
        <f>IF($F$1="GWP100 without fb",F190+F191*'Common input data'!$C$5+F192*'Common input data'!$D$5,IF($F$1="GWP100 with fb",F190+F191*'Common input data'!$C$6+F192*'Common input data'!$D$6,IF($F$1="GTP100 without fb",F190+F191*'Common input data'!$C$7+F192*'Common input data'!$D$7,IF($F$1="GTP100 with fb",F190+F191*'Common input data'!$C$8+F192*'Common input data'!$D$8,F190+F191*'Common input data'!$C$9+F192*'Common input data'!$D$9))))</f>
        <v>0.15781623504535319</v>
      </c>
      <c r="G189" s="770">
        <f>IF($F$1="GWP100 without fb",G190+G191*'Common input data'!$C$5+G192*'Common input data'!$D$5,IF($F$1="GWP100 with fb",G190+G191*'Common input data'!$C$6+G192*'Common input data'!$D$6,IF($F$1="GTP100 without fb",G190+G191*'Common input data'!$C$7+G192*'Common input data'!$D$7,IF($F$1="GTP100 with fb",G190+G191*'Common input data'!$C$8+G192*'Common input data'!$D$8,G190+G191*'Common input data'!$C$9+G192*'Common input data'!$D$9))))</f>
        <v>0.35901209576960641</v>
      </c>
      <c r="H189" s="302"/>
      <c r="I189" s="104"/>
      <c r="J189" s="104"/>
      <c r="K189" s="102"/>
      <c r="L189" s="102"/>
      <c r="M189" s="102"/>
      <c r="N189" s="102"/>
      <c r="O189" s="102"/>
      <c r="P189" s="102"/>
      <c r="Q189" s="102"/>
      <c r="R189" s="102"/>
      <c r="S189" s="102"/>
      <c r="T189" s="102"/>
      <c r="U189" s="102"/>
      <c r="V189" s="430"/>
      <c r="W189" s="243"/>
      <c r="X189" s="308"/>
      <c r="Y189" s="308"/>
      <c r="Z189" s="64"/>
      <c r="AA189" s="308"/>
      <c r="AB189" s="308"/>
      <c r="AC189" s="308"/>
      <c r="AD189" s="308"/>
      <c r="AE189" s="308"/>
      <c r="AF189" s="308"/>
      <c r="AG189" s="308"/>
      <c r="AH189" s="308"/>
      <c r="AI189" s="308"/>
      <c r="AJ189" s="308"/>
      <c r="AK189" s="308"/>
      <c r="AL189" s="308"/>
      <c r="AM189" s="308"/>
      <c r="AN189" s="308"/>
      <c r="AO189" s="308"/>
      <c r="AP189" s="308"/>
      <c r="AQ189" s="308"/>
      <c r="AR189" s="308"/>
      <c r="AS189" s="308"/>
      <c r="AT189" s="308"/>
      <c r="AU189" s="308"/>
      <c r="AV189" s="308"/>
      <c r="AW189" s="308"/>
      <c r="AX189" s="308"/>
      <c r="AY189" s="308"/>
      <c r="AZ189" s="308"/>
      <c r="BA189" s="308"/>
      <c r="BB189" s="308"/>
      <c r="BC189" s="308"/>
      <c r="BD189" s="308"/>
      <c r="BE189" s="308"/>
      <c r="BF189" s="308"/>
      <c r="BG189" s="308"/>
      <c r="BH189" s="308"/>
      <c r="BI189" s="308"/>
      <c r="BJ189" s="308"/>
      <c r="BK189" s="308"/>
      <c r="BL189" s="308"/>
      <c r="BM189" s="308"/>
      <c r="BN189" s="308"/>
      <c r="BO189" s="308"/>
      <c r="BP189" s="308"/>
      <c r="BQ189" s="308"/>
      <c r="BR189" s="308"/>
      <c r="BS189" s="308"/>
      <c r="BT189" s="308"/>
      <c r="BU189" s="308"/>
      <c r="BV189" s="308"/>
      <c r="BW189" s="308"/>
      <c r="BX189" s="308"/>
      <c r="BY189" s="308"/>
      <c r="BZ189" s="308"/>
      <c r="CA189" s="308"/>
      <c r="CB189" s="308"/>
      <c r="CC189" s="308"/>
      <c r="CD189" s="308"/>
      <c r="CE189" s="308"/>
      <c r="CF189" s="308"/>
      <c r="CG189" s="308"/>
      <c r="CH189" s="308"/>
      <c r="CI189" s="308"/>
      <c r="CJ189" s="308"/>
      <c r="CK189" s="308"/>
      <c r="CL189" s="308"/>
      <c r="CM189" s="308"/>
      <c r="CN189" s="308"/>
      <c r="CO189" s="308"/>
      <c r="CP189" s="308"/>
      <c r="CQ189" s="308"/>
      <c r="CR189" s="308"/>
      <c r="CS189" s="308"/>
      <c r="CT189" s="308"/>
      <c r="CU189" s="308"/>
      <c r="CV189" s="308"/>
      <c r="CW189" s="308"/>
      <c r="CX189" s="308"/>
      <c r="CY189" s="308"/>
      <c r="CZ189" s="308"/>
      <c r="DA189" s="308"/>
      <c r="DB189" s="308"/>
      <c r="DC189" s="308"/>
      <c r="DD189" s="308"/>
      <c r="DE189" s="308"/>
      <c r="DF189" s="308"/>
      <c r="DG189" s="308"/>
      <c r="DH189" s="308"/>
      <c r="DI189" s="308"/>
      <c r="DJ189" s="308"/>
      <c r="DK189" s="308"/>
      <c r="DL189" s="308"/>
      <c r="DM189" s="308"/>
      <c r="DN189" s="308"/>
      <c r="DO189" s="308"/>
      <c r="DP189" s="308"/>
      <c r="DQ189" s="308"/>
      <c r="DR189" s="308"/>
      <c r="DS189" s="308"/>
      <c r="DT189" s="308"/>
      <c r="DU189" s="308"/>
      <c r="DV189" s="308"/>
      <c r="DW189" s="308"/>
      <c r="DX189" s="308"/>
      <c r="DY189" s="308"/>
      <c r="DZ189" s="308"/>
      <c r="EA189" s="308"/>
      <c r="EB189" s="308"/>
      <c r="EC189" s="308"/>
      <c r="ED189" s="308"/>
      <c r="EE189" s="308"/>
      <c r="EF189" s="308"/>
      <c r="EG189" s="308"/>
      <c r="EH189" s="308"/>
      <c r="EI189" s="308"/>
      <c r="EJ189" s="308"/>
      <c r="EK189" s="308"/>
      <c r="EL189" s="308"/>
      <c r="EM189" s="308"/>
      <c r="EN189" s="308"/>
      <c r="EO189" s="308"/>
      <c r="EP189" s="308"/>
      <c r="EQ189" s="308"/>
      <c r="ER189" s="308"/>
      <c r="ES189" s="308"/>
      <c r="ET189" s="308"/>
      <c r="EU189" s="308"/>
      <c r="EV189" s="308"/>
      <c r="EW189" s="308"/>
      <c r="EX189" s="308"/>
      <c r="EY189" s="308"/>
      <c r="EZ189" s="308"/>
      <c r="FA189" s="308"/>
      <c r="FB189" s="308"/>
      <c r="FC189" s="308"/>
      <c r="FD189" s="308"/>
      <c r="FE189" s="308"/>
      <c r="FF189" s="308"/>
      <c r="FG189" s="308"/>
      <c r="FH189" s="308"/>
      <c r="FI189" s="308"/>
      <c r="FJ189" s="308"/>
      <c r="FK189" s="308"/>
      <c r="FL189" s="308"/>
      <c r="FM189" s="308"/>
      <c r="FN189" s="308"/>
      <c r="FO189" s="308"/>
      <c r="FP189" s="308"/>
      <c r="FQ189" s="308"/>
      <c r="FR189" s="308"/>
      <c r="FS189" s="308"/>
      <c r="FT189" s="308"/>
      <c r="FU189" s="308"/>
      <c r="FV189" s="308"/>
      <c r="FW189" s="308"/>
      <c r="FX189" s="308"/>
      <c r="FY189" s="308"/>
      <c r="FZ189" s="308"/>
      <c r="GA189" s="308"/>
      <c r="GB189" s="308"/>
      <c r="GC189" s="308"/>
      <c r="GD189" s="308"/>
      <c r="GE189" s="308"/>
      <c r="GF189" s="308"/>
      <c r="GG189" s="308"/>
      <c r="GH189" s="308"/>
      <c r="GI189" s="308"/>
      <c r="GJ189" s="308"/>
      <c r="GK189" s="308"/>
      <c r="GL189" s="308"/>
      <c r="GM189" s="308"/>
      <c r="GN189" s="308"/>
      <c r="GO189" s="308"/>
      <c r="GP189" s="308"/>
      <c r="GQ189" s="308"/>
      <c r="GR189" s="308"/>
      <c r="GS189" s="308"/>
      <c r="GT189" s="308"/>
      <c r="GU189" s="308"/>
      <c r="GV189" s="308"/>
      <c r="GW189" s="308"/>
      <c r="GX189" s="308"/>
      <c r="GY189" s="308"/>
      <c r="GZ189" s="308"/>
      <c r="HA189" s="308"/>
      <c r="HB189" s="308"/>
      <c r="HC189" s="308"/>
      <c r="HD189" s="308"/>
      <c r="HE189" s="308"/>
      <c r="HF189" s="308"/>
      <c r="HG189" s="308"/>
      <c r="HH189" s="308"/>
      <c r="HI189" s="308"/>
      <c r="HJ189" s="308"/>
      <c r="HK189" s="308"/>
      <c r="HL189" s="308"/>
      <c r="HM189" s="308"/>
      <c r="HN189" s="308"/>
      <c r="HO189" s="308"/>
      <c r="HP189" s="308"/>
      <c r="HQ189" s="308"/>
      <c r="HR189" s="308"/>
      <c r="HS189" s="308"/>
      <c r="HT189" s="308"/>
      <c r="HU189" s="308"/>
      <c r="HV189" s="308"/>
      <c r="HW189" s="308"/>
      <c r="HX189" s="308"/>
      <c r="HY189" s="308"/>
      <c r="HZ189" s="308"/>
      <c r="IA189" s="308"/>
      <c r="IB189" s="308"/>
      <c r="IC189" s="308"/>
      <c r="ID189" s="308"/>
      <c r="IE189" s="308"/>
      <c r="IF189" s="308"/>
      <c r="IG189" s="308"/>
      <c r="IH189" s="308"/>
      <c r="II189" s="308"/>
      <c r="IJ189" s="308"/>
      <c r="IK189" s="308"/>
      <c r="IL189" s="308"/>
      <c r="IM189" s="308"/>
      <c r="IN189" s="308"/>
      <c r="IO189" s="308"/>
      <c r="IP189" s="308"/>
      <c r="IQ189" s="308"/>
      <c r="IR189" s="308"/>
      <c r="IS189" s="308"/>
      <c r="IT189" s="308"/>
      <c r="IU189" s="308"/>
      <c r="IV189" s="308"/>
      <c r="IW189" s="308"/>
      <c r="IX189" s="308"/>
    </row>
    <row r="190" spans="1:258" s="308" customFormat="1" ht="17.399999999999999" x14ac:dyDescent="0.3">
      <c r="A190" s="103"/>
      <c r="B190" s="84"/>
      <c r="C190" s="64"/>
      <c r="D190" s="83" t="s">
        <v>164</v>
      </c>
      <c r="E190" s="270">
        <f t="shared" ref="E190:G192" si="21">E194*$C$193+E198*$C$197+$C$201*E202</f>
        <v>3.9989486962957101E-2</v>
      </c>
      <c r="F190" s="90">
        <f t="shared" si="21"/>
        <v>0.10839375799368123</v>
      </c>
      <c r="G190" s="278">
        <f t="shared" si="21"/>
        <v>0.30002835421133933</v>
      </c>
      <c r="H190" s="90">
        <f t="shared" ref="H190:U192" si="22">H194*$C$193+H198*$C$197+$C$201*H202</f>
        <v>1.0623868742790282E-2</v>
      </c>
      <c r="I190" s="90">
        <f t="shared" si="22"/>
        <v>0.03</v>
      </c>
      <c r="J190" s="90">
        <f t="shared" si="22"/>
        <v>0</v>
      </c>
      <c r="K190" s="90">
        <f t="shared" si="22"/>
        <v>0</v>
      </c>
      <c r="L190" s="90">
        <f t="shared" si="22"/>
        <v>7.7804022879338526E-3</v>
      </c>
      <c r="M190" s="90">
        <f t="shared" si="22"/>
        <v>0</v>
      </c>
      <c r="N190" s="90">
        <f t="shared" si="22"/>
        <v>0.02</v>
      </c>
      <c r="O190" s="90">
        <f t="shared" si="22"/>
        <v>0</v>
      </c>
      <c r="P190" s="90">
        <f t="shared" si="22"/>
        <v>3.9989486962957101E-2</v>
      </c>
      <c r="Q190" s="90">
        <f t="shared" si="22"/>
        <v>0</v>
      </c>
      <c r="R190" s="90">
        <f t="shared" si="22"/>
        <v>0</v>
      </c>
      <c r="S190" s="90">
        <f t="shared" si="22"/>
        <v>0.10839375799368123</v>
      </c>
      <c r="T190" s="90">
        <f t="shared" si="22"/>
        <v>0.05</v>
      </c>
      <c r="U190" s="90">
        <f t="shared" si="22"/>
        <v>9.2999999999999999E-2</v>
      </c>
      <c r="V190" s="430"/>
      <c r="W190" s="243"/>
      <c r="Z190" s="64"/>
    </row>
    <row r="191" spans="1:258" s="308" customFormat="1" ht="17.399999999999999" x14ac:dyDescent="0.3">
      <c r="A191" s="103"/>
      <c r="B191" s="84"/>
      <c r="C191" s="142"/>
      <c r="D191" s="83" t="s">
        <v>165</v>
      </c>
      <c r="E191" s="270">
        <f t="shared" si="21"/>
        <v>0</v>
      </c>
      <c r="F191" s="90">
        <f t="shared" si="21"/>
        <v>3.4464942273739387E-6</v>
      </c>
      <c r="G191" s="278">
        <f t="shared" si="21"/>
        <v>4.1132524494258736E-6</v>
      </c>
      <c r="H191" s="90">
        <f t="shared" si="22"/>
        <v>3.8366688803356008E-11</v>
      </c>
      <c r="I191" s="90">
        <f t="shared" si="22"/>
        <v>0</v>
      </c>
      <c r="J191" s="90">
        <f t="shared" si="22"/>
        <v>0</v>
      </c>
      <c r="K191" s="90">
        <f t="shared" si="22"/>
        <v>0</v>
      </c>
      <c r="L191" s="90">
        <f t="shared" si="22"/>
        <v>3.4464558606851352E-6</v>
      </c>
      <c r="M191" s="90">
        <f t="shared" si="22"/>
        <v>0</v>
      </c>
      <c r="N191" s="90">
        <f t="shared" si="22"/>
        <v>0</v>
      </c>
      <c r="O191" s="90">
        <f t="shared" si="22"/>
        <v>0</v>
      </c>
      <c r="P191" s="90">
        <f t="shared" si="22"/>
        <v>0</v>
      </c>
      <c r="Q191" s="90">
        <f t="shared" si="22"/>
        <v>0</v>
      </c>
      <c r="R191" s="90">
        <f t="shared" si="22"/>
        <v>0</v>
      </c>
      <c r="S191" s="90">
        <f t="shared" si="22"/>
        <v>3.4464942273739387E-6</v>
      </c>
      <c r="T191" s="90">
        <f t="shared" si="22"/>
        <v>0</v>
      </c>
      <c r="U191" s="90">
        <f t="shared" si="22"/>
        <v>0</v>
      </c>
      <c r="V191" s="430"/>
      <c r="W191" s="243"/>
      <c r="Z191" s="64"/>
    </row>
    <row r="192" spans="1:258" s="308" customFormat="1" ht="17.399999999999999" x14ac:dyDescent="0.3">
      <c r="A192" s="107"/>
      <c r="B192" s="206"/>
      <c r="C192" s="85"/>
      <c r="D192" s="84" t="s">
        <v>166</v>
      </c>
      <c r="E192" s="270">
        <f t="shared" si="21"/>
        <v>1.1406865983155167E-4</v>
      </c>
      <c r="F192" s="90">
        <f t="shared" si="21"/>
        <v>1.6545401425483645E-4</v>
      </c>
      <c r="G192" s="278">
        <f t="shared" si="21"/>
        <v>1.9746272139257244E-4</v>
      </c>
      <c r="H192" s="90">
        <f t="shared" si="22"/>
        <v>5.1176291980352954E-5</v>
      </c>
      <c r="I192" s="90">
        <f t="shared" si="22"/>
        <v>0</v>
      </c>
      <c r="J192" s="90">
        <f t="shared" si="22"/>
        <v>1.0369878166504696E-4</v>
      </c>
      <c r="K192" s="90">
        <f t="shared" si="22"/>
        <v>1.0369878166504697E-5</v>
      </c>
      <c r="L192" s="90">
        <f t="shared" si="22"/>
        <v>2.0906244293183697E-7</v>
      </c>
      <c r="M192" s="90">
        <f t="shared" si="22"/>
        <v>0</v>
      </c>
      <c r="N192" s="90">
        <f t="shared" si="22"/>
        <v>0</v>
      </c>
      <c r="O192" s="90">
        <f t="shared" si="22"/>
        <v>0</v>
      </c>
      <c r="P192" s="90">
        <f t="shared" si="22"/>
        <v>0</v>
      </c>
      <c r="Q192" s="90">
        <f t="shared" si="22"/>
        <v>0</v>
      </c>
      <c r="R192" s="90">
        <f t="shared" si="22"/>
        <v>0</v>
      </c>
      <c r="S192" s="90">
        <f t="shared" si="22"/>
        <v>1.6545401425483645E-4</v>
      </c>
      <c r="T192" s="90">
        <f t="shared" si="22"/>
        <v>0</v>
      </c>
      <c r="U192" s="90">
        <f t="shared" si="22"/>
        <v>0</v>
      </c>
      <c r="V192" s="430"/>
      <c r="W192" s="243"/>
      <c r="Z192" s="64"/>
    </row>
    <row r="193" spans="1:258" s="420" customFormat="1" ht="17.399999999999999" x14ac:dyDescent="0.3">
      <c r="A193" s="122" t="s">
        <v>1</v>
      </c>
      <c r="B193" s="150" t="s">
        <v>225</v>
      </c>
      <c r="C193" s="111">
        <f>'Input data plant-based products'!D51</f>
        <v>0.43</v>
      </c>
      <c r="D193" s="269" t="s">
        <v>473</v>
      </c>
      <c r="E193" s="320">
        <f>IF($F$1="GWP100 without fb",E194+E195*'Common input data'!$C$5+E196*'Common input data'!$D$5,IF($F$1="GWP100 with fb",E194+E195*'Common input data'!$C$6+E196*'Common input data'!$D$6,IF($F$1="GTP100 without fb",E194+E195*'Common input data'!$C$7+E196*'Common input data'!$D$7,IF($F$1="GTP100 with fb",E194+E195*'Common input data'!$C$8+E196*'Common input data'!$D$8,E194+E195*'Common input data'!$C$9+E196*'Common input data'!$D$9))))</f>
        <v>7.6228536201700225E-2</v>
      </c>
      <c r="F193" s="302">
        <f>IF($F$1="GWP100 without fb",F194+F195*'Common input data'!$C$5+F196*'Common input data'!$D$5,IF($F$1="GWP100 with fb",F194+F195*'Common input data'!$C$6+F196*'Common input data'!$D$6,IF($F$1="GTP100 without fb",F194+F195*'Common input data'!$C$7+F196*'Common input data'!$D$7,IF($F$1="GTP100 with fb",F194+F195*'Common input data'!$C$8+F196*'Common input data'!$D$8,F194+F195*'Common input data'!$C$9+F196*'Common input data'!$D$9))))</f>
        <v>0.16006386451551352</v>
      </c>
      <c r="G193" s="321">
        <f>IF($F$1="GWP100 without fb",G194+G195*'Common input data'!$C$5+G196*'Common input data'!$D$5,IF($F$1="GWP100 with fb",G194+G195*'Common input data'!$C$6+G196*'Common input data'!$D$6,IF($F$1="GTP100 without fb",G194+G195*'Common input data'!$C$7+G196*'Common input data'!$D$7,IF($F$1="GTP100 with fb",G194+G195*'Common input data'!$C$8+G196*'Common input data'!$D$8,G194+G195*'Common input data'!$C$9+G196*'Common input data'!$D$9))))</f>
        <v>0.28650658135280288</v>
      </c>
      <c r="H193" s="102"/>
      <c r="I193" s="102"/>
      <c r="J193" s="102"/>
      <c r="K193" s="102"/>
      <c r="L193" s="102"/>
      <c r="M193" s="102"/>
      <c r="N193" s="102"/>
      <c r="O193" s="102"/>
      <c r="P193" s="102"/>
      <c r="Q193" s="102"/>
      <c r="R193" s="102"/>
      <c r="S193" s="102"/>
      <c r="T193" s="102"/>
      <c r="U193" s="102"/>
      <c r="V193" s="430"/>
      <c r="W193" s="243"/>
      <c r="X193" s="308"/>
      <c r="Y193" s="308"/>
      <c r="Z193" s="64"/>
      <c r="AA193" s="308"/>
      <c r="AB193" s="308"/>
      <c r="AC193" s="308"/>
      <c r="AD193" s="308"/>
      <c r="AE193" s="308"/>
      <c r="AF193" s="308"/>
      <c r="AG193" s="308"/>
      <c r="AH193" s="308"/>
      <c r="AI193" s="308"/>
      <c r="AJ193" s="308"/>
      <c r="AK193" s="308"/>
      <c r="AL193" s="308"/>
      <c r="AM193" s="308"/>
      <c r="AN193" s="308"/>
      <c r="AO193" s="308"/>
      <c r="AP193" s="308"/>
      <c r="AQ193" s="308"/>
      <c r="AR193" s="308"/>
      <c r="AS193" s="308"/>
      <c r="AT193" s="308"/>
      <c r="AU193" s="308"/>
      <c r="AV193" s="308"/>
      <c r="AW193" s="308"/>
      <c r="AX193" s="308"/>
      <c r="AY193" s="308"/>
      <c r="AZ193" s="308"/>
      <c r="BA193" s="308"/>
      <c r="BB193" s="308"/>
      <c r="BC193" s="308"/>
      <c r="BD193" s="308"/>
      <c r="BE193" s="308"/>
      <c r="BF193" s="308"/>
      <c r="BG193" s="308"/>
      <c r="BH193" s="308"/>
      <c r="BI193" s="308"/>
      <c r="BJ193" s="308"/>
      <c r="BK193" s="308"/>
      <c r="BL193" s="308"/>
      <c r="BM193" s="308"/>
      <c r="BN193" s="308"/>
      <c r="BO193" s="308"/>
      <c r="BP193" s="308"/>
      <c r="BQ193" s="308"/>
      <c r="BR193" s="308"/>
      <c r="BS193" s="308"/>
      <c r="BT193" s="308"/>
      <c r="BU193" s="308"/>
      <c r="BV193" s="308"/>
      <c r="BW193" s="308"/>
      <c r="BX193" s="308"/>
      <c r="BY193" s="308"/>
      <c r="BZ193" s="308"/>
      <c r="CA193" s="308"/>
      <c r="CB193" s="308"/>
      <c r="CC193" s="308"/>
      <c r="CD193" s="308"/>
      <c r="CE193" s="308"/>
      <c r="CF193" s="308"/>
      <c r="CG193" s="308"/>
      <c r="CH193" s="308"/>
      <c r="CI193" s="308"/>
      <c r="CJ193" s="308"/>
      <c r="CK193" s="308"/>
      <c r="CL193" s="308"/>
      <c r="CM193" s="308"/>
      <c r="CN193" s="308"/>
      <c r="CO193" s="308"/>
      <c r="CP193" s="308"/>
      <c r="CQ193" s="308"/>
      <c r="CR193" s="308"/>
      <c r="CS193" s="308"/>
      <c r="CT193" s="308"/>
      <c r="CU193" s="308"/>
      <c r="CV193" s="308"/>
      <c r="CW193" s="308"/>
      <c r="CX193" s="308"/>
      <c r="CY193" s="308"/>
      <c r="CZ193" s="308"/>
      <c r="DA193" s="308"/>
      <c r="DB193" s="308"/>
      <c r="DC193" s="308"/>
      <c r="DD193" s="308"/>
      <c r="DE193" s="308"/>
      <c r="DF193" s="308"/>
      <c r="DG193" s="308"/>
      <c r="DH193" s="308"/>
      <c r="DI193" s="308"/>
      <c r="DJ193" s="308"/>
      <c r="DK193" s="308"/>
      <c r="DL193" s="308"/>
      <c r="DM193" s="308"/>
      <c r="DN193" s="308"/>
      <c r="DO193" s="308"/>
      <c r="DP193" s="308"/>
      <c r="DQ193" s="308"/>
      <c r="DR193" s="308"/>
      <c r="DS193" s="308"/>
      <c r="DT193" s="308"/>
      <c r="DU193" s="308"/>
      <c r="DV193" s="308"/>
      <c r="DW193" s="308"/>
      <c r="DX193" s="308"/>
      <c r="DY193" s="308"/>
      <c r="DZ193" s="308"/>
      <c r="EA193" s="308"/>
      <c r="EB193" s="308"/>
      <c r="EC193" s="308"/>
      <c r="ED193" s="308"/>
      <c r="EE193" s="308"/>
      <c r="EF193" s="308"/>
      <c r="EG193" s="308"/>
      <c r="EH193" s="308"/>
      <c r="EI193" s="308"/>
      <c r="EJ193" s="308"/>
      <c r="EK193" s="308"/>
      <c r="EL193" s="308"/>
      <c r="EM193" s="308"/>
      <c r="EN193" s="308"/>
      <c r="EO193" s="308"/>
      <c r="EP193" s="308"/>
      <c r="EQ193" s="308"/>
      <c r="ER193" s="308"/>
      <c r="ES193" s="308"/>
      <c r="ET193" s="308"/>
      <c r="EU193" s="308"/>
      <c r="EV193" s="308"/>
      <c r="EW193" s="308"/>
      <c r="EX193" s="308"/>
      <c r="EY193" s="308"/>
      <c r="EZ193" s="308"/>
      <c r="FA193" s="308"/>
      <c r="FB193" s="308"/>
      <c r="FC193" s="308"/>
      <c r="FD193" s="308"/>
      <c r="FE193" s="308"/>
      <c r="FF193" s="308"/>
      <c r="FG193" s="308"/>
      <c r="FH193" s="308"/>
      <c r="FI193" s="308"/>
      <c r="FJ193" s="308"/>
      <c r="FK193" s="308"/>
      <c r="FL193" s="308"/>
      <c r="FM193" s="308"/>
      <c r="FN193" s="308"/>
      <c r="FO193" s="308"/>
      <c r="FP193" s="308"/>
      <c r="FQ193" s="308"/>
      <c r="FR193" s="308"/>
      <c r="FS193" s="308"/>
      <c r="FT193" s="308"/>
      <c r="FU193" s="308"/>
      <c r="FV193" s="308"/>
      <c r="FW193" s="308"/>
      <c r="FX193" s="308"/>
      <c r="FY193" s="308"/>
      <c r="FZ193" s="308"/>
      <c r="GA193" s="308"/>
      <c r="GB193" s="308"/>
      <c r="GC193" s="308"/>
      <c r="GD193" s="308"/>
      <c r="GE193" s="308"/>
      <c r="GF193" s="308"/>
      <c r="GG193" s="308"/>
      <c r="GH193" s="308"/>
      <c r="GI193" s="308"/>
      <c r="GJ193" s="308"/>
      <c r="GK193" s="308"/>
      <c r="GL193" s="308"/>
      <c r="GM193" s="308"/>
      <c r="GN193" s="308"/>
      <c r="GO193" s="308"/>
      <c r="GP193" s="308"/>
      <c r="GQ193" s="308"/>
      <c r="GR193" s="308"/>
      <c r="GS193" s="308"/>
      <c r="GT193" s="308"/>
      <c r="GU193" s="308"/>
      <c r="GV193" s="308"/>
      <c r="GW193" s="308"/>
      <c r="GX193" s="308"/>
      <c r="GY193" s="308"/>
      <c r="GZ193" s="308"/>
      <c r="HA193" s="308"/>
      <c r="HB193" s="308"/>
      <c r="HC193" s="308"/>
      <c r="HD193" s="308"/>
      <c r="HE193" s="308"/>
      <c r="HF193" s="308"/>
      <c r="HG193" s="308"/>
      <c r="HH193" s="308"/>
      <c r="HI193" s="308"/>
      <c r="HJ193" s="308"/>
      <c r="HK193" s="308"/>
      <c r="HL193" s="308"/>
      <c r="HM193" s="308"/>
      <c r="HN193" s="308"/>
      <c r="HO193" s="308"/>
      <c r="HP193" s="308"/>
      <c r="HQ193" s="308"/>
      <c r="HR193" s="308"/>
      <c r="HS193" s="308"/>
      <c r="HT193" s="308"/>
      <c r="HU193" s="308"/>
      <c r="HV193" s="308"/>
      <c r="HW193" s="308"/>
      <c r="HX193" s="308"/>
      <c r="HY193" s="308"/>
      <c r="HZ193" s="308"/>
      <c r="IA193" s="308"/>
      <c r="IB193" s="308"/>
      <c r="IC193" s="308"/>
      <c r="ID193" s="308"/>
      <c r="IE193" s="308"/>
      <c r="IF193" s="308"/>
      <c r="IG193" s="308"/>
      <c r="IH193" s="308"/>
      <c r="II193" s="308"/>
      <c r="IJ193" s="308"/>
      <c r="IK193" s="308"/>
      <c r="IL193" s="308"/>
      <c r="IM193" s="308"/>
      <c r="IN193" s="308"/>
      <c r="IO193" s="308"/>
      <c r="IP193" s="308"/>
      <c r="IQ193" s="308"/>
      <c r="IR193" s="308"/>
      <c r="IS193" s="308"/>
      <c r="IT193" s="308"/>
      <c r="IU193" s="308"/>
      <c r="IV193" s="308"/>
      <c r="IW193" s="308"/>
      <c r="IX193" s="308"/>
    </row>
    <row r="194" spans="1:258" s="308" customFormat="1" ht="17.399999999999999" x14ac:dyDescent="0.3">
      <c r="A194" s="103"/>
      <c r="B194" s="84"/>
      <c r="C194" s="64"/>
      <c r="D194" s="83" t="s">
        <v>164</v>
      </c>
      <c r="E194" s="270">
        <f>IF(AND($F$2="No",$F$3="No"),SUM(J194:K194),IF(AND($F$2="Yes", $F$3="No"), SUM(J194:K194)+Q194, IF(AND($F$2="No", $F$3="Yes"),SUM(J194:K194)+P194, SUM(J194:K194)+Q194+P194)))</f>
        <v>3.9989486962957101E-2</v>
      </c>
      <c r="F194" s="90">
        <f>IF(AND($F$2="No",$F$3="No"),SUM(H194:O194),IF(AND($F$2="Yes", $F$3="No"), SUM(H194:O194)+Q194, IF(AND($F$2="No", $F$3="Yes"),SUM(H194:O194)+P194, SUM(H194:O194)+Q194+P194)))</f>
        <v>0.1098539985488419</v>
      </c>
      <c r="G194" s="278">
        <f>SUM(S194:U194)/(1-'Common input data'!$B$121)</f>
        <v>0.22658312274596243</v>
      </c>
      <c r="H194" s="90">
        <f>('Input data plant-based products'!$F$51*('Common input data'!$B$76*'Common input data'!B69+'Common input data'!$B$77*'Common input data'!C69))/'Input data plant-based products'!$E$51</f>
        <v>1.1380752855726076E-2</v>
      </c>
      <c r="I194" s="90">
        <f>'Common input data'!$B$81</f>
        <v>0.03</v>
      </c>
      <c r="J194" s="90">
        <v>0</v>
      </c>
      <c r="K194" s="90">
        <v>0</v>
      </c>
      <c r="L194" s="90">
        <f>('Input data plant-based products'!$I$51*'Common input data'!$C$59*'Common input data'!H49)/'Input data plant-based products'!$E$51</f>
        <v>8.4837587301587296E-3</v>
      </c>
      <c r="M194" s="90">
        <v>0</v>
      </c>
      <c r="N194" s="90">
        <f>'Input data plant-based products'!$G$152</f>
        <v>0.02</v>
      </c>
      <c r="O194" s="90">
        <v>0</v>
      </c>
      <c r="P194" s="90">
        <f>'Common input data'!$E$13</f>
        <v>3.9989486962957101E-2</v>
      </c>
      <c r="Q194" s="90">
        <v>0</v>
      </c>
      <c r="R194" s="90">
        <v>0</v>
      </c>
      <c r="S194" s="90">
        <f>(F194+R194)</f>
        <v>0.1098539985488419</v>
      </c>
      <c r="T194" s="90">
        <f>'Common input data'!$B$88</f>
        <v>0.05</v>
      </c>
      <c r="U194" s="90">
        <f>'Common input data'!C98</f>
        <v>0.03</v>
      </c>
      <c r="V194" s="430"/>
      <c r="W194" s="243"/>
      <c r="Z194" s="64"/>
    </row>
    <row r="195" spans="1:258" s="308" customFormat="1" ht="17.399999999999999" x14ac:dyDescent="0.3">
      <c r="A195" s="107"/>
      <c r="B195" s="84"/>
      <c r="C195" s="142"/>
      <c r="D195" s="83" t="s">
        <v>165</v>
      </c>
      <c r="E195" s="270">
        <f>SUM(J195:K195)</f>
        <v>0</v>
      </c>
      <c r="F195" s="90">
        <f>SUM(H195:O195)</f>
        <v>3.7580495165532882E-6</v>
      </c>
      <c r="G195" s="278">
        <f>SUM(S195:U195)/(1-'Common input data'!$B$121)</f>
        <v>4.4850811750248101E-6</v>
      </c>
      <c r="H195" s="90">
        <f>('Input data plant-based products'!$F$51*('Common input data'!$B$76*'Common input data'!B70+'Common input data'!$B$77*'Common input data'!C70))/'Input data plant-based products'!$E$51</f>
        <v>3.0468934240362812E-11</v>
      </c>
      <c r="I195" s="90">
        <v>0</v>
      </c>
      <c r="J195" s="90">
        <v>0</v>
      </c>
      <c r="K195" s="90">
        <v>0</v>
      </c>
      <c r="L195" s="90">
        <f>('Input data plant-based products'!$I$51*'Common input data'!$C$59*'Common input data'!H50)/'Input data plant-based products'!$E$51</f>
        <v>3.7580190476190477E-6</v>
      </c>
      <c r="M195" s="90">
        <v>0</v>
      </c>
      <c r="N195" s="90">
        <v>0</v>
      </c>
      <c r="O195" s="90">
        <v>0</v>
      </c>
      <c r="P195" s="90">
        <v>0</v>
      </c>
      <c r="Q195" s="90">
        <v>0</v>
      </c>
      <c r="R195" s="90">
        <v>0</v>
      </c>
      <c r="S195" s="90">
        <f>(F195+R195)</f>
        <v>3.7580495165532882E-6</v>
      </c>
      <c r="T195" s="90">
        <v>0</v>
      </c>
      <c r="U195" s="90">
        <v>0</v>
      </c>
      <c r="V195" s="430"/>
      <c r="W195" s="243"/>
      <c r="Z195" s="64"/>
    </row>
    <row r="196" spans="1:258" s="308" customFormat="1" ht="17.399999999999999" x14ac:dyDescent="0.3">
      <c r="A196" s="174"/>
      <c r="B196" s="206"/>
      <c r="C196" s="85"/>
      <c r="D196" s="84" t="s">
        <v>166</v>
      </c>
      <c r="E196" s="270">
        <f>SUM(J196:K196)</f>
        <v>1.2160754778101716E-4</v>
      </c>
      <c r="F196" s="90">
        <f>SUM(H196:O196)</f>
        <v>1.6806071235942548E-4</v>
      </c>
      <c r="G196" s="278">
        <f>SUM(S196:U196)/(1-'Common input data'!$B$121)</f>
        <v>2.0057371089560267E-4</v>
      </c>
      <c r="H196" s="90">
        <f>('Input data plant-based products'!$F$51*('Common input data'!$B$76*'Common input data'!B71+'Common input data'!$B$77*'Common input data'!C71))/'Input data plant-based products'!$E$51</f>
        <v>4.6225202673646433E-5</v>
      </c>
      <c r="I196" s="90">
        <v>0</v>
      </c>
      <c r="J196" s="90">
        <f>(SUM('Input data plant-based products'!F51:H51)*'Input data plant-based products'!$B$114*44/28)/'Input data plant-based products'!E51</f>
        <v>1.1055231616456105E-4</v>
      </c>
      <c r="K196" s="90">
        <f>J196*'Input data plant-based products'!$B$115</f>
        <v>1.1055231616456105E-5</v>
      </c>
      <c r="L196" s="90">
        <f>('Input data plant-based products'!$I$51*'Common input data'!$C$59*'Common input data'!H51)/'Input data plant-based products'!$E$51</f>
        <v>2.2796190476190477E-7</v>
      </c>
      <c r="M196" s="90">
        <v>0</v>
      </c>
      <c r="N196" s="90">
        <v>0</v>
      </c>
      <c r="O196" s="90">
        <v>0</v>
      </c>
      <c r="P196" s="90">
        <v>0</v>
      </c>
      <c r="Q196" s="90">
        <v>0</v>
      </c>
      <c r="R196" s="90">
        <v>0</v>
      </c>
      <c r="S196" s="90">
        <f>(F196+R196)</f>
        <v>1.6806071235942548E-4</v>
      </c>
      <c r="T196" s="90">
        <v>0</v>
      </c>
      <c r="U196" s="90">
        <v>0</v>
      </c>
      <c r="V196" s="430"/>
      <c r="W196" s="243"/>
      <c r="Z196" s="64"/>
    </row>
    <row r="197" spans="1:258" s="420" customFormat="1" ht="17.399999999999999" x14ac:dyDescent="0.3">
      <c r="A197" s="122" t="s">
        <v>82</v>
      </c>
      <c r="B197" s="150" t="s">
        <v>225</v>
      </c>
      <c r="C197" s="111">
        <f>'Input data plant-based products'!D52</f>
        <v>0.51</v>
      </c>
      <c r="D197" s="269" t="s">
        <v>473</v>
      </c>
      <c r="E197" s="320">
        <f>IF($F$1="GWP100 without fb",E198+E199*'Common input data'!$C$5+E200*'Common input data'!$D$5,IF($F$1="GWP100 with fb",E198+E199*'Common input data'!$C$6+E200*'Common input data'!$D$6,IF($F$1="GTP100 without fb",E198+E199*'Common input data'!$C$7+E200*'Common input data'!$D$7,IF($F$1="GTP100 with fb",E198+E199*'Common input data'!$C$8+E200*'Common input data'!$D$8,E198+E199*'Common input data'!$C$9+E200*'Common input data'!$D$9))))</f>
        <v>7.2287152677242811E-2</v>
      </c>
      <c r="F197" s="302">
        <f>IF($F$1="GWP100 without fb",F198+F199*'Common input data'!$C$5+F200*'Common input data'!$D$5,IF($F$1="GWP100 with fb",F198+F199*'Common input data'!$C$6+F200*'Common input data'!$D$6,IF($F$1="GTP100 without fb",F198+F199*'Common input data'!$C$7+F200*'Common input data'!$D$7,IF($F$1="GTP100 with fb",F198+F199*'Common input data'!$C$8+F200*'Common input data'!$D$8,F198+F199*'Common input data'!$C$9+F200*'Common input data'!$D$9))))</f>
        <v>0.15544812360779067</v>
      </c>
      <c r="G197" s="321">
        <f>IF($F$1="GWP100 without fb",G198+G199*'Common input data'!$C$5+G200*'Common input data'!$D$5,IF($F$1="GWP100 with fb",G198+G199*'Common input data'!$C$6+G200*'Common input data'!$D$6,IF($F$1="GTP100 without fb",G198+G199*'Common input data'!$C$7+G200*'Common input data'!$D$7,IF($F$1="GTP100 with fb",G198+G199*'Common input data'!$C$8+G200*'Common input data'!$D$8,G198+G199*'Common input data'!$C$9+G200*'Common input data'!$D$9))))</f>
        <v>0.40034386395487609</v>
      </c>
      <c r="H197" s="102"/>
      <c r="I197" s="102"/>
      <c r="J197" s="102"/>
      <c r="K197" s="102"/>
      <c r="L197" s="102"/>
      <c r="M197" s="102"/>
      <c r="N197" s="102"/>
      <c r="O197" s="102"/>
      <c r="P197" s="102"/>
      <c r="Q197" s="102"/>
      <c r="R197" s="102"/>
      <c r="S197" s="102"/>
      <c r="T197" s="102"/>
      <c r="U197" s="102"/>
      <c r="V197" s="430"/>
      <c r="W197" s="243"/>
      <c r="X197" s="308"/>
      <c r="Y197" s="308"/>
      <c r="Z197" s="64"/>
      <c r="AA197" s="308"/>
      <c r="AB197" s="308"/>
      <c r="AC197" s="308"/>
      <c r="AD197" s="308"/>
      <c r="AE197" s="308"/>
      <c r="AF197" s="308"/>
      <c r="AG197" s="308"/>
      <c r="AH197" s="308"/>
      <c r="AI197" s="308"/>
      <c r="AJ197" s="308"/>
      <c r="AK197" s="308"/>
      <c r="AL197" s="308"/>
      <c r="AM197" s="308"/>
      <c r="AN197" s="308"/>
      <c r="AO197" s="308"/>
      <c r="AP197" s="308"/>
      <c r="AQ197" s="308"/>
      <c r="AR197" s="308"/>
      <c r="AS197" s="308"/>
      <c r="AT197" s="308"/>
      <c r="AU197" s="308"/>
      <c r="AV197" s="308"/>
      <c r="AW197" s="308"/>
      <c r="AX197" s="308"/>
      <c r="AY197" s="308"/>
      <c r="AZ197" s="308"/>
      <c r="BA197" s="308"/>
      <c r="BB197" s="308"/>
      <c r="BC197" s="308"/>
      <c r="BD197" s="308"/>
      <c r="BE197" s="308"/>
      <c r="BF197" s="308"/>
      <c r="BG197" s="308"/>
      <c r="BH197" s="308"/>
      <c r="BI197" s="308"/>
      <c r="BJ197" s="308"/>
      <c r="BK197" s="308"/>
      <c r="BL197" s="308"/>
      <c r="BM197" s="308"/>
      <c r="BN197" s="308"/>
      <c r="BO197" s="308"/>
      <c r="BP197" s="308"/>
      <c r="BQ197" s="308"/>
      <c r="BR197" s="308"/>
      <c r="BS197" s="308"/>
      <c r="BT197" s="308"/>
      <c r="BU197" s="308"/>
      <c r="BV197" s="308"/>
      <c r="BW197" s="308"/>
      <c r="BX197" s="308"/>
      <c r="BY197" s="308"/>
      <c r="BZ197" s="308"/>
      <c r="CA197" s="308"/>
      <c r="CB197" s="308"/>
      <c r="CC197" s="308"/>
      <c r="CD197" s="308"/>
      <c r="CE197" s="308"/>
      <c r="CF197" s="308"/>
      <c r="CG197" s="308"/>
      <c r="CH197" s="308"/>
      <c r="CI197" s="308"/>
      <c r="CJ197" s="308"/>
      <c r="CK197" s="308"/>
      <c r="CL197" s="308"/>
      <c r="CM197" s="308"/>
      <c r="CN197" s="308"/>
      <c r="CO197" s="308"/>
      <c r="CP197" s="308"/>
      <c r="CQ197" s="308"/>
      <c r="CR197" s="308"/>
      <c r="CS197" s="308"/>
      <c r="CT197" s="308"/>
      <c r="CU197" s="308"/>
      <c r="CV197" s="308"/>
      <c r="CW197" s="308"/>
      <c r="CX197" s="308"/>
      <c r="CY197" s="308"/>
      <c r="CZ197" s="308"/>
      <c r="DA197" s="308"/>
      <c r="DB197" s="308"/>
      <c r="DC197" s="308"/>
      <c r="DD197" s="308"/>
      <c r="DE197" s="308"/>
      <c r="DF197" s="308"/>
      <c r="DG197" s="308"/>
      <c r="DH197" s="308"/>
      <c r="DI197" s="308"/>
      <c r="DJ197" s="308"/>
      <c r="DK197" s="308"/>
      <c r="DL197" s="308"/>
      <c r="DM197" s="308"/>
      <c r="DN197" s="308"/>
      <c r="DO197" s="308"/>
      <c r="DP197" s="308"/>
      <c r="DQ197" s="308"/>
      <c r="DR197" s="308"/>
      <c r="DS197" s="308"/>
      <c r="DT197" s="308"/>
      <c r="DU197" s="308"/>
      <c r="DV197" s="308"/>
      <c r="DW197" s="308"/>
      <c r="DX197" s="308"/>
      <c r="DY197" s="308"/>
      <c r="DZ197" s="308"/>
      <c r="EA197" s="308"/>
      <c r="EB197" s="308"/>
      <c r="EC197" s="308"/>
      <c r="ED197" s="308"/>
      <c r="EE197" s="308"/>
      <c r="EF197" s="308"/>
      <c r="EG197" s="308"/>
      <c r="EH197" s="308"/>
      <c r="EI197" s="308"/>
      <c r="EJ197" s="308"/>
      <c r="EK197" s="308"/>
      <c r="EL197" s="308"/>
      <c r="EM197" s="308"/>
      <c r="EN197" s="308"/>
      <c r="EO197" s="308"/>
      <c r="EP197" s="308"/>
      <c r="EQ197" s="308"/>
      <c r="ER197" s="308"/>
      <c r="ES197" s="308"/>
      <c r="ET197" s="308"/>
      <c r="EU197" s="308"/>
      <c r="EV197" s="308"/>
      <c r="EW197" s="308"/>
      <c r="EX197" s="308"/>
      <c r="EY197" s="308"/>
      <c r="EZ197" s="308"/>
      <c r="FA197" s="308"/>
      <c r="FB197" s="308"/>
      <c r="FC197" s="308"/>
      <c r="FD197" s="308"/>
      <c r="FE197" s="308"/>
      <c r="FF197" s="308"/>
      <c r="FG197" s="308"/>
      <c r="FH197" s="308"/>
      <c r="FI197" s="308"/>
      <c r="FJ197" s="308"/>
      <c r="FK197" s="308"/>
      <c r="FL197" s="308"/>
      <c r="FM197" s="308"/>
      <c r="FN197" s="308"/>
      <c r="FO197" s="308"/>
      <c r="FP197" s="308"/>
      <c r="FQ197" s="308"/>
      <c r="FR197" s="308"/>
      <c r="FS197" s="308"/>
      <c r="FT197" s="308"/>
      <c r="FU197" s="308"/>
      <c r="FV197" s="308"/>
      <c r="FW197" s="308"/>
      <c r="FX197" s="308"/>
      <c r="FY197" s="308"/>
      <c r="FZ197" s="308"/>
      <c r="GA197" s="308"/>
      <c r="GB197" s="308"/>
      <c r="GC197" s="308"/>
      <c r="GD197" s="308"/>
      <c r="GE197" s="308"/>
      <c r="GF197" s="308"/>
      <c r="GG197" s="308"/>
      <c r="GH197" s="308"/>
      <c r="GI197" s="308"/>
      <c r="GJ197" s="308"/>
      <c r="GK197" s="308"/>
      <c r="GL197" s="308"/>
      <c r="GM197" s="308"/>
      <c r="GN197" s="308"/>
      <c r="GO197" s="308"/>
      <c r="GP197" s="308"/>
      <c r="GQ197" s="308"/>
      <c r="GR197" s="308"/>
      <c r="GS197" s="308"/>
      <c r="GT197" s="308"/>
      <c r="GU197" s="308"/>
      <c r="GV197" s="308"/>
      <c r="GW197" s="308"/>
      <c r="GX197" s="308"/>
      <c r="GY197" s="308"/>
      <c r="GZ197" s="308"/>
      <c r="HA197" s="308"/>
      <c r="HB197" s="308"/>
      <c r="HC197" s="308"/>
      <c r="HD197" s="308"/>
      <c r="HE197" s="308"/>
      <c r="HF197" s="308"/>
      <c r="HG197" s="308"/>
      <c r="HH197" s="308"/>
      <c r="HI197" s="308"/>
      <c r="HJ197" s="308"/>
      <c r="HK197" s="308"/>
      <c r="HL197" s="308"/>
      <c r="HM197" s="308"/>
      <c r="HN197" s="308"/>
      <c r="HO197" s="308"/>
      <c r="HP197" s="308"/>
      <c r="HQ197" s="308"/>
      <c r="HR197" s="308"/>
      <c r="HS197" s="308"/>
      <c r="HT197" s="308"/>
      <c r="HU197" s="308"/>
      <c r="HV197" s="308"/>
      <c r="HW197" s="308"/>
      <c r="HX197" s="308"/>
      <c r="HY197" s="308"/>
      <c r="HZ197" s="308"/>
      <c r="IA197" s="308"/>
      <c r="IB197" s="308"/>
      <c r="IC197" s="308"/>
      <c r="ID197" s="308"/>
      <c r="IE197" s="308"/>
      <c r="IF197" s="308"/>
      <c r="IG197" s="308"/>
      <c r="IH197" s="308"/>
      <c r="II197" s="308"/>
      <c r="IJ197" s="308"/>
      <c r="IK197" s="308"/>
      <c r="IL197" s="308"/>
      <c r="IM197" s="308"/>
      <c r="IN197" s="308"/>
      <c r="IO197" s="308"/>
      <c r="IP197" s="308"/>
      <c r="IQ197" s="308"/>
      <c r="IR197" s="308"/>
      <c r="IS197" s="308"/>
      <c r="IT197" s="308"/>
      <c r="IU197" s="308"/>
      <c r="IV197" s="308"/>
      <c r="IW197" s="308"/>
      <c r="IX197" s="308"/>
    </row>
    <row r="198" spans="1:258" s="308" customFormat="1" ht="17.399999999999999" x14ac:dyDescent="0.3">
      <c r="A198" s="144"/>
      <c r="B198" s="84"/>
      <c r="C198" s="64"/>
      <c r="D198" s="83" t="s">
        <v>164</v>
      </c>
      <c r="E198" s="270">
        <f>IF(AND($F$2="No",$F$3="No"),SUM(J198:K198),IF(AND($F$2="Yes", $F$3="No"), SUM(J198:K198)+Q198, IF(AND($F$2="No", $F$3="Yes"),SUM(J198:K198)+P198, SUM(J198:K198)+Q198+P198)))</f>
        <v>3.9989486962957101E-2</v>
      </c>
      <c r="F198" s="90">
        <f>IF(AND($F$2="No",$F$3="No"),SUM(H198:O198),IF(AND($F$2="Yes", $F$3="No"), SUM(H198:O198)+Q198, IF(AND($F$2="No", $F$3="Yes"),SUM(H198:O198)+P198, SUM(H198:O198)+Q198+P198)))</f>
        <v>0.10663480599589087</v>
      </c>
      <c r="G198" s="278">
        <f>SUM(S198:U198)/(1-'Common input data'!$B$121)</f>
        <v>0.34208712972418054</v>
      </c>
      <c r="H198" s="90">
        <f>('Input data plant-based products'!$F$52*('Common input data'!$C$76*'Common input data'!B69+'Common input data'!$C$77*'Common input data'!C69))/'Input data plant-based products'!$E$52</f>
        <v>1.0052885990926441E-2</v>
      </c>
      <c r="I198" s="90">
        <f>'Common input data'!$B$81</f>
        <v>0.03</v>
      </c>
      <c r="J198" s="90">
        <v>0</v>
      </c>
      <c r="K198" s="90">
        <v>0</v>
      </c>
      <c r="L198" s="90">
        <f>('Input data plant-based products'!$I$52*'Common input data'!$C$59*'Common input data'!H49)/'Input data plant-based products'!$E$52</f>
        <v>6.5924330420073299E-3</v>
      </c>
      <c r="M198" s="90">
        <v>0</v>
      </c>
      <c r="N198" s="90">
        <f>'Input data plant-based products'!$G$152</f>
        <v>0.02</v>
      </c>
      <c r="O198" s="90">
        <v>0</v>
      </c>
      <c r="P198" s="90">
        <f>'Common input data'!$E$13</f>
        <v>3.9989486962957101E-2</v>
      </c>
      <c r="Q198" s="90">
        <v>0</v>
      </c>
      <c r="R198" s="90">
        <v>0</v>
      </c>
      <c r="S198" s="90">
        <f>(F198+R198)</f>
        <v>0.10663480599589087</v>
      </c>
      <c r="T198" s="90">
        <f>'Common input data'!$B$88</f>
        <v>0.05</v>
      </c>
      <c r="U198" s="90">
        <f>'Common input data'!B99+'Common input data'!C99</f>
        <v>0.13</v>
      </c>
      <c r="V198" s="430"/>
      <c r="W198" s="243"/>
      <c r="Z198" s="64"/>
    </row>
    <row r="199" spans="1:258" s="308" customFormat="1" ht="17.399999999999999" x14ac:dyDescent="0.3">
      <c r="A199" s="107"/>
      <c r="B199" s="84"/>
      <c r="C199" s="142"/>
      <c r="D199" s="83" t="s">
        <v>165</v>
      </c>
      <c r="E199" s="270">
        <f>SUM(J199:K199)</f>
        <v>0</v>
      </c>
      <c r="F199" s="90">
        <f>SUM(H199:O199)</f>
        <v>2.920269867356151E-6</v>
      </c>
      <c r="G199" s="278">
        <f>SUM(S199:U199)/(1-'Common input data'!$B$121)</f>
        <v>3.4852248088747478E-6</v>
      </c>
      <c r="H199" s="90">
        <f>('Input data plant-based products'!$F$52*('Common input data'!$C$76*'Common input data'!B70+'Common input data'!$C$77*'Common input data'!C70))/'Input data plant-based products'!$E$52</f>
        <v>4.4324643999999994E-11</v>
      </c>
      <c r="I199" s="90">
        <v>0</v>
      </c>
      <c r="J199" s="90">
        <v>0</v>
      </c>
      <c r="K199" s="90">
        <v>0</v>
      </c>
      <c r="L199" s="90">
        <f>('Input data plant-based products'!$I$52*'Common input data'!$C$59*'Common input data'!H50)/'Input data plant-based products'!$E$52</f>
        <v>2.9202255427121511E-6</v>
      </c>
      <c r="M199" s="90">
        <v>0</v>
      </c>
      <c r="N199" s="90">
        <v>0</v>
      </c>
      <c r="O199" s="90">
        <v>0</v>
      </c>
      <c r="P199" s="90">
        <v>0</v>
      </c>
      <c r="Q199" s="90">
        <v>0</v>
      </c>
      <c r="R199" s="90">
        <v>0</v>
      </c>
      <c r="S199" s="90">
        <f>(F199+R199)</f>
        <v>2.920269867356151E-6</v>
      </c>
      <c r="T199" s="90">
        <v>0</v>
      </c>
      <c r="U199" s="90">
        <v>0</v>
      </c>
      <c r="V199" s="430"/>
      <c r="W199" s="243"/>
      <c r="Z199" s="64"/>
    </row>
    <row r="200" spans="1:258" s="308" customFormat="1" ht="17.399999999999999" x14ac:dyDescent="0.3">
      <c r="A200" s="174"/>
      <c r="B200" s="206"/>
      <c r="C200" s="85"/>
      <c r="D200" s="84" t="s">
        <v>166</v>
      </c>
      <c r="E200" s="270">
        <f>SUM(J200:K200)</f>
        <v>1.0838142857142857E-4</v>
      </c>
      <c r="F200" s="90">
        <f>SUM(H200:O200)</f>
        <v>1.6346989408191171E-4</v>
      </c>
      <c r="G200" s="278">
        <f>SUM(S200:U200)/(1-'Common input data'!$B$121)</f>
        <v>1.9509475364830136E-4</v>
      </c>
      <c r="H200" s="90">
        <f>('Input data plant-based products'!$F$52*('Common input data'!$C$76*'Common input data'!B71+'Common input data'!$C$77*'Common input data'!C71))/'Input data plant-based products'!$E$52</f>
        <v>5.4911324264359636E-5</v>
      </c>
      <c r="I200" s="90">
        <v>0</v>
      </c>
      <c r="J200" s="90">
        <f>(SUM('Input data plant-based products'!F52:H52)*'Input data plant-based products'!$B$114*44/28)/'Input data plant-based products'!E52</f>
        <v>9.8528571428571429E-5</v>
      </c>
      <c r="K200" s="90">
        <f>J200*'Input data plant-based products'!$B$115</f>
        <v>9.8528571428571439E-6</v>
      </c>
      <c r="L200" s="90">
        <f>('Input data plant-based products'!$I$52*'Common input data'!$C$59*'Common input data'!H51)/'Input data plant-based products'!$E$52</f>
        <v>1.7714124612348465E-7</v>
      </c>
      <c r="M200" s="90">
        <v>0</v>
      </c>
      <c r="N200" s="90">
        <v>0</v>
      </c>
      <c r="O200" s="90">
        <v>0</v>
      </c>
      <c r="P200" s="90">
        <v>0</v>
      </c>
      <c r="Q200" s="90">
        <v>0</v>
      </c>
      <c r="R200" s="90">
        <v>0</v>
      </c>
      <c r="S200" s="90">
        <f>(F200+R200)</f>
        <v>1.6346989408191171E-4</v>
      </c>
      <c r="T200" s="90">
        <v>0</v>
      </c>
      <c r="U200" s="90">
        <v>0</v>
      </c>
      <c r="V200" s="430"/>
      <c r="W200" s="243"/>
      <c r="Z200" s="64"/>
    </row>
    <row r="201" spans="1:258" s="420" customFormat="1" ht="17.399999999999999" x14ac:dyDescent="0.3">
      <c r="A201" s="122" t="s">
        <v>70</v>
      </c>
      <c r="B201" s="150" t="s">
        <v>225</v>
      </c>
      <c r="C201" s="111">
        <f>'Input data plant-based products'!D53</f>
        <v>0.06</v>
      </c>
      <c r="D201" s="269" t="s">
        <v>473</v>
      </c>
      <c r="E201" s="320">
        <f>IF($F$1="GWP100 without fb",E202+E203*'Common input data'!$C$5+E204*'Common input data'!$D$5,IF($F$1="GWP100 with fb",E202+E203*'Common input data'!$C$6+E204*'Common input data'!$D$6,IF($F$1="GTP100 without fb",E202+E203*'Common input data'!$C$7+E204*'Common input data'!$D$7,IF($F$1="GTP100 with fb",E202+E203*'Common input data'!$C$8+E204*'Common input data'!$D$8,E202+E203*'Common input data'!$C$9+E204*'Common input data'!$D$9))))</f>
        <v>7.2287152677242825E-2</v>
      </c>
      <c r="F201" s="302">
        <f>IF($F$1="GWP100 without fb",F202+F203*'Common input data'!$C$5+F204*'Common input data'!$D$5,IF($F$1="GWP100 with fb",F202+F203*'Common input data'!$C$6+F204*'Common input data'!$D$6,IF($F$1="GTP100 without fb",F202+F203*'Common input data'!$C$7+F204*'Common input data'!$D$7,IF($F$1="GTP100 with fb",F202+F203*'Common input data'!$C$8+F204*'Common input data'!$D$8,F202+F203*'Common input data'!$C$9+F204*'Common input data'!$D$9))))</f>
        <v>0.16183717106181944</v>
      </c>
      <c r="G201" s="321">
        <f>IF($F$1="GWP100 without fb",G202+G203*'Common input data'!$C$5+G204*'Common input data'!$D$5,IF($F$1="GWP100 with fb",G202+G203*'Common input data'!$C$6+G204*'Common input data'!$D$6,IF($F$1="GTP100 without fb",G202+G203*'Common input data'!$C$7+G204*'Common input data'!$D$7,IF($F$1="GTP100 with fb",G202+G203*'Common input data'!$C$8+G204*'Common input data'!$D$8,G202+G203*'Common input data'!$C$9+G204*'Common input data'!$D$9))))</f>
        <v>0.5273149195152399</v>
      </c>
      <c r="H201" s="102"/>
      <c r="I201" s="102"/>
      <c r="J201" s="102"/>
      <c r="K201" s="102"/>
      <c r="L201" s="102"/>
      <c r="M201" s="102"/>
      <c r="N201" s="102"/>
      <c r="O201" s="102"/>
      <c r="P201" s="102"/>
      <c r="Q201" s="102"/>
      <c r="R201" s="102"/>
      <c r="S201" s="102"/>
      <c r="T201" s="102"/>
      <c r="U201" s="102"/>
      <c r="V201" s="430"/>
      <c r="W201" s="243"/>
      <c r="X201" s="308"/>
      <c r="Y201" s="308"/>
      <c r="Z201" s="64"/>
      <c r="AA201" s="308"/>
      <c r="AB201" s="308"/>
      <c r="AC201" s="308"/>
      <c r="AD201" s="308"/>
      <c r="AE201" s="308"/>
      <c r="AF201" s="308"/>
      <c r="AG201" s="308"/>
      <c r="AH201" s="308"/>
      <c r="AI201" s="308"/>
      <c r="AJ201" s="308"/>
      <c r="AK201" s="308"/>
      <c r="AL201" s="308"/>
      <c r="AM201" s="308"/>
      <c r="AN201" s="308"/>
      <c r="AO201" s="308"/>
      <c r="AP201" s="308"/>
      <c r="AQ201" s="308"/>
      <c r="AR201" s="308"/>
      <c r="AS201" s="308"/>
      <c r="AT201" s="308"/>
      <c r="AU201" s="308"/>
      <c r="AV201" s="308"/>
      <c r="AW201" s="308"/>
      <c r="AX201" s="308"/>
      <c r="AY201" s="308"/>
      <c r="AZ201" s="308"/>
      <c r="BA201" s="308"/>
      <c r="BB201" s="308"/>
      <c r="BC201" s="308"/>
      <c r="BD201" s="308"/>
      <c r="BE201" s="308"/>
      <c r="BF201" s="308"/>
      <c r="BG201" s="308"/>
      <c r="BH201" s="308"/>
      <c r="BI201" s="308"/>
      <c r="BJ201" s="308"/>
      <c r="BK201" s="308"/>
      <c r="BL201" s="308"/>
      <c r="BM201" s="308"/>
      <c r="BN201" s="308"/>
      <c r="BO201" s="308"/>
      <c r="BP201" s="308"/>
      <c r="BQ201" s="308"/>
      <c r="BR201" s="308"/>
      <c r="BS201" s="308"/>
      <c r="BT201" s="308"/>
      <c r="BU201" s="308"/>
      <c r="BV201" s="308"/>
      <c r="BW201" s="308"/>
      <c r="BX201" s="308"/>
      <c r="BY201" s="308"/>
      <c r="BZ201" s="308"/>
      <c r="CA201" s="308"/>
      <c r="CB201" s="308"/>
      <c r="CC201" s="308"/>
      <c r="CD201" s="308"/>
      <c r="CE201" s="308"/>
      <c r="CF201" s="308"/>
      <c r="CG201" s="308"/>
      <c r="CH201" s="308"/>
      <c r="CI201" s="308"/>
      <c r="CJ201" s="308"/>
      <c r="CK201" s="308"/>
      <c r="CL201" s="308"/>
      <c r="CM201" s="308"/>
      <c r="CN201" s="308"/>
      <c r="CO201" s="308"/>
      <c r="CP201" s="308"/>
      <c r="CQ201" s="308"/>
      <c r="CR201" s="308"/>
      <c r="CS201" s="308"/>
      <c r="CT201" s="308"/>
      <c r="CU201" s="308"/>
      <c r="CV201" s="308"/>
      <c r="CW201" s="308"/>
      <c r="CX201" s="308"/>
      <c r="CY201" s="308"/>
      <c r="CZ201" s="308"/>
      <c r="DA201" s="308"/>
      <c r="DB201" s="308"/>
      <c r="DC201" s="308"/>
      <c r="DD201" s="308"/>
      <c r="DE201" s="308"/>
      <c r="DF201" s="308"/>
      <c r="DG201" s="308"/>
      <c r="DH201" s="308"/>
      <c r="DI201" s="308"/>
      <c r="DJ201" s="308"/>
      <c r="DK201" s="308"/>
      <c r="DL201" s="308"/>
      <c r="DM201" s="308"/>
      <c r="DN201" s="308"/>
      <c r="DO201" s="308"/>
      <c r="DP201" s="308"/>
      <c r="DQ201" s="308"/>
      <c r="DR201" s="308"/>
      <c r="DS201" s="308"/>
      <c r="DT201" s="308"/>
      <c r="DU201" s="308"/>
      <c r="DV201" s="308"/>
      <c r="DW201" s="308"/>
      <c r="DX201" s="308"/>
      <c r="DY201" s="308"/>
      <c r="DZ201" s="308"/>
      <c r="EA201" s="308"/>
      <c r="EB201" s="308"/>
      <c r="EC201" s="308"/>
      <c r="ED201" s="308"/>
      <c r="EE201" s="308"/>
      <c r="EF201" s="308"/>
      <c r="EG201" s="308"/>
      <c r="EH201" s="308"/>
      <c r="EI201" s="308"/>
      <c r="EJ201" s="308"/>
      <c r="EK201" s="308"/>
      <c r="EL201" s="308"/>
      <c r="EM201" s="308"/>
      <c r="EN201" s="308"/>
      <c r="EO201" s="308"/>
      <c r="EP201" s="308"/>
      <c r="EQ201" s="308"/>
      <c r="ER201" s="308"/>
      <c r="ES201" s="308"/>
      <c r="ET201" s="308"/>
      <c r="EU201" s="308"/>
      <c r="EV201" s="308"/>
      <c r="EW201" s="308"/>
      <c r="EX201" s="308"/>
      <c r="EY201" s="308"/>
      <c r="EZ201" s="308"/>
      <c r="FA201" s="308"/>
      <c r="FB201" s="308"/>
      <c r="FC201" s="308"/>
      <c r="FD201" s="308"/>
      <c r="FE201" s="308"/>
      <c r="FF201" s="308"/>
      <c r="FG201" s="308"/>
      <c r="FH201" s="308"/>
      <c r="FI201" s="308"/>
      <c r="FJ201" s="308"/>
      <c r="FK201" s="308"/>
      <c r="FL201" s="308"/>
      <c r="FM201" s="308"/>
      <c r="FN201" s="308"/>
      <c r="FO201" s="308"/>
      <c r="FP201" s="308"/>
      <c r="FQ201" s="308"/>
      <c r="FR201" s="308"/>
      <c r="FS201" s="308"/>
      <c r="FT201" s="308"/>
      <c r="FU201" s="308"/>
      <c r="FV201" s="308"/>
      <c r="FW201" s="308"/>
      <c r="FX201" s="308"/>
      <c r="FY201" s="308"/>
      <c r="FZ201" s="308"/>
      <c r="GA201" s="308"/>
      <c r="GB201" s="308"/>
      <c r="GC201" s="308"/>
      <c r="GD201" s="308"/>
      <c r="GE201" s="308"/>
      <c r="GF201" s="308"/>
      <c r="GG201" s="308"/>
      <c r="GH201" s="308"/>
      <c r="GI201" s="308"/>
      <c r="GJ201" s="308"/>
      <c r="GK201" s="308"/>
      <c r="GL201" s="308"/>
      <c r="GM201" s="308"/>
      <c r="GN201" s="308"/>
      <c r="GO201" s="308"/>
      <c r="GP201" s="308"/>
      <c r="GQ201" s="308"/>
      <c r="GR201" s="308"/>
      <c r="GS201" s="308"/>
      <c r="GT201" s="308"/>
      <c r="GU201" s="308"/>
      <c r="GV201" s="308"/>
      <c r="GW201" s="308"/>
      <c r="GX201" s="308"/>
      <c r="GY201" s="308"/>
      <c r="GZ201" s="308"/>
      <c r="HA201" s="308"/>
      <c r="HB201" s="308"/>
      <c r="HC201" s="308"/>
      <c r="HD201" s="308"/>
      <c r="HE201" s="308"/>
      <c r="HF201" s="308"/>
      <c r="HG201" s="308"/>
      <c r="HH201" s="308"/>
      <c r="HI201" s="308"/>
      <c r="HJ201" s="308"/>
      <c r="HK201" s="308"/>
      <c r="HL201" s="308"/>
      <c r="HM201" s="308"/>
      <c r="HN201" s="308"/>
      <c r="HO201" s="308"/>
      <c r="HP201" s="308"/>
      <c r="HQ201" s="308"/>
      <c r="HR201" s="308"/>
      <c r="HS201" s="308"/>
      <c r="HT201" s="308"/>
      <c r="HU201" s="308"/>
      <c r="HV201" s="308"/>
      <c r="HW201" s="308"/>
      <c r="HX201" s="308"/>
      <c r="HY201" s="308"/>
      <c r="HZ201" s="308"/>
      <c r="IA201" s="308"/>
      <c r="IB201" s="308"/>
      <c r="IC201" s="308"/>
      <c r="ID201" s="308"/>
      <c r="IE201" s="308"/>
      <c r="IF201" s="308"/>
      <c r="IG201" s="308"/>
      <c r="IH201" s="308"/>
      <c r="II201" s="308"/>
      <c r="IJ201" s="308"/>
      <c r="IK201" s="308"/>
      <c r="IL201" s="308"/>
      <c r="IM201" s="308"/>
      <c r="IN201" s="308"/>
      <c r="IO201" s="308"/>
      <c r="IP201" s="308"/>
      <c r="IQ201" s="308"/>
      <c r="IR201" s="308"/>
      <c r="IS201" s="308"/>
      <c r="IT201" s="308"/>
      <c r="IU201" s="308"/>
      <c r="IV201" s="308"/>
      <c r="IW201" s="308"/>
      <c r="IX201" s="308"/>
    </row>
    <row r="202" spans="1:258" s="308" customFormat="1" ht="17.399999999999999" x14ac:dyDescent="0.3">
      <c r="A202" s="144"/>
      <c r="B202" s="84"/>
      <c r="C202" s="64"/>
      <c r="D202" s="83" t="s">
        <v>164</v>
      </c>
      <c r="E202" s="270">
        <f>IF(AND($F$2="No",$F$3="No"),SUM(J202:K202),IF(AND($F$2="Yes", $F$3="No"), SUM(J202:K202)+Q202, IF(AND($F$2="No", $F$3="Yes"),SUM(J202:K202)+P202, SUM(J202:K202)+Q202+P202)))</f>
        <v>3.9989486962957101E-2</v>
      </c>
      <c r="F202" s="90">
        <f>IF(AND($F$2="No",$F$3="No"),SUM(H202:O202),IF(AND($F$2="Yes", $F$3="No"), SUM(H202:O202)+Q202, IF(AND($F$2="No", $F$3="Yes"),SUM(H202:O202)+P202, SUM(H202:O202)+Q202+P202)))</f>
        <v>0.11287979266291456</v>
      </c>
      <c r="G202" s="278">
        <f>SUM(S202:U202)/(1-'Common input data'!$B$121)</f>
        <v>0.46888625452072397</v>
      </c>
      <c r="H202" s="85">
        <f>('Input data plant-based products'!$F$53*('Common input data'!$C$76*'Common input data'!B69+'Common input data'!$C$77*'Common input data'!C69))/'Input data plant-based products'!$E$53</f>
        <v>1.0052885990926441E-2</v>
      </c>
      <c r="I202" s="90">
        <f>'Common input data'!$B$81</f>
        <v>0.03</v>
      </c>
      <c r="J202" s="85">
        <v>0</v>
      </c>
      <c r="K202" s="90">
        <v>0</v>
      </c>
      <c r="L202" s="85">
        <f>('Input data plant-based products'!$I$53*'Common input data'!$C$59*'Common input data'!H49)/'Input data plant-based products'!$E$53</f>
        <v>1.2837419709031019E-2</v>
      </c>
      <c r="M202" s="90">
        <v>0</v>
      </c>
      <c r="N202" s="90">
        <f>'Input data plant-based products'!$G$152</f>
        <v>0.02</v>
      </c>
      <c r="O202" s="90">
        <v>0</v>
      </c>
      <c r="P202" s="90">
        <f>'Common input data'!$E$13</f>
        <v>3.9989486962957101E-2</v>
      </c>
      <c r="Q202" s="90">
        <v>0</v>
      </c>
      <c r="R202" s="90">
        <v>0</v>
      </c>
      <c r="S202" s="90">
        <f>(F202+R202)</f>
        <v>0.11287979266291456</v>
      </c>
      <c r="T202" s="90">
        <f>'Common input data'!$B$88</f>
        <v>0.05</v>
      </c>
      <c r="U202" s="90">
        <f>'Common input data'!B102+'Common input data'!C102</f>
        <v>0.23000000000000004</v>
      </c>
      <c r="V202" s="430"/>
      <c r="W202" s="243"/>
      <c r="Z202" s="64"/>
    </row>
    <row r="203" spans="1:258" s="308" customFormat="1" ht="17.399999999999999" x14ac:dyDescent="0.3">
      <c r="A203" s="107"/>
      <c r="B203" s="84"/>
      <c r="C203" s="142"/>
      <c r="D203" s="83" t="s">
        <v>165</v>
      </c>
      <c r="E203" s="270">
        <f>SUM(J203:K203)</f>
        <v>0</v>
      </c>
      <c r="F203" s="90">
        <f>SUM(H203:O203)</f>
        <v>5.6865883817398011E-6</v>
      </c>
      <c r="G203" s="278">
        <f>SUM(S203:U203)/(1-'Common input data'!$B$121)</f>
        <v>6.7867148606513919E-6</v>
      </c>
      <c r="H203" s="85">
        <f>('Input data plant-based products'!$F$53*('Common input data'!$C$76*'Common input data'!B70+'Common input data'!$C$77*'Common input data'!C70))/'Input data plant-based products'!$E$53</f>
        <v>4.4324643999999994E-11</v>
      </c>
      <c r="I203" s="90">
        <v>0</v>
      </c>
      <c r="J203" s="85">
        <v>0</v>
      </c>
      <c r="K203" s="90">
        <v>0</v>
      </c>
      <c r="L203" s="85">
        <f>('Input data plant-based products'!$I$53*'Common input data'!$C$59*'Common input data'!H50)/'Input data plant-based products'!$E$53</f>
        <v>5.6865440570958008E-6</v>
      </c>
      <c r="M203" s="90">
        <v>0</v>
      </c>
      <c r="N203" s="90">
        <v>0</v>
      </c>
      <c r="O203" s="90">
        <v>0</v>
      </c>
      <c r="P203" s="90">
        <v>0</v>
      </c>
      <c r="Q203" s="90">
        <v>0</v>
      </c>
      <c r="R203" s="90">
        <v>0</v>
      </c>
      <c r="S203" s="90">
        <f>(F203+R203)</f>
        <v>5.6865883817398011E-6</v>
      </c>
      <c r="T203" s="90">
        <v>0</v>
      </c>
      <c r="U203" s="90">
        <v>0</v>
      </c>
      <c r="V203" s="430"/>
      <c r="W203" s="243"/>
      <c r="Z203" s="64"/>
    </row>
    <row r="204" spans="1:258" s="308" customFormat="1" ht="17.399999999999999" x14ac:dyDescent="0.3">
      <c r="A204" s="174"/>
      <c r="B204" s="206"/>
      <c r="C204" s="85"/>
      <c r="D204" s="84" t="s">
        <v>166</v>
      </c>
      <c r="E204" s="780">
        <f>SUM(J204:K204)</f>
        <v>1.0838142857142859E-4</v>
      </c>
      <c r="F204" s="108">
        <f>SUM(H204:O204)</f>
        <v>1.6363769930847558E-4</v>
      </c>
      <c r="G204" s="521">
        <f>SUM(S204:U204)/(1-'Common input data'!$B$121)</f>
        <v>1.9529502244716027E-4</v>
      </c>
      <c r="H204" s="85">
        <f>('Input data plant-based products'!$F$53*('Common input data'!$C$76*'Common input data'!B71+'Common input data'!$C$77*'Common input data'!C71))/'Input data plant-based products'!$E$53</f>
        <v>5.491132426435963E-5</v>
      </c>
      <c r="I204" s="85">
        <v>0</v>
      </c>
      <c r="J204" s="85">
        <f>(SUM('Input data plant-based products'!F53:H53)*'Input data plant-based products'!$B$114*44/28)/'Input data plant-based products'!E53</f>
        <v>9.8528571428571442E-5</v>
      </c>
      <c r="K204" s="90">
        <f>J204*'Input data plant-based products'!$B$115</f>
        <v>9.8528571428571456E-6</v>
      </c>
      <c r="L204" s="85">
        <f>('Input data plant-based products'!$I$53*'Common input data'!$C$59*'Common input data'!H51)/'Input data plant-based products'!$E$53</f>
        <v>3.4494647268734563E-7</v>
      </c>
      <c r="M204" s="90">
        <v>0</v>
      </c>
      <c r="N204" s="90">
        <v>0</v>
      </c>
      <c r="O204" s="90">
        <v>0</v>
      </c>
      <c r="P204" s="90">
        <v>0</v>
      </c>
      <c r="Q204" s="90">
        <v>0</v>
      </c>
      <c r="R204" s="90">
        <v>0</v>
      </c>
      <c r="S204" s="90">
        <f>(F204+R204)</f>
        <v>1.6363769930847558E-4</v>
      </c>
      <c r="T204" s="90">
        <v>0</v>
      </c>
      <c r="U204" s="90">
        <v>0</v>
      </c>
      <c r="V204" s="430"/>
      <c r="W204" s="243"/>
      <c r="Z204" s="64"/>
    </row>
    <row r="205" spans="1:258" s="427" customFormat="1" ht="17.399999999999999" x14ac:dyDescent="0.3">
      <c r="A205" s="426" t="s">
        <v>618</v>
      </c>
      <c r="B205" s="412"/>
      <c r="C205" s="413"/>
      <c r="D205" s="414"/>
      <c r="E205" s="767" t="s">
        <v>815</v>
      </c>
      <c r="F205" s="768" t="s">
        <v>815</v>
      </c>
      <c r="G205" s="590" t="s">
        <v>815</v>
      </c>
      <c r="H205" s="413"/>
      <c r="I205" s="413"/>
      <c r="J205" s="413"/>
      <c r="K205" s="416"/>
      <c r="L205" s="416"/>
      <c r="M205" s="417"/>
      <c r="N205" s="416"/>
      <c r="O205" s="416"/>
      <c r="P205" s="416"/>
      <c r="Q205" s="416"/>
      <c r="R205" s="416"/>
      <c r="S205" s="416"/>
      <c r="T205" s="416"/>
      <c r="U205" s="416"/>
      <c r="V205" s="430"/>
      <c r="W205" s="243"/>
      <c r="X205" s="308"/>
      <c r="Y205" s="308"/>
      <c r="Z205" s="64"/>
      <c r="AA205" s="308"/>
      <c r="AB205" s="308"/>
      <c r="AC205" s="308"/>
      <c r="AD205" s="308"/>
      <c r="AE205" s="308"/>
      <c r="AF205" s="308"/>
      <c r="AG205" s="308"/>
      <c r="AH205" s="308"/>
      <c r="AI205" s="308"/>
      <c r="AJ205" s="308"/>
      <c r="AK205" s="308"/>
      <c r="AL205" s="308"/>
      <c r="AM205" s="308"/>
      <c r="AN205" s="308"/>
      <c r="AO205" s="308"/>
      <c r="AP205" s="308"/>
      <c r="AQ205" s="308"/>
      <c r="AR205" s="308"/>
      <c r="AS205" s="308"/>
      <c r="AT205" s="308"/>
      <c r="AU205" s="308"/>
      <c r="AV205" s="308"/>
      <c r="AW205" s="308"/>
      <c r="AX205" s="308"/>
      <c r="AY205" s="308"/>
      <c r="AZ205" s="308"/>
      <c r="BA205" s="308"/>
      <c r="BB205" s="308"/>
      <c r="BC205" s="308"/>
      <c r="BD205" s="308"/>
      <c r="BE205" s="308"/>
      <c r="BF205" s="308"/>
      <c r="BG205" s="308"/>
      <c r="BH205" s="308"/>
      <c r="BI205" s="308"/>
      <c r="BJ205" s="308"/>
      <c r="BK205" s="308"/>
      <c r="BL205" s="308"/>
      <c r="BM205" s="308"/>
      <c r="BN205" s="308"/>
      <c r="BO205" s="308"/>
      <c r="BP205" s="308"/>
      <c r="BQ205" s="308"/>
      <c r="BR205" s="308"/>
      <c r="BS205" s="308"/>
      <c r="BT205" s="308"/>
      <c r="BU205" s="308"/>
      <c r="BV205" s="308"/>
      <c r="BW205" s="308"/>
      <c r="BX205" s="308"/>
      <c r="BY205" s="308"/>
      <c r="BZ205" s="308"/>
      <c r="CA205" s="308"/>
      <c r="CB205" s="308"/>
      <c r="CC205" s="308"/>
      <c r="CD205" s="308"/>
      <c r="CE205" s="308"/>
      <c r="CF205" s="308"/>
      <c r="CG205" s="308"/>
      <c r="CH205" s="308"/>
      <c r="CI205" s="308"/>
      <c r="CJ205" s="308"/>
      <c r="CK205" s="308"/>
      <c r="CL205" s="308"/>
      <c r="CM205" s="308"/>
      <c r="CN205" s="308"/>
      <c r="CO205" s="308"/>
      <c r="CP205" s="308"/>
      <c r="CQ205" s="308"/>
      <c r="CR205" s="308"/>
      <c r="CS205" s="308"/>
      <c r="CT205" s="308"/>
      <c r="CU205" s="308"/>
      <c r="CV205" s="308"/>
      <c r="CW205" s="308"/>
      <c r="CX205" s="308"/>
      <c r="CY205" s="308"/>
      <c r="CZ205" s="308"/>
      <c r="DA205" s="308"/>
      <c r="DB205" s="308"/>
      <c r="DC205" s="308"/>
      <c r="DD205" s="308"/>
      <c r="DE205" s="308"/>
      <c r="DF205" s="308"/>
      <c r="DG205" s="308"/>
      <c r="DH205" s="308"/>
      <c r="DI205" s="308"/>
      <c r="DJ205" s="308"/>
      <c r="DK205" s="308"/>
      <c r="DL205" s="308"/>
      <c r="DM205" s="308"/>
      <c r="DN205" s="308"/>
      <c r="DO205" s="308"/>
      <c r="DP205" s="308"/>
      <c r="DQ205" s="308"/>
      <c r="DR205" s="308"/>
      <c r="DS205" s="308"/>
      <c r="DT205" s="308"/>
      <c r="DU205" s="308"/>
      <c r="DV205" s="308"/>
      <c r="DW205" s="308"/>
      <c r="DX205" s="308"/>
      <c r="DY205" s="308"/>
      <c r="DZ205" s="308"/>
      <c r="EA205" s="308"/>
      <c r="EB205" s="308"/>
      <c r="EC205" s="308"/>
      <c r="ED205" s="308"/>
      <c r="EE205" s="308"/>
      <c r="EF205" s="308"/>
      <c r="EG205" s="308"/>
      <c r="EH205" s="308"/>
      <c r="EI205" s="308"/>
      <c r="EJ205" s="308"/>
      <c r="EK205" s="308"/>
      <c r="EL205" s="308"/>
      <c r="EM205" s="308"/>
      <c r="EN205" s="308"/>
      <c r="EO205" s="308"/>
      <c r="EP205" s="308"/>
      <c r="EQ205" s="308"/>
      <c r="ER205" s="308"/>
      <c r="ES205" s="308"/>
      <c r="ET205" s="308"/>
      <c r="EU205" s="308"/>
      <c r="EV205" s="308"/>
      <c r="EW205" s="308"/>
      <c r="EX205" s="308"/>
      <c r="EY205" s="308"/>
      <c r="EZ205" s="308"/>
      <c r="FA205" s="308"/>
      <c r="FB205" s="308"/>
      <c r="FC205" s="308"/>
      <c r="FD205" s="308"/>
      <c r="FE205" s="308"/>
      <c r="FF205" s="308"/>
      <c r="FG205" s="308"/>
      <c r="FH205" s="308"/>
      <c r="FI205" s="308"/>
      <c r="FJ205" s="308"/>
      <c r="FK205" s="308"/>
      <c r="FL205" s="308"/>
      <c r="FM205" s="308"/>
      <c r="FN205" s="308"/>
      <c r="FO205" s="308"/>
      <c r="FP205" s="308"/>
      <c r="FQ205" s="308"/>
      <c r="FR205" s="308"/>
      <c r="FS205" s="308"/>
      <c r="FT205" s="308"/>
      <c r="FU205" s="308"/>
      <c r="FV205" s="308"/>
      <c r="FW205" s="308"/>
      <c r="FX205" s="308"/>
      <c r="FY205" s="308"/>
      <c r="FZ205" s="308"/>
      <c r="GA205" s="308"/>
      <c r="GB205" s="308"/>
      <c r="GC205" s="308"/>
      <c r="GD205" s="308"/>
      <c r="GE205" s="308"/>
      <c r="GF205" s="308"/>
      <c r="GG205" s="308"/>
      <c r="GH205" s="308"/>
      <c r="GI205" s="308"/>
      <c r="GJ205" s="308"/>
      <c r="GK205" s="308"/>
      <c r="GL205" s="308"/>
      <c r="GM205" s="308"/>
      <c r="GN205" s="308"/>
      <c r="GO205" s="308"/>
      <c r="GP205" s="308"/>
      <c r="GQ205" s="308"/>
      <c r="GR205" s="308"/>
      <c r="GS205" s="308"/>
      <c r="GT205" s="308"/>
      <c r="GU205" s="308"/>
      <c r="GV205" s="308"/>
      <c r="GW205" s="308"/>
      <c r="GX205" s="308"/>
      <c r="GY205" s="308"/>
      <c r="GZ205" s="308"/>
      <c r="HA205" s="308"/>
      <c r="HB205" s="308"/>
      <c r="HC205" s="308"/>
      <c r="HD205" s="308"/>
      <c r="HE205" s="308"/>
      <c r="HF205" s="308"/>
      <c r="HG205" s="308"/>
      <c r="HH205" s="308"/>
      <c r="HI205" s="308"/>
      <c r="HJ205" s="308"/>
      <c r="HK205" s="308"/>
      <c r="HL205" s="308"/>
      <c r="HM205" s="308"/>
      <c r="HN205" s="308"/>
      <c r="HO205" s="308"/>
      <c r="HP205" s="308"/>
      <c r="HQ205" s="308"/>
      <c r="HR205" s="308"/>
      <c r="HS205" s="308"/>
      <c r="HT205" s="308"/>
      <c r="HU205" s="308"/>
      <c r="HV205" s="308"/>
      <c r="HW205" s="308"/>
      <c r="HX205" s="308"/>
      <c r="HY205" s="308"/>
      <c r="HZ205" s="308"/>
      <c r="IA205" s="308"/>
      <c r="IB205" s="308"/>
      <c r="IC205" s="308"/>
      <c r="ID205" s="308"/>
      <c r="IE205" s="308"/>
      <c r="IF205" s="308"/>
      <c r="IG205" s="308"/>
      <c r="IH205" s="308"/>
      <c r="II205" s="308"/>
      <c r="IJ205" s="308"/>
      <c r="IK205" s="308"/>
      <c r="IL205" s="308"/>
      <c r="IM205" s="308"/>
      <c r="IN205" s="308"/>
      <c r="IO205" s="308"/>
      <c r="IP205" s="308"/>
      <c r="IQ205" s="308"/>
      <c r="IR205" s="308"/>
      <c r="IS205" s="308"/>
      <c r="IT205" s="308"/>
      <c r="IU205" s="308"/>
      <c r="IV205" s="308"/>
      <c r="IW205" s="308"/>
      <c r="IX205" s="308"/>
    </row>
    <row r="206" spans="1:258" s="420" customFormat="1" ht="17.399999999999999" x14ac:dyDescent="0.3">
      <c r="A206" s="122" t="s">
        <v>249</v>
      </c>
      <c r="B206" s="150"/>
      <c r="C206" s="112">
        <f>SUM(C210:C225)</f>
        <v>1</v>
      </c>
      <c r="D206" s="269" t="s">
        <v>473</v>
      </c>
      <c r="E206" s="769">
        <f>IF($F$1="GWP100 without fb",E207+E208*'Common input data'!$C$5+E209*'Common input data'!$D$5,IF($F$1="GWP100 with fb",E207+E208*'Common input data'!$C$6+E209*'Common input data'!$D$6,IF($F$1="GTP100 without fb",E207+E208*'Common input data'!$C$7+E209*'Common input data'!$D$7,IF($F$1="GTP100 with fb",E207+E208*'Common input data'!$C$8+E209*'Common input data'!$D$8,E207+E208*'Common input data'!$C$9+E209*'Common input data'!$D$9))))</f>
        <v>0.12160071028640376</v>
      </c>
      <c r="F206" s="326">
        <f>IF($F$1="GWP100 without fb",F207+F208*'Common input data'!$C$5+F209*'Common input data'!$D$5,IF($F$1="GWP100 with fb",F207+F208*'Common input data'!$C$6+F209*'Common input data'!$D$6,IF($F$1="GTP100 without fb",F207+F208*'Common input data'!$C$7+F209*'Common input data'!$D$7,IF($F$1="GTP100 with fb",F207+F208*'Common input data'!$C$8+F209*'Common input data'!$D$8,F207+F208*'Common input data'!$C$9+F209*'Common input data'!$D$9))))</f>
        <v>0.26326301944804609</v>
      </c>
      <c r="G206" s="770">
        <f>IF($F$1="GWP100 without fb",G207+G208*'Common input data'!$C$5+G209*'Common input data'!$D$5,IF($F$1="GWP100 with fb",G207+G208*'Common input data'!$C$6+G209*'Common input data'!$D$6,IF($F$1="GTP100 without fb",G207+G208*'Common input data'!$C$7+G209*'Common input data'!$D$7,IF($F$1="GTP100 with fb",G207+G208*'Common input data'!$C$8+G209*'Common input data'!$D$8,G207+G208*'Common input data'!$C$9+G209*'Common input data'!$D$9))))</f>
        <v>0.53140353198239187</v>
      </c>
      <c r="H206" s="302"/>
      <c r="I206" s="104"/>
      <c r="J206" s="104"/>
      <c r="K206" s="102"/>
      <c r="L206" s="102"/>
      <c r="M206" s="102"/>
      <c r="N206" s="102"/>
      <c r="O206" s="102"/>
      <c r="P206" s="102"/>
      <c r="Q206" s="102"/>
      <c r="R206" s="102"/>
      <c r="S206" s="102"/>
      <c r="T206" s="102"/>
      <c r="U206" s="102"/>
      <c r="V206" s="430"/>
      <c r="W206" s="243"/>
      <c r="X206" s="308"/>
      <c r="Y206" s="308"/>
      <c r="Z206" s="64"/>
      <c r="AA206" s="308"/>
      <c r="AB206" s="308"/>
      <c r="AC206" s="308"/>
      <c r="AD206" s="308"/>
      <c r="AE206" s="308"/>
      <c r="AF206" s="308"/>
      <c r="AG206" s="308"/>
      <c r="AH206" s="308"/>
      <c r="AI206" s="308"/>
      <c r="AJ206" s="308"/>
      <c r="AK206" s="308"/>
      <c r="AL206" s="308"/>
      <c r="AM206" s="308"/>
      <c r="AN206" s="308"/>
      <c r="AO206" s="308"/>
      <c r="AP206" s="308"/>
      <c r="AQ206" s="308"/>
      <c r="AR206" s="308"/>
      <c r="AS206" s="308"/>
      <c r="AT206" s="308"/>
      <c r="AU206" s="308"/>
      <c r="AV206" s="308"/>
      <c r="AW206" s="308"/>
      <c r="AX206" s="308"/>
      <c r="AY206" s="308"/>
      <c r="AZ206" s="308"/>
      <c r="BA206" s="308"/>
      <c r="BB206" s="308"/>
      <c r="BC206" s="308"/>
      <c r="BD206" s="308"/>
      <c r="BE206" s="308"/>
      <c r="BF206" s="308"/>
      <c r="BG206" s="308"/>
      <c r="BH206" s="308"/>
      <c r="BI206" s="308"/>
      <c r="BJ206" s="308"/>
      <c r="BK206" s="308"/>
      <c r="BL206" s="308"/>
      <c r="BM206" s="308"/>
      <c r="BN206" s="308"/>
      <c r="BO206" s="308"/>
      <c r="BP206" s="308"/>
      <c r="BQ206" s="308"/>
      <c r="BR206" s="308"/>
      <c r="BS206" s="308"/>
      <c r="BT206" s="308"/>
      <c r="BU206" s="308"/>
      <c r="BV206" s="308"/>
      <c r="BW206" s="308"/>
      <c r="BX206" s="308"/>
      <c r="BY206" s="308"/>
      <c r="BZ206" s="308"/>
      <c r="CA206" s="308"/>
      <c r="CB206" s="308"/>
      <c r="CC206" s="308"/>
      <c r="CD206" s="308"/>
      <c r="CE206" s="308"/>
      <c r="CF206" s="308"/>
      <c r="CG206" s="308"/>
      <c r="CH206" s="308"/>
      <c r="CI206" s="308"/>
      <c r="CJ206" s="308"/>
      <c r="CK206" s="308"/>
      <c r="CL206" s="308"/>
      <c r="CM206" s="308"/>
      <c r="CN206" s="308"/>
      <c r="CO206" s="308"/>
      <c r="CP206" s="308"/>
      <c r="CQ206" s="308"/>
      <c r="CR206" s="308"/>
      <c r="CS206" s="308"/>
      <c r="CT206" s="308"/>
      <c r="CU206" s="308"/>
      <c r="CV206" s="308"/>
      <c r="CW206" s="308"/>
      <c r="CX206" s="308"/>
      <c r="CY206" s="308"/>
      <c r="CZ206" s="308"/>
      <c r="DA206" s="308"/>
      <c r="DB206" s="308"/>
      <c r="DC206" s="308"/>
      <c r="DD206" s="308"/>
      <c r="DE206" s="308"/>
      <c r="DF206" s="308"/>
      <c r="DG206" s="308"/>
      <c r="DH206" s="308"/>
      <c r="DI206" s="308"/>
      <c r="DJ206" s="308"/>
      <c r="DK206" s="308"/>
      <c r="DL206" s="308"/>
      <c r="DM206" s="308"/>
      <c r="DN206" s="308"/>
      <c r="DO206" s="308"/>
      <c r="DP206" s="308"/>
      <c r="DQ206" s="308"/>
      <c r="DR206" s="308"/>
      <c r="DS206" s="308"/>
      <c r="DT206" s="308"/>
      <c r="DU206" s="308"/>
      <c r="DV206" s="308"/>
      <c r="DW206" s="308"/>
      <c r="DX206" s="308"/>
      <c r="DY206" s="308"/>
      <c r="DZ206" s="308"/>
      <c r="EA206" s="308"/>
      <c r="EB206" s="308"/>
      <c r="EC206" s="308"/>
      <c r="ED206" s="308"/>
      <c r="EE206" s="308"/>
      <c r="EF206" s="308"/>
      <c r="EG206" s="308"/>
      <c r="EH206" s="308"/>
      <c r="EI206" s="308"/>
      <c r="EJ206" s="308"/>
      <c r="EK206" s="308"/>
      <c r="EL206" s="308"/>
      <c r="EM206" s="308"/>
      <c r="EN206" s="308"/>
      <c r="EO206" s="308"/>
      <c r="EP206" s="308"/>
      <c r="EQ206" s="308"/>
      <c r="ER206" s="308"/>
      <c r="ES206" s="308"/>
      <c r="ET206" s="308"/>
      <c r="EU206" s="308"/>
      <c r="EV206" s="308"/>
      <c r="EW206" s="308"/>
      <c r="EX206" s="308"/>
      <c r="EY206" s="308"/>
      <c r="EZ206" s="308"/>
      <c r="FA206" s="308"/>
      <c r="FB206" s="308"/>
      <c r="FC206" s="308"/>
      <c r="FD206" s="308"/>
      <c r="FE206" s="308"/>
      <c r="FF206" s="308"/>
      <c r="FG206" s="308"/>
      <c r="FH206" s="308"/>
      <c r="FI206" s="308"/>
      <c r="FJ206" s="308"/>
      <c r="FK206" s="308"/>
      <c r="FL206" s="308"/>
      <c r="FM206" s="308"/>
      <c r="FN206" s="308"/>
      <c r="FO206" s="308"/>
      <c r="FP206" s="308"/>
      <c r="FQ206" s="308"/>
      <c r="FR206" s="308"/>
      <c r="FS206" s="308"/>
      <c r="FT206" s="308"/>
      <c r="FU206" s="308"/>
      <c r="FV206" s="308"/>
      <c r="FW206" s="308"/>
      <c r="FX206" s="308"/>
      <c r="FY206" s="308"/>
      <c r="FZ206" s="308"/>
      <c r="GA206" s="308"/>
      <c r="GB206" s="308"/>
      <c r="GC206" s="308"/>
      <c r="GD206" s="308"/>
      <c r="GE206" s="308"/>
      <c r="GF206" s="308"/>
      <c r="GG206" s="308"/>
      <c r="GH206" s="308"/>
      <c r="GI206" s="308"/>
      <c r="GJ206" s="308"/>
      <c r="GK206" s="308"/>
      <c r="GL206" s="308"/>
      <c r="GM206" s="308"/>
      <c r="GN206" s="308"/>
      <c r="GO206" s="308"/>
      <c r="GP206" s="308"/>
      <c r="GQ206" s="308"/>
      <c r="GR206" s="308"/>
      <c r="GS206" s="308"/>
      <c r="GT206" s="308"/>
      <c r="GU206" s="308"/>
      <c r="GV206" s="308"/>
      <c r="GW206" s="308"/>
      <c r="GX206" s="308"/>
      <c r="GY206" s="308"/>
      <c r="GZ206" s="308"/>
      <c r="HA206" s="308"/>
      <c r="HB206" s="308"/>
      <c r="HC206" s="308"/>
      <c r="HD206" s="308"/>
      <c r="HE206" s="308"/>
      <c r="HF206" s="308"/>
      <c r="HG206" s="308"/>
      <c r="HH206" s="308"/>
      <c r="HI206" s="308"/>
      <c r="HJ206" s="308"/>
      <c r="HK206" s="308"/>
      <c r="HL206" s="308"/>
      <c r="HM206" s="308"/>
      <c r="HN206" s="308"/>
      <c r="HO206" s="308"/>
      <c r="HP206" s="308"/>
      <c r="HQ206" s="308"/>
      <c r="HR206" s="308"/>
      <c r="HS206" s="308"/>
      <c r="HT206" s="308"/>
      <c r="HU206" s="308"/>
      <c r="HV206" s="308"/>
      <c r="HW206" s="308"/>
      <c r="HX206" s="308"/>
      <c r="HY206" s="308"/>
      <c r="HZ206" s="308"/>
      <c r="IA206" s="308"/>
      <c r="IB206" s="308"/>
      <c r="IC206" s="308"/>
      <c r="ID206" s="308"/>
      <c r="IE206" s="308"/>
      <c r="IF206" s="308"/>
      <c r="IG206" s="308"/>
      <c r="IH206" s="308"/>
      <c r="II206" s="308"/>
      <c r="IJ206" s="308"/>
      <c r="IK206" s="308"/>
      <c r="IL206" s="308"/>
      <c r="IM206" s="308"/>
      <c r="IN206" s="308"/>
      <c r="IO206" s="308"/>
      <c r="IP206" s="308"/>
      <c r="IQ206" s="308"/>
      <c r="IR206" s="308"/>
      <c r="IS206" s="308"/>
      <c r="IT206" s="308"/>
      <c r="IU206" s="308"/>
      <c r="IV206" s="308"/>
      <c r="IW206" s="308"/>
      <c r="IX206" s="308"/>
    </row>
    <row r="207" spans="1:258" s="308" customFormat="1" ht="17.399999999999999" x14ac:dyDescent="0.3">
      <c r="A207" s="103"/>
      <c r="B207" s="84"/>
      <c r="C207" s="64"/>
      <c r="D207" s="83" t="s">
        <v>164</v>
      </c>
      <c r="E207" s="270">
        <f t="shared" ref="E207:G209" si="23">E211*$C$210+E215*$C$214+$C$218*E219+$C$222*E223</f>
        <v>3.9989486962957101E-2</v>
      </c>
      <c r="F207" s="90">
        <f t="shared" si="23"/>
        <v>0.13993015420441149</v>
      </c>
      <c r="G207" s="278">
        <f t="shared" si="23"/>
        <v>0.38421071035256182</v>
      </c>
      <c r="H207" s="90">
        <f t="shared" ref="H207:U209" si="24">H211*$C$210+H215*$C$214+$C$218*H219+$C$222*H223</f>
        <v>2.8666333336497221E-2</v>
      </c>
      <c r="I207" s="90">
        <f t="shared" si="24"/>
        <v>0.03</v>
      </c>
      <c r="J207" s="90">
        <f t="shared" si="24"/>
        <v>0</v>
      </c>
      <c r="K207" s="90">
        <f t="shared" si="24"/>
        <v>0</v>
      </c>
      <c r="L207" s="90">
        <f t="shared" si="24"/>
        <v>2.1274333904957182E-2</v>
      </c>
      <c r="M207" s="90">
        <f t="shared" si="24"/>
        <v>0</v>
      </c>
      <c r="N207" s="90">
        <f t="shared" si="24"/>
        <v>0.02</v>
      </c>
      <c r="O207" s="90">
        <f t="shared" si="24"/>
        <v>0</v>
      </c>
      <c r="P207" s="90">
        <f t="shared" si="24"/>
        <v>3.9989486962957101E-2</v>
      </c>
      <c r="Q207" s="90">
        <f t="shared" si="24"/>
        <v>0</v>
      </c>
      <c r="R207" s="90">
        <f t="shared" si="24"/>
        <v>0</v>
      </c>
      <c r="S207" s="90">
        <f t="shared" si="24"/>
        <v>0.13993015420441149</v>
      </c>
      <c r="T207" s="90">
        <f t="shared" si="24"/>
        <v>0.05</v>
      </c>
      <c r="U207" s="90">
        <f t="shared" si="24"/>
        <v>0.13200000000000001</v>
      </c>
      <c r="V207" s="430"/>
      <c r="W207" s="243"/>
      <c r="Z207" s="64"/>
    </row>
    <row r="208" spans="1:258" s="308" customFormat="1" ht="17.399999999999999" x14ac:dyDescent="0.3">
      <c r="A208" s="103"/>
      <c r="B208" s="84"/>
      <c r="C208" s="142"/>
      <c r="D208" s="83" t="s">
        <v>165</v>
      </c>
      <c r="E208" s="270">
        <f t="shared" si="23"/>
        <v>0</v>
      </c>
      <c r="F208" s="90">
        <f t="shared" si="23"/>
        <v>9.4239164140521054E-6</v>
      </c>
      <c r="G208" s="278">
        <f t="shared" si="23"/>
        <v>1.1247065776407811E-5</v>
      </c>
      <c r="H208" s="90">
        <f t="shared" si="24"/>
        <v>1.0385841841074222E-10</v>
      </c>
      <c r="I208" s="90">
        <f t="shared" si="24"/>
        <v>0</v>
      </c>
      <c r="J208" s="90">
        <f t="shared" si="24"/>
        <v>0</v>
      </c>
      <c r="K208" s="90">
        <f t="shared" si="24"/>
        <v>0</v>
      </c>
      <c r="L208" s="90">
        <f t="shared" si="24"/>
        <v>9.4238125556336935E-6</v>
      </c>
      <c r="M208" s="90">
        <f t="shared" si="24"/>
        <v>0</v>
      </c>
      <c r="N208" s="90">
        <f t="shared" si="24"/>
        <v>0</v>
      </c>
      <c r="O208" s="90">
        <f t="shared" si="24"/>
        <v>0</v>
      </c>
      <c r="P208" s="90">
        <f t="shared" si="24"/>
        <v>0</v>
      </c>
      <c r="Q208" s="90">
        <f t="shared" si="24"/>
        <v>0</v>
      </c>
      <c r="R208" s="90">
        <f t="shared" si="24"/>
        <v>0</v>
      </c>
      <c r="S208" s="90">
        <f t="shared" si="24"/>
        <v>9.4239164140521054E-6</v>
      </c>
      <c r="T208" s="90">
        <f t="shared" si="24"/>
        <v>0</v>
      </c>
      <c r="U208" s="90">
        <f t="shared" si="24"/>
        <v>0</v>
      </c>
      <c r="V208" s="430"/>
      <c r="W208" s="243"/>
      <c r="Z208" s="64"/>
    </row>
    <row r="209" spans="1:258" s="308" customFormat="1" ht="17.399999999999999" x14ac:dyDescent="0.3">
      <c r="A209" s="107"/>
      <c r="B209" s="206"/>
      <c r="C209" s="85"/>
      <c r="D209" s="84" t="s">
        <v>166</v>
      </c>
      <c r="E209" s="270">
        <f t="shared" si="23"/>
        <v>2.7386316551492165E-4</v>
      </c>
      <c r="F209" s="90">
        <f t="shared" si="23"/>
        <v>4.1279346337435186E-4</v>
      </c>
      <c r="G209" s="278">
        <f t="shared" si="23"/>
        <v>4.9265242078332962E-4</v>
      </c>
      <c r="H209" s="90">
        <f t="shared" si="24"/>
        <v>1.3835864821287979E-4</v>
      </c>
      <c r="I209" s="90">
        <f t="shared" si="24"/>
        <v>0</v>
      </c>
      <c r="J209" s="90">
        <f t="shared" si="24"/>
        <v>2.489665141044742E-4</v>
      </c>
      <c r="K209" s="90">
        <f t="shared" si="24"/>
        <v>2.489665141044742E-5</v>
      </c>
      <c r="L209" s="90">
        <f t="shared" si="24"/>
        <v>5.7164964655048285E-7</v>
      </c>
      <c r="M209" s="90">
        <f t="shared" si="24"/>
        <v>0</v>
      </c>
      <c r="N209" s="90">
        <f t="shared" si="24"/>
        <v>0</v>
      </c>
      <c r="O209" s="90">
        <f t="shared" si="24"/>
        <v>0</v>
      </c>
      <c r="P209" s="90">
        <f t="shared" si="24"/>
        <v>0</v>
      </c>
      <c r="Q209" s="90">
        <f t="shared" si="24"/>
        <v>0</v>
      </c>
      <c r="R209" s="90">
        <f t="shared" si="24"/>
        <v>0</v>
      </c>
      <c r="S209" s="90">
        <f t="shared" si="24"/>
        <v>4.1279346337435186E-4</v>
      </c>
      <c r="T209" s="90">
        <f t="shared" si="24"/>
        <v>0</v>
      </c>
      <c r="U209" s="90">
        <f t="shared" si="24"/>
        <v>0</v>
      </c>
      <c r="V209" s="430"/>
      <c r="W209" s="243"/>
      <c r="Z209" s="64"/>
    </row>
    <row r="210" spans="1:258" s="420" customFormat="1" ht="17.399999999999999" x14ac:dyDescent="0.3">
      <c r="A210" s="122" t="s">
        <v>1</v>
      </c>
      <c r="B210" s="150" t="s">
        <v>225</v>
      </c>
      <c r="C210" s="111">
        <f>'Input data plant-based products'!D54</f>
        <v>0.42</v>
      </c>
      <c r="D210" s="269" t="s">
        <v>473</v>
      </c>
      <c r="E210" s="320">
        <f>IF($F$1="GWP100 without fb",E211+E212*'Common input data'!$C$5+E213*'Common input data'!$D$5,IF($F$1="GWP100 with fb",E211+E212*'Common input data'!$C$6+E213*'Common input data'!$D$6,IF($F$1="GTP100 without fb",E211+E212*'Common input data'!$C$7+E213*'Common input data'!$D$7,IF($F$1="GTP100 with fb",E211+E212*'Common input data'!$C$8+E213*'Common input data'!$D$8,E211+E212*'Common input data'!$C$9+E213*'Common input data'!$D$9))))</f>
        <v>0.12933955750969434</v>
      </c>
      <c r="F210" s="302">
        <f>IF($F$1="GWP100 without fb",F211+F212*'Common input data'!$C$5+F213*'Common input data'!$D$5,IF($F$1="GWP100 with fb",F211+F212*'Common input data'!$C$6+F213*'Common input data'!$D$6,IF($F$1="GTP100 without fb",F211+F212*'Common input data'!$C$7+F213*'Common input data'!$D$7,IF($F$1="GTP100 with fb",F211+F212*'Common input data'!$C$8+F213*'Common input data'!$D$8,F211+F212*'Common input data'!$C$9+F213*'Common input data'!$D$9))))</f>
        <v>0.26929889197384044</v>
      </c>
      <c r="G210" s="321">
        <f>IF($F$1="GWP100 without fb",G211+G212*'Common input data'!$C$5+G213*'Common input data'!$D$5,IF($F$1="GWP100 with fb",G211+G212*'Common input data'!$C$6+G213*'Common input data'!$D$6,IF($F$1="GTP100 without fb",G211+G212*'Common input data'!$C$7+G213*'Common input data'!$D$7,IF($F$1="GTP100 with fb",G211+G212*'Common input data'!$C$8+G213*'Common input data'!$D$8,G211+G212*'Common input data'!$C$9+G213*'Common input data'!$D$9))))</f>
        <v>0.41687419975395684</v>
      </c>
      <c r="H210" s="102"/>
      <c r="I210" s="102"/>
      <c r="J210" s="102"/>
      <c r="K210" s="102"/>
      <c r="L210" s="102"/>
      <c r="M210" s="102"/>
      <c r="N210" s="102"/>
      <c r="O210" s="102"/>
      <c r="P210" s="102"/>
      <c r="Q210" s="102"/>
      <c r="R210" s="102"/>
      <c r="S210" s="102"/>
      <c r="T210" s="102"/>
      <c r="U210" s="102"/>
      <c r="V210" s="430"/>
      <c r="W210" s="243"/>
      <c r="X210" s="308"/>
      <c r="Y210" s="308"/>
      <c r="Z210" s="64"/>
      <c r="AA210" s="308"/>
      <c r="AB210" s="308"/>
      <c r="AC210" s="308"/>
      <c r="AD210" s="308"/>
      <c r="AE210" s="308"/>
      <c r="AF210" s="308"/>
      <c r="AG210" s="308"/>
      <c r="AH210" s="308"/>
      <c r="AI210" s="308"/>
      <c r="AJ210" s="308"/>
      <c r="AK210" s="308"/>
      <c r="AL210" s="308"/>
      <c r="AM210" s="308"/>
      <c r="AN210" s="308"/>
      <c r="AO210" s="308"/>
      <c r="AP210" s="308"/>
      <c r="AQ210" s="308"/>
      <c r="AR210" s="308"/>
      <c r="AS210" s="308"/>
      <c r="AT210" s="308"/>
      <c r="AU210" s="308"/>
      <c r="AV210" s="308"/>
      <c r="AW210" s="308"/>
      <c r="AX210" s="308"/>
      <c r="AY210" s="308"/>
      <c r="AZ210" s="308"/>
      <c r="BA210" s="308"/>
      <c r="BB210" s="308"/>
      <c r="BC210" s="308"/>
      <c r="BD210" s="308"/>
      <c r="BE210" s="308"/>
      <c r="BF210" s="308"/>
      <c r="BG210" s="308"/>
      <c r="BH210" s="308"/>
      <c r="BI210" s="308"/>
      <c r="BJ210" s="308"/>
      <c r="BK210" s="308"/>
      <c r="BL210" s="308"/>
      <c r="BM210" s="308"/>
      <c r="BN210" s="308"/>
      <c r="BO210" s="308"/>
      <c r="BP210" s="308"/>
      <c r="BQ210" s="308"/>
      <c r="BR210" s="308"/>
      <c r="BS210" s="308"/>
      <c r="BT210" s="308"/>
      <c r="BU210" s="308"/>
      <c r="BV210" s="308"/>
      <c r="BW210" s="308"/>
      <c r="BX210" s="308"/>
      <c r="BY210" s="308"/>
      <c r="BZ210" s="308"/>
      <c r="CA210" s="308"/>
      <c r="CB210" s="308"/>
      <c r="CC210" s="308"/>
      <c r="CD210" s="308"/>
      <c r="CE210" s="308"/>
      <c r="CF210" s="308"/>
      <c r="CG210" s="308"/>
      <c r="CH210" s="308"/>
      <c r="CI210" s="308"/>
      <c r="CJ210" s="308"/>
      <c r="CK210" s="308"/>
      <c r="CL210" s="308"/>
      <c r="CM210" s="308"/>
      <c r="CN210" s="308"/>
      <c r="CO210" s="308"/>
      <c r="CP210" s="308"/>
      <c r="CQ210" s="308"/>
      <c r="CR210" s="308"/>
      <c r="CS210" s="308"/>
      <c r="CT210" s="308"/>
      <c r="CU210" s="308"/>
      <c r="CV210" s="308"/>
      <c r="CW210" s="308"/>
      <c r="CX210" s="308"/>
      <c r="CY210" s="308"/>
      <c r="CZ210" s="308"/>
      <c r="DA210" s="308"/>
      <c r="DB210" s="308"/>
      <c r="DC210" s="308"/>
      <c r="DD210" s="308"/>
      <c r="DE210" s="308"/>
      <c r="DF210" s="308"/>
      <c r="DG210" s="308"/>
      <c r="DH210" s="308"/>
      <c r="DI210" s="308"/>
      <c r="DJ210" s="308"/>
      <c r="DK210" s="308"/>
      <c r="DL210" s="308"/>
      <c r="DM210" s="308"/>
      <c r="DN210" s="308"/>
      <c r="DO210" s="308"/>
      <c r="DP210" s="308"/>
      <c r="DQ210" s="308"/>
      <c r="DR210" s="308"/>
      <c r="DS210" s="308"/>
      <c r="DT210" s="308"/>
      <c r="DU210" s="308"/>
      <c r="DV210" s="308"/>
      <c r="DW210" s="308"/>
      <c r="DX210" s="308"/>
      <c r="DY210" s="308"/>
      <c r="DZ210" s="308"/>
      <c r="EA210" s="308"/>
      <c r="EB210" s="308"/>
      <c r="EC210" s="308"/>
      <c r="ED210" s="308"/>
      <c r="EE210" s="308"/>
      <c r="EF210" s="308"/>
      <c r="EG210" s="308"/>
      <c r="EH210" s="308"/>
      <c r="EI210" s="308"/>
      <c r="EJ210" s="308"/>
      <c r="EK210" s="308"/>
      <c r="EL210" s="308"/>
      <c r="EM210" s="308"/>
      <c r="EN210" s="308"/>
      <c r="EO210" s="308"/>
      <c r="EP210" s="308"/>
      <c r="EQ210" s="308"/>
      <c r="ER210" s="308"/>
      <c r="ES210" s="308"/>
      <c r="ET210" s="308"/>
      <c r="EU210" s="308"/>
      <c r="EV210" s="308"/>
      <c r="EW210" s="308"/>
      <c r="EX210" s="308"/>
      <c r="EY210" s="308"/>
      <c r="EZ210" s="308"/>
      <c r="FA210" s="308"/>
      <c r="FB210" s="308"/>
      <c r="FC210" s="308"/>
      <c r="FD210" s="308"/>
      <c r="FE210" s="308"/>
      <c r="FF210" s="308"/>
      <c r="FG210" s="308"/>
      <c r="FH210" s="308"/>
      <c r="FI210" s="308"/>
      <c r="FJ210" s="308"/>
      <c r="FK210" s="308"/>
      <c r="FL210" s="308"/>
      <c r="FM210" s="308"/>
      <c r="FN210" s="308"/>
      <c r="FO210" s="308"/>
      <c r="FP210" s="308"/>
      <c r="FQ210" s="308"/>
      <c r="FR210" s="308"/>
      <c r="FS210" s="308"/>
      <c r="FT210" s="308"/>
      <c r="FU210" s="308"/>
      <c r="FV210" s="308"/>
      <c r="FW210" s="308"/>
      <c r="FX210" s="308"/>
      <c r="FY210" s="308"/>
      <c r="FZ210" s="308"/>
      <c r="GA210" s="308"/>
      <c r="GB210" s="308"/>
      <c r="GC210" s="308"/>
      <c r="GD210" s="308"/>
      <c r="GE210" s="308"/>
      <c r="GF210" s="308"/>
      <c r="GG210" s="308"/>
      <c r="GH210" s="308"/>
      <c r="GI210" s="308"/>
      <c r="GJ210" s="308"/>
      <c r="GK210" s="308"/>
      <c r="GL210" s="308"/>
      <c r="GM210" s="308"/>
      <c r="GN210" s="308"/>
      <c r="GO210" s="308"/>
      <c r="GP210" s="308"/>
      <c r="GQ210" s="308"/>
      <c r="GR210" s="308"/>
      <c r="GS210" s="308"/>
      <c r="GT210" s="308"/>
      <c r="GU210" s="308"/>
      <c r="GV210" s="308"/>
      <c r="GW210" s="308"/>
      <c r="GX210" s="308"/>
      <c r="GY210" s="308"/>
      <c r="GZ210" s="308"/>
      <c r="HA210" s="308"/>
      <c r="HB210" s="308"/>
      <c r="HC210" s="308"/>
      <c r="HD210" s="308"/>
      <c r="HE210" s="308"/>
      <c r="HF210" s="308"/>
      <c r="HG210" s="308"/>
      <c r="HH210" s="308"/>
      <c r="HI210" s="308"/>
      <c r="HJ210" s="308"/>
      <c r="HK210" s="308"/>
      <c r="HL210" s="308"/>
      <c r="HM210" s="308"/>
      <c r="HN210" s="308"/>
      <c r="HO210" s="308"/>
      <c r="HP210" s="308"/>
      <c r="HQ210" s="308"/>
      <c r="HR210" s="308"/>
      <c r="HS210" s="308"/>
      <c r="HT210" s="308"/>
      <c r="HU210" s="308"/>
      <c r="HV210" s="308"/>
      <c r="HW210" s="308"/>
      <c r="HX210" s="308"/>
      <c r="HY210" s="308"/>
      <c r="HZ210" s="308"/>
      <c r="IA210" s="308"/>
      <c r="IB210" s="308"/>
      <c r="IC210" s="308"/>
      <c r="ID210" s="308"/>
      <c r="IE210" s="308"/>
      <c r="IF210" s="308"/>
      <c r="IG210" s="308"/>
      <c r="IH210" s="308"/>
      <c r="II210" s="308"/>
      <c r="IJ210" s="308"/>
      <c r="IK210" s="308"/>
      <c r="IL210" s="308"/>
      <c r="IM210" s="308"/>
      <c r="IN210" s="308"/>
      <c r="IO210" s="308"/>
      <c r="IP210" s="308"/>
      <c r="IQ210" s="308"/>
      <c r="IR210" s="308"/>
      <c r="IS210" s="308"/>
      <c r="IT210" s="308"/>
      <c r="IU210" s="308"/>
      <c r="IV210" s="308"/>
      <c r="IW210" s="308"/>
      <c r="IX210" s="308"/>
    </row>
    <row r="211" spans="1:258" s="308" customFormat="1" ht="17.399999999999999" x14ac:dyDescent="0.3">
      <c r="A211" s="103"/>
      <c r="B211" s="84"/>
      <c r="C211" s="64"/>
      <c r="D211" s="83" t="s">
        <v>164</v>
      </c>
      <c r="E211" s="270">
        <f>IF(AND($F$2="No",$F$3="No"),SUM(J211:K211),IF(AND($F$2="Yes", $F$3="No"), SUM(J211:K211)+Q211, IF(AND($F$2="No", $F$3="Yes"),SUM(J211:K211)+P211, SUM(J211:K211)+Q211+P211)))</f>
        <v>3.9989486962957101E-2</v>
      </c>
      <c r="F211" s="90">
        <f>IF(AND($F$2="No",$F$3="No"),SUM(H211:O211),IF(AND($F$2="Yes", $F$3="No"), SUM(H211:O211)+Q211, IF(AND($F$2="No", $F$3="Yes"),SUM(H211:O211)+P211, SUM(H211:O211)+Q211+P211)))</f>
        <v>0.14196558578626081</v>
      </c>
      <c r="G211" s="278">
        <f>SUM(S211:U211)/(1-'Common input data'!$B$121)</f>
        <v>0.26490701251493115</v>
      </c>
      <c r="H211" s="90">
        <f>('Input data plant-based products'!$F$54*('Common input data'!$B$76*'Common input data'!B69+'Common input data'!$B$77*'Common input data'!C69))/'Input data plant-based products'!$E$54</f>
        <v>3.0980938329476543E-2</v>
      </c>
      <c r="I211" s="90">
        <f>'Common input data'!$B$81</f>
        <v>0.03</v>
      </c>
      <c r="J211" s="90">
        <v>0</v>
      </c>
      <c r="K211" s="90">
        <v>0</v>
      </c>
      <c r="L211" s="90">
        <f>('Input data plant-based products'!$I$54*'Common input data'!$C$59*'Common input data'!H49)/'Input data plant-based products'!$E$54</f>
        <v>2.0995160493827159E-2</v>
      </c>
      <c r="M211" s="90">
        <v>0</v>
      </c>
      <c r="N211" s="90">
        <f>'Input data plant-based products'!$G$152</f>
        <v>0.02</v>
      </c>
      <c r="O211" s="90">
        <v>0</v>
      </c>
      <c r="P211" s="90">
        <f>'Common input data'!$E$13</f>
        <v>3.9989486962957101E-2</v>
      </c>
      <c r="Q211" s="90">
        <v>0</v>
      </c>
      <c r="R211" s="90">
        <v>0</v>
      </c>
      <c r="S211" s="90">
        <f>(F211+R211)</f>
        <v>0.14196558578626081</v>
      </c>
      <c r="T211" s="90">
        <f>'Common input data'!$B$88</f>
        <v>0.05</v>
      </c>
      <c r="U211" s="90">
        <f>'Common input data'!C98</f>
        <v>0.03</v>
      </c>
      <c r="V211" s="430"/>
      <c r="W211" s="243"/>
      <c r="Z211" s="64"/>
    </row>
    <row r="212" spans="1:258" s="308" customFormat="1" ht="17.399999999999999" x14ac:dyDescent="0.3">
      <c r="A212" s="103"/>
      <c r="B212" s="84"/>
      <c r="C212" s="142"/>
      <c r="D212" s="83" t="s">
        <v>165</v>
      </c>
      <c r="E212" s="270">
        <f>SUM(J212:K212)</f>
        <v>0</v>
      </c>
      <c r="F212" s="90">
        <f>SUM(H212:O212)</f>
        <v>9.3002310913580253E-6</v>
      </c>
      <c r="G212" s="278">
        <f>SUM(S212:U212)/(1-'Common input data'!$B$121)</f>
        <v>1.1099452310965539E-5</v>
      </c>
      <c r="H212" s="90">
        <f>('Input data plant-based products'!$F$54*('Common input data'!$B$76*'Common input data'!B70+'Common input data'!$B$77*'Common input data'!C70))/'Input data plant-based products'!$E$54</f>
        <v>8.2943209876543221E-11</v>
      </c>
      <c r="I212" s="90">
        <v>0</v>
      </c>
      <c r="J212" s="90">
        <v>0</v>
      </c>
      <c r="K212" s="90">
        <v>0</v>
      </c>
      <c r="L212" s="90">
        <f>('Input data plant-based products'!$I$54*'Common input data'!$C$59*'Common input data'!H50)/'Input data plant-based products'!$E$54</f>
        <v>9.3001481481481485E-6</v>
      </c>
      <c r="M212" s="90">
        <v>0</v>
      </c>
      <c r="N212" s="90">
        <v>0</v>
      </c>
      <c r="O212" s="90">
        <v>0</v>
      </c>
      <c r="P212" s="90">
        <v>0</v>
      </c>
      <c r="Q212" s="90">
        <v>0</v>
      </c>
      <c r="R212" s="90">
        <v>0</v>
      </c>
      <c r="S212" s="90">
        <f>(F212+R212)</f>
        <v>9.3002310913580253E-6</v>
      </c>
      <c r="T212" s="90">
        <v>0</v>
      </c>
      <c r="U212" s="90">
        <v>0</v>
      </c>
      <c r="V212" s="430"/>
      <c r="W212" s="243"/>
      <c r="Z212" s="64"/>
    </row>
    <row r="213" spans="1:258" s="308" customFormat="1" ht="17.399999999999999" x14ac:dyDescent="0.3">
      <c r="A213" s="107"/>
      <c r="B213" s="206"/>
      <c r="C213" s="85"/>
      <c r="D213" s="84" t="s">
        <v>166</v>
      </c>
      <c r="E213" s="270">
        <f>SUM(J213:K213)</f>
        <v>2.9983245149911824E-4</v>
      </c>
      <c r="F213" s="90">
        <f>SUM(H213:O213)</f>
        <v>4.2623187359219279E-4</v>
      </c>
      <c r="G213" s="278">
        <f>SUM(S213:U213)/(1-'Common input data'!$B$121)</f>
        <v>5.0869062369279479E-4</v>
      </c>
      <c r="H213" s="90">
        <f>('Input data plant-based products'!$F$54*('Common input data'!$B$76*'Common input data'!B71+'Common input data'!$B$77*'Common input data'!C71))/'Input data plant-based products'!$E$54</f>
        <v>1.258352739449264E-4</v>
      </c>
      <c r="I213" s="90">
        <v>0</v>
      </c>
      <c r="J213" s="90">
        <f>(SUM('Input data plant-based products'!F54:H54)*'Input data plant-based products'!$B$114*44/28)/'Input data plant-based products'!E54</f>
        <v>2.725749559082893E-4</v>
      </c>
      <c r="K213" s="90">
        <f>J213*'Input data plant-based products'!$B$115</f>
        <v>2.7257495590828931E-5</v>
      </c>
      <c r="L213" s="90">
        <f>('Input data plant-based products'!$I$54*'Common input data'!$C$59*'Common input data'!H51)/'Input data plant-based products'!$E$54</f>
        <v>5.6414814814814816E-7</v>
      </c>
      <c r="M213" s="90">
        <v>0</v>
      </c>
      <c r="N213" s="90">
        <v>0</v>
      </c>
      <c r="O213" s="90">
        <v>0</v>
      </c>
      <c r="P213" s="90">
        <v>0</v>
      </c>
      <c r="Q213" s="90">
        <v>0</v>
      </c>
      <c r="R213" s="90">
        <v>0</v>
      </c>
      <c r="S213" s="90">
        <f>(F213+R213)</f>
        <v>4.2623187359219279E-4</v>
      </c>
      <c r="T213" s="90">
        <v>0</v>
      </c>
      <c r="U213" s="90">
        <v>0</v>
      </c>
      <c r="V213" s="430"/>
      <c r="W213" s="243"/>
      <c r="Z213" s="64"/>
    </row>
    <row r="214" spans="1:258" s="420" customFormat="1" ht="17.399999999999999" x14ac:dyDescent="0.3">
      <c r="A214" s="122" t="s">
        <v>74</v>
      </c>
      <c r="B214" s="150" t="s">
        <v>225</v>
      </c>
      <c r="C214" s="111">
        <f>'Input data plant-based products'!D55</f>
        <v>0.27</v>
      </c>
      <c r="D214" s="269" t="s">
        <v>473</v>
      </c>
      <c r="E214" s="320">
        <f>IF($F$1="GWP100 without fb",E215+E216*'Common input data'!$C$5+E217*'Common input data'!$D$5,IF($F$1="GWP100 with fb",E215+E216*'Common input data'!$C$6+E217*'Common input data'!$D$6,IF($F$1="GTP100 without fb",E215+E216*'Common input data'!$C$7+E217*'Common input data'!$D$7,IF($F$1="GTP100 with fb",E215+E216*'Common input data'!$C$8+E217*'Common input data'!$D$8,E215+E216*'Common input data'!$C$9+E217*'Common input data'!$D$9))))</f>
        <v>0.11125844114132066</v>
      </c>
      <c r="F214" s="302">
        <f>IF($F$1="GWP100 without fb",F215+F216*'Common input data'!$C$5+F217*'Common input data'!$D$5,IF($F$1="GWP100 with fb",F215+F216*'Common input data'!$C$6+F217*'Common input data'!$D$6,IF($F$1="GTP100 without fb",F215+F216*'Common input data'!$C$7+F217*'Common input data'!$D$7,IF($F$1="GTP100 with fb",F215+F216*'Common input data'!$C$8+F217*'Common input data'!$D$8,F215+F216*'Common input data'!$C$9+F217*'Common input data'!$D$9))))</f>
        <v>0.2487304323216018</v>
      </c>
      <c r="G214" s="321">
        <f>IF($F$1="GWP100 without fb",G215+G216*'Common input data'!$C$5+G217*'Common input data'!$D$5,IF($F$1="GWP100 with fb",G215+G216*'Common input data'!$C$6+G217*'Common input data'!$D$6,IF($F$1="GTP100 without fb",G215+G216*'Common input data'!$C$7+G217*'Common input data'!$D$7,IF($F$1="GTP100 with fb",G215+G216*'Common input data'!$C$8+G217*'Common input data'!$D$8,G215+G216*'Common input data'!$C$9+G217*'Common input data'!$D$9))))</f>
        <v>0.63101853720205503</v>
      </c>
      <c r="H214" s="102"/>
      <c r="I214" s="102"/>
      <c r="J214" s="102"/>
      <c r="K214" s="102"/>
      <c r="L214" s="102"/>
      <c r="M214" s="102"/>
      <c r="N214" s="102"/>
      <c r="O214" s="102"/>
      <c r="P214" s="102"/>
      <c r="Q214" s="102"/>
      <c r="R214" s="102"/>
      <c r="S214" s="102"/>
      <c r="T214" s="102"/>
      <c r="U214" s="102"/>
      <c r="V214" s="430"/>
      <c r="W214" s="243"/>
      <c r="X214" s="308"/>
      <c r="Y214" s="308"/>
      <c r="Z214" s="64"/>
      <c r="AA214" s="308"/>
      <c r="AB214" s="308"/>
      <c r="AC214" s="308"/>
      <c r="AD214" s="308"/>
      <c r="AE214" s="308"/>
      <c r="AF214" s="308"/>
      <c r="AG214" s="308"/>
      <c r="AH214" s="308"/>
      <c r="AI214" s="308"/>
      <c r="AJ214" s="308"/>
      <c r="AK214" s="308"/>
      <c r="AL214" s="308"/>
      <c r="AM214" s="308"/>
      <c r="AN214" s="308"/>
      <c r="AO214" s="308"/>
      <c r="AP214" s="308"/>
      <c r="AQ214" s="308"/>
      <c r="AR214" s="308"/>
      <c r="AS214" s="308"/>
      <c r="AT214" s="308"/>
      <c r="AU214" s="308"/>
      <c r="AV214" s="308"/>
      <c r="AW214" s="308"/>
      <c r="AX214" s="308"/>
      <c r="AY214" s="308"/>
      <c r="AZ214" s="308"/>
      <c r="BA214" s="308"/>
      <c r="BB214" s="308"/>
      <c r="BC214" s="308"/>
      <c r="BD214" s="308"/>
      <c r="BE214" s="308"/>
      <c r="BF214" s="308"/>
      <c r="BG214" s="308"/>
      <c r="BH214" s="308"/>
      <c r="BI214" s="308"/>
      <c r="BJ214" s="308"/>
      <c r="BK214" s="308"/>
      <c r="BL214" s="308"/>
      <c r="BM214" s="308"/>
      <c r="BN214" s="308"/>
      <c r="BO214" s="308"/>
      <c r="BP214" s="308"/>
      <c r="BQ214" s="308"/>
      <c r="BR214" s="308"/>
      <c r="BS214" s="308"/>
      <c r="BT214" s="308"/>
      <c r="BU214" s="308"/>
      <c r="BV214" s="308"/>
      <c r="BW214" s="308"/>
      <c r="BX214" s="308"/>
      <c r="BY214" s="308"/>
      <c r="BZ214" s="308"/>
      <c r="CA214" s="308"/>
      <c r="CB214" s="308"/>
      <c r="CC214" s="308"/>
      <c r="CD214" s="308"/>
      <c r="CE214" s="308"/>
      <c r="CF214" s="308"/>
      <c r="CG214" s="308"/>
      <c r="CH214" s="308"/>
      <c r="CI214" s="308"/>
      <c r="CJ214" s="308"/>
      <c r="CK214" s="308"/>
      <c r="CL214" s="308"/>
      <c r="CM214" s="308"/>
      <c r="CN214" s="308"/>
      <c r="CO214" s="308"/>
      <c r="CP214" s="308"/>
      <c r="CQ214" s="308"/>
      <c r="CR214" s="308"/>
      <c r="CS214" s="308"/>
      <c r="CT214" s="308"/>
      <c r="CU214" s="308"/>
      <c r="CV214" s="308"/>
      <c r="CW214" s="308"/>
      <c r="CX214" s="308"/>
      <c r="CY214" s="308"/>
      <c r="CZ214" s="308"/>
      <c r="DA214" s="308"/>
      <c r="DB214" s="308"/>
      <c r="DC214" s="308"/>
      <c r="DD214" s="308"/>
      <c r="DE214" s="308"/>
      <c r="DF214" s="308"/>
      <c r="DG214" s="308"/>
      <c r="DH214" s="308"/>
      <c r="DI214" s="308"/>
      <c r="DJ214" s="308"/>
      <c r="DK214" s="308"/>
      <c r="DL214" s="308"/>
      <c r="DM214" s="308"/>
      <c r="DN214" s="308"/>
      <c r="DO214" s="308"/>
      <c r="DP214" s="308"/>
      <c r="DQ214" s="308"/>
      <c r="DR214" s="308"/>
      <c r="DS214" s="308"/>
      <c r="DT214" s="308"/>
      <c r="DU214" s="308"/>
      <c r="DV214" s="308"/>
      <c r="DW214" s="308"/>
      <c r="DX214" s="308"/>
      <c r="DY214" s="308"/>
      <c r="DZ214" s="308"/>
      <c r="EA214" s="308"/>
      <c r="EB214" s="308"/>
      <c r="EC214" s="308"/>
      <c r="ED214" s="308"/>
      <c r="EE214" s="308"/>
      <c r="EF214" s="308"/>
      <c r="EG214" s="308"/>
      <c r="EH214" s="308"/>
      <c r="EI214" s="308"/>
      <c r="EJ214" s="308"/>
      <c r="EK214" s="308"/>
      <c r="EL214" s="308"/>
      <c r="EM214" s="308"/>
      <c r="EN214" s="308"/>
      <c r="EO214" s="308"/>
      <c r="EP214" s="308"/>
      <c r="EQ214" s="308"/>
      <c r="ER214" s="308"/>
      <c r="ES214" s="308"/>
      <c r="ET214" s="308"/>
      <c r="EU214" s="308"/>
      <c r="EV214" s="308"/>
      <c r="EW214" s="308"/>
      <c r="EX214" s="308"/>
      <c r="EY214" s="308"/>
      <c r="EZ214" s="308"/>
      <c r="FA214" s="308"/>
      <c r="FB214" s="308"/>
      <c r="FC214" s="308"/>
      <c r="FD214" s="308"/>
      <c r="FE214" s="308"/>
      <c r="FF214" s="308"/>
      <c r="FG214" s="308"/>
      <c r="FH214" s="308"/>
      <c r="FI214" s="308"/>
      <c r="FJ214" s="308"/>
      <c r="FK214" s="308"/>
      <c r="FL214" s="308"/>
      <c r="FM214" s="308"/>
      <c r="FN214" s="308"/>
      <c r="FO214" s="308"/>
      <c r="FP214" s="308"/>
      <c r="FQ214" s="308"/>
      <c r="FR214" s="308"/>
      <c r="FS214" s="308"/>
      <c r="FT214" s="308"/>
      <c r="FU214" s="308"/>
      <c r="FV214" s="308"/>
      <c r="FW214" s="308"/>
      <c r="FX214" s="308"/>
      <c r="FY214" s="308"/>
      <c r="FZ214" s="308"/>
      <c r="GA214" s="308"/>
      <c r="GB214" s="308"/>
      <c r="GC214" s="308"/>
      <c r="GD214" s="308"/>
      <c r="GE214" s="308"/>
      <c r="GF214" s="308"/>
      <c r="GG214" s="308"/>
      <c r="GH214" s="308"/>
      <c r="GI214" s="308"/>
      <c r="GJ214" s="308"/>
      <c r="GK214" s="308"/>
      <c r="GL214" s="308"/>
      <c r="GM214" s="308"/>
      <c r="GN214" s="308"/>
      <c r="GO214" s="308"/>
      <c r="GP214" s="308"/>
      <c r="GQ214" s="308"/>
      <c r="GR214" s="308"/>
      <c r="GS214" s="308"/>
      <c r="GT214" s="308"/>
      <c r="GU214" s="308"/>
      <c r="GV214" s="308"/>
      <c r="GW214" s="308"/>
      <c r="GX214" s="308"/>
      <c r="GY214" s="308"/>
      <c r="GZ214" s="308"/>
      <c r="HA214" s="308"/>
      <c r="HB214" s="308"/>
      <c r="HC214" s="308"/>
      <c r="HD214" s="308"/>
      <c r="HE214" s="308"/>
      <c r="HF214" s="308"/>
      <c r="HG214" s="308"/>
      <c r="HH214" s="308"/>
      <c r="HI214" s="308"/>
      <c r="HJ214" s="308"/>
      <c r="HK214" s="308"/>
      <c r="HL214" s="308"/>
      <c r="HM214" s="308"/>
      <c r="HN214" s="308"/>
      <c r="HO214" s="308"/>
      <c r="HP214" s="308"/>
      <c r="HQ214" s="308"/>
      <c r="HR214" s="308"/>
      <c r="HS214" s="308"/>
      <c r="HT214" s="308"/>
      <c r="HU214" s="308"/>
      <c r="HV214" s="308"/>
      <c r="HW214" s="308"/>
      <c r="HX214" s="308"/>
      <c r="HY214" s="308"/>
      <c r="HZ214" s="308"/>
      <c r="IA214" s="308"/>
      <c r="IB214" s="308"/>
      <c r="IC214" s="308"/>
      <c r="ID214" s="308"/>
      <c r="IE214" s="308"/>
      <c r="IF214" s="308"/>
      <c r="IG214" s="308"/>
      <c r="IH214" s="308"/>
      <c r="II214" s="308"/>
      <c r="IJ214" s="308"/>
      <c r="IK214" s="308"/>
      <c r="IL214" s="308"/>
      <c r="IM214" s="308"/>
      <c r="IN214" s="308"/>
      <c r="IO214" s="308"/>
      <c r="IP214" s="308"/>
      <c r="IQ214" s="308"/>
      <c r="IR214" s="308"/>
      <c r="IS214" s="308"/>
      <c r="IT214" s="308"/>
      <c r="IU214" s="308"/>
      <c r="IV214" s="308"/>
      <c r="IW214" s="308"/>
      <c r="IX214" s="308"/>
    </row>
    <row r="215" spans="1:258" s="308" customFormat="1" ht="17.399999999999999" x14ac:dyDescent="0.3">
      <c r="A215" s="103"/>
      <c r="B215" s="84"/>
      <c r="C215" s="64"/>
      <c r="D215" s="83" t="s">
        <v>164</v>
      </c>
      <c r="E215" s="270">
        <f>IF(AND($F$2="No",$F$3="No"),SUM(J215:K215),IF(AND($F$2="Yes", $F$3="No"), SUM(J215:K215)+Q215, IF(AND($F$2="No", $F$3="Yes"),SUM(J215:K215)+P215, SUM(J215:K215)+Q215+P215)))</f>
        <v>3.9989486962957101E-2</v>
      </c>
      <c r="F215" s="90">
        <f>IF(AND($F$2="No",$F$3="No"),SUM(H215:O215),IF(AND($F$2="Yes", $F$3="No"), SUM(H215:O215)+Q215, IF(AND($F$2="No", $F$3="Yes"),SUM(H215:O215)+P215, SUM(H215:O215)+Q215+P215)))</f>
        <v>0.13644338757546989</v>
      </c>
      <c r="G215" s="278">
        <f>SUM(S215:U215)/(1-'Common input data'!$B$121)</f>
        <v>0.49700845873668692</v>
      </c>
      <c r="H215" s="90">
        <f>('Input data plant-based products'!$F$55*('Common input data'!$C$76*'Common input data'!B69+'Common input data'!$C$77*'Common input data'!C69))/'Input data plant-based products'!$E$55</f>
        <v>2.489372312158904E-2</v>
      </c>
      <c r="I215" s="90">
        <f>'Common input data'!$B$81</f>
        <v>0.03</v>
      </c>
      <c r="J215" s="90">
        <v>0</v>
      </c>
      <c r="K215" s="90">
        <v>0</v>
      </c>
      <c r="L215" s="90">
        <f>('Input data plant-based products'!$I$55*'Common input data'!$C$59*'Common input data'!H49)/'Input data plant-based products'!$E$55</f>
        <v>2.156017749092376E-2</v>
      </c>
      <c r="M215" s="90">
        <v>0</v>
      </c>
      <c r="N215" s="90">
        <f>'Input data plant-based products'!$G$152</f>
        <v>0.02</v>
      </c>
      <c r="O215" s="90">
        <v>0</v>
      </c>
      <c r="P215" s="90">
        <f>'Common input data'!$E$13</f>
        <v>3.9989486962957101E-2</v>
      </c>
      <c r="Q215" s="90">
        <v>0</v>
      </c>
      <c r="R215" s="90">
        <v>0</v>
      </c>
      <c r="S215" s="90">
        <f>(F215+R215)</f>
        <v>0.13644338757546989</v>
      </c>
      <c r="T215" s="90">
        <f>'Common input data'!$B$88</f>
        <v>0.05</v>
      </c>
      <c r="U215" s="90">
        <f>'Common input data'!B100+'Common input data'!C100</f>
        <v>0.23</v>
      </c>
      <c r="V215" s="430"/>
      <c r="W215" s="243"/>
      <c r="Z215" s="64"/>
    </row>
    <row r="216" spans="1:258" s="308" customFormat="1" ht="17.399999999999999" x14ac:dyDescent="0.3">
      <c r="A216" s="103"/>
      <c r="B216" s="84"/>
      <c r="C216" s="142"/>
      <c r="D216" s="83" t="s">
        <v>165</v>
      </c>
      <c r="E216" s="270">
        <f>SUM(J216:K216)</f>
        <v>0</v>
      </c>
      <c r="F216" s="90">
        <f>SUM(H216:O216)</f>
        <v>9.5505413857200491E-6</v>
      </c>
      <c r="G216" s="278">
        <f>SUM(S216:U216)/(1-'Common input data'!$B$121)</f>
        <v>1.1398187594844313E-5</v>
      </c>
      <c r="H216" s="90">
        <f>('Input data plant-based products'!$F$55*('Common input data'!$C$76*'Common input data'!B70+'Common input data'!$C$77*'Common input data'!C70))/'Input data plant-based products'!$E$55</f>
        <v>1.0976006454215409E-10</v>
      </c>
      <c r="I216" s="90">
        <v>0</v>
      </c>
      <c r="J216" s="90">
        <v>0</v>
      </c>
      <c r="K216" s="90">
        <v>0</v>
      </c>
      <c r="L216" s="90">
        <f>('Input data plant-based products'!$I$55*'Common input data'!$C$59*'Common input data'!H50)/'Input data plant-based products'!$E$55</f>
        <v>9.5504316256555069E-6</v>
      </c>
      <c r="M216" s="90">
        <v>0</v>
      </c>
      <c r="N216" s="90">
        <v>0</v>
      </c>
      <c r="O216" s="90">
        <v>0</v>
      </c>
      <c r="P216" s="90">
        <v>0</v>
      </c>
      <c r="Q216" s="90">
        <v>0</v>
      </c>
      <c r="R216" s="90">
        <v>0</v>
      </c>
      <c r="S216" s="90">
        <f>(F216+R216)</f>
        <v>9.5505413857200491E-6</v>
      </c>
      <c r="T216" s="90">
        <v>0</v>
      </c>
      <c r="U216" s="90">
        <v>0</v>
      </c>
      <c r="V216" s="430"/>
      <c r="W216" s="243"/>
      <c r="Z216" s="64"/>
    </row>
    <row r="217" spans="1:258" s="308" customFormat="1" ht="17.399999999999999" x14ac:dyDescent="0.3">
      <c r="A217" s="107"/>
      <c r="B217" s="206"/>
      <c r="C217" s="85"/>
      <c r="D217" s="84" t="s">
        <v>166</v>
      </c>
      <c r="E217" s="270">
        <f>SUM(J217:K217)</f>
        <v>2.3915756435692471E-4</v>
      </c>
      <c r="F217" s="90">
        <f>SUM(H217:O217)</f>
        <v>3.7571250449334711E-4</v>
      </c>
      <c r="G217" s="278">
        <f>SUM(S217:U217)/(1-'Common input data'!$B$121)</f>
        <v>4.4839778552732679E-4</v>
      </c>
      <c r="H217" s="90">
        <f>('Input data plant-based products'!$F$55*('Common input data'!$C$76*'Common input data'!B71+'Common input data'!$C$77*'Common input data'!C71))/'Input data plant-based products'!$E$55</f>
        <v>1.3597560976127108E-4</v>
      </c>
      <c r="I217" s="90">
        <v>0</v>
      </c>
      <c r="J217" s="90">
        <f>(SUM('Input data plant-based products'!F55:H55)*'Input data plant-based products'!$B$114*44/28)/'Input data plant-based products'!E55</f>
        <v>2.1741596759720428E-4</v>
      </c>
      <c r="K217" s="90">
        <f>J217*'Input data plant-based products'!$B$115</f>
        <v>2.174159675972043E-5</v>
      </c>
      <c r="L217" s="90">
        <f>('Input data plant-based products'!$I$55*'Common input data'!$C$59*'Common input data'!H51)/'Input data plant-based products'!$E$55</f>
        <v>5.7933037515127074E-7</v>
      </c>
      <c r="M217" s="90">
        <v>0</v>
      </c>
      <c r="N217" s="90">
        <v>0</v>
      </c>
      <c r="O217" s="90">
        <v>0</v>
      </c>
      <c r="P217" s="90">
        <v>0</v>
      </c>
      <c r="Q217" s="90">
        <v>0</v>
      </c>
      <c r="R217" s="90">
        <v>0</v>
      </c>
      <c r="S217" s="90">
        <f>(F217+R217)</f>
        <v>3.7571250449334711E-4</v>
      </c>
      <c r="T217" s="90">
        <v>0</v>
      </c>
      <c r="U217" s="90">
        <v>0</v>
      </c>
      <c r="V217" s="430"/>
      <c r="W217" s="243"/>
      <c r="Z217" s="64"/>
    </row>
    <row r="218" spans="1:258" s="420" customFormat="1" ht="17.399999999999999" x14ac:dyDescent="0.3">
      <c r="A218" s="122" t="s">
        <v>84</v>
      </c>
      <c r="B218" s="150" t="s">
        <v>225</v>
      </c>
      <c r="C218" s="111">
        <f>'Input data plant-based products'!D56</f>
        <v>0.14000000000000001</v>
      </c>
      <c r="D218" s="269" t="s">
        <v>473</v>
      </c>
      <c r="E218" s="320">
        <f>IF($F$1="GWP100 without fb",E219+E220*'Common input data'!$C$5+E221*'Common input data'!$D$5,IF($F$1="GWP100 with fb",E219+E220*'Common input data'!$C$6+E221*'Common input data'!$D$6,IF($F$1="GTP100 without fb",E219+E220*'Common input data'!$C$7+E221*'Common input data'!$D$7,IF($F$1="GTP100 with fb",E219+E220*'Common input data'!$C$8+E221*'Common input data'!$D$8,E219+E220*'Common input data'!$C$9+E221*'Common input data'!$D$9))))</f>
        <v>0.12013594226422655</v>
      </c>
      <c r="F218" s="302">
        <f>IF($F$1="GWP100 without fb",F219+F220*'Common input data'!$C$5+F221*'Common input data'!$D$5,IF($F$1="GWP100 with fb",F219+F220*'Common input data'!$C$6+F221*'Common input data'!$D$6,IF($F$1="GTP100 without fb",F219+F220*'Common input data'!$C$7+F221*'Common input data'!$D$7,IF($F$1="GTP100 with fb",F219+F220*'Common input data'!$C$8+F221*'Common input data'!$D$8,F219+F220*'Common input data'!$C$9+F221*'Common input data'!$D$9))))</f>
        <v>0.26764976628605008</v>
      </c>
      <c r="G218" s="321">
        <f>IF($F$1="GWP100 without fb",G219+G220*'Common input data'!$C$5+G221*'Common input data'!$D$5,IF($F$1="GWP100 with fb",G219+G220*'Common input data'!$C$6+G221*'Common input data'!$D$6,IF($F$1="GTP100 without fb",G219+G220*'Common input data'!$C$7+G221*'Common input data'!$D$7,IF($F$1="GTP100 with fb",G219+G220*'Common input data'!$C$8+G221*'Common input data'!$D$8,G219+G220*'Common input data'!$C$9+G221*'Common input data'!$D$9))))</f>
        <v>0.53425201848197901</v>
      </c>
      <c r="H218" s="102"/>
      <c r="I218" s="102"/>
      <c r="J218" s="102"/>
      <c r="K218" s="102"/>
      <c r="L218" s="102"/>
      <c r="M218" s="102"/>
      <c r="N218" s="102"/>
      <c r="O218" s="102"/>
      <c r="P218" s="102"/>
      <c r="Q218" s="102"/>
      <c r="R218" s="102"/>
      <c r="S218" s="102"/>
      <c r="T218" s="102"/>
      <c r="U218" s="102"/>
      <c r="V218" s="430"/>
      <c r="W218" s="243"/>
      <c r="X218" s="308"/>
      <c r="Y218" s="308"/>
      <c r="Z218" s="64"/>
      <c r="AA218" s="308"/>
      <c r="AB218" s="308"/>
      <c r="AC218" s="308"/>
      <c r="AD218" s="308"/>
      <c r="AE218" s="308"/>
      <c r="AF218" s="308"/>
      <c r="AG218" s="308"/>
      <c r="AH218" s="308"/>
      <c r="AI218" s="308"/>
      <c r="AJ218" s="308"/>
      <c r="AK218" s="308"/>
      <c r="AL218" s="308"/>
      <c r="AM218" s="308"/>
      <c r="AN218" s="308"/>
      <c r="AO218" s="308"/>
      <c r="AP218" s="308"/>
      <c r="AQ218" s="308"/>
      <c r="AR218" s="308"/>
      <c r="AS218" s="308"/>
      <c r="AT218" s="308"/>
      <c r="AU218" s="308"/>
      <c r="AV218" s="308"/>
      <c r="AW218" s="308"/>
      <c r="AX218" s="308"/>
      <c r="AY218" s="308"/>
      <c r="AZ218" s="308"/>
      <c r="BA218" s="308"/>
      <c r="BB218" s="308"/>
      <c r="BC218" s="308"/>
      <c r="BD218" s="308"/>
      <c r="BE218" s="308"/>
      <c r="BF218" s="308"/>
      <c r="BG218" s="308"/>
      <c r="BH218" s="308"/>
      <c r="BI218" s="308"/>
      <c r="BJ218" s="308"/>
      <c r="BK218" s="308"/>
      <c r="BL218" s="308"/>
      <c r="BM218" s="308"/>
      <c r="BN218" s="308"/>
      <c r="BO218" s="308"/>
      <c r="BP218" s="308"/>
      <c r="BQ218" s="308"/>
      <c r="BR218" s="308"/>
      <c r="BS218" s="308"/>
      <c r="BT218" s="308"/>
      <c r="BU218" s="308"/>
      <c r="BV218" s="308"/>
      <c r="BW218" s="308"/>
      <c r="BX218" s="308"/>
      <c r="BY218" s="308"/>
      <c r="BZ218" s="308"/>
      <c r="CA218" s="308"/>
      <c r="CB218" s="308"/>
      <c r="CC218" s="308"/>
      <c r="CD218" s="308"/>
      <c r="CE218" s="308"/>
      <c r="CF218" s="308"/>
      <c r="CG218" s="308"/>
      <c r="CH218" s="308"/>
      <c r="CI218" s="308"/>
      <c r="CJ218" s="308"/>
      <c r="CK218" s="308"/>
      <c r="CL218" s="308"/>
      <c r="CM218" s="308"/>
      <c r="CN218" s="308"/>
      <c r="CO218" s="308"/>
      <c r="CP218" s="308"/>
      <c r="CQ218" s="308"/>
      <c r="CR218" s="308"/>
      <c r="CS218" s="308"/>
      <c r="CT218" s="308"/>
      <c r="CU218" s="308"/>
      <c r="CV218" s="308"/>
      <c r="CW218" s="308"/>
      <c r="CX218" s="308"/>
      <c r="CY218" s="308"/>
      <c r="CZ218" s="308"/>
      <c r="DA218" s="308"/>
      <c r="DB218" s="308"/>
      <c r="DC218" s="308"/>
      <c r="DD218" s="308"/>
      <c r="DE218" s="308"/>
      <c r="DF218" s="308"/>
      <c r="DG218" s="308"/>
      <c r="DH218" s="308"/>
      <c r="DI218" s="308"/>
      <c r="DJ218" s="308"/>
      <c r="DK218" s="308"/>
      <c r="DL218" s="308"/>
      <c r="DM218" s="308"/>
      <c r="DN218" s="308"/>
      <c r="DO218" s="308"/>
      <c r="DP218" s="308"/>
      <c r="DQ218" s="308"/>
      <c r="DR218" s="308"/>
      <c r="DS218" s="308"/>
      <c r="DT218" s="308"/>
      <c r="DU218" s="308"/>
      <c r="DV218" s="308"/>
      <c r="DW218" s="308"/>
      <c r="DX218" s="308"/>
      <c r="DY218" s="308"/>
      <c r="DZ218" s="308"/>
      <c r="EA218" s="308"/>
      <c r="EB218" s="308"/>
      <c r="EC218" s="308"/>
      <c r="ED218" s="308"/>
      <c r="EE218" s="308"/>
      <c r="EF218" s="308"/>
      <c r="EG218" s="308"/>
      <c r="EH218" s="308"/>
      <c r="EI218" s="308"/>
      <c r="EJ218" s="308"/>
      <c r="EK218" s="308"/>
      <c r="EL218" s="308"/>
      <c r="EM218" s="308"/>
      <c r="EN218" s="308"/>
      <c r="EO218" s="308"/>
      <c r="EP218" s="308"/>
      <c r="EQ218" s="308"/>
      <c r="ER218" s="308"/>
      <c r="ES218" s="308"/>
      <c r="ET218" s="308"/>
      <c r="EU218" s="308"/>
      <c r="EV218" s="308"/>
      <c r="EW218" s="308"/>
      <c r="EX218" s="308"/>
      <c r="EY218" s="308"/>
      <c r="EZ218" s="308"/>
      <c r="FA218" s="308"/>
      <c r="FB218" s="308"/>
      <c r="FC218" s="308"/>
      <c r="FD218" s="308"/>
      <c r="FE218" s="308"/>
      <c r="FF218" s="308"/>
      <c r="FG218" s="308"/>
      <c r="FH218" s="308"/>
      <c r="FI218" s="308"/>
      <c r="FJ218" s="308"/>
      <c r="FK218" s="308"/>
      <c r="FL218" s="308"/>
      <c r="FM218" s="308"/>
      <c r="FN218" s="308"/>
      <c r="FO218" s="308"/>
      <c r="FP218" s="308"/>
      <c r="FQ218" s="308"/>
      <c r="FR218" s="308"/>
      <c r="FS218" s="308"/>
      <c r="FT218" s="308"/>
      <c r="FU218" s="308"/>
      <c r="FV218" s="308"/>
      <c r="FW218" s="308"/>
      <c r="FX218" s="308"/>
      <c r="FY218" s="308"/>
      <c r="FZ218" s="308"/>
      <c r="GA218" s="308"/>
      <c r="GB218" s="308"/>
      <c r="GC218" s="308"/>
      <c r="GD218" s="308"/>
      <c r="GE218" s="308"/>
      <c r="GF218" s="308"/>
      <c r="GG218" s="308"/>
      <c r="GH218" s="308"/>
      <c r="GI218" s="308"/>
      <c r="GJ218" s="308"/>
      <c r="GK218" s="308"/>
      <c r="GL218" s="308"/>
      <c r="GM218" s="308"/>
      <c r="GN218" s="308"/>
      <c r="GO218" s="308"/>
      <c r="GP218" s="308"/>
      <c r="GQ218" s="308"/>
      <c r="GR218" s="308"/>
      <c r="GS218" s="308"/>
      <c r="GT218" s="308"/>
      <c r="GU218" s="308"/>
      <c r="GV218" s="308"/>
      <c r="GW218" s="308"/>
      <c r="GX218" s="308"/>
      <c r="GY218" s="308"/>
      <c r="GZ218" s="308"/>
      <c r="HA218" s="308"/>
      <c r="HB218" s="308"/>
      <c r="HC218" s="308"/>
      <c r="HD218" s="308"/>
      <c r="HE218" s="308"/>
      <c r="HF218" s="308"/>
      <c r="HG218" s="308"/>
      <c r="HH218" s="308"/>
      <c r="HI218" s="308"/>
      <c r="HJ218" s="308"/>
      <c r="HK218" s="308"/>
      <c r="HL218" s="308"/>
      <c r="HM218" s="308"/>
      <c r="HN218" s="308"/>
      <c r="HO218" s="308"/>
      <c r="HP218" s="308"/>
      <c r="HQ218" s="308"/>
      <c r="HR218" s="308"/>
      <c r="HS218" s="308"/>
      <c r="HT218" s="308"/>
      <c r="HU218" s="308"/>
      <c r="HV218" s="308"/>
      <c r="HW218" s="308"/>
      <c r="HX218" s="308"/>
      <c r="HY218" s="308"/>
      <c r="HZ218" s="308"/>
      <c r="IA218" s="308"/>
      <c r="IB218" s="308"/>
      <c r="IC218" s="308"/>
      <c r="ID218" s="308"/>
      <c r="IE218" s="308"/>
      <c r="IF218" s="308"/>
      <c r="IG218" s="308"/>
      <c r="IH218" s="308"/>
      <c r="II218" s="308"/>
      <c r="IJ218" s="308"/>
      <c r="IK218" s="308"/>
      <c r="IL218" s="308"/>
      <c r="IM218" s="308"/>
      <c r="IN218" s="308"/>
      <c r="IO218" s="308"/>
      <c r="IP218" s="308"/>
      <c r="IQ218" s="308"/>
      <c r="IR218" s="308"/>
      <c r="IS218" s="308"/>
      <c r="IT218" s="308"/>
      <c r="IU218" s="308"/>
      <c r="IV218" s="308"/>
      <c r="IW218" s="308"/>
      <c r="IX218" s="308"/>
    </row>
    <row r="219" spans="1:258" s="308" customFormat="1" ht="17.399999999999999" x14ac:dyDescent="0.3">
      <c r="A219" s="107"/>
      <c r="B219" s="84"/>
      <c r="C219" s="64"/>
      <c r="D219" s="83" t="s">
        <v>164</v>
      </c>
      <c r="E219" s="270">
        <f>IF(AND($F$2="No",$F$3="No"),SUM(J219:K219),IF(AND($F$2="Yes", $F$3="No"), SUM(J219:K219)+Q219, IF(AND($F$2="No", $F$3="Yes"),SUM(J219:K219)+P219, SUM(J219:K219)+Q219+P219)))</f>
        <v>3.9989486962957101E-2</v>
      </c>
      <c r="F219" s="90">
        <f>IF(AND($F$2="No",$F$3="No"),SUM(H219:O219),IF(AND($F$2="Yes", $F$3="No"), SUM(H219:O219)+Q219, IF(AND($F$2="No", $F$3="Yes"),SUM(H219:O219)+P219, SUM(H219:O219)+Q219+P219)))</f>
        <v>0.14009631831798197</v>
      </c>
      <c r="G219" s="278">
        <f>SUM(S219:U219)/(1-'Common input data'!$B$121)</f>
        <v>0.38202210086881727</v>
      </c>
      <c r="H219" s="85">
        <f>('Input data plant-based products'!$F$56*('Common input data'!$C$76*'Common input data'!B69+'Common input data'!$C$77*'Common input data'!C69))/'Input data plant-based products'!$E$56</f>
        <v>2.8822626098454145E-2</v>
      </c>
      <c r="I219" s="90">
        <f>'Common input data'!$B$81</f>
        <v>0.03</v>
      </c>
      <c r="J219" s="85">
        <v>0</v>
      </c>
      <c r="K219" s="90">
        <v>0</v>
      </c>
      <c r="L219" s="85">
        <f>('Input data plant-based products'!$I$56*'Common input data'!$C$59*'Common input data'!H49)/'Input data plant-based products'!$E$56</f>
        <v>2.1284205256570713E-2</v>
      </c>
      <c r="M219" s="90">
        <v>0</v>
      </c>
      <c r="N219" s="90">
        <f>'Input data plant-based products'!$G$152</f>
        <v>0.02</v>
      </c>
      <c r="O219" s="90">
        <v>0</v>
      </c>
      <c r="P219" s="90">
        <f>'Common input data'!$E$13</f>
        <v>3.9989486962957101E-2</v>
      </c>
      <c r="Q219" s="90">
        <v>0</v>
      </c>
      <c r="R219" s="90">
        <v>0</v>
      </c>
      <c r="S219" s="90">
        <f>(F219+R219)</f>
        <v>0.14009631831798197</v>
      </c>
      <c r="T219" s="90">
        <f>'Common input data'!$B$88</f>
        <v>0.05</v>
      </c>
      <c r="U219" s="90">
        <f>'Common input data'!B99+'Common input data'!C99</f>
        <v>0.13</v>
      </c>
      <c r="V219" s="430"/>
      <c r="W219" s="243"/>
      <c r="Z219" s="64"/>
    </row>
    <row r="220" spans="1:258" s="308" customFormat="1" ht="17.399999999999999" x14ac:dyDescent="0.3">
      <c r="A220" s="107"/>
      <c r="B220" s="84"/>
      <c r="C220" s="142"/>
      <c r="D220" s="83" t="s">
        <v>165</v>
      </c>
      <c r="E220" s="270">
        <f>SUM(J220:K220)</f>
        <v>0</v>
      </c>
      <c r="F220" s="90">
        <f>SUM(H220:O220)</f>
        <v>9.4283123147115716E-6</v>
      </c>
      <c r="G220" s="278">
        <f>SUM(S220:U220)/(1-'Common input data'!$B$121)</f>
        <v>1.1252312107305851E-5</v>
      </c>
      <c r="H220" s="85">
        <f>('Input data plant-based products'!$F$56*('Common input data'!$C$76*'Common input data'!B70+'Common input data'!$C$77*'Common input data'!C70))/'Input data plant-based products'!$E$56</f>
        <v>1.2708317214700192E-10</v>
      </c>
      <c r="I220" s="90">
        <v>0</v>
      </c>
      <c r="J220" s="85">
        <v>0</v>
      </c>
      <c r="K220" s="90">
        <v>0</v>
      </c>
      <c r="L220" s="85">
        <f>('Input data plant-based products'!$I$56*'Common input data'!$C$59*'Common input data'!H50)/'Input data plant-based products'!$E$56</f>
        <v>9.4281852315394254E-6</v>
      </c>
      <c r="M220" s="90">
        <v>0</v>
      </c>
      <c r="N220" s="90">
        <v>0</v>
      </c>
      <c r="O220" s="90">
        <v>0</v>
      </c>
      <c r="P220" s="90">
        <v>0</v>
      </c>
      <c r="Q220" s="90">
        <v>0</v>
      </c>
      <c r="R220" s="90">
        <v>0</v>
      </c>
      <c r="S220" s="90">
        <f>(F220+R220)</f>
        <v>9.4283123147115716E-6</v>
      </c>
      <c r="T220" s="90">
        <v>0</v>
      </c>
      <c r="U220" s="90">
        <v>0</v>
      </c>
      <c r="V220" s="430"/>
      <c r="W220" s="243"/>
      <c r="Z220" s="64"/>
    </row>
    <row r="221" spans="1:258" s="308" customFormat="1" ht="17.399999999999999" x14ac:dyDescent="0.3">
      <c r="A221" s="107"/>
      <c r="B221" s="206"/>
      <c r="C221" s="85"/>
      <c r="D221" s="84" t="s">
        <v>166</v>
      </c>
      <c r="E221" s="270">
        <f>SUM(J221:K221)</f>
        <v>2.6894783658144107E-4</v>
      </c>
      <c r="F221" s="90">
        <f>SUM(H221:O221)</f>
        <v>4.2695599110526152E-4</v>
      </c>
      <c r="G221" s="278">
        <f>SUM(S221:U221)/(1-'Common input data'!$B$121)</f>
        <v>5.0955482886413841E-4</v>
      </c>
      <c r="H221" s="85">
        <f>('Input data plant-based products'!$F$56*('Common input data'!$C$76*'Common input data'!B71+'Common input data'!$C$77*'Common input data'!C71))/'Input data plant-based products'!$E$56</f>
        <v>1.5743623963020346E-4</v>
      </c>
      <c r="I221" s="85">
        <v>0</v>
      </c>
      <c r="J221" s="85">
        <f>(SUM('Input data plant-based products'!F56:H56)*'Input data plant-based products'!$B$114*44/28)/'Input data plant-based products'!E56</f>
        <v>2.4449803325585554E-4</v>
      </c>
      <c r="K221" s="90">
        <f>J221*'Input data plant-based products'!$B$115</f>
        <v>2.4449803325585556E-5</v>
      </c>
      <c r="L221" s="85">
        <f>('Input data plant-based products'!$I$56*'Common input data'!$C$59*'Common input data'!H51)/'Input data plant-based products'!$E$56</f>
        <v>5.7191489361702126E-7</v>
      </c>
      <c r="M221" s="90">
        <v>0</v>
      </c>
      <c r="N221" s="90">
        <v>0</v>
      </c>
      <c r="O221" s="90">
        <v>0</v>
      </c>
      <c r="P221" s="90">
        <v>0</v>
      </c>
      <c r="Q221" s="90">
        <v>0</v>
      </c>
      <c r="R221" s="90">
        <v>0</v>
      </c>
      <c r="S221" s="90">
        <f>(F221+R221)</f>
        <v>4.2695599110526152E-4</v>
      </c>
      <c r="T221" s="90">
        <v>0</v>
      </c>
      <c r="U221" s="90">
        <v>0</v>
      </c>
      <c r="V221" s="430"/>
      <c r="W221" s="243"/>
      <c r="Z221" s="64"/>
    </row>
    <row r="222" spans="1:258" s="420" customFormat="1" ht="17.399999999999999" x14ac:dyDescent="0.3">
      <c r="A222" s="122" t="s">
        <v>70</v>
      </c>
      <c r="B222" s="150" t="s">
        <v>225</v>
      </c>
      <c r="C222" s="111">
        <f>'Input data plant-based products'!D57</f>
        <v>0.17</v>
      </c>
      <c r="D222" s="269" t="s">
        <v>473</v>
      </c>
      <c r="E222" s="320">
        <f>IF($F$1="GWP100 without fb",E223+E224*'Common input data'!$C$5+E225*'Common input data'!$D$5,IF($F$1="GWP100 with fb",E223+E224*'Common input data'!$C$6+E225*'Common input data'!$D$6,IF($F$1="GTP100 without fb",E223+E224*'Common input data'!$C$7+E225*'Common input data'!$D$7,IF($F$1="GTP100 with fb",E223+E224*'Common input data'!$C$8+E225*'Common input data'!$D$8,E223+E224*'Common input data'!$C$9+E225*'Common input data'!$D$9))))</f>
        <v>0.12011344180696368</v>
      </c>
      <c r="F222" s="302">
        <f>IF($F$1="GWP100 without fb",F223+F224*'Common input data'!$C$5+F225*'Common input data'!$D$5,IF($F$1="GWP100 with fb",F223+F224*'Common input data'!$C$6+F225*'Common input data'!$D$6,IF($F$1="GTP100 without fb",F223+F224*'Common input data'!$C$7+F225*'Common input data'!$D$7,IF($F$1="GTP100 with fb",F223+F224*'Common input data'!$C$8+F225*'Common input data'!$D$8,F223+F224*'Common input data'!$C$9+F225*'Common input data'!$D$9))))</f>
        <v>0.2678194165420803</v>
      </c>
      <c r="G222" s="321">
        <f>IF($F$1="GWP100 without fb",G223+G224*'Common input data'!$C$5+G225*'Common input data'!$D$5,IF($F$1="GWP100 with fb",G223+G224*'Common input data'!$C$6+G225*'Common input data'!$D$6,IF($F$1="GTP100 without fb",G223+G224*'Common input data'!$C$7+G225*'Common input data'!$D$7,IF($F$1="GTP100 with fb",G223+G224*'Common input data'!$C$8+G225*'Common input data'!$D$8,G223+G224*'Common input data'!$C$9+G225*'Common input data'!$D$9))))</f>
        <v>0.65380047325704782</v>
      </c>
      <c r="H222" s="102"/>
      <c r="I222" s="102"/>
      <c r="J222" s="102"/>
      <c r="K222" s="102"/>
      <c r="L222" s="102"/>
      <c r="M222" s="102"/>
      <c r="N222" s="102"/>
      <c r="O222" s="102"/>
      <c r="P222" s="102"/>
      <c r="Q222" s="102"/>
      <c r="R222" s="102"/>
      <c r="S222" s="102"/>
      <c r="T222" s="102"/>
      <c r="U222" s="102"/>
      <c r="V222" s="430"/>
      <c r="W222" s="243"/>
      <c r="X222" s="308"/>
      <c r="Y222" s="308"/>
      <c r="Z222" s="64"/>
      <c r="AA222" s="308"/>
      <c r="AB222" s="308"/>
      <c r="AC222" s="308"/>
      <c r="AD222" s="308"/>
      <c r="AE222" s="308"/>
      <c r="AF222" s="308"/>
      <c r="AG222" s="308"/>
      <c r="AH222" s="308"/>
      <c r="AI222" s="308"/>
      <c r="AJ222" s="308"/>
      <c r="AK222" s="308"/>
      <c r="AL222" s="308"/>
      <c r="AM222" s="308"/>
      <c r="AN222" s="308"/>
      <c r="AO222" s="308"/>
      <c r="AP222" s="308"/>
      <c r="AQ222" s="308"/>
      <c r="AR222" s="308"/>
      <c r="AS222" s="308"/>
      <c r="AT222" s="308"/>
      <c r="AU222" s="308"/>
      <c r="AV222" s="308"/>
      <c r="AW222" s="308"/>
      <c r="AX222" s="308"/>
      <c r="AY222" s="308"/>
      <c r="AZ222" s="308"/>
      <c r="BA222" s="308"/>
      <c r="BB222" s="308"/>
      <c r="BC222" s="308"/>
      <c r="BD222" s="308"/>
      <c r="BE222" s="308"/>
      <c r="BF222" s="308"/>
      <c r="BG222" s="308"/>
      <c r="BH222" s="308"/>
      <c r="BI222" s="308"/>
      <c r="BJ222" s="308"/>
      <c r="BK222" s="308"/>
      <c r="BL222" s="308"/>
      <c r="BM222" s="308"/>
      <c r="BN222" s="308"/>
      <c r="BO222" s="308"/>
      <c r="BP222" s="308"/>
      <c r="BQ222" s="308"/>
      <c r="BR222" s="308"/>
      <c r="BS222" s="308"/>
      <c r="BT222" s="308"/>
      <c r="BU222" s="308"/>
      <c r="BV222" s="308"/>
      <c r="BW222" s="308"/>
      <c r="BX222" s="308"/>
      <c r="BY222" s="308"/>
      <c r="BZ222" s="308"/>
      <c r="CA222" s="308"/>
      <c r="CB222" s="308"/>
      <c r="CC222" s="308"/>
      <c r="CD222" s="308"/>
      <c r="CE222" s="308"/>
      <c r="CF222" s="308"/>
      <c r="CG222" s="308"/>
      <c r="CH222" s="308"/>
      <c r="CI222" s="308"/>
      <c r="CJ222" s="308"/>
      <c r="CK222" s="308"/>
      <c r="CL222" s="308"/>
      <c r="CM222" s="308"/>
      <c r="CN222" s="308"/>
      <c r="CO222" s="308"/>
      <c r="CP222" s="308"/>
      <c r="CQ222" s="308"/>
      <c r="CR222" s="308"/>
      <c r="CS222" s="308"/>
      <c r="CT222" s="308"/>
      <c r="CU222" s="308"/>
      <c r="CV222" s="308"/>
      <c r="CW222" s="308"/>
      <c r="CX222" s="308"/>
      <c r="CY222" s="308"/>
      <c r="CZ222" s="308"/>
      <c r="DA222" s="308"/>
      <c r="DB222" s="308"/>
      <c r="DC222" s="308"/>
      <c r="DD222" s="308"/>
      <c r="DE222" s="308"/>
      <c r="DF222" s="308"/>
      <c r="DG222" s="308"/>
      <c r="DH222" s="308"/>
      <c r="DI222" s="308"/>
      <c r="DJ222" s="308"/>
      <c r="DK222" s="308"/>
      <c r="DL222" s="308"/>
      <c r="DM222" s="308"/>
      <c r="DN222" s="308"/>
      <c r="DO222" s="308"/>
      <c r="DP222" s="308"/>
      <c r="DQ222" s="308"/>
      <c r="DR222" s="308"/>
      <c r="DS222" s="308"/>
      <c r="DT222" s="308"/>
      <c r="DU222" s="308"/>
      <c r="DV222" s="308"/>
      <c r="DW222" s="308"/>
      <c r="DX222" s="308"/>
      <c r="DY222" s="308"/>
      <c r="DZ222" s="308"/>
      <c r="EA222" s="308"/>
      <c r="EB222" s="308"/>
      <c r="EC222" s="308"/>
      <c r="ED222" s="308"/>
      <c r="EE222" s="308"/>
      <c r="EF222" s="308"/>
      <c r="EG222" s="308"/>
      <c r="EH222" s="308"/>
      <c r="EI222" s="308"/>
      <c r="EJ222" s="308"/>
      <c r="EK222" s="308"/>
      <c r="EL222" s="308"/>
      <c r="EM222" s="308"/>
      <c r="EN222" s="308"/>
      <c r="EO222" s="308"/>
      <c r="EP222" s="308"/>
      <c r="EQ222" s="308"/>
      <c r="ER222" s="308"/>
      <c r="ES222" s="308"/>
      <c r="ET222" s="308"/>
      <c r="EU222" s="308"/>
      <c r="EV222" s="308"/>
      <c r="EW222" s="308"/>
      <c r="EX222" s="308"/>
      <c r="EY222" s="308"/>
      <c r="EZ222" s="308"/>
      <c r="FA222" s="308"/>
      <c r="FB222" s="308"/>
      <c r="FC222" s="308"/>
      <c r="FD222" s="308"/>
      <c r="FE222" s="308"/>
      <c r="FF222" s="308"/>
      <c r="FG222" s="308"/>
      <c r="FH222" s="308"/>
      <c r="FI222" s="308"/>
      <c r="FJ222" s="308"/>
      <c r="FK222" s="308"/>
      <c r="FL222" s="308"/>
      <c r="FM222" s="308"/>
      <c r="FN222" s="308"/>
      <c r="FO222" s="308"/>
      <c r="FP222" s="308"/>
      <c r="FQ222" s="308"/>
      <c r="FR222" s="308"/>
      <c r="FS222" s="308"/>
      <c r="FT222" s="308"/>
      <c r="FU222" s="308"/>
      <c r="FV222" s="308"/>
      <c r="FW222" s="308"/>
      <c r="FX222" s="308"/>
      <c r="FY222" s="308"/>
      <c r="FZ222" s="308"/>
      <c r="GA222" s="308"/>
      <c r="GB222" s="308"/>
      <c r="GC222" s="308"/>
      <c r="GD222" s="308"/>
      <c r="GE222" s="308"/>
      <c r="GF222" s="308"/>
      <c r="GG222" s="308"/>
      <c r="GH222" s="308"/>
      <c r="GI222" s="308"/>
      <c r="GJ222" s="308"/>
      <c r="GK222" s="308"/>
      <c r="GL222" s="308"/>
      <c r="GM222" s="308"/>
      <c r="GN222" s="308"/>
      <c r="GO222" s="308"/>
      <c r="GP222" s="308"/>
      <c r="GQ222" s="308"/>
      <c r="GR222" s="308"/>
      <c r="GS222" s="308"/>
      <c r="GT222" s="308"/>
      <c r="GU222" s="308"/>
      <c r="GV222" s="308"/>
      <c r="GW222" s="308"/>
      <c r="GX222" s="308"/>
      <c r="GY222" s="308"/>
      <c r="GZ222" s="308"/>
      <c r="HA222" s="308"/>
      <c r="HB222" s="308"/>
      <c r="HC222" s="308"/>
      <c r="HD222" s="308"/>
      <c r="HE222" s="308"/>
      <c r="HF222" s="308"/>
      <c r="HG222" s="308"/>
      <c r="HH222" s="308"/>
      <c r="HI222" s="308"/>
      <c r="HJ222" s="308"/>
      <c r="HK222" s="308"/>
      <c r="HL222" s="308"/>
      <c r="HM222" s="308"/>
      <c r="HN222" s="308"/>
      <c r="HO222" s="308"/>
      <c r="HP222" s="308"/>
      <c r="HQ222" s="308"/>
      <c r="HR222" s="308"/>
      <c r="HS222" s="308"/>
      <c r="HT222" s="308"/>
      <c r="HU222" s="308"/>
      <c r="HV222" s="308"/>
      <c r="HW222" s="308"/>
      <c r="HX222" s="308"/>
      <c r="HY222" s="308"/>
      <c r="HZ222" s="308"/>
      <c r="IA222" s="308"/>
      <c r="IB222" s="308"/>
      <c r="IC222" s="308"/>
      <c r="ID222" s="308"/>
      <c r="IE222" s="308"/>
      <c r="IF222" s="308"/>
      <c r="IG222" s="308"/>
      <c r="IH222" s="308"/>
      <c r="II222" s="308"/>
      <c r="IJ222" s="308"/>
      <c r="IK222" s="308"/>
      <c r="IL222" s="308"/>
      <c r="IM222" s="308"/>
      <c r="IN222" s="308"/>
      <c r="IO222" s="308"/>
      <c r="IP222" s="308"/>
      <c r="IQ222" s="308"/>
      <c r="IR222" s="308"/>
      <c r="IS222" s="308"/>
      <c r="IT222" s="308"/>
      <c r="IU222" s="308"/>
      <c r="IV222" s="308"/>
      <c r="IW222" s="308"/>
      <c r="IX222" s="308"/>
    </row>
    <row r="223" spans="1:258" s="308" customFormat="1" ht="17.399999999999999" x14ac:dyDescent="0.3">
      <c r="A223" s="144"/>
      <c r="B223" s="84"/>
      <c r="C223" s="64"/>
      <c r="D223" s="83" t="s">
        <v>164</v>
      </c>
      <c r="E223" s="270">
        <f>IF(AND($F$2="No",$F$3="No"),SUM(J223:K223),IF(AND($F$2="Yes", $F$3="No"), SUM(J223:K223)+Q223, IF(AND($F$2="No", $F$3="Yes"),SUM(J223:K223)+P223, SUM(J223:K223)+Q223+P223)))</f>
        <v>3.9989486962957101E-2</v>
      </c>
      <c r="F223" s="90">
        <f>IF(AND($F$2="No",$F$3="No"),SUM(H223:O223),IF(AND($F$2="Yes", $F$3="No"), SUM(H223:O223)+Q223, IF(AND($F$2="No", $F$3="Yes"),SUM(H223:O223)+P223, SUM(H223:O223)+Q223+P223)))</f>
        <v>0.14030240567228011</v>
      </c>
      <c r="G223" s="278">
        <f>SUM(S223:U223)/(1-'Common input data'!$B$121)</f>
        <v>0.50161404185735792</v>
      </c>
      <c r="H223" s="85">
        <f>('Input data plant-based products'!$F$57*('Common input data'!$C$76*'Common input data'!B69+'Common input data'!$C$77*'Common input data'!C69))/'Input data plant-based products'!$E$57</f>
        <v>2.8810978479437952E-2</v>
      </c>
      <c r="I223" s="90">
        <f>'Common input data'!$B$81</f>
        <v>0.03</v>
      </c>
      <c r="J223" s="85">
        <v>0</v>
      </c>
      <c r="K223" s="90">
        <v>0</v>
      </c>
      <c r="L223" s="85">
        <f>('Input data plant-based products'!$I$57*'Common input data'!$C$59*'Common input data'!H49)/'Input data plant-based products'!$E$57</f>
        <v>2.1501940229885056E-2</v>
      </c>
      <c r="M223" s="90">
        <v>0</v>
      </c>
      <c r="N223" s="90">
        <f>'Input data plant-based products'!$G$152</f>
        <v>0.02</v>
      </c>
      <c r="O223" s="90">
        <v>0</v>
      </c>
      <c r="P223" s="90">
        <f>'Common input data'!$E$13</f>
        <v>3.9989486962957101E-2</v>
      </c>
      <c r="Q223" s="90">
        <v>0</v>
      </c>
      <c r="R223" s="90">
        <v>0</v>
      </c>
      <c r="S223" s="90">
        <f>(F223+R223)</f>
        <v>0.14030240567228011</v>
      </c>
      <c r="T223" s="90">
        <f>'Common input data'!$B$88</f>
        <v>0.05</v>
      </c>
      <c r="U223" s="85">
        <f>'Common input data'!B102+'Common input data'!C102</f>
        <v>0.23000000000000004</v>
      </c>
      <c r="V223" s="430"/>
      <c r="W223" s="243"/>
      <c r="Z223" s="64"/>
    </row>
    <row r="224" spans="1:258" s="308" customFormat="1" ht="17.399999999999999" x14ac:dyDescent="0.3">
      <c r="A224" s="107"/>
      <c r="B224" s="84"/>
      <c r="C224" s="142"/>
      <c r="D224" s="83" t="s">
        <v>165</v>
      </c>
      <c r="E224" s="270">
        <f>SUM(J224:K224)</f>
        <v>0</v>
      </c>
      <c r="F224" s="90">
        <f>SUM(H224:O224)</f>
        <v>9.5247615145747133E-6</v>
      </c>
      <c r="G224" s="278">
        <f>SUM(S224:U224)/(1-'Common input data'!$B$121)</f>
        <v>1.136742035395001E-5</v>
      </c>
      <c r="H224" s="85">
        <f>('Input data plant-based products'!$F$57*('Common input data'!$C$76*'Common input data'!B70+'Common input data'!$C$77*'Common input data'!C70))/'Input data plant-based products'!$E$57</f>
        <v>1.2703181609195401E-10</v>
      </c>
      <c r="I224" s="85">
        <v>0</v>
      </c>
      <c r="J224" s="85">
        <v>0</v>
      </c>
      <c r="K224" s="85">
        <v>0</v>
      </c>
      <c r="L224" s="85">
        <f>('Input data plant-based products'!$I$57*'Common input data'!$C$59*'Common input data'!H50)/'Input data plant-based products'!$E$57</f>
        <v>9.524634482758622E-6</v>
      </c>
      <c r="M224" s="90">
        <v>0</v>
      </c>
      <c r="N224" s="90">
        <v>0</v>
      </c>
      <c r="O224" s="90">
        <v>0</v>
      </c>
      <c r="P224" s="90">
        <v>0</v>
      </c>
      <c r="Q224" s="90">
        <v>0</v>
      </c>
      <c r="R224" s="90">
        <v>0</v>
      </c>
      <c r="S224" s="90">
        <f>(F224+R224)</f>
        <v>9.5247615145747133E-6</v>
      </c>
      <c r="T224" s="90">
        <v>0</v>
      </c>
      <c r="U224" s="90">
        <v>0</v>
      </c>
      <c r="V224" s="430"/>
      <c r="W224" s="243"/>
      <c r="Z224" s="64"/>
    </row>
    <row r="225" spans="1:258" s="308" customFormat="1" ht="17.399999999999999" x14ac:dyDescent="0.3">
      <c r="A225" s="174"/>
      <c r="B225" s="206"/>
      <c r="C225" s="85"/>
      <c r="D225" s="84" t="s">
        <v>166</v>
      </c>
      <c r="E225" s="780">
        <f>SUM(J225:K225)</f>
        <v>2.6887233169129723E-4</v>
      </c>
      <c r="F225" s="108">
        <f>SUM(H225:O225)</f>
        <v>4.2682271469229746E-4</v>
      </c>
      <c r="G225" s="521">
        <f>SUM(S225:U225)/(1-'Common input data'!$B$121)</f>
        <v>5.0939576881763634E-4</v>
      </c>
      <c r="H225" s="85">
        <f>('Input data plant-based products'!$F$57*('Common input data'!$C$76*'Common input data'!B71+'Common input data'!$C$77*'Common input data'!C71))/'Input data plant-based products'!$E$57</f>
        <v>1.5737261748375884E-4</v>
      </c>
      <c r="I225" s="85">
        <v>0</v>
      </c>
      <c r="J225" s="85">
        <f>(SUM('Input data plant-based products'!F57:H57)*'Input data plant-based products'!$B$114*44/28)/'Input data plant-based products'!E57</f>
        <v>2.4442939244663384E-4</v>
      </c>
      <c r="K225" s="90">
        <f>J225*'Input data plant-based products'!$B$115</f>
        <v>2.4442939244663386E-5</v>
      </c>
      <c r="L225" s="85">
        <f>('Input data plant-based products'!$I$57*'Common input data'!$C$59*'Common input data'!H51)/'Input data plant-based products'!$E$57</f>
        <v>5.7776551724137936E-7</v>
      </c>
      <c r="M225" s="90">
        <v>0</v>
      </c>
      <c r="N225" s="90">
        <v>0</v>
      </c>
      <c r="O225" s="90">
        <v>0</v>
      </c>
      <c r="P225" s="90">
        <v>0</v>
      </c>
      <c r="Q225" s="90">
        <v>0</v>
      </c>
      <c r="R225" s="90">
        <v>0</v>
      </c>
      <c r="S225" s="90">
        <f>(F225+R225)</f>
        <v>4.2682271469229746E-4</v>
      </c>
      <c r="T225" s="90">
        <v>0</v>
      </c>
      <c r="U225" s="90">
        <v>0</v>
      </c>
      <c r="V225" s="430"/>
      <c r="W225" s="243"/>
      <c r="Z225" s="64"/>
    </row>
    <row r="226" spans="1:258" s="427" customFormat="1" ht="17.399999999999999" x14ac:dyDescent="0.3">
      <c r="A226" s="426" t="s">
        <v>596</v>
      </c>
      <c r="B226" s="412"/>
      <c r="C226" s="413"/>
      <c r="D226" s="414"/>
      <c r="E226" s="767" t="s">
        <v>814</v>
      </c>
      <c r="F226" s="768" t="s">
        <v>814</v>
      </c>
      <c r="G226" s="590" t="s">
        <v>814</v>
      </c>
      <c r="H226" s="413"/>
      <c r="I226" s="413"/>
      <c r="J226" s="413"/>
      <c r="K226" s="416"/>
      <c r="L226" s="416"/>
      <c r="M226" s="417"/>
      <c r="N226" s="416"/>
      <c r="O226" s="416"/>
      <c r="P226" s="416"/>
      <c r="Q226" s="416"/>
      <c r="R226" s="416"/>
      <c r="S226" s="416"/>
      <c r="T226" s="416"/>
      <c r="U226" s="416"/>
      <c r="V226" s="430"/>
      <c r="W226" s="243"/>
      <c r="X226" s="308"/>
      <c r="Y226" s="308"/>
      <c r="Z226" s="64"/>
      <c r="AA226" s="308"/>
      <c r="AB226" s="308"/>
      <c r="AC226" s="308"/>
      <c r="AD226" s="308"/>
      <c r="AE226" s="308"/>
      <c r="AF226" s="308"/>
      <c r="AG226" s="308"/>
      <c r="AH226" s="308"/>
      <c r="AI226" s="308"/>
      <c r="AJ226" s="308"/>
      <c r="AK226" s="308"/>
      <c r="AL226" s="308"/>
      <c r="AM226" s="308"/>
      <c r="AN226" s="308"/>
      <c r="AO226" s="308"/>
      <c r="AP226" s="308"/>
      <c r="AQ226" s="308"/>
      <c r="AR226" s="308"/>
      <c r="AS226" s="308"/>
      <c r="AT226" s="308"/>
      <c r="AU226" s="308"/>
      <c r="AV226" s="308"/>
      <c r="AW226" s="308"/>
      <c r="AX226" s="308"/>
      <c r="AY226" s="308"/>
      <c r="AZ226" s="308"/>
      <c r="BA226" s="308"/>
      <c r="BB226" s="308"/>
      <c r="BC226" s="308"/>
      <c r="BD226" s="308"/>
      <c r="BE226" s="308"/>
      <c r="BF226" s="308"/>
      <c r="BG226" s="308"/>
      <c r="BH226" s="308"/>
      <c r="BI226" s="308"/>
      <c r="BJ226" s="308"/>
      <c r="BK226" s="308"/>
      <c r="BL226" s="308"/>
      <c r="BM226" s="308"/>
      <c r="BN226" s="308"/>
      <c r="BO226" s="308"/>
      <c r="BP226" s="308"/>
      <c r="BQ226" s="308"/>
      <c r="BR226" s="308"/>
      <c r="BS226" s="308"/>
      <c r="BT226" s="308"/>
      <c r="BU226" s="308"/>
      <c r="BV226" s="308"/>
      <c r="BW226" s="308"/>
      <c r="BX226" s="308"/>
      <c r="BY226" s="308"/>
      <c r="BZ226" s="308"/>
      <c r="CA226" s="308"/>
      <c r="CB226" s="308"/>
      <c r="CC226" s="308"/>
      <c r="CD226" s="308"/>
      <c r="CE226" s="308"/>
      <c r="CF226" s="308"/>
      <c r="CG226" s="308"/>
      <c r="CH226" s="308"/>
      <c r="CI226" s="308"/>
      <c r="CJ226" s="308"/>
      <c r="CK226" s="308"/>
      <c r="CL226" s="308"/>
      <c r="CM226" s="308"/>
      <c r="CN226" s="308"/>
      <c r="CO226" s="308"/>
      <c r="CP226" s="308"/>
      <c r="CQ226" s="308"/>
      <c r="CR226" s="308"/>
      <c r="CS226" s="308"/>
      <c r="CT226" s="308"/>
      <c r="CU226" s="308"/>
      <c r="CV226" s="308"/>
      <c r="CW226" s="308"/>
      <c r="CX226" s="308"/>
      <c r="CY226" s="308"/>
      <c r="CZ226" s="308"/>
      <c r="DA226" s="308"/>
      <c r="DB226" s="308"/>
      <c r="DC226" s="308"/>
      <c r="DD226" s="308"/>
      <c r="DE226" s="308"/>
      <c r="DF226" s="308"/>
      <c r="DG226" s="308"/>
      <c r="DH226" s="308"/>
      <c r="DI226" s="308"/>
      <c r="DJ226" s="308"/>
      <c r="DK226" s="308"/>
      <c r="DL226" s="308"/>
      <c r="DM226" s="308"/>
      <c r="DN226" s="308"/>
      <c r="DO226" s="308"/>
      <c r="DP226" s="308"/>
      <c r="DQ226" s="308"/>
      <c r="DR226" s="308"/>
      <c r="DS226" s="308"/>
      <c r="DT226" s="308"/>
      <c r="DU226" s="308"/>
      <c r="DV226" s="308"/>
      <c r="DW226" s="308"/>
      <c r="DX226" s="308"/>
      <c r="DY226" s="308"/>
      <c r="DZ226" s="308"/>
      <c r="EA226" s="308"/>
      <c r="EB226" s="308"/>
      <c r="EC226" s="308"/>
      <c r="ED226" s="308"/>
      <c r="EE226" s="308"/>
      <c r="EF226" s="308"/>
      <c r="EG226" s="308"/>
      <c r="EH226" s="308"/>
      <c r="EI226" s="308"/>
      <c r="EJ226" s="308"/>
      <c r="EK226" s="308"/>
      <c r="EL226" s="308"/>
      <c r="EM226" s="308"/>
      <c r="EN226" s="308"/>
      <c r="EO226" s="308"/>
      <c r="EP226" s="308"/>
      <c r="EQ226" s="308"/>
      <c r="ER226" s="308"/>
      <c r="ES226" s="308"/>
      <c r="ET226" s="308"/>
      <c r="EU226" s="308"/>
      <c r="EV226" s="308"/>
      <c r="EW226" s="308"/>
      <c r="EX226" s="308"/>
      <c r="EY226" s="308"/>
      <c r="EZ226" s="308"/>
      <c r="FA226" s="308"/>
      <c r="FB226" s="308"/>
      <c r="FC226" s="308"/>
      <c r="FD226" s="308"/>
      <c r="FE226" s="308"/>
      <c r="FF226" s="308"/>
      <c r="FG226" s="308"/>
      <c r="FH226" s="308"/>
      <c r="FI226" s="308"/>
      <c r="FJ226" s="308"/>
      <c r="FK226" s="308"/>
      <c r="FL226" s="308"/>
      <c r="FM226" s="308"/>
      <c r="FN226" s="308"/>
      <c r="FO226" s="308"/>
      <c r="FP226" s="308"/>
      <c r="FQ226" s="308"/>
      <c r="FR226" s="308"/>
      <c r="FS226" s="308"/>
      <c r="FT226" s="308"/>
      <c r="FU226" s="308"/>
      <c r="FV226" s="308"/>
      <c r="FW226" s="308"/>
      <c r="FX226" s="308"/>
      <c r="FY226" s="308"/>
      <c r="FZ226" s="308"/>
      <c r="GA226" s="308"/>
      <c r="GB226" s="308"/>
      <c r="GC226" s="308"/>
      <c r="GD226" s="308"/>
      <c r="GE226" s="308"/>
      <c r="GF226" s="308"/>
      <c r="GG226" s="308"/>
      <c r="GH226" s="308"/>
      <c r="GI226" s="308"/>
      <c r="GJ226" s="308"/>
      <c r="GK226" s="308"/>
      <c r="GL226" s="308"/>
      <c r="GM226" s="308"/>
      <c r="GN226" s="308"/>
      <c r="GO226" s="308"/>
      <c r="GP226" s="308"/>
      <c r="GQ226" s="308"/>
      <c r="GR226" s="308"/>
      <c r="GS226" s="308"/>
      <c r="GT226" s="308"/>
      <c r="GU226" s="308"/>
      <c r="GV226" s="308"/>
      <c r="GW226" s="308"/>
      <c r="GX226" s="308"/>
      <c r="GY226" s="308"/>
      <c r="GZ226" s="308"/>
      <c r="HA226" s="308"/>
      <c r="HB226" s="308"/>
      <c r="HC226" s="308"/>
      <c r="HD226" s="308"/>
      <c r="HE226" s="308"/>
      <c r="HF226" s="308"/>
      <c r="HG226" s="308"/>
      <c r="HH226" s="308"/>
      <c r="HI226" s="308"/>
      <c r="HJ226" s="308"/>
      <c r="HK226" s="308"/>
      <c r="HL226" s="308"/>
      <c r="HM226" s="308"/>
      <c r="HN226" s="308"/>
      <c r="HO226" s="308"/>
      <c r="HP226" s="308"/>
      <c r="HQ226" s="308"/>
      <c r="HR226" s="308"/>
      <c r="HS226" s="308"/>
      <c r="HT226" s="308"/>
      <c r="HU226" s="308"/>
      <c r="HV226" s="308"/>
      <c r="HW226" s="308"/>
      <c r="HX226" s="308"/>
      <c r="HY226" s="308"/>
      <c r="HZ226" s="308"/>
      <c r="IA226" s="308"/>
      <c r="IB226" s="308"/>
      <c r="IC226" s="308"/>
      <c r="ID226" s="308"/>
      <c r="IE226" s="308"/>
      <c r="IF226" s="308"/>
      <c r="IG226" s="308"/>
      <c r="IH226" s="308"/>
      <c r="II226" s="308"/>
      <c r="IJ226" s="308"/>
      <c r="IK226" s="308"/>
      <c r="IL226" s="308"/>
      <c r="IM226" s="308"/>
      <c r="IN226" s="308"/>
      <c r="IO226" s="308"/>
      <c r="IP226" s="308"/>
      <c r="IQ226" s="308"/>
      <c r="IR226" s="308"/>
      <c r="IS226" s="308"/>
      <c r="IT226" s="308"/>
      <c r="IU226" s="308"/>
      <c r="IV226" s="308"/>
      <c r="IW226" s="308"/>
      <c r="IX226" s="308"/>
    </row>
    <row r="227" spans="1:258" s="420" customFormat="1" ht="17.399999999999999" x14ac:dyDescent="0.3">
      <c r="A227" s="143" t="s">
        <v>1</v>
      </c>
      <c r="B227" s="150" t="s">
        <v>225</v>
      </c>
      <c r="C227" s="112">
        <f>'Input data plant-based products'!D38</f>
        <v>1</v>
      </c>
      <c r="D227" s="269" t="s">
        <v>473</v>
      </c>
      <c r="E227" s="769">
        <f>IF($F$1="GWP100 without fb",E228+E229*'Common input data'!$C$5+E230*'Common input data'!$D$5,IF($F$1="GWP100 with fb",E228+E229*'Common input data'!$C$6+E230*'Common input data'!$D$6,IF($F$1="GTP100 without fb",E228+E229*'Common input data'!$C$7+E230*'Common input data'!$D$7,IF($F$1="GTP100 with fb",E228+E229*'Common input data'!$C$8+E230*'Common input data'!$D$8,E228+E229*'Common input data'!$C$9+E230*'Common input data'!$D$9))))</f>
        <v>0.36448823197337898</v>
      </c>
      <c r="F227" s="326">
        <f>IF($F$1="GWP100 without fb",F228+F229*'Common input data'!$C$5+F230*'Common input data'!$D$5,IF($F$1="GWP100 with fb",F228+F229*'Common input data'!$C$6+F230*'Common input data'!$D$6,IF($F$1="GTP100 without fb",F228+F229*'Common input data'!$C$7+F230*'Common input data'!$D$7,IF($F$1="GTP100 with fb",F228+F229*'Common input data'!$C$8+F230*'Common input data'!$D$8,F228+F229*'Common input data'!$C$9+F230*'Common input data'!$D$9))))</f>
        <v>0.4950193414873702</v>
      </c>
      <c r="G227" s="770">
        <f>IF($F$1="GWP100 without fb",G228+G229*'Common input data'!$C$5+G230*'Common input data'!$D$5,IF($F$1="GWP100 with fb",G228+G229*'Common input data'!$C$6+G230*'Common input data'!$D$6,IF($F$1="GTP100 without fb",G228+G229*'Common input data'!$C$7+G230*'Common input data'!$D$7,IF($F$1="GTP100 with fb",G228+G229*'Common input data'!$C$8+G230*'Common input data'!$D$8,G228+G229*'Common input data'!$C$9+G230*'Common input data'!$D$9))))</f>
        <v>0.6175732245231369</v>
      </c>
      <c r="H227" s="302"/>
      <c r="I227" s="104"/>
      <c r="J227" s="104"/>
      <c r="K227" s="102"/>
      <c r="L227" s="102"/>
      <c r="M227" s="102"/>
      <c r="N227" s="102"/>
      <c r="O227" s="102"/>
      <c r="P227" s="102"/>
      <c r="Q227" s="102"/>
      <c r="R227" s="102"/>
      <c r="S227" s="102"/>
      <c r="T227" s="102"/>
      <c r="U227" s="102"/>
      <c r="V227" s="430"/>
      <c r="W227" s="243"/>
      <c r="X227" s="308"/>
      <c r="Y227" s="308"/>
      <c r="Z227" s="64"/>
      <c r="AA227" s="308"/>
      <c r="AB227" s="308"/>
      <c r="AC227" s="308"/>
      <c r="AD227" s="308"/>
      <c r="AE227" s="308"/>
      <c r="AF227" s="308"/>
      <c r="AG227" s="308"/>
      <c r="AH227" s="308"/>
      <c r="AI227" s="308"/>
      <c r="AJ227" s="308"/>
      <c r="AK227" s="308"/>
      <c r="AL227" s="308"/>
      <c r="AM227" s="308"/>
      <c r="AN227" s="308"/>
      <c r="AO227" s="308"/>
      <c r="AP227" s="308"/>
      <c r="AQ227" s="308"/>
      <c r="AR227" s="308"/>
      <c r="AS227" s="308"/>
      <c r="AT227" s="308"/>
      <c r="AU227" s="308"/>
      <c r="AV227" s="308"/>
      <c r="AW227" s="308"/>
      <c r="AX227" s="308"/>
      <c r="AY227" s="308"/>
      <c r="AZ227" s="308"/>
      <c r="BA227" s="308"/>
      <c r="BB227" s="308"/>
      <c r="BC227" s="308"/>
      <c r="BD227" s="308"/>
      <c r="BE227" s="308"/>
      <c r="BF227" s="308"/>
      <c r="BG227" s="308"/>
      <c r="BH227" s="308"/>
      <c r="BI227" s="308"/>
      <c r="BJ227" s="308"/>
      <c r="BK227" s="308"/>
      <c r="BL227" s="308"/>
      <c r="BM227" s="308"/>
      <c r="BN227" s="308"/>
      <c r="BO227" s="308"/>
      <c r="BP227" s="308"/>
      <c r="BQ227" s="308"/>
      <c r="BR227" s="308"/>
      <c r="BS227" s="308"/>
      <c r="BT227" s="308"/>
      <c r="BU227" s="308"/>
      <c r="BV227" s="308"/>
      <c r="BW227" s="308"/>
      <c r="BX227" s="308"/>
      <c r="BY227" s="308"/>
      <c r="BZ227" s="308"/>
      <c r="CA227" s="308"/>
      <c r="CB227" s="308"/>
      <c r="CC227" s="308"/>
      <c r="CD227" s="308"/>
      <c r="CE227" s="308"/>
      <c r="CF227" s="308"/>
      <c r="CG227" s="308"/>
      <c r="CH227" s="308"/>
      <c r="CI227" s="308"/>
      <c r="CJ227" s="308"/>
      <c r="CK227" s="308"/>
      <c r="CL227" s="308"/>
      <c r="CM227" s="308"/>
      <c r="CN227" s="308"/>
      <c r="CO227" s="308"/>
      <c r="CP227" s="308"/>
      <c r="CQ227" s="308"/>
      <c r="CR227" s="308"/>
      <c r="CS227" s="308"/>
      <c r="CT227" s="308"/>
      <c r="CU227" s="308"/>
      <c r="CV227" s="308"/>
      <c r="CW227" s="308"/>
      <c r="CX227" s="308"/>
      <c r="CY227" s="308"/>
      <c r="CZ227" s="308"/>
      <c r="DA227" s="308"/>
      <c r="DB227" s="308"/>
      <c r="DC227" s="308"/>
      <c r="DD227" s="308"/>
      <c r="DE227" s="308"/>
      <c r="DF227" s="308"/>
      <c r="DG227" s="308"/>
      <c r="DH227" s="308"/>
      <c r="DI227" s="308"/>
      <c r="DJ227" s="308"/>
      <c r="DK227" s="308"/>
      <c r="DL227" s="308"/>
      <c r="DM227" s="308"/>
      <c r="DN227" s="308"/>
      <c r="DO227" s="308"/>
      <c r="DP227" s="308"/>
      <c r="DQ227" s="308"/>
      <c r="DR227" s="308"/>
      <c r="DS227" s="308"/>
      <c r="DT227" s="308"/>
      <c r="DU227" s="308"/>
      <c r="DV227" s="308"/>
      <c r="DW227" s="308"/>
      <c r="DX227" s="308"/>
      <c r="DY227" s="308"/>
      <c r="DZ227" s="308"/>
      <c r="EA227" s="308"/>
      <c r="EB227" s="308"/>
      <c r="EC227" s="308"/>
      <c r="ED227" s="308"/>
      <c r="EE227" s="308"/>
      <c r="EF227" s="308"/>
      <c r="EG227" s="308"/>
      <c r="EH227" s="308"/>
      <c r="EI227" s="308"/>
      <c r="EJ227" s="308"/>
      <c r="EK227" s="308"/>
      <c r="EL227" s="308"/>
      <c r="EM227" s="308"/>
      <c r="EN227" s="308"/>
      <c r="EO227" s="308"/>
      <c r="EP227" s="308"/>
      <c r="EQ227" s="308"/>
      <c r="ER227" s="308"/>
      <c r="ES227" s="308"/>
      <c r="ET227" s="308"/>
      <c r="EU227" s="308"/>
      <c r="EV227" s="308"/>
      <c r="EW227" s="308"/>
      <c r="EX227" s="308"/>
      <c r="EY227" s="308"/>
      <c r="EZ227" s="308"/>
      <c r="FA227" s="308"/>
      <c r="FB227" s="308"/>
      <c r="FC227" s="308"/>
      <c r="FD227" s="308"/>
      <c r="FE227" s="308"/>
      <c r="FF227" s="308"/>
      <c r="FG227" s="308"/>
      <c r="FH227" s="308"/>
      <c r="FI227" s="308"/>
      <c r="FJ227" s="308"/>
      <c r="FK227" s="308"/>
      <c r="FL227" s="308"/>
      <c r="FM227" s="308"/>
      <c r="FN227" s="308"/>
      <c r="FO227" s="308"/>
      <c r="FP227" s="308"/>
      <c r="FQ227" s="308"/>
      <c r="FR227" s="308"/>
      <c r="FS227" s="308"/>
      <c r="FT227" s="308"/>
      <c r="FU227" s="308"/>
      <c r="FV227" s="308"/>
      <c r="FW227" s="308"/>
      <c r="FX227" s="308"/>
      <c r="FY227" s="308"/>
      <c r="FZ227" s="308"/>
      <c r="GA227" s="308"/>
      <c r="GB227" s="308"/>
      <c r="GC227" s="308"/>
      <c r="GD227" s="308"/>
      <c r="GE227" s="308"/>
      <c r="GF227" s="308"/>
      <c r="GG227" s="308"/>
      <c r="GH227" s="308"/>
      <c r="GI227" s="308"/>
      <c r="GJ227" s="308"/>
      <c r="GK227" s="308"/>
      <c r="GL227" s="308"/>
      <c r="GM227" s="308"/>
      <c r="GN227" s="308"/>
      <c r="GO227" s="308"/>
      <c r="GP227" s="308"/>
      <c r="GQ227" s="308"/>
      <c r="GR227" s="308"/>
      <c r="GS227" s="308"/>
      <c r="GT227" s="308"/>
      <c r="GU227" s="308"/>
      <c r="GV227" s="308"/>
      <c r="GW227" s="308"/>
      <c r="GX227" s="308"/>
      <c r="GY227" s="308"/>
      <c r="GZ227" s="308"/>
      <c r="HA227" s="308"/>
      <c r="HB227" s="308"/>
      <c r="HC227" s="308"/>
      <c r="HD227" s="308"/>
      <c r="HE227" s="308"/>
      <c r="HF227" s="308"/>
      <c r="HG227" s="308"/>
      <c r="HH227" s="308"/>
      <c r="HI227" s="308"/>
      <c r="HJ227" s="308"/>
      <c r="HK227" s="308"/>
      <c r="HL227" s="308"/>
      <c r="HM227" s="308"/>
      <c r="HN227" s="308"/>
      <c r="HO227" s="308"/>
      <c r="HP227" s="308"/>
      <c r="HQ227" s="308"/>
      <c r="HR227" s="308"/>
      <c r="HS227" s="308"/>
      <c r="HT227" s="308"/>
      <c r="HU227" s="308"/>
      <c r="HV227" s="308"/>
      <c r="HW227" s="308"/>
      <c r="HX227" s="308"/>
      <c r="HY227" s="308"/>
      <c r="HZ227" s="308"/>
      <c r="IA227" s="308"/>
      <c r="IB227" s="308"/>
      <c r="IC227" s="308"/>
      <c r="ID227" s="308"/>
      <c r="IE227" s="308"/>
      <c r="IF227" s="308"/>
      <c r="IG227" s="308"/>
      <c r="IH227" s="308"/>
      <c r="II227" s="308"/>
      <c r="IJ227" s="308"/>
      <c r="IK227" s="308"/>
      <c r="IL227" s="308"/>
      <c r="IM227" s="308"/>
      <c r="IN227" s="308"/>
      <c r="IO227" s="308"/>
      <c r="IP227" s="308"/>
      <c r="IQ227" s="308"/>
      <c r="IR227" s="308"/>
      <c r="IS227" s="308"/>
      <c r="IT227" s="308"/>
      <c r="IU227" s="308"/>
      <c r="IV227" s="308"/>
      <c r="IW227" s="308"/>
      <c r="IX227" s="308"/>
    </row>
    <row r="228" spans="1:258" s="308" customFormat="1" ht="17.399999999999999" x14ac:dyDescent="0.3">
      <c r="A228" s="144"/>
      <c r="B228" s="84"/>
      <c r="C228" s="64"/>
      <c r="D228" s="83" t="s">
        <v>164</v>
      </c>
      <c r="E228" s="270">
        <f>IF(AND($F$2="No",$F$3="No"),SUM(J228:K228),IF(AND($F$2="Yes", $F$3="No"), (SUM(J228:K228)+Q228), IF(AND($F$2="No", $F$3="Yes"),(SUM(J228:K228)+P228), (SUM(J228:K228)+Q228+P228))))</f>
        <v>0.23829120623700201</v>
      </c>
      <c r="F228" s="90">
        <f>IF(AND($F$2="No",$F$3="No"),SUM(H228:O228),IF(AND($F$2="Yes", $F$3="No"), (SUM(H228:O228)+Q228), IF(AND($F$2="No", $F$3="Yes"),(SUM(H228:O228)+P228), (SUM(H228:O228)+Q228+P228))))</f>
        <v>0.36700649342404179</v>
      </c>
      <c r="G228" s="278">
        <f>SUM(S228:U228)/(1-'Common input data'!$B$124)</f>
        <v>0.48008687988233401</v>
      </c>
      <c r="H228" s="85">
        <v>0</v>
      </c>
      <c r="I228" s="85">
        <f>'Common input data'!B81</f>
        <v>0.03</v>
      </c>
      <c r="J228" s="85">
        <v>0</v>
      </c>
      <c r="K228" s="85">
        <v>0</v>
      </c>
      <c r="L228" s="85">
        <f>('Input data plant-based products'!$I$38*'Common input data'!$C$59*'Common input data'!H49)/'Input data plant-based products'!$E$38</f>
        <v>7.8715287187039767E-2</v>
      </c>
      <c r="M228" s="85">
        <v>0</v>
      </c>
      <c r="N228" s="85">
        <f>'Input data plant-based products'!G152</f>
        <v>0.02</v>
      </c>
      <c r="O228" s="85">
        <v>0</v>
      </c>
      <c r="P228" s="85">
        <f>'Common input data'!C13</f>
        <v>0.23829120623700201</v>
      </c>
      <c r="Q228" s="85">
        <v>0</v>
      </c>
      <c r="R228" s="85">
        <v>0</v>
      </c>
      <c r="S228" s="90">
        <f>(F228+R228)</f>
        <v>0.36700649342404179</v>
      </c>
      <c r="T228" s="90">
        <f>'Common input data'!B88</f>
        <v>0.05</v>
      </c>
      <c r="U228" s="90">
        <f>'Common input data'!C98</f>
        <v>0.03</v>
      </c>
      <c r="V228" s="430"/>
      <c r="W228" s="243"/>
      <c r="Z228" s="64"/>
    </row>
    <row r="229" spans="1:258" s="308" customFormat="1" ht="17.399999999999999" x14ac:dyDescent="0.3">
      <c r="A229" s="144"/>
      <c r="B229" s="84"/>
      <c r="C229" s="142"/>
      <c r="D229" s="83" t="s">
        <v>165</v>
      </c>
      <c r="E229" s="258">
        <f>SUM(J229:K229)</f>
        <v>0</v>
      </c>
      <c r="F229" s="85">
        <f>SUM(H229:O229)</f>
        <v>3.4868217967599413E-5</v>
      </c>
      <c r="G229" s="278">
        <f>SUM(S229:U229)/(1-'Common input data'!$B$124)</f>
        <v>3.74486147682024E-5</v>
      </c>
      <c r="H229" s="85">
        <v>0</v>
      </c>
      <c r="I229" s="85">
        <v>0</v>
      </c>
      <c r="J229" s="85">
        <v>0</v>
      </c>
      <c r="K229" s="85">
        <v>0</v>
      </c>
      <c r="L229" s="85">
        <f>('Input data plant-based products'!$I$38*'Common input data'!$C$59*'Common input data'!H50)/'Input data plant-based products'!$E$38</f>
        <v>3.4868217967599413E-5</v>
      </c>
      <c r="M229" s="85">
        <v>0</v>
      </c>
      <c r="N229" s="85">
        <v>0</v>
      </c>
      <c r="O229" s="85">
        <v>0</v>
      </c>
      <c r="P229" s="85">
        <v>0</v>
      </c>
      <c r="Q229" s="85">
        <v>0</v>
      </c>
      <c r="R229" s="85">
        <v>0</v>
      </c>
      <c r="S229" s="90">
        <f>(F229+R229)</f>
        <v>3.4868217967599413E-5</v>
      </c>
      <c r="T229" s="90">
        <v>0</v>
      </c>
      <c r="U229" s="90">
        <v>0</v>
      </c>
      <c r="V229" s="430"/>
      <c r="W229" s="243"/>
      <c r="Z229" s="64"/>
    </row>
    <row r="230" spans="1:258" s="308" customFormat="1" ht="17.399999999999999" x14ac:dyDescent="0.3">
      <c r="A230" s="174"/>
      <c r="B230" s="206"/>
      <c r="C230" s="85"/>
      <c r="D230" s="84" t="s">
        <v>166</v>
      </c>
      <c r="E230" s="771">
        <f>SUM(J230:K230)</f>
        <v>4.2347995213549332E-4</v>
      </c>
      <c r="F230" s="101">
        <f>SUM(H230:O230)</f>
        <v>4.2559506259204707E-4</v>
      </c>
      <c r="G230" s="521">
        <f>SUM(S230:U230)/(1-'Common input data'!$B$124)</f>
        <v>4.5709091187477876E-4</v>
      </c>
      <c r="H230" s="85">
        <v>0</v>
      </c>
      <c r="I230" s="85">
        <v>0</v>
      </c>
      <c r="J230" s="85">
        <f>(SUM('Input data plant-based products'!F38:H38)*'Input data plant-based products'!B114*44/28)/'Input data plant-based products'!E38</f>
        <v>3.849817746686303E-4</v>
      </c>
      <c r="K230" s="85">
        <f>J230*'Input data plant-based products'!B115</f>
        <v>3.8498177466863033E-5</v>
      </c>
      <c r="L230" s="85">
        <f>('Input data plant-based products'!$I$38*'Common input data'!$C$59*'Common input data'!H51)/'Input data plant-based products'!$E$38</f>
        <v>2.1151104565537555E-6</v>
      </c>
      <c r="M230" s="85">
        <v>0</v>
      </c>
      <c r="N230" s="85">
        <v>0</v>
      </c>
      <c r="O230" s="85">
        <v>0</v>
      </c>
      <c r="P230" s="85">
        <v>0</v>
      </c>
      <c r="Q230" s="85">
        <v>0</v>
      </c>
      <c r="R230" s="85">
        <v>0</v>
      </c>
      <c r="S230" s="90">
        <f>(F230+R230)</f>
        <v>4.2559506259204707E-4</v>
      </c>
      <c r="T230" s="90">
        <v>0</v>
      </c>
      <c r="U230" s="90">
        <v>0</v>
      </c>
      <c r="V230" s="430"/>
      <c r="W230" s="243"/>
      <c r="Z230" s="64"/>
    </row>
    <row r="231" spans="1:258" s="420" customFormat="1" ht="17.399999999999999" x14ac:dyDescent="0.3">
      <c r="A231" s="426" t="s">
        <v>606</v>
      </c>
      <c r="B231" s="412"/>
      <c r="C231" s="413"/>
      <c r="D231" s="414"/>
      <c r="E231" s="767" t="s">
        <v>813</v>
      </c>
      <c r="F231" s="768" t="s">
        <v>813</v>
      </c>
      <c r="G231" s="590" t="s">
        <v>813</v>
      </c>
      <c r="H231" s="413"/>
      <c r="I231" s="413"/>
      <c r="J231" s="413"/>
      <c r="K231" s="416"/>
      <c r="L231" s="416"/>
      <c r="M231" s="417"/>
      <c r="N231" s="416"/>
      <c r="O231" s="416"/>
      <c r="P231" s="416"/>
      <c r="Q231" s="416"/>
      <c r="R231" s="416"/>
      <c r="S231" s="416"/>
      <c r="T231" s="416"/>
      <c r="U231" s="416"/>
      <c r="V231" s="430"/>
      <c r="W231" s="243"/>
      <c r="X231" s="308"/>
      <c r="Y231" s="308"/>
      <c r="Z231" s="64"/>
      <c r="AA231" s="308"/>
      <c r="AB231" s="308"/>
      <c r="AC231" s="308"/>
      <c r="AD231" s="308"/>
      <c r="AE231" s="308"/>
      <c r="AF231" s="308"/>
      <c r="AG231" s="308"/>
      <c r="AH231" s="308"/>
      <c r="AI231" s="308"/>
      <c r="AJ231" s="308"/>
      <c r="AK231" s="308"/>
      <c r="AL231" s="308"/>
      <c r="AM231" s="308"/>
      <c r="AN231" s="308"/>
      <c r="AO231" s="308"/>
      <c r="AP231" s="308"/>
      <c r="AQ231" s="308"/>
      <c r="AR231" s="308"/>
      <c r="AS231" s="308"/>
      <c r="AT231" s="308"/>
      <c r="AU231" s="308"/>
      <c r="AV231" s="308"/>
      <c r="AW231" s="308"/>
      <c r="AX231" s="308"/>
      <c r="AY231" s="308"/>
      <c r="AZ231" s="308"/>
      <c r="BA231" s="308"/>
      <c r="BB231" s="308"/>
      <c r="BC231" s="308"/>
      <c r="BD231" s="308"/>
      <c r="BE231" s="308"/>
      <c r="BF231" s="308"/>
      <c r="BG231" s="308"/>
      <c r="BH231" s="308"/>
      <c r="BI231" s="308"/>
      <c r="BJ231" s="308"/>
      <c r="BK231" s="308"/>
      <c r="BL231" s="308"/>
      <c r="BM231" s="308"/>
      <c r="BN231" s="308"/>
      <c r="BO231" s="308"/>
      <c r="BP231" s="308"/>
      <c r="BQ231" s="308"/>
      <c r="BR231" s="308"/>
      <c r="BS231" s="308"/>
      <c r="BT231" s="308"/>
      <c r="BU231" s="308"/>
      <c r="BV231" s="308"/>
      <c r="BW231" s="308"/>
      <c r="BX231" s="308"/>
      <c r="BY231" s="308"/>
      <c r="BZ231" s="308"/>
      <c r="CA231" s="308"/>
      <c r="CB231" s="308"/>
      <c r="CC231" s="308"/>
      <c r="CD231" s="308"/>
      <c r="CE231" s="308"/>
      <c r="CF231" s="308"/>
      <c r="CG231" s="308"/>
      <c r="CH231" s="308"/>
      <c r="CI231" s="308"/>
      <c r="CJ231" s="308"/>
      <c r="CK231" s="308"/>
      <c r="CL231" s="308"/>
      <c r="CM231" s="308"/>
      <c r="CN231" s="308"/>
      <c r="CO231" s="308"/>
      <c r="CP231" s="308"/>
      <c r="CQ231" s="308"/>
      <c r="CR231" s="308"/>
      <c r="CS231" s="308"/>
      <c r="CT231" s="308"/>
      <c r="CU231" s="308"/>
      <c r="CV231" s="308"/>
      <c r="CW231" s="308"/>
      <c r="CX231" s="308"/>
      <c r="CY231" s="308"/>
      <c r="CZ231" s="308"/>
      <c r="DA231" s="308"/>
      <c r="DB231" s="308"/>
      <c r="DC231" s="308"/>
      <c r="DD231" s="308"/>
      <c r="DE231" s="308"/>
      <c r="DF231" s="308"/>
      <c r="DG231" s="308"/>
      <c r="DH231" s="308"/>
      <c r="DI231" s="308"/>
      <c r="DJ231" s="308"/>
      <c r="DK231" s="308"/>
      <c r="DL231" s="308"/>
      <c r="DM231" s="308"/>
      <c r="DN231" s="308"/>
      <c r="DO231" s="308"/>
      <c r="DP231" s="308"/>
      <c r="DQ231" s="308"/>
      <c r="DR231" s="308"/>
      <c r="DS231" s="308"/>
      <c r="DT231" s="308"/>
      <c r="DU231" s="308"/>
      <c r="DV231" s="308"/>
      <c r="DW231" s="308"/>
      <c r="DX231" s="308"/>
      <c r="DY231" s="308"/>
      <c r="DZ231" s="308"/>
      <c r="EA231" s="308"/>
      <c r="EB231" s="308"/>
      <c r="EC231" s="308"/>
      <c r="ED231" s="308"/>
      <c r="EE231" s="308"/>
      <c r="EF231" s="308"/>
      <c r="EG231" s="308"/>
      <c r="EH231" s="308"/>
      <c r="EI231" s="308"/>
      <c r="EJ231" s="308"/>
      <c r="EK231" s="308"/>
      <c r="EL231" s="308"/>
      <c r="EM231" s="308"/>
      <c r="EN231" s="308"/>
      <c r="EO231" s="308"/>
      <c r="EP231" s="308"/>
      <c r="EQ231" s="308"/>
      <c r="ER231" s="308"/>
      <c r="ES231" s="308"/>
      <c r="ET231" s="308"/>
      <c r="EU231" s="308"/>
      <c r="EV231" s="308"/>
      <c r="EW231" s="308"/>
      <c r="EX231" s="308"/>
      <c r="EY231" s="308"/>
      <c r="EZ231" s="308"/>
      <c r="FA231" s="308"/>
      <c r="FB231" s="308"/>
      <c r="FC231" s="308"/>
      <c r="FD231" s="308"/>
      <c r="FE231" s="308"/>
      <c r="FF231" s="308"/>
      <c r="FG231" s="308"/>
      <c r="FH231" s="308"/>
      <c r="FI231" s="308"/>
      <c r="FJ231" s="308"/>
      <c r="FK231" s="308"/>
      <c r="FL231" s="308"/>
      <c r="FM231" s="308"/>
      <c r="FN231" s="308"/>
      <c r="FO231" s="308"/>
      <c r="FP231" s="308"/>
      <c r="FQ231" s="308"/>
      <c r="FR231" s="308"/>
      <c r="FS231" s="308"/>
      <c r="FT231" s="308"/>
      <c r="FU231" s="308"/>
      <c r="FV231" s="308"/>
      <c r="FW231" s="308"/>
      <c r="FX231" s="308"/>
      <c r="FY231" s="308"/>
      <c r="FZ231" s="308"/>
      <c r="GA231" s="308"/>
      <c r="GB231" s="308"/>
      <c r="GC231" s="308"/>
      <c r="GD231" s="308"/>
      <c r="GE231" s="308"/>
      <c r="GF231" s="308"/>
      <c r="GG231" s="308"/>
      <c r="GH231" s="308"/>
      <c r="GI231" s="308"/>
      <c r="GJ231" s="308"/>
      <c r="GK231" s="308"/>
      <c r="GL231" s="308"/>
      <c r="GM231" s="308"/>
      <c r="GN231" s="308"/>
      <c r="GO231" s="308"/>
      <c r="GP231" s="308"/>
      <c r="GQ231" s="308"/>
      <c r="GR231" s="308"/>
      <c r="GS231" s="308"/>
      <c r="GT231" s="308"/>
      <c r="GU231" s="308"/>
      <c r="GV231" s="308"/>
      <c r="GW231" s="308"/>
      <c r="GX231" s="308"/>
      <c r="GY231" s="308"/>
      <c r="GZ231" s="308"/>
      <c r="HA231" s="308"/>
      <c r="HB231" s="308"/>
      <c r="HC231" s="308"/>
      <c r="HD231" s="308"/>
      <c r="HE231" s="308"/>
      <c r="HF231" s="308"/>
      <c r="HG231" s="308"/>
      <c r="HH231" s="308"/>
      <c r="HI231" s="308"/>
      <c r="HJ231" s="308"/>
      <c r="HK231" s="308"/>
      <c r="HL231" s="308"/>
      <c r="HM231" s="308"/>
      <c r="HN231" s="308"/>
      <c r="HO231" s="308"/>
      <c r="HP231" s="308"/>
      <c r="HQ231" s="308"/>
      <c r="HR231" s="308"/>
      <c r="HS231" s="308"/>
      <c r="HT231" s="308"/>
      <c r="HU231" s="308"/>
      <c r="HV231" s="308"/>
      <c r="HW231" s="308"/>
      <c r="HX231" s="308"/>
      <c r="HY231" s="308"/>
      <c r="HZ231" s="308"/>
      <c r="IA231" s="308"/>
      <c r="IB231" s="308"/>
      <c r="IC231" s="308"/>
      <c r="ID231" s="308"/>
      <c r="IE231" s="308"/>
      <c r="IF231" s="308"/>
      <c r="IG231" s="308"/>
      <c r="IH231" s="308"/>
      <c r="II231" s="308"/>
      <c r="IJ231" s="308"/>
      <c r="IK231" s="308"/>
      <c r="IL231" s="308"/>
      <c r="IM231" s="308"/>
      <c r="IN231" s="308"/>
      <c r="IO231" s="308"/>
      <c r="IP231" s="308"/>
      <c r="IQ231" s="308"/>
      <c r="IR231" s="308"/>
      <c r="IS231" s="308"/>
      <c r="IT231" s="308"/>
      <c r="IU231" s="308"/>
      <c r="IV231" s="308"/>
      <c r="IW231" s="308"/>
      <c r="IX231" s="308"/>
    </row>
    <row r="232" spans="1:258" s="308" customFormat="1" ht="17.399999999999999" x14ac:dyDescent="0.3">
      <c r="A232" s="122" t="s">
        <v>249</v>
      </c>
      <c r="B232" s="150"/>
      <c r="C232" s="112">
        <f>SUM(C236:C247)</f>
        <v>1</v>
      </c>
      <c r="D232" s="269" t="s">
        <v>473</v>
      </c>
      <c r="E232" s="769">
        <f>IF($F$1="GWP100 without fb",E233+E234*'Common input data'!$C$5+E235*'Common input data'!$D$5,IF($F$1="GWP100 with fb",E233+E234*'Common input data'!$C$6+E235*'Common input data'!$D$6,IF($F$1="GTP100 without fb",E233+E234*'Common input data'!$C$7+E235*'Common input data'!$D$7,IF($F$1="GTP100 with fb",E233+E234*'Common input data'!$C$8+E235*'Common input data'!$D$8,E233+E234*'Common input data'!$C$9+E235*'Common input data'!$D$9))))</f>
        <v>0.48200873663508709</v>
      </c>
      <c r="F232" s="326">
        <f>IF($F$1="GWP100 without fb",F233+F234*'Common input data'!$C$5+F235*'Common input data'!$D$5,IF($F$1="GWP100 with fb",F233+F234*'Common input data'!$C$6+F235*'Common input data'!$D$6,IF($F$1="GTP100 without fb",F233+F234*'Common input data'!$C$7+F235*'Common input data'!$D$7,IF($F$1="GTP100 with fb",F233+F234*'Common input data'!$C$8+F235*'Common input data'!$D$8,F233+F234*'Common input data'!$C$9+F235*'Common input data'!$D$9))))</f>
        <v>0.8308637057994559</v>
      </c>
      <c r="G232" s="770">
        <f>IF($F$1="GWP100 without fb",G233+G234*'Common input data'!$C$5+G235*'Common input data'!$D$5,IF($F$1="GWP100 with fb",G233+G234*'Common input data'!$C$6+G235*'Common input data'!$D$6,IF($F$1="GTP100 without fb",G233+G234*'Common input data'!$C$7+G235*'Common input data'!$D$7,IF($F$1="GTP100 with fb",G233+G234*'Common input data'!$C$8+G235*'Common input data'!$D$8,G233+G234*'Common input data'!$C$9+G235*'Common input data'!$D$9))))</f>
        <v>1.1598903913655627</v>
      </c>
      <c r="H232" s="302"/>
      <c r="I232" s="104"/>
      <c r="J232" s="104"/>
      <c r="K232" s="102"/>
      <c r="L232" s="102"/>
      <c r="M232" s="102"/>
      <c r="N232" s="102"/>
      <c r="O232" s="102"/>
      <c r="P232" s="102"/>
      <c r="Q232" s="102"/>
      <c r="R232" s="102"/>
      <c r="S232" s="102"/>
      <c r="T232" s="102"/>
      <c r="U232" s="102"/>
      <c r="V232" s="430"/>
      <c r="W232" s="243"/>
      <c r="Z232" s="64"/>
    </row>
    <row r="233" spans="1:258" s="308" customFormat="1" ht="17.399999999999999" x14ac:dyDescent="0.3">
      <c r="A233" s="103"/>
      <c r="B233" s="84"/>
      <c r="C233" s="64"/>
      <c r="D233" s="83" t="s">
        <v>164</v>
      </c>
      <c r="E233" s="270">
        <f t="shared" ref="E233:G235" si="25">E237*$C$236+E241*$C$240+E245*$C$244</f>
        <v>0.24891565492272821</v>
      </c>
      <c r="F233" s="90">
        <f t="shared" si="25"/>
        <v>0.52257289527996365</v>
      </c>
      <c r="G233" s="278">
        <f t="shared" si="25"/>
        <v>0.82215998165561011</v>
      </c>
      <c r="H233" s="90">
        <f t="shared" ref="H233:U233" si="26">H237*$C$236+H241*$C$240+H245*$C$244</f>
        <v>4.5275096376918553E-2</v>
      </c>
      <c r="I233" s="90">
        <f t="shared" si="26"/>
        <v>0.03</v>
      </c>
      <c r="J233" s="90">
        <f t="shared" si="26"/>
        <v>0</v>
      </c>
      <c r="K233" s="90">
        <f t="shared" si="26"/>
        <v>0</v>
      </c>
      <c r="L233" s="90">
        <f t="shared" si="26"/>
        <v>0.12382662041384941</v>
      </c>
      <c r="M233" s="90">
        <f t="shared" si="26"/>
        <v>0</v>
      </c>
      <c r="N233" s="90">
        <f t="shared" si="26"/>
        <v>0.02</v>
      </c>
      <c r="O233" s="90">
        <f t="shared" si="26"/>
        <v>4.2875031600000002E-2</v>
      </c>
      <c r="P233" s="90">
        <f t="shared" si="26"/>
        <v>0.23829120623700198</v>
      </c>
      <c r="Q233" s="90">
        <f t="shared" si="26"/>
        <v>0</v>
      </c>
      <c r="R233" s="90">
        <f t="shared" si="26"/>
        <v>0</v>
      </c>
      <c r="S233" s="90">
        <f t="shared" si="26"/>
        <v>0.52257289527996365</v>
      </c>
      <c r="T233" s="90">
        <f t="shared" si="26"/>
        <v>0.05</v>
      </c>
      <c r="U233" s="90">
        <f t="shared" si="26"/>
        <v>0.17700000000000002</v>
      </c>
      <c r="V233" s="430"/>
      <c r="W233" s="243"/>
      <c r="Z233" s="64"/>
    </row>
    <row r="234" spans="1:258" s="308" customFormat="1" ht="17.399999999999999" x14ac:dyDescent="0.3">
      <c r="A234" s="103"/>
      <c r="B234" s="84"/>
      <c r="C234" s="142"/>
      <c r="D234" s="83" t="s">
        <v>165</v>
      </c>
      <c r="E234" s="270">
        <f t="shared" si="25"/>
        <v>0</v>
      </c>
      <c r="F234" s="90">
        <f t="shared" si="25"/>
        <v>7.2105863802126725E-5</v>
      </c>
      <c r="G234" s="278">
        <f t="shared" si="25"/>
        <v>7.9212077464607631E-5</v>
      </c>
      <c r="H234" s="90">
        <f t="shared" ref="H234:U234" si="27">H238*$C$236+H242*$C$240+H246*$C$244</f>
        <v>1.7704726969608238E-10</v>
      </c>
      <c r="I234" s="90">
        <f t="shared" si="27"/>
        <v>0</v>
      </c>
      <c r="J234" s="90">
        <f t="shared" si="27"/>
        <v>0</v>
      </c>
      <c r="K234" s="90">
        <f t="shared" si="27"/>
        <v>0</v>
      </c>
      <c r="L234" s="90">
        <f t="shared" si="27"/>
        <v>5.4851017446229662E-5</v>
      </c>
      <c r="M234" s="90">
        <f t="shared" si="27"/>
        <v>0</v>
      </c>
      <c r="N234" s="90">
        <f t="shared" si="27"/>
        <v>0</v>
      </c>
      <c r="O234" s="90">
        <f t="shared" si="27"/>
        <v>1.4176980000000002E-5</v>
      </c>
      <c r="P234" s="90">
        <f t="shared" si="27"/>
        <v>0</v>
      </c>
      <c r="Q234" s="90">
        <f t="shared" si="27"/>
        <v>0</v>
      </c>
      <c r="R234" s="90">
        <f t="shared" si="27"/>
        <v>0</v>
      </c>
      <c r="S234" s="90">
        <f t="shared" si="27"/>
        <v>7.2105863802126725E-5</v>
      </c>
      <c r="T234" s="90">
        <f t="shared" si="27"/>
        <v>0</v>
      </c>
      <c r="U234" s="90">
        <f t="shared" si="27"/>
        <v>0</v>
      </c>
      <c r="V234" s="430"/>
      <c r="W234" s="243"/>
      <c r="Z234" s="64"/>
    </row>
    <row r="235" spans="1:258" s="420" customFormat="1" ht="17.399999999999999" x14ac:dyDescent="0.3">
      <c r="A235" s="107"/>
      <c r="B235" s="206"/>
      <c r="C235" s="85"/>
      <c r="D235" s="84" t="s">
        <v>166</v>
      </c>
      <c r="E235" s="270">
        <f t="shared" si="25"/>
        <v>7.8219154937033178E-4</v>
      </c>
      <c r="F235" s="90">
        <f t="shared" si="25"/>
        <v>1.026306077685302E-3</v>
      </c>
      <c r="G235" s="278">
        <f t="shared" si="25"/>
        <v>1.1242859029401203E-3</v>
      </c>
      <c r="H235" s="90">
        <f t="shared" ref="H235:U235" si="28">H239*$C$236+H243*$C$240+H247*$C$244</f>
        <v>2.2904612661639196E-4</v>
      </c>
      <c r="I235" s="90">
        <f t="shared" si="28"/>
        <v>0</v>
      </c>
      <c r="J235" s="90">
        <f t="shared" si="28"/>
        <v>6.8073211336553275E-4</v>
      </c>
      <c r="K235" s="90">
        <f t="shared" si="28"/>
        <v>6.8073211336553275E-5</v>
      </c>
      <c r="L235" s="90">
        <f t="shared" si="28"/>
        <v>3.3272695685491679E-6</v>
      </c>
      <c r="M235" s="90">
        <f t="shared" si="28"/>
        <v>0</v>
      </c>
      <c r="N235" s="90">
        <f t="shared" si="28"/>
        <v>0</v>
      </c>
      <c r="O235" s="90">
        <f t="shared" si="28"/>
        <v>1.32160958E-6</v>
      </c>
      <c r="P235" s="90">
        <f t="shared" si="28"/>
        <v>0</v>
      </c>
      <c r="Q235" s="90">
        <f t="shared" si="28"/>
        <v>0</v>
      </c>
      <c r="R235" s="90">
        <f t="shared" si="28"/>
        <v>0</v>
      </c>
      <c r="S235" s="90">
        <f t="shared" si="28"/>
        <v>1.026306077685302E-3</v>
      </c>
      <c r="T235" s="90">
        <f t="shared" si="28"/>
        <v>0</v>
      </c>
      <c r="U235" s="90">
        <f t="shared" si="28"/>
        <v>0</v>
      </c>
      <c r="V235" s="430"/>
      <c r="W235" s="243"/>
      <c r="X235" s="308"/>
      <c r="Y235" s="308"/>
      <c r="Z235" s="64"/>
      <c r="AA235" s="308"/>
      <c r="AB235" s="308"/>
      <c r="AC235" s="308"/>
      <c r="AD235" s="308"/>
      <c r="AE235" s="308"/>
      <c r="AF235" s="308"/>
      <c r="AG235" s="308"/>
      <c r="AH235" s="308"/>
      <c r="AI235" s="308"/>
      <c r="AJ235" s="308"/>
      <c r="AK235" s="308"/>
      <c r="AL235" s="308"/>
      <c r="AM235" s="308"/>
      <c r="AN235" s="308"/>
      <c r="AO235" s="308"/>
      <c r="AP235" s="308"/>
      <c r="AQ235" s="308"/>
      <c r="AR235" s="308"/>
      <c r="AS235" s="308"/>
      <c r="AT235" s="308"/>
      <c r="AU235" s="308"/>
      <c r="AV235" s="308"/>
      <c r="AW235" s="308"/>
      <c r="AX235" s="308"/>
      <c r="AY235" s="308"/>
      <c r="AZ235" s="308"/>
      <c r="BA235" s="308"/>
      <c r="BB235" s="308"/>
      <c r="BC235" s="308"/>
      <c r="BD235" s="308"/>
      <c r="BE235" s="308"/>
      <c r="BF235" s="308"/>
      <c r="BG235" s="308"/>
      <c r="BH235" s="308"/>
      <c r="BI235" s="308"/>
      <c r="BJ235" s="308"/>
      <c r="BK235" s="308"/>
      <c r="BL235" s="308"/>
      <c r="BM235" s="308"/>
      <c r="BN235" s="308"/>
      <c r="BO235" s="308"/>
      <c r="BP235" s="308"/>
      <c r="BQ235" s="308"/>
      <c r="BR235" s="308"/>
      <c r="BS235" s="308"/>
      <c r="BT235" s="308"/>
      <c r="BU235" s="308"/>
      <c r="BV235" s="308"/>
      <c r="BW235" s="308"/>
      <c r="BX235" s="308"/>
      <c r="BY235" s="308"/>
      <c r="BZ235" s="308"/>
      <c r="CA235" s="308"/>
      <c r="CB235" s="308"/>
      <c r="CC235" s="308"/>
      <c r="CD235" s="308"/>
      <c r="CE235" s="308"/>
      <c r="CF235" s="308"/>
      <c r="CG235" s="308"/>
      <c r="CH235" s="308"/>
      <c r="CI235" s="308"/>
      <c r="CJ235" s="308"/>
      <c r="CK235" s="308"/>
      <c r="CL235" s="308"/>
      <c r="CM235" s="308"/>
      <c r="CN235" s="308"/>
      <c r="CO235" s="308"/>
      <c r="CP235" s="308"/>
      <c r="CQ235" s="308"/>
      <c r="CR235" s="308"/>
      <c r="CS235" s="308"/>
      <c r="CT235" s="308"/>
      <c r="CU235" s="308"/>
      <c r="CV235" s="308"/>
      <c r="CW235" s="308"/>
      <c r="CX235" s="308"/>
      <c r="CY235" s="308"/>
      <c r="CZ235" s="308"/>
      <c r="DA235" s="308"/>
      <c r="DB235" s="308"/>
      <c r="DC235" s="308"/>
      <c r="DD235" s="308"/>
      <c r="DE235" s="308"/>
      <c r="DF235" s="308"/>
      <c r="DG235" s="308"/>
      <c r="DH235" s="308"/>
      <c r="DI235" s="308"/>
      <c r="DJ235" s="308"/>
      <c r="DK235" s="308"/>
      <c r="DL235" s="308"/>
      <c r="DM235" s="308"/>
      <c r="DN235" s="308"/>
      <c r="DO235" s="308"/>
      <c r="DP235" s="308"/>
      <c r="DQ235" s="308"/>
      <c r="DR235" s="308"/>
      <c r="DS235" s="308"/>
      <c r="DT235" s="308"/>
      <c r="DU235" s="308"/>
      <c r="DV235" s="308"/>
      <c r="DW235" s="308"/>
      <c r="DX235" s="308"/>
      <c r="DY235" s="308"/>
      <c r="DZ235" s="308"/>
      <c r="EA235" s="308"/>
      <c r="EB235" s="308"/>
      <c r="EC235" s="308"/>
      <c r="ED235" s="308"/>
      <c r="EE235" s="308"/>
      <c r="EF235" s="308"/>
      <c r="EG235" s="308"/>
      <c r="EH235" s="308"/>
      <c r="EI235" s="308"/>
      <c r="EJ235" s="308"/>
      <c r="EK235" s="308"/>
      <c r="EL235" s="308"/>
      <c r="EM235" s="308"/>
      <c r="EN235" s="308"/>
      <c r="EO235" s="308"/>
      <c r="EP235" s="308"/>
      <c r="EQ235" s="308"/>
      <c r="ER235" s="308"/>
      <c r="ES235" s="308"/>
      <c r="ET235" s="308"/>
      <c r="EU235" s="308"/>
      <c r="EV235" s="308"/>
      <c r="EW235" s="308"/>
      <c r="EX235" s="308"/>
      <c r="EY235" s="308"/>
      <c r="EZ235" s="308"/>
      <c r="FA235" s="308"/>
      <c r="FB235" s="308"/>
      <c r="FC235" s="308"/>
      <c r="FD235" s="308"/>
      <c r="FE235" s="308"/>
      <c r="FF235" s="308"/>
      <c r="FG235" s="308"/>
      <c r="FH235" s="308"/>
      <c r="FI235" s="308"/>
      <c r="FJ235" s="308"/>
      <c r="FK235" s="308"/>
      <c r="FL235" s="308"/>
      <c r="FM235" s="308"/>
      <c r="FN235" s="308"/>
      <c r="FO235" s="308"/>
      <c r="FP235" s="308"/>
      <c r="FQ235" s="308"/>
      <c r="FR235" s="308"/>
      <c r="FS235" s="308"/>
      <c r="FT235" s="308"/>
      <c r="FU235" s="308"/>
      <c r="FV235" s="308"/>
      <c r="FW235" s="308"/>
      <c r="FX235" s="308"/>
      <c r="FY235" s="308"/>
      <c r="FZ235" s="308"/>
      <c r="GA235" s="308"/>
      <c r="GB235" s="308"/>
      <c r="GC235" s="308"/>
      <c r="GD235" s="308"/>
      <c r="GE235" s="308"/>
      <c r="GF235" s="308"/>
      <c r="GG235" s="308"/>
      <c r="GH235" s="308"/>
      <c r="GI235" s="308"/>
      <c r="GJ235" s="308"/>
      <c r="GK235" s="308"/>
      <c r="GL235" s="308"/>
      <c r="GM235" s="308"/>
      <c r="GN235" s="308"/>
      <c r="GO235" s="308"/>
      <c r="GP235" s="308"/>
      <c r="GQ235" s="308"/>
      <c r="GR235" s="308"/>
      <c r="GS235" s="308"/>
      <c r="GT235" s="308"/>
      <c r="GU235" s="308"/>
      <c r="GV235" s="308"/>
      <c r="GW235" s="308"/>
      <c r="GX235" s="308"/>
      <c r="GY235" s="308"/>
      <c r="GZ235" s="308"/>
      <c r="HA235" s="308"/>
      <c r="HB235" s="308"/>
      <c r="HC235" s="308"/>
      <c r="HD235" s="308"/>
      <c r="HE235" s="308"/>
      <c r="HF235" s="308"/>
      <c r="HG235" s="308"/>
      <c r="HH235" s="308"/>
      <c r="HI235" s="308"/>
      <c r="HJ235" s="308"/>
      <c r="HK235" s="308"/>
      <c r="HL235" s="308"/>
      <c r="HM235" s="308"/>
      <c r="HN235" s="308"/>
      <c r="HO235" s="308"/>
      <c r="HP235" s="308"/>
      <c r="HQ235" s="308"/>
      <c r="HR235" s="308"/>
      <c r="HS235" s="308"/>
      <c r="HT235" s="308"/>
      <c r="HU235" s="308"/>
      <c r="HV235" s="308"/>
      <c r="HW235" s="308"/>
      <c r="HX235" s="308"/>
      <c r="HY235" s="308"/>
      <c r="HZ235" s="308"/>
      <c r="IA235" s="308"/>
      <c r="IB235" s="308"/>
      <c r="IC235" s="308"/>
      <c r="ID235" s="308"/>
      <c r="IE235" s="308"/>
      <c r="IF235" s="308"/>
      <c r="IG235" s="308"/>
      <c r="IH235" s="308"/>
      <c r="II235" s="308"/>
      <c r="IJ235" s="308"/>
      <c r="IK235" s="308"/>
      <c r="IL235" s="308"/>
      <c r="IM235" s="308"/>
      <c r="IN235" s="308"/>
      <c r="IO235" s="308"/>
      <c r="IP235" s="308"/>
      <c r="IQ235" s="308"/>
      <c r="IR235" s="308"/>
      <c r="IS235" s="308"/>
      <c r="IT235" s="308"/>
      <c r="IU235" s="308"/>
      <c r="IV235" s="308"/>
      <c r="IW235" s="308"/>
      <c r="IX235" s="308"/>
    </row>
    <row r="236" spans="1:258" s="308" customFormat="1" ht="17.399999999999999" x14ac:dyDescent="0.3">
      <c r="A236" s="122" t="s">
        <v>1</v>
      </c>
      <c r="B236" s="150" t="s">
        <v>225</v>
      </c>
      <c r="C236" s="111">
        <f>'Input data plant-based products'!D40</f>
        <v>0.6</v>
      </c>
      <c r="D236" s="269" t="s">
        <v>473</v>
      </c>
      <c r="E236" s="320">
        <f>IF($F$1="GWP100 without fb",E237+E238*'Common input data'!$C$5+E239*'Common input data'!$D$5,IF($F$1="GWP100 with fb",E237+E238*'Common input data'!$C$6+E239*'Common input data'!$D$6,IF($F$1="GTP100 without fb",E237+E238*'Common input data'!$C$7+E239*'Common input data'!$D$7,IF($F$1="GTP100 with fb",E237+E238*'Common input data'!$C$8+E239*'Common input data'!$D$8,E237+E238*'Common input data'!$C$9+E239*'Common input data'!$D$9))))</f>
        <v>0.40111253607028124</v>
      </c>
      <c r="F236" s="302">
        <f>IF($F$1="GWP100 without fb",F237+F238*'Common input data'!$C$5+F239*'Common input data'!$D$5,IF($F$1="GWP100 with fb",F237+F238*'Common input data'!$C$6+F239*'Common input data'!$D$6,IF($F$1="GTP100 without fb",F237+F238*'Common input data'!$C$7+F239*'Common input data'!$D$7,IF($F$1="GTP100 with fb",F237+F238*'Common input data'!$C$8+F239*'Common input data'!$D$8,F237+F238*'Common input data'!$C$9+F239*'Common input data'!$D$9))))</f>
        <v>0.67662020135656009</v>
      </c>
      <c r="G236" s="321">
        <f>IF($F$1="GWP100 without fb",G237+G238*'Common input data'!$C$5+G239*'Common input data'!$D$5,IF($F$1="GWP100 with fb",G237+G238*'Common input data'!$C$6+G239*'Common input data'!$D$6,IF($F$1="GTP100 without fb",G237+G238*'Common input data'!$C$7+G239*'Common input data'!$D$7,IF($F$1="GTP100 with fb",G237+G238*'Common input data'!$C$8+G239*'Common input data'!$D$8,G237+G238*'Common input data'!$C$9+G239*'Common input data'!$D$9))))</f>
        <v>0.81261332233183525</v>
      </c>
      <c r="H236" s="102"/>
      <c r="I236" s="102"/>
      <c r="J236" s="102"/>
      <c r="K236" s="102"/>
      <c r="L236" s="102"/>
      <c r="M236" s="102"/>
      <c r="N236" s="102"/>
      <c r="O236" s="102"/>
      <c r="P236" s="102"/>
      <c r="Q236" s="102"/>
      <c r="R236" s="102"/>
      <c r="S236" s="102"/>
      <c r="T236" s="102"/>
      <c r="U236" s="102"/>
      <c r="V236" s="430"/>
      <c r="W236" s="243"/>
      <c r="Z236" s="64"/>
    </row>
    <row r="237" spans="1:258" s="308" customFormat="1" ht="17.399999999999999" x14ac:dyDescent="0.3">
      <c r="A237" s="103"/>
      <c r="B237" s="84"/>
      <c r="C237" s="64"/>
      <c r="D237" s="83" t="s">
        <v>164</v>
      </c>
      <c r="E237" s="270">
        <f>IF(AND($F$2="No",$F$3="No"),SUM(J237:K237)*'Input data plant-based products'!O$121,IF(AND($F$2="Yes", $F$3="No"), (SUM(J237:K237)+Q237)*'Input data plant-based products'!O$121, IF(AND($F$2="No", $F$3="Yes"),(SUM(J237:K237)+P237)*'Input data plant-based products'!O$121, (SUM(J237:K237)+Q237+P237)*'Input data plant-based products'!O$121)))</f>
        <v>0.24891565492272821</v>
      </c>
      <c r="F237" s="90">
        <f>IF(AND($F$2="No",$F$3="No"),SUM(H237:O237)*'Input data plant-based products'!O$121,IF(AND($F$2="Yes", $F$3="No"), (SUM(H237:O237)+Q237)*'Input data plant-based products'!O$121, IF(AND($F$2="No", $F$3="Yes"),(SUM(H237:O237)+P237)*'Input data plant-based products'!O$121, (SUM(H237:O237)+Q237+P237)*'Input data plant-based products'!O$121)))</f>
        <v>0.4751022123028566</v>
      </c>
      <c r="G237" s="278">
        <f>SUM(S237:U237)/(1-'Common input data'!B124)</f>
        <v>0.59618214285637516</v>
      </c>
      <c r="H237" s="90">
        <f>('Input data plant-based products'!$F$40*('Common input data'!$B$76*'Common input data'!B69+'Common input data'!$B$77*'Common input data'!C69))/'Input data plant-based products'!$E$40</f>
        <v>3.6554246464672112E-2</v>
      </c>
      <c r="I237" s="90">
        <f>'Common input data'!$B$81</f>
        <v>0.03</v>
      </c>
      <c r="J237" s="90">
        <v>0</v>
      </c>
      <c r="K237" s="90">
        <v>0</v>
      </c>
      <c r="L237" s="90">
        <f>('Input data plant-based products'!$I$40*'Common input data'!$C$59*'Common input data'!H49)/'Input data plant-based products'!$E$40</f>
        <v>9.0830958637036163E-2</v>
      </c>
      <c r="M237" s="90">
        <v>0</v>
      </c>
      <c r="N237" s="90">
        <f>'Input data plant-based products'!$G$152</f>
        <v>0.02</v>
      </c>
      <c r="O237" s="90">
        <f>'Input data plant-based products'!$B$121*'Common input data'!$B$59*'Common input data'!B49+'Input data plant-based products'!C120*'Common input data'!B63</f>
        <v>3.9147048000000004E-2</v>
      </c>
      <c r="P237" s="90">
        <f>'Common input data'!$C$13</f>
        <v>0.23829120623700201</v>
      </c>
      <c r="Q237" s="90">
        <v>0</v>
      </c>
      <c r="R237" s="90">
        <v>0</v>
      </c>
      <c r="S237" s="90">
        <f>(F237+R237)</f>
        <v>0.4751022123028566</v>
      </c>
      <c r="T237" s="90">
        <f>'Common input data'!$B$88</f>
        <v>0.05</v>
      </c>
      <c r="U237" s="90">
        <f>'Common input data'!C98</f>
        <v>0.03</v>
      </c>
      <c r="V237" s="430"/>
      <c r="W237" s="243"/>
      <c r="Z237" s="64"/>
    </row>
    <row r="238" spans="1:258" s="308" customFormat="1" ht="17.399999999999999" x14ac:dyDescent="0.3">
      <c r="A238" s="107"/>
      <c r="B238" s="84"/>
      <c r="C238" s="142"/>
      <c r="D238" s="83" t="s">
        <v>165</v>
      </c>
      <c r="E238" s="270">
        <f>SUM(J238:K238)*'Input data plant-based products'!O$121</f>
        <v>0</v>
      </c>
      <c r="F238" s="90">
        <f>SUM(H238:O238)*'Input data plant-based products'!$O$121</f>
        <v>5.6838148271105761E-5</v>
      </c>
      <c r="G238" s="278">
        <f>SUM(S238:U238)/(1-'Common input data'!B124)</f>
        <v>6.1044413589489541E-5</v>
      </c>
      <c r="H238" s="90">
        <f>('Input data plant-based products'!$F$40*('Common input data'!$B$76*'Common input data'!B70+'Common input data'!$B$77*'Common input data'!C70))/'Input data plant-based products'!$E$40</f>
        <v>9.7864257826997024E-11</v>
      </c>
      <c r="I238" s="90">
        <v>0</v>
      </c>
      <c r="J238" s="90">
        <v>0</v>
      </c>
      <c r="K238" s="90">
        <v>0</v>
      </c>
      <c r="L238" s="90">
        <f>('Input data plant-based products'!$I$40*'Common input data'!$C$59*'Common input data'!H50)/'Input data plant-based products'!$E$40</f>
        <v>4.0235051883081222E-5</v>
      </c>
      <c r="M238" s="90">
        <v>0</v>
      </c>
      <c r="N238" s="90">
        <v>0</v>
      </c>
      <c r="O238" s="90">
        <f>'Input data plant-based products'!$B$121*'Common input data'!$B$59*'Common input data'!B50</f>
        <v>1.4176980000000002E-5</v>
      </c>
      <c r="P238" s="90">
        <v>0</v>
      </c>
      <c r="Q238" s="90">
        <v>0</v>
      </c>
      <c r="R238" s="90">
        <v>0</v>
      </c>
      <c r="S238" s="90">
        <f>(F238+R238)</f>
        <v>5.6838148271105761E-5</v>
      </c>
      <c r="T238" s="90">
        <v>0</v>
      </c>
      <c r="U238" s="90">
        <v>0</v>
      </c>
      <c r="V238" s="430"/>
      <c r="W238" s="243"/>
      <c r="Z238" s="64"/>
    </row>
    <row r="239" spans="1:258" s="420" customFormat="1" ht="17.399999999999999" x14ac:dyDescent="0.3">
      <c r="A239" s="174"/>
      <c r="B239" s="206"/>
      <c r="C239" s="85"/>
      <c r="D239" s="84" t="s">
        <v>166</v>
      </c>
      <c r="E239" s="270">
        <f>SUM(J239:K239)*'Input data plant-based products'!O$121</f>
        <v>5.1072778908574845E-4</v>
      </c>
      <c r="F239" s="90">
        <f>SUM(H239:O239)*'Input data plant-based products'!$O$121</f>
        <v>6.6974997319626129E-4</v>
      </c>
      <c r="G239" s="278">
        <f>SUM(S239:U239)/(1-'Common input data'!B124)</f>
        <v>7.1931432689066241E-4</v>
      </c>
      <c r="H239" s="90">
        <f>('Input data plant-based products'!$F$40*('Common input data'!$B$76*'Common input data'!B71+'Common input data'!$B$77*'Common input data'!C71))/'Input data plant-based products'!$E$40</f>
        <v>1.4847237900977067E-4</v>
      </c>
      <c r="I239" s="90">
        <v>0</v>
      </c>
      <c r="J239" s="90">
        <f>(SUM('Input data plant-based products'!F40:H40)*'Input data plant-based products'!$B$114*44/28)/'Input data plant-based products'!E40</f>
        <v>4.4448039294047955E-4</v>
      </c>
      <c r="K239" s="90">
        <f>J239*'Input data plant-based products'!$B$115</f>
        <v>4.4448039294047961E-5</v>
      </c>
      <c r="L239" s="90">
        <f>('Input data plant-based products'!$I$40*'Common input data'!$C$59*'Common input data'!H51)/'Input data plant-based products'!$E$40</f>
        <v>2.4406632721226787E-6</v>
      </c>
      <c r="M239" s="90">
        <v>0</v>
      </c>
      <c r="N239" s="90">
        <v>0</v>
      </c>
      <c r="O239" s="90">
        <f>'Input data plant-based products'!$B$121*'Common input data'!$B$59*'Common input data'!B51</f>
        <v>1.32160958E-6</v>
      </c>
      <c r="P239" s="90">
        <v>0</v>
      </c>
      <c r="Q239" s="90">
        <v>0</v>
      </c>
      <c r="R239" s="90">
        <v>0</v>
      </c>
      <c r="S239" s="90">
        <f>(F239+R239)</f>
        <v>6.6974997319626129E-4</v>
      </c>
      <c r="T239" s="90">
        <v>0</v>
      </c>
      <c r="U239" s="90">
        <v>0</v>
      </c>
      <c r="V239" s="430"/>
      <c r="W239" s="243"/>
      <c r="X239" s="308"/>
      <c r="Y239" s="308"/>
      <c r="Z239" s="64"/>
      <c r="AA239" s="308"/>
      <c r="AB239" s="308"/>
      <c r="AC239" s="308"/>
      <c r="AD239" s="308"/>
      <c r="AE239" s="308"/>
      <c r="AF239" s="308"/>
      <c r="AG239" s="308"/>
      <c r="AH239" s="308"/>
      <c r="AI239" s="308"/>
      <c r="AJ239" s="308"/>
      <c r="AK239" s="308"/>
      <c r="AL239" s="308"/>
      <c r="AM239" s="308"/>
      <c r="AN239" s="308"/>
      <c r="AO239" s="308"/>
      <c r="AP239" s="308"/>
      <c r="AQ239" s="308"/>
      <c r="AR239" s="308"/>
      <c r="AS239" s="308"/>
      <c r="AT239" s="308"/>
      <c r="AU239" s="308"/>
      <c r="AV239" s="308"/>
      <c r="AW239" s="308"/>
      <c r="AX239" s="308"/>
      <c r="AY239" s="308"/>
      <c r="AZ239" s="308"/>
      <c r="BA239" s="308"/>
      <c r="BB239" s="308"/>
      <c r="BC239" s="308"/>
      <c r="BD239" s="308"/>
      <c r="BE239" s="308"/>
      <c r="BF239" s="308"/>
      <c r="BG239" s="308"/>
      <c r="BH239" s="308"/>
      <c r="BI239" s="308"/>
      <c r="BJ239" s="308"/>
      <c r="BK239" s="308"/>
      <c r="BL239" s="308"/>
      <c r="BM239" s="308"/>
      <c r="BN239" s="308"/>
      <c r="BO239" s="308"/>
      <c r="BP239" s="308"/>
      <c r="BQ239" s="308"/>
      <c r="BR239" s="308"/>
      <c r="BS239" s="308"/>
      <c r="BT239" s="308"/>
      <c r="BU239" s="308"/>
      <c r="BV239" s="308"/>
      <c r="BW239" s="308"/>
      <c r="BX239" s="308"/>
      <c r="BY239" s="308"/>
      <c r="BZ239" s="308"/>
      <c r="CA239" s="308"/>
      <c r="CB239" s="308"/>
      <c r="CC239" s="308"/>
      <c r="CD239" s="308"/>
      <c r="CE239" s="308"/>
      <c r="CF239" s="308"/>
      <c r="CG239" s="308"/>
      <c r="CH239" s="308"/>
      <c r="CI239" s="308"/>
      <c r="CJ239" s="308"/>
      <c r="CK239" s="308"/>
      <c r="CL239" s="308"/>
      <c r="CM239" s="308"/>
      <c r="CN239" s="308"/>
      <c r="CO239" s="308"/>
      <c r="CP239" s="308"/>
      <c r="CQ239" s="308"/>
      <c r="CR239" s="308"/>
      <c r="CS239" s="308"/>
      <c r="CT239" s="308"/>
      <c r="CU239" s="308"/>
      <c r="CV239" s="308"/>
      <c r="CW239" s="308"/>
      <c r="CX239" s="308"/>
      <c r="CY239" s="308"/>
      <c r="CZ239" s="308"/>
      <c r="DA239" s="308"/>
      <c r="DB239" s="308"/>
      <c r="DC239" s="308"/>
      <c r="DD239" s="308"/>
      <c r="DE239" s="308"/>
      <c r="DF239" s="308"/>
      <c r="DG239" s="308"/>
      <c r="DH239" s="308"/>
      <c r="DI239" s="308"/>
      <c r="DJ239" s="308"/>
      <c r="DK239" s="308"/>
      <c r="DL239" s="308"/>
      <c r="DM239" s="308"/>
      <c r="DN239" s="308"/>
      <c r="DO239" s="308"/>
      <c r="DP239" s="308"/>
      <c r="DQ239" s="308"/>
      <c r="DR239" s="308"/>
      <c r="DS239" s="308"/>
      <c r="DT239" s="308"/>
      <c r="DU239" s="308"/>
      <c r="DV239" s="308"/>
      <c r="DW239" s="308"/>
      <c r="DX239" s="308"/>
      <c r="DY239" s="308"/>
      <c r="DZ239" s="308"/>
      <c r="EA239" s="308"/>
      <c r="EB239" s="308"/>
      <c r="EC239" s="308"/>
      <c r="ED239" s="308"/>
      <c r="EE239" s="308"/>
      <c r="EF239" s="308"/>
      <c r="EG239" s="308"/>
      <c r="EH239" s="308"/>
      <c r="EI239" s="308"/>
      <c r="EJ239" s="308"/>
      <c r="EK239" s="308"/>
      <c r="EL239" s="308"/>
      <c r="EM239" s="308"/>
      <c r="EN239" s="308"/>
      <c r="EO239" s="308"/>
      <c r="EP239" s="308"/>
      <c r="EQ239" s="308"/>
      <c r="ER239" s="308"/>
      <c r="ES239" s="308"/>
      <c r="ET239" s="308"/>
      <c r="EU239" s="308"/>
      <c r="EV239" s="308"/>
      <c r="EW239" s="308"/>
      <c r="EX239" s="308"/>
      <c r="EY239" s="308"/>
      <c r="EZ239" s="308"/>
      <c r="FA239" s="308"/>
      <c r="FB239" s="308"/>
      <c r="FC239" s="308"/>
      <c r="FD239" s="308"/>
      <c r="FE239" s="308"/>
      <c r="FF239" s="308"/>
      <c r="FG239" s="308"/>
      <c r="FH239" s="308"/>
      <c r="FI239" s="308"/>
      <c r="FJ239" s="308"/>
      <c r="FK239" s="308"/>
      <c r="FL239" s="308"/>
      <c r="FM239" s="308"/>
      <c r="FN239" s="308"/>
      <c r="FO239" s="308"/>
      <c r="FP239" s="308"/>
      <c r="FQ239" s="308"/>
      <c r="FR239" s="308"/>
      <c r="FS239" s="308"/>
      <c r="FT239" s="308"/>
      <c r="FU239" s="308"/>
      <c r="FV239" s="308"/>
      <c r="FW239" s="308"/>
      <c r="FX239" s="308"/>
      <c r="FY239" s="308"/>
      <c r="FZ239" s="308"/>
      <c r="GA239" s="308"/>
      <c r="GB239" s="308"/>
      <c r="GC239" s="308"/>
      <c r="GD239" s="308"/>
      <c r="GE239" s="308"/>
      <c r="GF239" s="308"/>
      <c r="GG239" s="308"/>
      <c r="GH239" s="308"/>
      <c r="GI239" s="308"/>
      <c r="GJ239" s="308"/>
      <c r="GK239" s="308"/>
      <c r="GL239" s="308"/>
      <c r="GM239" s="308"/>
      <c r="GN239" s="308"/>
      <c r="GO239" s="308"/>
      <c r="GP239" s="308"/>
      <c r="GQ239" s="308"/>
      <c r="GR239" s="308"/>
      <c r="GS239" s="308"/>
      <c r="GT239" s="308"/>
      <c r="GU239" s="308"/>
      <c r="GV239" s="308"/>
      <c r="GW239" s="308"/>
      <c r="GX239" s="308"/>
      <c r="GY239" s="308"/>
      <c r="GZ239" s="308"/>
      <c r="HA239" s="308"/>
      <c r="HB239" s="308"/>
      <c r="HC239" s="308"/>
      <c r="HD239" s="308"/>
      <c r="HE239" s="308"/>
      <c r="HF239" s="308"/>
      <c r="HG239" s="308"/>
      <c r="HH239" s="308"/>
      <c r="HI239" s="308"/>
      <c r="HJ239" s="308"/>
      <c r="HK239" s="308"/>
      <c r="HL239" s="308"/>
      <c r="HM239" s="308"/>
      <c r="HN239" s="308"/>
      <c r="HO239" s="308"/>
      <c r="HP239" s="308"/>
      <c r="HQ239" s="308"/>
      <c r="HR239" s="308"/>
      <c r="HS239" s="308"/>
      <c r="HT239" s="308"/>
      <c r="HU239" s="308"/>
      <c r="HV239" s="308"/>
      <c r="HW239" s="308"/>
      <c r="HX239" s="308"/>
      <c r="HY239" s="308"/>
      <c r="HZ239" s="308"/>
      <c r="IA239" s="308"/>
      <c r="IB239" s="308"/>
      <c r="IC239" s="308"/>
      <c r="ID239" s="308"/>
      <c r="IE239" s="308"/>
      <c r="IF239" s="308"/>
      <c r="IG239" s="308"/>
      <c r="IH239" s="308"/>
      <c r="II239" s="308"/>
      <c r="IJ239" s="308"/>
      <c r="IK239" s="308"/>
      <c r="IL239" s="308"/>
      <c r="IM239" s="308"/>
      <c r="IN239" s="308"/>
      <c r="IO239" s="308"/>
      <c r="IP239" s="308"/>
      <c r="IQ239" s="308"/>
      <c r="IR239" s="308"/>
      <c r="IS239" s="308"/>
      <c r="IT239" s="308"/>
      <c r="IU239" s="308"/>
      <c r="IV239" s="308"/>
      <c r="IW239" s="308"/>
      <c r="IX239" s="308"/>
    </row>
    <row r="240" spans="1:258" s="308" customFormat="1" ht="17.399999999999999" x14ac:dyDescent="0.3">
      <c r="A240" s="122" t="s">
        <v>48</v>
      </c>
      <c r="B240" s="150" t="s">
        <v>225</v>
      </c>
      <c r="C240" s="111">
        <f>'Input data plant-based products'!D41</f>
        <v>0.13</v>
      </c>
      <c r="D240" s="269" t="s">
        <v>473</v>
      </c>
      <c r="E240" s="320">
        <f>IF($F$1="GWP100 without fb",E241+E242*'Common input data'!$C$5+E243*'Common input data'!$D$5,IF($F$1="GWP100 with fb",E241+E242*'Common input data'!$C$6+E243*'Common input data'!$D$6,IF($F$1="GTP100 without fb",E241+E242*'Common input data'!$C$7+E243*'Common input data'!$D$7,IF($F$1="GTP100 with fb",E241+E242*'Common input data'!$C$8+E243*'Common input data'!$D$8,E241+E242*'Common input data'!$C$9+E243*'Common input data'!$D$9))))</f>
        <v>0.67489435622862248</v>
      </c>
      <c r="F240" s="302">
        <f>IF($F$1="GWP100 without fb",F241+F242*'Common input data'!$C$5+F243*'Common input data'!$D$5,IF($F$1="GWP100 with fb",F241+F242*'Common input data'!$C$6+F243*'Common input data'!$D$6,IF($F$1="GTP100 without fb",F241+F242*'Common input data'!$C$7+F243*'Common input data'!$D$7,IF($F$1="GTP100 with fb",F241+F242*'Common input data'!$C$8+F243*'Common input data'!$D$8,F241+F242*'Common input data'!$C$9+F243*'Common input data'!$D$9))))</f>
        <v>1.0400863319362275</v>
      </c>
      <c r="G240" s="321">
        <f>IF($F$1="GWP100 without fb",G241+G242*'Common input data'!$C$5+G243*'Common input data'!$D$5,IF($F$1="GWP100 with fb",G241+G242*'Common input data'!$C$6+G243*'Common input data'!$D$6,IF($F$1="GTP100 without fb",G241+G242*'Common input data'!$C$7+G243*'Common input data'!$D$7,IF($F$1="GTP100 with fb",G241+G242*'Common input data'!$C$8+G243*'Common input data'!$D$8,G241+G242*'Common input data'!$C$9+G243*'Common input data'!$D$9))))</f>
        <v>1.5251787754592472</v>
      </c>
      <c r="H240" s="102"/>
      <c r="I240" s="102"/>
      <c r="J240" s="102"/>
      <c r="K240" s="102"/>
      <c r="L240" s="102"/>
      <c r="M240" s="102"/>
      <c r="N240" s="102"/>
      <c r="O240" s="102"/>
      <c r="P240" s="102"/>
      <c r="Q240" s="102"/>
      <c r="R240" s="102"/>
      <c r="S240" s="102"/>
      <c r="T240" s="102"/>
      <c r="U240" s="102"/>
      <c r="V240" s="430"/>
      <c r="W240" s="243"/>
      <c r="Z240" s="64"/>
    </row>
    <row r="241" spans="1:258" s="308" customFormat="1" ht="17.399999999999999" x14ac:dyDescent="0.3">
      <c r="A241" s="144"/>
      <c r="B241" s="84"/>
      <c r="C241" s="64"/>
      <c r="D241" s="83" t="s">
        <v>164</v>
      </c>
      <c r="E241" s="270">
        <f>IF(AND($F$2="No",$F$3="No"),SUM(J241:K241)*'Input data plant-based products'!O$121,IF(AND($F$2="Yes", $F$3="No"), (SUM(J241:K241)+Q241)*'Input data plant-based products'!O$121, IF(AND($F$2="No", $F$3="Yes"),(SUM(J241:K241)+P241)*'Input data plant-based products'!O$121, (SUM(J241:K241)+Q241+P241)*'Input data plant-based products'!O$121)))</f>
        <v>0.24891565492272821</v>
      </c>
      <c r="F241" s="90">
        <f>IF(AND($F$2="No",$F$3="No"),SUM(H241:O241)*'Input data plant-based products'!O$121,IF(AND($F$2="Yes", $F$3="No"), (SUM(H241:O241)+Q241)*'Input data plant-based products'!O$121, IF(AND($F$2="No", $F$3="Yes"),(SUM(H241:O241)+P241)*'Input data plant-based products'!O$121, (SUM(H241:O241)+Q241+P241)*'Input data plant-based products'!O$121)))</f>
        <v>0.49870911335118862</v>
      </c>
      <c r="G241" s="278">
        <f>SUM(S241:U241)/(1-'Common input data'!B124)</f>
        <v>0.94373733437639418</v>
      </c>
      <c r="H241" s="90">
        <f>('Input data plant-based products'!$F$41*('Common input data'!$C$76*'Common input data'!B69+'Common input data'!$C$77*'Common input data'!C69))/'Input data plant-based products'!$E$41</f>
        <v>6.6195782673647618E-2</v>
      </c>
      <c r="I241" s="90">
        <f>'Common input data'!$B$81</f>
        <v>0.03</v>
      </c>
      <c r="J241" s="90">
        <v>0</v>
      </c>
      <c r="K241" s="90">
        <v>0</v>
      </c>
      <c r="L241" s="90">
        <f>('Input data plant-based products'!$I$41*'Common input data'!$C$59*'Common input data'!H49)/'Input data plant-based products'!$E$41</f>
        <v>8.0066311846280963E-2</v>
      </c>
      <c r="M241" s="90">
        <v>0</v>
      </c>
      <c r="N241" s="90">
        <f>'Input data plant-based products'!$G$152</f>
        <v>0.02</v>
      </c>
      <c r="O241" s="90">
        <f>'Input data plant-based products'!$B$121*'Common input data'!$B$59*'Common input data'!B49+'Input data plant-based products'!C120*'Common input data'!C63</f>
        <v>4.2869448000000004E-2</v>
      </c>
      <c r="P241" s="90">
        <f>'Common input data'!$C$13</f>
        <v>0.23829120623700201</v>
      </c>
      <c r="Q241" s="90">
        <v>0</v>
      </c>
      <c r="R241" s="90">
        <v>0</v>
      </c>
      <c r="S241" s="90">
        <f>(F241+R241)</f>
        <v>0.49870911335118862</v>
      </c>
      <c r="T241" s="90">
        <f>'Common input data'!$B$88</f>
        <v>0.05</v>
      </c>
      <c r="U241" s="90">
        <f>'Common input data'!B101+'Common input data'!C101</f>
        <v>0.32999999999999996</v>
      </c>
      <c r="V241" s="430"/>
      <c r="W241" s="243"/>
      <c r="Z241" s="64"/>
    </row>
    <row r="242" spans="1:258" s="308" customFormat="1" ht="17.399999999999999" x14ac:dyDescent="0.3">
      <c r="A242" s="107"/>
      <c r="B242" s="84"/>
      <c r="C242" s="142"/>
      <c r="D242" s="83" t="s">
        <v>165</v>
      </c>
      <c r="E242" s="270">
        <f>SUM(J242:K242)*'Input data plant-based products'!O$121</f>
        <v>0</v>
      </c>
      <c r="F242" s="90">
        <f>SUM(H242:O242)*'Input data plant-based products'!$O$121</f>
        <v>5.1857372644517608E-5</v>
      </c>
      <c r="G242" s="278">
        <f>SUM(S242:U242)/(1-'Common input data'!B124)</f>
        <v>5.5695039329518057E-5</v>
      </c>
      <c r="H242" s="90">
        <f>('Input data plant-based products'!$F$41*('Common input data'!$C$76*'Common input data'!B70+'Common input data'!$C$77*'Common input data'!C70))/'Input data plant-based products'!$E$41</f>
        <v>2.9186688319742908E-10</v>
      </c>
      <c r="I242" s="90">
        <v>0</v>
      </c>
      <c r="J242" s="90">
        <v>0</v>
      </c>
      <c r="K242" s="90">
        <v>0</v>
      </c>
      <c r="L242" s="90">
        <f>('Input data plant-based products'!$I$41*'Common input data'!$C$59*'Common input data'!H50)/'Input data plant-based products'!$E$41</f>
        <v>3.5466676335490368E-5</v>
      </c>
      <c r="M242" s="90">
        <v>0</v>
      </c>
      <c r="N242" s="90">
        <v>0</v>
      </c>
      <c r="O242" s="90">
        <f>'Input data plant-based products'!$B$121*'Common input data'!$B$59*'Common input data'!B50</f>
        <v>1.4176980000000002E-5</v>
      </c>
      <c r="P242" s="90">
        <v>0</v>
      </c>
      <c r="Q242" s="90">
        <v>0</v>
      </c>
      <c r="R242" s="90">
        <v>0</v>
      </c>
      <c r="S242" s="90">
        <f>(F242+R242)</f>
        <v>5.1857372644517608E-5</v>
      </c>
      <c r="T242" s="90">
        <v>0</v>
      </c>
      <c r="U242" s="90">
        <v>0</v>
      </c>
      <c r="V242" s="430"/>
      <c r="W242" s="243"/>
      <c r="Z242" s="64"/>
    </row>
    <row r="243" spans="1:258" s="420" customFormat="1" ht="17.399999999999999" x14ac:dyDescent="0.3">
      <c r="A243" s="174"/>
      <c r="B243" s="206"/>
      <c r="C243" s="85"/>
      <c r="D243" s="84" t="s">
        <v>166</v>
      </c>
      <c r="E243" s="270">
        <f>SUM(J243:K243)*'Input data plant-based products'!O$121</f>
        <v>1.4294587292144102E-3</v>
      </c>
      <c r="F243" s="90">
        <f>SUM(H243:O243)*'Input data plant-based products'!$O$121</f>
        <v>1.810785462802434E-3</v>
      </c>
      <c r="G243" s="278">
        <f>SUM(S243:U243)/(1-'Common input data'!B124)</f>
        <v>1.9447913078713065E-3</v>
      </c>
      <c r="H243" s="90">
        <f>('Input data plant-based products'!$F$41*('Common input data'!$C$76*'Common input data'!B71+'Common input data'!$C$77*'Common input data'!C71))/'Input data plant-based products'!$E$41</f>
        <v>3.6157756992435193E-4</v>
      </c>
      <c r="I243" s="90">
        <v>0</v>
      </c>
      <c r="J243" s="90">
        <f>(SUM('Input data plant-based products'!F41:H41)*'Input data plant-based products'!$B$114*44/28)/'Input data plant-based products'!E41</f>
        <v>1.2440411335180842E-3</v>
      </c>
      <c r="K243" s="90">
        <f>J243*'Input data plant-based products'!$B$115</f>
        <v>1.2440411335180843E-4</v>
      </c>
      <c r="L243" s="90">
        <f>('Input data plant-based products'!$I$41*'Common input data'!$C$59*'Common input data'!H51)/'Input data plant-based products'!$E$41</f>
        <v>2.1514130158905846E-6</v>
      </c>
      <c r="M243" s="90">
        <v>0</v>
      </c>
      <c r="N243" s="90">
        <v>0</v>
      </c>
      <c r="O243" s="90">
        <f>'Input data plant-based products'!$B$121*'Common input data'!$B$59*'Common input data'!B51</f>
        <v>1.32160958E-6</v>
      </c>
      <c r="P243" s="90">
        <v>0</v>
      </c>
      <c r="Q243" s="90">
        <v>0</v>
      </c>
      <c r="R243" s="90">
        <v>0</v>
      </c>
      <c r="S243" s="90">
        <f>(F243+R243)</f>
        <v>1.810785462802434E-3</v>
      </c>
      <c r="T243" s="90">
        <v>0</v>
      </c>
      <c r="U243" s="90">
        <v>0</v>
      </c>
      <c r="V243" s="430"/>
      <c r="W243" s="243"/>
      <c r="X243" s="308"/>
      <c r="Y243" s="308"/>
      <c r="Z243" s="64"/>
      <c r="AA243" s="308"/>
      <c r="AB243" s="308"/>
      <c r="AC243" s="308"/>
      <c r="AD243" s="308"/>
      <c r="AE243" s="308"/>
      <c r="AF243" s="308"/>
      <c r="AG243" s="308"/>
      <c r="AH243" s="308"/>
      <c r="AI243" s="308"/>
      <c r="AJ243" s="308"/>
      <c r="AK243" s="308"/>
      <c r="AL243" s="308"/>
      <c r="AM243" s="308"/>
      <c r="AN243" s="308"/>
      <c r="AO243" s="308"/>
      <c r="AP243" s="308"/>
      <c r="AQ243" s="308"/>
      <c r="AR243" s="308"/>
      <c r="AS243" s="308"/>
      <c r="AT243" s="308"/>
      <c r="AU243" s="308"/>
      <c r="AV243" s="308"/>
      <c r="AW243" s="308"/>
      <c r="AX243" s="308"/>
      <c r="AY243" s="308"/>
      <c r="AZ243" s="308"/>
      <c r="BA243" s="308"/>
      <c r="BB243" s="308"/>
      <c r="BC243" s="308"/>
      <c r="BD243" s="308"/>
      <c r="BE243" s="308"/>
      <c r="BF243" s="308"/>
      <c r="BG243" s="308"/>
      <c r="BH243" s="308"/>
      <c r="BI243" s="308"/>
      <c r="BJ243" s="308"/>
      <c r="BK243" s="308"/>
      <c r="BL243" s="308"/>
      <c r="BM243" s="308"/>
      <c r="BN243" s="308"/>
      <c r="BO243" s="308"/>
      <c r="BP243" s="308"/>
      <c r="BQ243" s="308"/>
      <c r="BR243" s="308"/>
      <c r="BS243" s="308"/>
      <c r="BT243" s="308"/>
      <c r="BU243" s="308"/>
      <c r="BV243" s="308"/>
      <c r="BW243" s="308"/>
      <c r="BX243" s="308"/>
      <c r="BY243" s="308"/>
      <c r="BZ243" s="308"/>
      <c r="CA243" s="308"/>
      <c r="CB243" s="308"/>
      <c r="CC243" s="308"/>
      <c r="CD243" s="308"/>
      <c r="CE243" s="308"/>
      <c r="CF243" s="308"/>
      <c r="CG243" s="308"/>
      <c r="CH243" s="308"/>
      <c r="CI243" s="308"/>
      <c r="CJ243" s="308"/>
      <c r="CK243" s="308"/>
      <c r="CL243" s="308"/>
      <c r="CM243" s="308"/>
      <c r="CN243" s="308"/>
      <c r="CO243" s="308"/>
      <c r="CP243" s="308"/>
      <c r="CQ243" s="308"/>
      <c r="CR243" s="308"/>
      <c r="CS243" s="308"/>
      <c r="CT243" s="308"/>
      <c r="CU243" s="308"/>
      <c r="CV243" s="308"/>
      <c r="CW243" s="308"/>
      <c r="CX243" s="308"/>
      <c r="CY243" s="308"/>
      <c r="CZ243" s="308"/>
      <c r="DA243" s="308"/>
      <c r="DB243" s="308"/>
      <c r="DC243" s="308"/>
      <c r="DD243" s="308"/>
      <c r="DE243" s="308"/>
      <c r="DF243" s="308"/>
      <c r="DG243" s="308"/>
      <c r="DH243" s="308"/>
      <c r="DI243" s="308"/>
      <c r="DJ243" s="308"/>
      <c r="DK243" s="308"/>
      <c r="DL243" s="308"/>
      <c r="DM243" s="308"/>
      <c r="DN243" s="308"/>
      <c r="DO243" s="308"/>
      <c r="DP243" s="308"/>
      <c r="DQ243" s="308"/>
      <c r="DR243" s="308"/>
      <c r="DS243" s="308"/>
      <c r="DT243" s="308"/>
      <c r="DU243" s="308"/>
      <c r="DV243" s="308"/>
      <c r="DW243" s="308"/>
      <c r="DX243" s="308"/>
      <c r="DY243" s="308"/>
      <c r="DZ243" s="308"/>
      <c r="EA243" s="308"/>
      <c r="EB243" s="308"/>
      <c r="EC243" s="308"/>
      <c r="ED243" s="308"/>
      <c r="EE243" s="308"/>
      <c r="EF243" s="308"/>
      <c r="EG243" s="308"/>
      <c r="EH243" s="308"/>
      <c r="EI243" s="308"/>
      <c r="EJ243" s="308"/>
      <c r="EK243" s="308"/>
      <c r="EL243" s="308"/>
      <c r="EM243" s="308"/>
      <c r="EN243" s="308"/>
      <c r="EO243" s="308"/>
      <c r="EP243" s="308"/>
      <c r="EQ243" s="308"/>
      <c r="ER243" s="308"/>
      <c r="ES243" s="308"/>
      <c r="ET243" s="308"/>
      <c r="EU243" s="308"/>
      <c r="EV243" s="308"/>
      <c r="EW243" s="308"/>
      <c r="EX243" s="308"/>
      <c r="EY243" s="308"/>
      <c r="EZ243" s="308"/>
      <c r="FA243" s="308"/>
      <c r="FB243" s="308"/>
      <c r="FC243" s="308"/>
      <c r="FD243" s="308"/>
      <c r="FE243" s="308"/>
      <c r="FF243" s="308"/>
      <c r="FG243" s="308"/>
      <c r="FH243" s="308"/>
      <c r="FI243" s="308"/>
      <c r="FJ243" s="308"/>
      <c r="FK243" s="308"/>
      <c r="FL243" s="308"/>
      <c r="FM243" s="308"/>
      <c r="FN243" s="308"/>
      <c r="FO243" s="308"/>
      <c r="FP243" s="308"/>
      <c r="FQ243" s="308"/>
      <c r="FR243" s="308"/>
      <c r="FS243" s="308"/>
      <c r="FT243" s="308"/>
      <c r="FU243" s="308"/>
      <c r="FV243" s="308"/>
      <c r="FW243" s="308"/>
      <c r="FX243" s="308"/>
      <c r="FY243" s="308"/>
      <c r="FZ243" s="308"/>
      <c r="GA243" s="308"/>
      <c r="GB243" s="308"/>
      <c r="GC243" s="308"/>
      <c r="GD243" s="308"/>
      <c r="GE243" s="308"/>
      <c r="GF243" s="308"/>
      <c r="GG243" s="308"/>
      <c r="GH243" s="308"/>
      <c r="GI243" s="308"/>
      <c r="GJ243" s="308"/>
      <c r="GK243" s="308"/>
      <c r="GL243" s="308"/>
      <c r="GM243" s="308"/>
      <c r="GN243" s="308"/>
      <c r="GO243" s="308"/>
      <c r="GP243" s="308"/>
      <c r="GQ243" s="308"/>
      <c r="GR243" s="308"/>
      <c r="GS243" s="308"/>
      <c r="GT243" s="308"/>
      <c r="GU243" s="308"/>
      <c r="GV243" s="308"/>
      <c r="GW243" s="308"/>
      <c r="GX243" s="308"/>
      <c r="GY243" s="308"/>
      <c r="GZ243" s="308"/>
      <c r="HA243" s="308"/>
      <c r="HB243" s="308"/>
      <c r="HC243" s="308"/>
      <c r="HD243" s="308"/>
      <c r="HE243" s="308"/>
      <c r="HF243" s="308"/>
      <c r="HG243" s="308"/>
      <c r="HH243" s="308"/>
      <c r="HI243" s="308"/>
      <c r="HJ243" s="308"/>
      <c r="HK243" s="308"/>
      <c r="HL243" s="308"/>
      <c r="HM243" s="308"/>
      <c r="HN243" s="308"/>
      <c r="HO243" s="308"/>
      <c r="HP243" s="308"/>
      <c r="HQ243" s="308"/>
      <c r="HR243" s="308"/>
      <c r="HS243" s="308"/>
      <c r="HT243" s="308"/>
      <c r="HU243" s="308"/>
      <c r="HV243" s="308"/>
      <c r="HW243" s="308"/>
      <c r="HX243" s="308"/>
      <c r="HY243" s="308"/>
      <c r="HZ243" s="308"/>
      <c r="IA243" s="308"/>
      <c r="IB243" s="308"/>
      <c r="IC243" s="308"/>
      <c r="ID243" s="308"/>
      <c r="IE243" s="308"/>
      <c r="IF243" s="308"/>
      <c r="IG243" s="308"/>
      <c r="IH243" s="308"/>
      <c r="II243" s="308"/>
      <c r="IJ243" s="308"/>
      <c r="IK243" s="308"/>
      <c r="IL243" s="308"/>
      <c r="IM243" s="308"/>
      <c r="IN243" s="308"/>
      <c r="IO243" s="308"/>
      <c r="IP243" s="308"/>
      <c r="IQ243" s="308"/>
      <c r="IR243" s="308"/>
      <c r="IS243" s="308"/>
      <c r="IT243" s="308"/>
      <c r="IU243" s="308"/>
      <c r="IV243" s="308"/>
      <c r="IW243" s="308"/>
      <c r="IX243" s="308"/>
    </row>
    <row r="244" spans="1:258" s="308" customFormat="1" ht="17.399999999999999" x14ac:dyDescent="0.3">
      <c r="A244" s="122" t="s">
        <v>67</v>
      </c>
      <c r="B244" s="150" t="s">
        <v>225</v>
      </c>
      <c r="C244" s="111">
        <f>'Input data plant-based products'!D42</f>
        <v>0.27</v>
      </c>
      <c r="D244" s="269" t="s">
        <v>473</v>
      </c>
      <c r="E244" s="320">
        <f>IF($F$1="GWP100 without fb",E245+E246*'Common input data'!$C$5+E247*'Common input data'!$D$5,IF($F$1="GWP100 with fb",E245+E246*'Common input data'!$C$6+E247*'Common input data'!$D$6,IF($F$1="GTP100 without fb",E245+E246*'Common input data'!$C$7+E247*'Common input data'!$D$7,IF($F$1="GTP100 with fb",E245+E246*'Common input data'!$C$8+E247*'Common input data'!$D$8,E245+E246*'Common input data'!$C$9+E247*'Common input data'!$D$9))))</f>
        <v>0.56890721734517569</v>
      </c>
      <c r="F244" s="302">
        <f>IF($F$1="GWP100 without fb",F245+F246*'Common input data'!$C$5+F247*'Common input data'!$D$5,IF($F$1="GWP100 with fb",F245+F246*'Common input data'!$C$6+F247*'Common input data'!$D$6,IF($F$1="GTP100 without fb",F245+F246*'Common input data'!$C$7+F247*'Common input data'!$D$7,IF($F$1="GTP100 with fb",F245+F246*'Common input data'!$C$8+F247*'Common input data'!$D$8,F245+F246*'Common input data'!$C$9+F247*'Common input data'!$D$9))))</f>
        <v>1.0728902290141122</v>
      </c>
      <c r="G244" s="321">
        <f>IF($F$1="GWP100 without fb",G245+G246*'Common input data'!$C$5+G247*'Common input data'!$D$5,IF($F$1="GWP100 with fb",G245+G246*'Common input data'!$C$6+G247*'Common input data'!$D$6,IF($F$1="GTP100 without fb",G245+G246*'Common input data'!$C$7+G247*'Common input data'!$D$7,IF($F$1="GTP100 with fb",G245+G246*'Common input data'!$C$8+G247*'Common input data'!$D$8,G245+G246*'Common input data'!$C$9+G247*'Common input data'!$D$9))))</f>
        <v>1.7557376190991087</v>
      </c>
      <c r="H244" s="102"/>
      <c r="I244" s="102"/>
      <c r="J244" s="102"/>
      <c r="K244" s="102"/>
      <c r="L244" s="102"/>
      <c r="M244" s="102"/>
      <c r="N244" s="102"/>
      <c r="O244" s="102"/>
      <c r="P244" s="102"/>
      <c r="Q244" s="102"/>
      <c r="R244" s="102"/>
      <c r="S244" s="102"/>
      <c r="T244" s="102"/>
      <c r="U244" s="102"/>
      <c r="V244" s="430"/>
      <c r="W244" s="243"/>
      <c r="Z244" s="64"/>
    </row>
    <row r="245" spans="1:258" s="308" customFormat="1" ht="17.399999999999999" x14ac:dyDescent="0.3">
      <c r="A245" s="144"/>
      <c r="B245" s="84"/>
      <c r="C245" s="64"/>
      <c r="D245" s="83" t="s">
        <v>164</v>
      </c>
      <c r="E245" s="270">
        <f>IF(AND($F$2="No",$F$3="No"),SUM(J245:K245)*'Input data plant-based products'!O$121,IF(AND($F$2="Yes", $F$3="No"), (SUM(J245:K245)+Q245)*'Input data plant-based products'!O$121, IF(AND($F$2="No", $F$3="Yes"),(SUM(J245:K245)+P245)*'Input data plant-based products'!O$121, (SUM(J245:K245)+Q245+P245)*'Input data plant-based products'!O$121)))</f>
        <v>0.24891565492272821</v>
      </c>
      <c r="F245" s="90">
        <f>IF(AND($F$2="No",$F$3="No"),SUM(H245:O245)*'Input data plant-based products'!O$121,IF(AND($F$2="Yes", $F$3="No"), (SUM(H245:O245)+Q245)*'Input data plant-based products'!O$121, IF(AND($F$2="No", $F$3="Yes"),(SUM(H245:O245)+P245)*'Input data plant-based products'!O$121, (SUM(H245:O245)+Q245+P245)*'Input data plant-based products'!O$121)))</f>
        <v>0.63955327097257442</v>
      </c>
      <c r="G245" s="278">
        <f>SUM(S245:U245)/(1-'Common input data'!H124)</f>
        <v>1.2657957128624213</v>
      </c>
      <c r="H245" s="90">
        <f>('Input data plant-based products'!$F$42*('Common input data'!$D$76*'Common input data'!B69+'Common input data'!$D$77*'Common input data'!C69))/'Input data plant-based products'!$E$42</f>
        <v>5.4581839816818883E-2</v>
      </c>
      <c r="I245" s="90">
        <f>'Common input data'!$B$81</f>
        <v>0.03</v>
      </c>
      <c r="J245" s="90">
        <v>0</v>
      </c>
      <c r="K245" s="90">
        <v>0</v>
      </c>
      <c r="L245" s="90">
        <f>('Input data plant-based products'!$I$42*'Common input data'!$C$59*'Common input data'!H49)/'Input data plant-based products'!$E$42</f>
        <v>0.21822009145041182</v>
      </c>
      <c r="M245" s="90">
        <v>0</v>
      </c>
      <c r="N245" s="90">
        <f>'Input data plant-based products'!$G$152</f>
        <v>0.02</v>
      </c>
      <c r="O245" s="90">
        <f>'Input data plant-based products'!$B$121*'Common input data'!$B$59*'Common input data'!B49+'Input data plant-based products'!C120*'Common input data'!K63</f>
        <v>5.1162128000000001E-2</v>
      </c>
      <c r="P245" s="90">
        <f>'Common input data'!$C$13</f>
        <v>0.23829120623700201</v>
      </c>
      <c r="Q245" s="90">
        <v>0</v>
      </c>
      <c r="R245" s="90">
        <v>0</v>
      </c>
      <c r="S245" s="90">
        <f>(F245+R245)</f>
        <v>0.63955327097257442</v>
      </c>
      <c r="T245" s="90">
        <f>'Common input data'!$B$88</f>
        <v>0.05</v>
      </c>
      <c r="U245" s="90">
        <f>'Common input data'!B108+'Common input data'!C108</f>
        <v>0.43000000000000005</v>
      </c>
      <c r="V245" s="430"/>
      <c r="W245" s="243"/>
      <c r="Z245" s="64"/>
    </row>
    <row r="246" spans="1:258" s="308" customFormat="1" ht="17.399999999999999" x14ac:dyDescent="0.3">
      <c r="A246" s="107"/>
      <c r="B246" s="84"/>
      <c r="C246" s="142"/>
      <c r="D246" s="83" t="s">
        <v>165</v>
      </c>
      <c r="E246" s="270">
        <f>SUM(J246:K246)*'Input data plant-based products'!O$121</f>
        <v>0</v>
      </c>
      <c r="F246" s="90">
        <f>SUM(H246:O246)*'Input data plant-based products'!$O$121</f>
        <v>1.1578339405805919E-4</v>
      </c>
      <c r="G246" s="278">
        <f>SUM(S246:U246)/(1-'Common input data'!H124)</f>
        <v>1.3090768221509836E-4</v>
      </c>
      <c r="H246" s="90">
        <f>('Input data plant-based products'!$F$42*('Common input data'!$D$76*'Common input data'!B70+'Common input data'!$D$77*'Common input data'!C70))/'Input data plant-based products'!$E$42</f>
        <v>2.9772600068229034E-10</v>
      </c>
      <c r="I246" s="90">
        <v>0</v>
      </c>
      <c r="J246" s="90">
        <v>0</v>
      </c>
      <c r="K246" s="90">
        <v>0</v>
      </c>
      <c r="L246" s="90">
        <f>('Input data plant-based products'!$I$42*'Common input data'!$C$59*'Common input data'!H50)/'Input data plant-based products'!$E$42</f>
        <v>9.6664142195434011E-5</v>
      </c>
      <c r="M246" s="90">
        <v>0</v>
      </c>
      <c r="N246" s="90">
        <v>0</v>
      </c>
      <c r="O246" s="90">
        <f>'Input data plant-based products'!$B$121*'Common input data'!$B$59*'Common input data'!B50</f>
        <v>1.4176980000000002E-5</v>
      </c>
      <c r="P246" s="90">
        <v>0</v>
      </c>
      <c r="Q246" s="90">
        <v>0</v>
      </c>
      <c r="R246" s="90">
        <v>0</v>
      </c>
      <c r="S246" s="90">
        <f>(F246+R246)</f>
        <v>1.1578339405805919E-4</v>
      </c>
      <c r="T246" s="90">
        <v>0</v>
      </c>
      <c r="U246" s="109">
        <v>0</v>
      </c>
      <c r="V246" s="430"/>
      <c r="W246" s="243"/>
      <c r="Z246" s="64"/>
    </row>
    <row r="247" spans="1:258" s="420" customFormat="1" ht="18" thickBot="1" x14ac:dyDescent="0.35">
      <c r="A247" s="172"/>
      <c r="B247" s="333"/>
      <c r="C247" s="101"/>
      <c r="D247" s="100" t="s">
        <v>166</v>
      </c>
      <c r="E247" s="271">
        <f>SUM(J247:K247)*'Input data plant-based products'!O$121</f>
        <v>1.0737971893370719E-3</v>
      </c>
      <c r="F247" s="265">
        <f>SUM(H247:O247)*'Input data plant-based products'!$O$121</f>
        <v>1.4409406800119592E-3</v>
      </c>
      <c r="G247" s="478">
        <f>SUM(S247:U247)/(1-'Common input data'!H124)</f>
        <v>1.6291645806757516E-3</v>
      </c>
      <c r="H247" s="108">
        <f>('Input data plant-based products'!$F$42*('Common input data'!$D$76*'Common input data'!B71+'Common input data'!$D$77*'Common input data'!C71))/'Input data plant-based products'!$E$42</f>
        <v>3.4428746340875482E-4</v>
      </c>
      <c r="I247" s="108">
        <v>0</v>
      </c>
      <c r="J247" s="108">
        <f>(SUM('Input data plant-based products'!F42:H42)*'Input data plant-based products'!$B$114*44/28)/'Input data plant-based products'!E42</f>
        <v>9.3451307497738529E-4</v>
      </c>
      <c r="K247" s="108">
        <f>J247*'Input data plant-based products'!$B$115</f>
        <v>9.3451307497738532E-5</v>
      </c>
      <c r="L247" s="108">
        <f>('Input data plant-based products'!$I$42*'Common input data'!$C$59*'Common input data'!H51)/'Input data plant-based products'!$E$42</f>
        <v>5.8636589378140172E-6</v>
      </c>
      <c r="M247" s="108">
        <v>0</v>
      </c>
      <c r="N247" s="108">
        <v>0</v>
      </c>
      <c r="O247" s="108">
        <f>'Input data plant-based products'!$B$121*'Common input data'!$B$59*'Common input data'!B51</f>
        <v>1.32160958E-6</v>
      </c>
      <c r="P247" s="108">
        <v>0</v>
      </c>
      <c r="Q247" s="108">
        <v>0</v>
      </c>
      <c r="R247" s="108">
        <v>0</v>
      </c>
      <c r="S247" s="108">
        <f>(F247+R247)</f>
        <v>1.4409406800119592E-3</v>
      </c>
      <c r="T247" s="108">
        <v>0</v>
      </c>
      <c r="U247" s="442">
        <v>0</v>
      </c>
      <c r="V247" s="430"/>
      <c r="W247" s="243"/>
      <c r="X247" s="308"/>
      <c r="Y247" s="308"/>
      <c r="Z247" s="64"/>
      <c r="AA247" s="308"/>
      <c r="AB247" s="308"/>
      <c r="AC247" s="308"/>
      <c r="AD247" s="308"/>
      <c r="AE247" s="308"/>
      <c r="AF247" s="308"/>
      <c r="AG247" s="308"/>
      <c r="AH247" s="308"/>
      <c r="AI247" s="308"/>
      <c r="AJ247" s="308"/>
      <c r="AK247" s="308"/>
      <c r="AL247" s="308"/>
      <c r="AM247" s="308"/>
      <c r="AN247" s="308"/>
      <c r="AO247" s="308"/>
      <c r="AP247" s="308"/>
      <c r="AQ247" s="308"/>
      <c r="AR247" s="308"/>
      <c r="AS247" s="308"/>
      <c r="AT247" s="308"/>
      <c r="AU247" s="308"/>
      <c r="AV247" s="308"/>
      <c r="AW247" s="308"/>
      <c r="AX247" s="308"/>
      <c r="AY247" s="308"/>
      <c r="AZ247" s="308"/>
      <c r="BA247" s="308"/>
      <c r="BB247" s="308"/>
      <c r="BC247" s="308"/>
      <c r="BD247" s="308"/>
      <c r="BE247" s="308"/>
      <c r="BF247" s="308"/>
      <c r="BG247" s="308"/>
      <c r="BH247" s="308"/>
      <c r="BI247" s="308"/>
      <c r="BJ247" s="308"/>
      <c r="BK247" s="308"/>
      <c r="BL247" s="308"/>
      <c r="BM247" s="308"/>
      <c r="BN247" s="308"/>
      <c r="BO247" s="308"/>
      <c r="BP247" s="308"/>
      <c r="BQ247" s="308"/>
      <c r="BR247" s="308"/>
      <c r="BS247" s="308"/>
      <c r="BT247" s="308"/>
      <c r="BU247" s="308"/>
      <c r="BV247" s="308"/>
      <c r="BW247" s="308"/>
      <c r="BX247" s="308"/>
      <c r="BY247" s="308"/>
      <c r="BZ247" s="308"/>
      <c r="CA247" s="308"/>
      <c r="CB247" s="308"/>
      <c r="CC247" s="308"/>
      <c r="CD247" s="308"/>
      <c r="CE247" s="308"/>
      <c r="CF247" s="308"/>
      <c r="CG247" s="308"/>
      <c r="CH247" s="308"/>
      <c r="CI247" s="308"/>
      <c r="CJ247" s="308"/>
      <c r="CK247" s="308"/>
      <c r="CL247" s="308"/>
      <c r="CM247" s="308"/>
      <c r="CN247" s="308"/>
      <c r="CO247" s="308"/>
      <c r="CP247" s="308"/>
      <c r="CQ247" s="308"/>
      <c r="CR247" s="308"/>
      <c r="CS247" s="308"/>
      <c r="CT247" s="308"/>
      <c r="CU247" s="308"/>
      <c r="CV247" s="308"/>
      <c r="CW247" s="308"/>
      <c r="CX247" s="308"/>
      <c r="CY247" s="308"/>
      <c r="CZ247" s="308"/>
      <c r="DA247" s="308"/>
      <c r="DB247" s="308"/>
      <c r="DC247" s="308"/>
      <c r="DD247" s="308"/>
      <c r="DE247" s="308"/>
      <c r="DF247" s="308"/>
      <c r="DG247" s="308"/>
      <c r="DH247" s="308"/>
      <c r="DI247" s="308"/>
      <c r="DJ247" s="308"/>
      <c r="DK247" s="308"/>
      <c r="DL247" s="308"/>
      <c r="DM247" s="308"/>
      <c r="DN247" s="308"/>
      <c r="DO247" s="308"/>
      <c r="DP247" s="308"/>
      <c r="DQ247" s="308"/>
      <c r="DR247" s="308"/>
      <c r="DS247" s="308"/>
      <c r="DT247" s="308"/>
      <c r="DU247" s="308"/>
      <c r="DV247" s="308"/>
      <c r="DW247" s="308"/>
      <c r="DX247" s="308"/>
      <c r="DY247" s="308"/>
      <c r="DZ247" s="308"/>
      <c r="EA247" s="308"/>
      <c r="EB247" s="308"/>
      <c r="EC247" s="308"/>
      <c r="ED247" s="308"/>
      <c r="EE247" s="308"/>
      <c r="EF247" s="308"/>
      <c r="EG247" s="308"/>
      <c r="EH247" s="308"/>
      <c r="EI247" s="308"/>
      <c r="EJ247" s="308"/>
      <c r="EK247" s="308"/>
      <c r="EL247" s="308"/>
      <c r="EM247" s="308"/>
      <c r="EN247" s="308"/>
      <c r="EO247" s="308"/>
      <c r="EP247" s="308"/>
      <c r="EQ247" s="308"/>
      <c r="ER247" s="308"/>
      <c r="ES247" s="308"/>
      <c r="ET247" s="308"/>
      <c r="EU247" s="308"/>
      <c r="EV247" s="308"/>
      <c r="EW247" s="308"/>
      <c r="EX247" s="308"/>
      <c r="EY247" s="308"/>
      <c r="EZ247" s="308"/>
      <c r="FA247" s="308"/>
      <c r="FB247" s="308"/>
      <c r="FC247" s="308"/>
      <c r="FD247" s="308"/>
      <c r="FE247" s="308"/>
      <c r="FF247" s="308"/>
      <c r="FG247" s="308"/>
      <c r="FH247" s="308"/>
      <c r="FI247" s="308"/>
      <c r="FJ247" s="308"/>
      <c r="FK247" s="308"/>
      <c r="FL247" s="308"/>
      <c r="FM247" s="308"/>
      <c r="FN247" s="308"/>
      <c r="FO247" s="308"/>
      <c r="FP247" s="308"/>
      <c r="FQ247" s="308"/>
      <c r="FR247" s="308"/>
      <c r="FS247" s="308"/>
      <c r="FT247" s="308"/>
      <c r="FU247" s="308"/>
      <c r="FV247" s="308"/>
      <c r="FW247" s="308"/>
      <c r="FX247" s="308"/>
      <c r="FY247" s="308"/>
      <c r="FZ247" s="308"/>
      <c r="GA247" s="308"/>
      <c r="GB247" s="308"/>
      <c r="GC247" s="308"/>
      <c r="GD247" s="308"/>
      <c r="GE247" s="308"/>
      <c r="GF247" s="308"/>
      <c r="GG247" s="308"/>
      <c r="GH247" s="308"/>
      <c r="GI247" s="308"/>
      <c r="GJ247" s="308"/>
      <c r="GK247" s="308"/>
      <c r="GL247" s="308"/>
      <c r="GM247" s="308"/>
      <c r="GN247" s="308"/>
      <c r="GO247" s="308"/>
      <c r="GP247" s="308"/>
      <c r="GQ247" s="308"/>
      <c r="GR247" s="308"/>
      <c r="GS247" s="308"/>
      <c r="GT247" s="308"/>
      <c r="GU247" s="308"/>
      <c r="GV247" s="308"/>
      <c r="GW247" s="308"/>
      <c r="GX247" s="308"/>
      <c r="GY247" s="308"/>
      <c r="GZ247" s="308"/>
      <c r="HA247" s="308"/>
      <c r="HB247" s="308"/>
      <c r="HC247" s="308"/>
      <c r="HD247" s="308"/>
      <c r="HE247" s="308"/>
      <c r="HF247" s="308"/>
      <c r="HG247" s="308"/>
      <c r="HH247" s="308"/>
      <c r="HI247" s="308"/>
      <c r="HJ247" s="308"/>
      <c r="HK247" s="308"/>
      <c r="HL247" s="308"/>
      <c r="HM247" s="308"/>
      <c r="HN247" s="308"/>
      <c r="HO247" s="308"/>
      <c r="HP247" s="308"/>
      <c r="HQ247" s="308"/>
      <c r="HR247" s="308"/>
      <c r="HS247" s="308"/>
      <c r="HT247" s="308"/>
      <c r="HU247" s="308"/>
      <c r="HV247" s="308"/>
      <c r="HW247" s="308"/>
      <c r="HX247" s="308"/>
      <c r="HY247" s="308"/>
      <c r="HZ247" s="308"/>
      <c r="IA247" s="308"/>
      <c r="IB247" s="308"/>
      <c r="IC247" s="308"/>
      <c r="ID247" s="308"/>
      <c r="IE247" s="308"/>
      <c r="IF247" s="308"/>
      <c r="IG247" s="308"/>
      <c r="IH247" s="308"/>
      <c r="II247" s="308"/>
      <c r="IJ247" s="308"/>
      <c r="IK247" s="308"/>
      <c r="IL247" s="308"/>
      <c r="IM247" s="308"/>
      <c r="IN247" s="308"/>
      <c r="IO247" s="308"/>
      <c r="IP247" s="308"/>
      <c r="IQ247" s="308"/>
      <c r="IR247" s="308"/>
      <c r="IS247" s="308"/>
      <c r="IT247" s="308"/>
      <c r="IU247" s="308"/>
      <c r="IV247" s="308"/>
      <c r="IW247" s="308"/>
      <c r="IX247" s="308"/>
    </row>
  </sheetData>
  <dataValidations count="2">
    <dataValidation type="list" allowBlank="1" showInputMessage="1" showErrorMessage="1" sqref="F2:F3">
      <formula1>"Yes, No"</formula1>
    </dataValidation>
    <dataValidation type="list" allowBlank="1" showInputMessage="1" showErrorMessage="1" sqref="F1">
      <formula1>"GWP100 without fb, GWP100 with fb, GTP100 without fb, GTP100 with fb, GTP climate goal"</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X202"/>
  <sheetViews>
    <sheetView zoomScale="60" zoomScaleNormal="60" workbookViewId="0"/>
  </sheetViews>
  <sheetFormatPr defaultColWidth="8.88671875" defaultRowHeight="14.4" x14ac:dyDescent="0.3"/>
  <cols>
    <col min="1" max="1" width="52.88671875" style="64" bestFit="1" customWidth="1"/>
    <col min="2" max="2" width="37.6640625" style="64" customWidth="1"/>
    <col min="3" max="3" width="19.88671875" style="64" bestFit="1" customWidth="1"/>
    <col min="4" max="4" width="28" style="64" customWidth="1"/>
    <col min="5" max="7" width="38.88671875" style="64" customWidth="1"/>
    <col min="8" max="8" width="34.44140625" style="64" bestFit="1" customWidth="1"/>
    <col min="9" max="9" width="35.44140625" style="64" bestFit="1" customWidth="1"/>
    <col min="10" max="10" width="18.44140625" style="64" bestFit="1" customWidth="1"/>
    <col min="11" max="11" width="23.109375" style="64" bestFit="1" customWidth="1"/>
    <col min="12" max="12" width="19" style="64" bestFit="1" customWidth="1"/>
    <col min="13" max="13" width="29.33203125" style="64" bestFit="1" customWidth="1"/>
    <col min="14" max="14" width="28.6640625" style="64" bestFit="1" customWidth="1"/>
    <col min="15" max="17" width="28.6640625" style="64" customWidth="1"/>
    <col min="18" max="18" width="27.6640625" style="64" bestFit="1" customWidth="1"/>
    <col min="19" max="19" width="27.109375" style="64" bestFit="1" customWidth="1"/>
    <col min="20" max="20" width="19" style="64" bestFit="1" customWidth="1"/>
    <col min="21" max="21" width="22.33203125" style="64" bestFit="1" customWidth="1"/>
    <col min="22" max="26" width="8.88671875" style="64"/>
    <col min="27" max="27" width="39.6640625" style="64" bestFit="1" customWidth="1"/>
    <col min="28" max="31" width="8.88671875" style="64"/>
    <col min="32" max="32" width="33.88671875" style="64" bestFit="1" customWidth="1"/>
    <col min="33" max="33" width="27.6640625" style="64" bestFit="1" customWidth="1"/>
    <col min="34" max="34" width="19" style="64" bestFit="1" customWidth="1"/>
    <col min="35" max="35" width="17.6640625" style="64" bestFit="1" customWidth="1"/>
    <col min="36" max="36" width="8.88671875" style="64"/>
    <col min="37" max="37" width="28.6640625" style="64" bestFit="1" customWidth="1"/>
    <col min="38" max="38" width="27.6640625" style="64" bestFit="1" customWidth="1"/>
    <col min="39" max="16384" width="8.88671875" style="64"/>
  </cols>
  <sheetData>
    <row r="1" spans="1:258" ht="31.2" x14ac:dyDescent="0.6">
      <c r="A1" s="362" t="s">
        <v>662</v>
      </c>
      <c r="E1" s="291" t="s">
        <v>550</v>
      </c>
      <c r="F1" s="292" t="s">
        <v>1243</v>
      </c>
    </row>
    <row r="2" spans="1:258" ht="17.399999999999999" x14ac:dyDescent="0.35">
      <c r="E2" s="291" t="s">
        <v>551</v>
      </c>
      <c r="F2" s="292" t="s">
        <v>1339</v>
      </c>
      <c r="G2" s="291"/>
      <c r="I2" s="243"/>
      <c r="J2" s="242"/>
      <c r="K2" s="243"/>
      <c r="L2" s="243"/>
      <c r="M2" s="243"/>
      <c r="N2" s="243"/>
      <c r="O2" s="243"/>
      <c r="P2" s="243"/>
      <c r="Q2" s="243"/>
      <c r="R2" s="243"/>
      <c r="S2" s="243"/>
      <c r="T2" s="243"/>
      <c r="U2" s="243"/>
      <c r="V2" s="360"/>
    </row>
    <row r="3" spans="1:258" ht="69.599999999999994" x14ac:dyDescent="0.35">
      <c r="E3" s="763" t="s">
        <v>1251</v>
      </c>
      <c r="F3" s="292" t="s">
        <v>1339</v>
      </c>
      <c r="G3" s="291"/>
      <c r="H3" s="76"/>
    </row>
    <row r="4" spans="1:258" ht="18" thickBot="1" x14ac:dyDescent="0.4">
      <c r="G4" s="291"/>
    </row>
    <row r="5" spans="1:258" ht="17.399999999999999" x14ac:dyDescent="0.35">
      <c r="A5" s="487"/>
      <c r="B5" s="297"/>
      <c r="C5" s="297"/>
      <c r="D5" s="297"/>
      <c r="E5" s="298" t="s">
        <v>531</v>
      </c>
      <c r="F5" s="304"/>
      <c r="G5" s="472"/>
      <c r="H5" s="299"/>
      <c r="I5" s="299"/>
      <c r="J5" s="488" t="s">
        <v>286</v>
      </c>
      <c r="K5" s="874"/>
      <c r="L5" s="875"/>
      <c r="M5" s="875"/>
      <c r="N5" s="875"/>
      <c r="O5" s="875"/>
      <c r="P5" s="875"/>
      <c r="Q5" s="875"/>
      <c r="R5" s="875"/>
      <c r="S5" s="875"/>
      <c r="T5" s="875"/>
      <c r="U5" s="875"/>
      <c r="V5" s="107"/>
    </row>
    <row r="6" spans="1:258" s="404" customFormat="1" ht="34.799999999999997" x14ac:dyDescent="0.3">
      <c r="A6" s="344"/>
      <c r="B6" s="343" t="s">
        <v>17</v>
      </c>
      <c r="C6" s="310" t="s">
        <v>621</v>
      </c>
      <c r="D6" s="310" t="s">
        <v>178</v>
      </c>
      <c r="E6" s="294" t="s">
        <v>554</v>
      </c>
      <c r="F6" s="293" t="s">
        <v>532</v>
      </c>
      <c r="G6" s="473" t="s">
        <v>533</v>
      </c>
      <c r="H6" s="310" t="s">
        <v>590</v>
      </c>
      <c r="I6" s="310" t="s">
        <v>5</v>
      </c>
      <c r="J6" s="518" t="s">
        <v>246</v>
      </c>
      <c r="K6" s="535" t="s">
        <v>247</v>
      </c>
      <c r="L6" s="310" t="s">
        <v>459</v>
      </c>
      <c r="M6" s="310" t="s">
        <v>224</v>
      </c>
      <c r="N6" s="310" t="s">
        <v>223</v>
      </c>
      <c r="O6" s="310" t="s">
        <v>222</v>
      </c>
      <c r="P6" s="310" t="s">
        <v>177</v>
      </c>
      <c r="Q6" s="310" t="s">
        <v>176</v>
      </c>
      <c r="R6" s="310" t="s">
        <v>488</v>
      </c>
      <c r="S6" s="310" t="s">
        <v>175</v>
      </c>
      <c r="T6" s="310" t="s">
        <v>3</v>
      </c>
      <c r="U6" s="310" t="s">
        <v>4</v>
      </c>
      <c r="V6" s="430"/>
      <c r="W6" s="243"/>
      <c r="X6" s="308"/>
      <c r="Y6" s="308"/>
      <c r="Z6" s="64"/>
      <c r="AA6" s="308"/>
      <c r="AB6" s="308"/>
      <c r="AC6" s="308"/>
      <c r="AD6" s="308"/>
      <c r="AE6" s="308"/>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c r="BD6" s="308"/>
      <c r="BE6" s="308"/>
      <c r="BF6" s="308"/>
      <c r="BG6" s="308"/>
      <c r="BH6" s="308"/>
      <c r="BI6" s="308"/>
      <c r="BJ6" s="308"/>
      <c r="BK6" s="308"/>
      <c r="BL6" s="308"/>
      <c r="BM6" s="308"/>
      <c r="BN6" s="308"/>
      <c r="BO6" s="308"/>
      <c r="BP6" s="308"/>
      <c r="BQ6" s="308"/>
      <c r="BR6" s="308"/>
      <c r="BS6" s="308"/>
      <c r="BT6" s="308"/>
      <c r="BU6" s="308"/>
      <c r="BV6" s="308"/>
      <c r="BW6" s="308"/>
      <c r="BX6" s="308"/>
      <c r="BY6" s="308"/>
      <c r="BZ6" s="308"/>
      <c r="CA6" s="308"/>
      <c r="CB6" s="308"/>
      <c r="CC6" s="308"/>
      <c r="CD6" s="308"/>
      <c r="CE6" s="308"/>
      <c r="CF6" s="308"/>
      <c r="CG6" s="308"/>
      <c r="CH6" s="308"/>
      <c r="CI6" s="308"/>
      <c r="CJ6" s="308"/>
      <c r="CK6" s="308"/>
      <c r="CL6" s="308"/>
      <c r="CM6" s="308"/>
      <c r="CN6" s="308"/>
      <c r="CO6" s="308"/>
      <c r="CP6" s="308"/>
      <c r="CQ6" s="308"/>
      <c r="CR6" s="308"/>
      <c r="CS6" s="308"/>
      <c r="CT6" s="308"/>
      <c r="CU6" s="308"/>
      <c r="CV6" s="308"/>
      <c r="CW6" s="308"/>
      <c r="CX6" s="308"/>
      <c r="CY6" s="308"/>
      <c r="CZ6" s="308"/>
      <c r="DA6" s="308"/>
      <c r="DB6" s="308"/>
      <c r="DC6" s="308"/>
      <c r="DD6" s="308"/>
      <c r="DE6" s="308"/>
      <c r="DF6" s="308"/>
      <c r="DG6" s="308"/>
      <c r="DH6" s="308"/>
      <c r="DI6" s="308"/>
      <c r="DJ6" s="308"/>
      <c r="DK6" s="308"/>
      <c r="DL6" s="308"/>
      <c r="DM6" s="308"/>
      <c r="DN6" s="308"/>
      <c r="DO6" s="308"/>
      <c r="DP6" s="308"/>
      <c r="DQ6" s="308"/>
      <c r="DR6" s="308"/>
      <c r="DS6" s="308"/>
      <c r="DT6" s="308"/>
      <c r="DU6" s="308"/>
      <c r="DV6" s="308"/>
      <c r="DW6" s="308"/>
      <c r="DX6" s="308"/>
      <c r="DY6" s="308"/>
      <c r="DZ6" s="308"/>
      <c r="EA6" s="308"/>
      <c r="EB6" s="308"/>
      <c r="EC6" s="308"/>
      <c r="ED6" s="308"/>
      <c r="EE6" s="308"/>
      <c r="EF6" s="308"/>
      <c r="EG6" s="308"/>
      <c r="EH6" s="308"/>
      <c r="EI6" s="308"/>
      <c r="EJ6" s="308"/>
      <c r="EK6" s="308"/>
      <c r="EL6" s="308"/>
      <c r="EM6" s="308"/>
      <c r="EN6" s="308"/>
      <c r="EO6" s="308"/>
      <c r="EP6" s="308"/>
      <c r="EQ6" s="308"/>
      <c r="ER6" s="308"/>
      <c r="ES6" s="308"/>
      <c r="ET6" s="308"/>
      <c r="EU6" s="308"/>
      <c r="EV6" s="308"/>
      <c r="EW6" s="308"/>
      <c r="EX6" s="308"/>
      <c r="EY6" s="308"/>
      <c r="EZ6" s="308"/>
      <c r="FA6" s="308"/>
      <c r="FB6" s="308"/>
      <c r="FC6" s="308"/>
      <c r="FD6" s="308"/>
      <c r="FE6" s="308"/>
      <c r="FF6" s="308"/>
      <c r="FG6" s="308"/>
      <c r="FH6" s="308"/>
      <c r="FI6" s="308"/>
      <c r="FJ6" s="308"/>
      <c r="FK6" s="308"/>
      <c r="FL6" s="308"/>
      <c r="FM6" s="308"/>
      <c r="FN6" s="308"/>
      <c r="FO6" s="308"/>
      <c r="FP6" s="308"/>
      <c r="FQ6" s="308"/>
      <c r="FR6" s="308"/>
      <c r="FS6" s="308"/>
      <c r="FT6" s="308"/>
      <c r="FU6" s="308"/>
      <c r="FV6" s="308"/>
      <c r="FW6" s="308"/>
      <c r="FX6" s="308"/>
      <c r="FY6" s="308"/>
      <c r="FZ6" s="308"/>
      <c r="GA6" s="308"/>
      <c r="GB6" s="308"/>
      <c r="GC6" s="308"/>
      <c r="GD6" s="308"/>
      <c r="GE6" s="308"/>
      <c r="GF6" s="308"/>
      <c r="GG6" s="308"/>
      <c r="GH6" s="308"/>
      <c r="GI6" s="308"/>
      <c r="GJ6" s="308"/>
      <c r="GK6" s="308"/>
      <c r="GL6" s="308"/>
      <c r="GM6" s="308"/>
      <c r="GN6" s="308"/>
      <c r="GO6" s="308"/>
      <c r="GP6" s="308"/>
      <c r="GQ6" s="308"/>
      <c r="GR6" s="308"/>
      <c r="GS6" s="308"/>
      <c r="GT6" s="308"/>
      <c r="GU6" s="308"/>
      <c r="GV6" s="308"/>
      <c r="GW6" s="308"/>
      <c r="GX6" s="308"/>
      <c r="GY6" s="308"/>
      <c r="GZ6" s="308"/>
      <c r="HA6" s="308"/>
      <c r="HB6" s="308"/>
      <c r="HC6" s="308"/>
      <c r="HD6" s="308"/>
      <c r="HE6" s="308"/>
      <c r="HF6" s="308"/>
      <c r="HG6" s="308"/>
      <c r="HH6" s="308"/>
      <c r="HI6" s="308"/>
      <c r="HJ6" s="308"/>
      <c r="HK6" s="308"/>
      <c r="HL6" s="308"/>
      <c r="HM6" s="308"/>
      <c r="HN6" s="308"/>
      <c r="HO6" s="308"/>
      <c r="HP6" s="308"/>
      <c r="HQ6" s="308"/>
      <c r="HR6" s="308"/>
      <c r="HS6" s="308"/>
      <c r="HT6" s="308"/>
      <c r="HU6" s="308"/>
      <c r="HV6" s="308"/>
      <c r="HW6" s="308"/>
      <c r="HX6" s="308"/>
      <c r="HY6" s="308"/>
      <c r="HZ6" s="308"/>
      <c r="IA6" s="308"/>
      <c r="IB6" s="308"/>
      <c r="IC6" s="308"/>
      <c r="ID6" s="308"/>
      <c r="IE6" s="308"/>
      <c r="IF6" s="308"/>
      <c r="IG6" s="308"/>
      <c r="IH6" s="308"/>
      <c r="II6" s="308"/>
      <c r="IJ6" s="308"/>
      <c r="IK6" s="308"/>
      <c r="IL6" s="308"/>
      <c r="IM6" s="308"/>
      <c r="IN6" s="308"/>
      <c r="IO6" s="308"/>
      <c r="IP6" s="308"/>
      <c r="IQ6" s="308"/>
      <c r="IR6" s="308"/>
      <c r="IS6" s="308"/>
      <c r="IT6" s="308"/>
      <c r="IU6" s="308"/>
      <c r="IV6" s="308"/>
      <c r="IW6" s="308"/>
      <c r="IX6" s="308"/>
    </row>
    <row r="7" spans="1:258" s="427" customFormat="1" ht="17.399999999999999" x14ac:dyDescent="0.3">
      <c r="A7" s="426" t="s">
        <v>620</v>
      </c>
      <c r="B7" s="412"/>
      <c r="C7" s="413"/>
      <c r="D7" s="414"/>
      <c r="E7" s="764" t="s">
        <v>822</v>
      </c>
      <c r="F7" s="765" t="s">
        <v>822</v>
      </c>
      <c r="G7" s="766" t="s">
        <v>822</v>
      </c>
      <c r="H7" s="413"/>
      <c r="I7" s="413"/>
      <c r="J7" s="413"/>
      <c r="K7" s="416"/>
      <c r="L7" s="416"/>
      <c r="M7" s="417"/>
      <c r="N7" s="416"/>
      <c r="O7" s="416"/>
      <c r="P7" s="416"/>
      <c r="Q7" s="416"/>
      <c r="R7" s="416"/>
      <c r="S7" s="416"/>
      <c r="T7" s="416"/>
      <c r="U7" s="416"/>
      <c r="V7" s="430"/>
      <c r="W7" s="243"/>
      <c r="X7" s="308"/>
      <c r="Y7" s="308"/>
      <c r="Z7" s="64"/>
      <c r="AA7" s="308"/>
      <c r="AB7" s="308"/>
      <c r="AC7" s="308"/>
      <c r="AD7" s="308"/>
      <c r="AE7" s="308"/>
      <c r="AF7" s="308"/>
      <c r="AG7" s="308"/>
      <c r="AH7" s="308"/>
      <c r="AI7" s="308"/>
      <c r="AJ7" s="308"/>
      <c r="AK7" s="308"/>
      <c r="AL7" s="308"/>
      <c r="AM7" s="308"/>
      <c r="AN7" s="308"/>
      <c r="AO7" s="308"/>
      <c r="AP7" s="308"/>
      <c r="AQ7" s="308"/>
      <c r="AR7" s="308"/>
      <c r="AS7" s="308"/>
      <c r="AT7" s="308"/>
      <c r="AU7" s="308"/>
      <c r="AV7" s="308"/>
      <c r="AW7" s="308"/>
      <c r="AX7" s="308"/>
      <c r="AY7" s="308"/>
      <c r="AZ7" s="308"/>
      <c r="BA7" s="308"/>
      <c r="BB7" s="308"/>
      <c r="BC7" s="308"/>
      <c r="BD7" s="308"/>
      <c r="BE7" s="308"/>
      <c r="BF7" s="308"/>
      <c r="BG7" s="308"/>
      <c r="BH7" s="308"/>
      <c r="BI7" s="308"/>
      <c r="BJ7" s="308"/>
      <c r="BK7" s="308"/>
      <c r="BL7" s="308"/>
      <c r="BM7" s="308"/>
      <c r="BN7" s="308"/>
      <c r="BO7" s="308"/>
      <c r="BP7" s="308"/>
      <c r="BQ7" s="308"/>
      <c r="BR7" s="308"/>
      <c r="BS7" s="308"/>
      <c r="BT7" s="308"/>
      <c r="BU7" s="308"/>
      <c r="BV7" s="308"/>
      <c r="BW7" s="308"/>
      <c r="BX7" s="308"/>
      <c r="BY7" s="308"/>
      <c r="BZ7" s="308"/>
      <c r="CA7" s="308"/>
      <c r="CB7" s="308"/>
      <c r="CC7" s="308"/>
      <c r="CD7" s="308"/>
      <c r="CE7" s="308"/>
      <c r="CF7" s="308"/>
      <c r="CG7" s="308"/>
      <c r="CH7" s="308"/>
      <c r="CI7" s="308"/>
      <c r="CJ7" s="308"/>
      <c r="CK7" s="308"/>
      <c r="CL7" s="308"/>
      <c r="CM7" s="308"/>
      <c r="CN7" s="308"/>
      <c r="CO7" s="308"/>
      <c r="CP7" s="308"/>
      <c r="CQ7" s="308"/>
      <c r="CR7" s="308"/>
      <c r="CS7" s="308"/>
      <c r="CT7" s="308"/>
      <c r="CU7" s="308"/>
      <c r="CV7" s="308"/>
      <c r="CW7" s="308"/>
      <c r="CX7" s="308"/>
      <c r="CY7" s="308"/>
      <c r="CZ7" s="308"/>
      <c r="DA7" s="308"/>
      <c r="DB7" s="308"/>
      <c r="DC7" s="308"/>
      <c r="DD7" s="308"/>
      <c r="DE7" s="308"/>
      <c r="DF7" s="308"/>
      <c r="DG7" s="308"/>
      <c r="DH7" s="308"/>
      <c r="DI7" s="308"/>
      <c r="DJ7" s="308"/>
      <c r="DK7" s="308"/>
      <c r="DL7" s="308"/>
      <c r="DM7" s="308"/>
      <c r="DN7" s="308"/>
      <c r="DO7" s="308"/>
      <c r="DP7" s="308"/>
      <c r="DQ7" s="308"/>
      <c r="DR7" s="308"/>
      <c r="DS7" s="308"/>
      <c r="DT7" s="308"/>
      <c r="DU7" s="308"/>
      <c r="DV7" s="308"/>
      <c r="DW7" s="308"/>
      <c r="DX7" s="308"/>
      <c r="DY7" s="308"/>
      <c r="DZ7" s="308"/>
      <c r="EA7" s="308"/>
      <c r="EB7" s="308"/>
      <c r="EC7" s="308"/>
      <c r="ED7" s="308"/>
      <c r="EE7" s="308"/>
      <c r="EF7" s="308"/>
      <c r="EG7" s="308"/>
      <c r="EH7" s="308"/>
      <c r="EI7" s="308"/>
      <c r="EJ7" s="308"/>
      <c r="EK7" s="308"/>
      <c r="EL7" s="308"/>
      <c r="EM7" s="308"/>
      <c r="EN7" s="308"/>
      <c r="EO7" s="308"/>
      <c r="EP7" s="308"/>
      <c r="EQ7" s="308"/>
      <c r="ER7" s="308"/>
      <c r="ES7" s="308"/>
      <c r="ET7" s="308"/>
      <c r="EU7" s="308"/>
      <c r="EV7" s="308"/>
      <c r="EW7" s="308"/>
      <c r="EX7" s="308"/>
      <c r="EY7" s="308"/>
      <c r="EZ7" s="308"/>
      <c r="FA7" s="308"/>
      <c r="FB7" s="308"/>
      <c r="FC7" s="308"/>
      <c r="FD7" s="308"/>
      <c r="FE7" s="308"/>
      <c r="FF7" s="308"/>
      <c r="FG7" s="308"/>
      <c r="FH7" s="308"/>
      <c r="FI7" s="308"/>
      <c r="FJ7" s="308"/>
      <c r="FK7" s="308"/>
      <c r="FL7" s="308"/>
      <c r="FM7" s="308"/>
      <c r="FN7" s="308"/>
      <c r="FO7" s="308"/>
      <c r="FP7" s="308"/>
      <c r="FQ7" s="308"/>
      <c r="FR7" s="308"/>
      <c r="FS7" s="308"/>
      <c r="FT7" s="308"/>
      <c r="FU7" s="308"/>
      <c r="FV7" s="308"/>
      <c r="FW7" s="308"/>
      <c r="FX7" s="308"/>
      <c r="FY7" s="308"/>
      <c r="FZ7" s="308"/>
      <c r="GA7" s="308"/>
      <c r="GB7" s="308"/>
      <c r="GC7" s="308"/>
      <c r="GD7" s="308"/>
      <c r="GE7" s="308"/>
      <c r="GF7" s="308"/>
      <c r="GG7" s="308"/>
      <c r="GH7" s="308"/>
      <c r="GI7" s="308"/>
      <c r="GJ7" s="308"/>
      <c r="GK7" s="308"/>
      <c r="GL7" s="308"/>
      <c r="GM7" s="308"/>
      <c r="GN7" s="308"/>
      <c r="GO7" s="308"/>
      <c r="GP7" s="308"/>
      <c r="GQ7" s="308"/>
      <c r="GR7" s="308"/>
      <c r="GS7" s="308"/>
      <c r="GT7" s="308"/>
      <c r="GU7" s="308"/>
      <c r="GV7" s="308"/>
      <c r="GW7" s="308"/>
      <c r="GX7" s="308"/>
      <c r="GY7" s="308"/>
      <c r="GZ7" s="308"/>
      <c r="HA7" s="308"/>
      <c r="HB7" s="308"/>
      <c r="HC7" s="308"/>
      <c r="HD7" s="308"/>
      <c r="HE7" s="308"/>
      <c r="HF7" s="308"/>
      <c r="HG7" s="308"/>
      <c r="HH7" s="308"/>
      <c r="HI7" s="308"/>
      <c r="HJ7" s="308"/>
      <c r="HK7" s="308"/>
      <c r="HL7" s="308"/>
      <c r="HM7" s="308"/>
      <c r="HN7" s="308"/>
      <c r="HO7" s="308"/>
      <c r="HP7" s="308"/>
      <c r="HQ7" s="308"/>
      <c r="HR7" s="308"/>
      <c r="HS7" s="308"/>
      <c r="HT7" s="308"/>
      <c r="HU7" s="308"/>
      <c r="HV7" s="308"/>
      <c r="HW7" s="308"/>
      <c r="HX7" s="308"/>
      <c r="HY7" s="308"/>
      <c r="HZ7" s="308"/>
      <c r="IA7" s="308"/>
      <c r="IB7" s="308"/>
      <c r="IC7" s="308"/>
      <c r="ID7" s="308"/>
      <c r="IE7" s="308"/>
      <c r="IF7" s="308"/>
      <c r="IG7" s="308"/>
      <c r="IH7" s="308"/>
      <c r="II7" s="308"/>
      <c r="IJ7" s="308"/>
      <c r="IK7" s="308"/>
      <c r="IL7" s="308"/>
      <c r="IM7" s="308"/>
      <c r="IN7" s="308"/>
      <c r="IO7" s="308"/>
      <c r="IP7" s="308"/>
      <c r="IQ7" s="308"/>
      <c r="IR7" s="308"/>
      <c r="IS7" s="308"/>
      <c r="IT7" s="308"/>
      <c r="IU7" s="308"/>
      <c r="IV7" s="308"/>
      <c r="IW7" s="308"/>
      <c r="IX7" s="308"/>
    </row>
    <row r="8" spans="1:258" s="420" customFormat="1" ht="17.399999999999999" x14ac:dyDescent="0.3">
      <c r="A8" s="122" t="s">
        <v>249</v>
      </c>
      <c r="B8" s="150"/>
      <c r="C8" s="110">
        <f>SUM(C12:C23)</f>
        <v>1</v>
      </c>
      <c r="D8" s="269" t="s">
        <v>473</v>
      </c>
      <c r="E8" s="769">
        <f>IF($F$1="GWP100 without fb",E9+E10*'Common input data'!$C$5+E11*'Common input data'!$D$5,IF($F$1="GWP100 with fb",E9+E10*'Common input data'!$C$6+E11*'Common input data'!$D$6,IF($F$1="GTP100 without fb",E9+E10*'Common input data'!$C$7+E11*'Common input data'!$D$7,IF($F$1="GTP100 with fb",E9+E10*'Common input data'!$C$8+E11*'Common input data'!$D$8,E9+E10*'Common input data'!$C$9+E11*'Common input data'!$D$9))))</f>
        <v>-8.1934962819513457E-2</v>
      </c>
      <c r="F8" s="326">
        <f>IF($F$1="GWP100 without fb",F9+F10*'Common input data'!$C$5+F11*'Common input data'!$D$5,IF($F$1="GWP100 with fb",F9+F10*'Common input data'!$C$6+F11*'Common input data'!$D$6,IF($F$1="GTP100 without fb",F9+F10*'Common input data'!$C$7+F11*'Common input data'!$D$7,IF($F$1="GTP100 with fb",F9+F10*'Common input data'!$C$8+F11*'Common input data'!$D$8,F9+F10*'Common input data'!$C$9+F11*'Common input data'!$D$9))))</f>
        <v>7.1748730548717582E-2</v>
      </c>
      <c r="G8" s="770">
        <f>IF($F$1="GWP100 without fb",G9+G10*'Common input data'!$C$5+G11*'Common input data'!$D$5,IF($F$1="GWP100 with fb",G9+G10*'Common input data'!$C$6+G11*'Common input data'!$D$6,IF($F$1="GTP100 without fb",G9+G10*'Common input data'!$C$7+G11*'Common input data'!$D$7,IF($F$1="GTP100 with fb",G9+G10*'Common input data'!$C$8+G11*'Common input data'!$D$8,G9+G10*'Common input data'!$C$9+G11*'Common input data'!$D$9))))</f>
        <v>0.36967267042453472</v>
      </c>
      <c r="H8" s="302"/>
      <c r="I8" s="104"/>
      <c r="J8" s="104"/>
      <c r="K8" s="102"/>
      <c r="L8" s="102"/>
      <c r="M8" s="102"/>
      <c r="N8" s="102"/>
      <c r="O8" s="102"/>
      <c r="P8" s="102"/>
      <c r="Q8" s="102"/>
      <c r="R8" s="102"/>
      <c r="S8" s="102"/>
      <c r="T8" s="102"/>
      <c r="U8" s="102"/>
      <c r="V8" s="430"/>
      <c r="W8" s="243"/>
      <c r="X8" s="308"/>
      <c r="Y8" s="308"/>
      <c r="Z8" s="64"/>
      <c r="AA8" s="308"/>
      <c r="AB8" s="308"/>
      <c r="AC8" s="308"/>
      <c r="AD8" s="308"/>
      <c r="AE8" s="308"/>
      <c r="AF8" s="308"/>
      <c r="AG8" s="308"/>
      <c r="AH8" s="308"/>
      <c r="AI8" s="308"/>
      <c r="AJ8" s="308"/>
      <c r="AK8" s="308"/>
      <c r="AL8" s="308"/>
      <c r="AM8" s="308"/>
      <c r="AN8" s="308"/>
      <c r="AO8" s="308"/>
      <c r="AP8" s="308"/>
      <c r="AQ8" s="308"/>
      <c r="AR8" s="308"/>
      <c r="AS8" s="308"/>
      <c r="AT8" s="308"/>
      <c r="AU8" s="308"/>
      <c r="AV8" s="308"/>
      <c r="AW8" s="308"/>
      <c r="AX8" s="308"/>
      <c r="AY8" s="308"/>
      <c r="AZ8" s="308"/>
      <c r="BA8" s="308"/>
      <c r="BB8" s="308"/>
      <c r="BC8" s="308"/>
      <c r="BD8" s="308"/>
      <c r="BE8" s="308"/>
      <c r="BF8" s="308"/>
      <c r="BG8" s="308"/>
      <c r="BH8" s="308"/>
      <c r="BI8" s="308"/>
      <c r="BJ8" s="308"/>
      <c r="BK8" s="308"/>
      <c r="BL8" s="308"/>
      <c r="BM8" s="308"/>
      <c r="BN8" s="308"/>
      <c r="BO8" s="308"/>
      <c r="BP8" s="308"/>
      <c r="BQ8" s="308"/>
      <c r="BR8" s="308"/>
      <c r="BS8" s="308"/>
      <c r="BT8" s="308"/>
      <c r="BU8" s="308"/>
      <c r="BV8" s="308"/>
      <c r="BW8" s="308"/>
      <c r="BX8" s="308"/>
      <c r="BY8" s="308"/>
      <c r="BZ8" s="308"/>
      <c r="CA8" s="308"/>
      <c r="CB8" s="308"/>
      <c r="CC8" s="308"/>
      <c r="CD8" s="308"/>
      <c r="CE8" s="308"/>
      <c r="CF8" s="308"/>
      <c r="CG8" s="308"/>
      <c r="CH8" s="308"/>
      <c r="CI8" s="308"/>
      <c r="CJ8" s="308"/>
      <c r="CK8" s="308"/>
      <c r="CL8" s="308"/>
      <c r="CM8" s="308"/>
      <c r="CN8" s="308"/>
      <c r="CO8" s="308"/>
      <c r="CP8" s="308"/>
      <c r="CQ8" s="308"/>
      <c r="CR8" s="308"/>
      <c r="CS8" s="308"/>
      <c r="CT8" s="308"/>
      <c r="CU8" s="308"/>
      <c r="CV8" s="308"/>
      <c r="CW8" s="308"/>
      <c r="CX8" s="308"/>
      <c r="CY8" s="308"/>
      <c r="CZ8" s="308"/>
      <c r="DA8" s="308"/>
      <c r="DB8" s="308"/>
      <c r="DC8" s="308"/>
      <c r="DD8" s="308"/>
      <c r="DE8" s="308"/>
      <c r="DF8" s="308"/>
      <c r="DG8" s="308"/>
      <c r="DH8" s="308"/>
      <c r="DI8" s="308"/>
      <c r="DJ8" s="308"/>
      <c r="DK8" s="308"/>
      <c r="DL8" s="308"/>
      <c r="DM8" s="308"/>
      <c r="DN8" s="308"/>
      <c r="DO8" s="308"/>
      <c r="DP8" s="308"/>
      <c r="DQ8" s="308"/>
      <c r="DR8" s="308"/>
      <c r="DS8" s="308"/>
      <c r="DT8" s="308"/>
      <c r="DU8" s="308"/>
      <c r="DV8" s="308"/>
      <c r="DW8" s="308"/>
      <c r="DX8" s="308"/>
      <c r="DY8" s="308"/>
      <c r="DZ8" s="308"/>
      <c r="EA8" s="308"/>
      <c r="EB8" s="308"/>
      <c r="EC8" s="308"/>
      <c r="ED8" s="308"/>
      <c r="EE8" s="308"/>
      <c r="EF8" s="308"/>
      <c r="EG8" s="308"/>
      <c r="EH8" s="308"/>
      <c r="EI8" s="308"/>
      <c r="EJ8" s="308"/>
      <c r="EK8" s="308"/>
      <c r="EL8" s="308"/>
      <c r="EM8" s="308"/>
      <c r="EN8" s="308"/>
      <c r="EO8" s="308"/>
      <c r="EP8" s="308"/>
      <c r="EQ8" s="308"/>
      <c r="ER8" s="308"/>
      <c r="ES8" s="308"/>
      <c r="ET8" s="308"/>
      <c r="EU8" s="308"/>
      <c r="EV8" s="308"/>
      <c r="EW8" s="308"/>
      <c r="EX8" s="308"/>
      <c r="EY8" s="308"/>
      <c r="EZ8" s="308"/>
      <c r="FA8" s="308"/>
      <c r="FB8" s="308"/>
      <c r="FC8" s="308"/>
      <c r="FD8" s="308"/>
      <c r="FE8" s="308"/>
      <c r="FF8" s="308"/>
      <c r="FG8" s="308"/>
      <c r="FH8" s="308"/>
      <c r="FI8" s="308"/>
      <c r="FJ8" s="308"/>
      <c r="FK8" s="308"/>
      <c r="FL8" s="308"/>
      <c r="FM8" s="308"/>
      <c r="FN8" s="308"/>
      <c r="FO8" s="308"/>
      <c r="FP8" s="308"/>
      <c r="FQ8" s="308"/>
      <c r="FR8" s="308"/>
      <c r="FS8" s="308"/>
      <c r="FT8" s="308"/>
      <c r="FU8" s="308"/>
      <c r="FV8" s="308"/>
      <c r="FW8" s="308"/>
      <c r="FX8" s="308"/>
      <c r="FY8" s="308"/>
      <c r="FZ8" s="308"/>
      <c r="GA8" s="308"/>
      <c r="GB8" s="308"/>
      <c r="GC8" s="308"/>
      <c r="GD8" s="308"/>
      <c r="GE8" s="308"/>
      <c r="GF8" s="308"/>
      <c r="GG8" s="308"/>
      <c r="GH8" s="308"/>
      <c r="GI8" s="308"/>
      <c r="GJ8" s="308"/>
      <c r="GK8" s="308"/>
      <c r="GL8" s="308"/>
      <c r="GM8" s="308"/>
      <c r="GN8" s="308"/>
      <c r="GO8" s="308"/>
      <c r="GP8" s="308"/>
      <c r="GQ8" s="308"/>
      <c r="GR8" s="308"/>
      <c r="GS8" s="308"/>
      <c r="GT8" s="308"/>
      <c r="GU8" s="308"/>
      <c r="GV8" s="308"/>
      <c r="GW8" s="308"/>
      <c r="GX8" s="308"/>
      <c r="GY8" s="308"/>
      <c r="GZ8" s="308"/>
      <c r="HA8" s="308"/>
      <c r="HB8" s="308"/>
      <c r="HC8" s="308"/>
      <c r="HD8" s="308"/>
      <c r="HE8" s="308"/>
      <c r="HF8" s="308"/>
      <c r="HG8" s="308"/>
      <c r="HH8" s="308"/>
      <c r="HI8" s="308"/>
      <c r="HJ8" s="308"/>
      <c r="HK8" s="308"/>
      <c r="HL8" s="308"/>
      <c r="HM8" s="308"/>
      <c r="HN8" s="308"/>
      <c r="HO8" s="308"/>
      <c r="HP8" s="308"/>
      <c r="HQ8" s="308"/>
      <c r="HR8" s="308"/>
      <c r="HS8" s="308"/>
      <c r="HT8" s="308"/>
      <c r="HU8" s="308"/>
      <c r="HV8" s="308"/>
      <c r="HW8" s="308"/>
      <c r="HX8" s="308"/>
      <c r="HY8" s="308"/>
      <c r="HZ8" s="308"/>
      <c r="IA8" s="308"/>
      <c r="IB8" s="308"/>
      <c r="IC8" s="308"/>
      <c r="ID8" s="308"/>
      <c r="IE8" s="308"/>
      <c r="IF8" s="308"/>
      <c r="IG8" s="308"/>
      <c r="IH8" s="308"/>
      <c r="II8" s="308"/>
      <c r="IJ8" s="308"/>
      <c r="IK8" s="308"/>
      <c r="IL8" s="308"/>
      <c r="IM8" s="308"/>
      <c r="IN8" s="308"/>
      <c r="IO8" s="308"/>
      <c r="IP8" s="308"/>
      <c r="IQ8" s="308"/>
      <c r="IR8" s="308"/>
      <c r="IS8" s="308"/>
      <c r="IT8" s="308"/>
      <c r="IU8" s="308"/>
      <c r="IV8" s="308"/>
      <c r="IW8" s="308"/>
      <c r="IX8" s="308"/>
    </row>
    <row r="9" spans="1:258" s="308" customFormat="1" ht="17.399999999999999" x14ac:dyDescent="0.3">
      <c r="A9" s="103"/>
      <c r="B9" s="84"/>
      <c r="C9" s="64"/>
      <c r="D9" s="83" t="s">
        <v>164</v>
      </c>
      <c r="E9" s="270">
        <f>E13*$C$12+E17*$C$16+$C$20*E21</f>
        <v>-9.1139048141381296E-2</v>
      </c>
      <c r="F9" s="90">
        <f>F13*$C$12+F17*$C$16+$C$20*F21</f>
        <v>5.4110353020489256E-2</v>
      </c>
      <c r="G9" s="278">
        <f>G13*$C$12+G17*$C$16+$C$20*G21</f>
        <v>0.34862197520048849</v>
      </c>
      <c r="H9" s="90">
        <f>H13*$C$12+H17*$C$16+$C$20*H21</f>
        <v>4.6779734599610781E-3</v>
      </c>
      <c r="I9" s="90">
        <f t="shared" ref="H9:U11" si="0">I13*$C$12+I17*$C$16+$C$20*I21</f>
        <v>0.03</v>
      </c>
      <c r="J9" s="90">
        <f t="shared" si="0"/>
        <v>0</v>
      </c>
      <c r="K9" s="90">
        <f t="shared" si="0"/>
        <v>0</v>
      </c>
      <c r="L9" s="90">
        <f t="shared" si="0"/>
        <v>6.0571427701909465E-2</v>
      </c>
      <c r="M9" s="90">
        <f t="shared" si="0"/>
        <v>0</v>
      </c>
      <c r="N9" s="90">
        <f t="shared" si="0"/>
        <v>0.05</v>
      </c>
      <c r="O9" s="90">
        <f t="shared" si="0"/>
        <v>0</v>
      </c>
      <c r="P9" s="90">
        <f t="shared" si="0"/>
        <v>-9.1139048141381296E-2</v>
      </c>
      <c r="Q9" s="90">
        <f t="shared" si="0"/>
        <v>0</v>
      </c>
      <c r="R9" s="90">
        <f t="shared" si="0"/>
        <v>0</v>
      </c>
      <c r="S9" s="90">
        <f t="shared" si="0"/>
        <v>5.4110353020489256E-2</v>
      </c>
      <c r="T9" s="90">
        <f t="shared" si="0"/>
        <v>0.05</v>
      </c>
      <c r="U9" s="90">
        <f>U13*$C$12+U17*$C$16+$C$20*U21</f>
        <v>0.18800000000000003</v>
      </c>
      <c r="V9" s="430"/>
      <c r="W9" s="243"/>
      <c r="Z9" s="64"/>
    </row>
    <row r="10" spans="1:258" s="308" customFormat="1" ht="17.399999999999999" x14ac:dyDescent="0.3">
      <c r="A10" s="103"/>
      <c r="B10" s="84"/>
      <c r="C10" s="142"/>
      <c r="D10" s="83" t="s">
        <v>165</v>
      </c>
      <c r="E10" s="270">
        <f t="shared" ref="E10:G11" si="1">E14*$C$12+E18*$C$16+$C$20*E22</f>
        <v>0</v>
      </c>
      <c r="F10" s="90">
        <f t="shared" si="1"/>
        <v>2.6831118250505438E-5</v>
      </c>
      <c r="G10" s="278">
        <f t="shared" si="1"/>
        <v>3.20218620963187E-5</v>
      </c>
      <c r="H10" s="90">
        <f t="shared" si="0"/>
        <v>1.8229230209604988E-11</v>
      </c>
      <c r="I10" s="90">
        <f t="shared" si="0"/>
        <v>0</v>
      </c>
      <c r="J10" s="90">
        <f t="shared" si="0"/>
        <v>0</v>
      </c>
      <c r="K10" s="90">
        <f t="shared" si="0"/>
        <v>0</v>
      </c>
      <c r="L10" s="90">
        <f t="shared" si="0"/>
        <v>2.6831100021275226E-5</v>
      </c>
      <c r="M10" s="90">
        <f t="shared" si="0"/>
        <v>0</v>
      </c>
      <c r="N10" s="90">
        <f t="shared" si="0"/>
        <v>0</v>
      </c>
      <c r="O10" s="90">
        <f t="shared" si="0"/>
        <v>0</v>
      </c>
      <c r="P10" s="90">
        <f t="shared" si="0"/>
        <v>0</v>
      </c>
      <c r="Q10" s="90">
        <f t="shared" si="0"/>
        <v>0</v>
      </c>
      <c r="R10" s="90">
        <f t="shared" si="0"/>
        <v>0</v>
      </c>
      <c r="S10" s="90">
        <f t="shared" si="0"/>
        <v>2.6831118250505438E-5</v>
      </c>
      <c r="T10" s="90">
        <f t="shared" si="0"/>
        <v>0</v>
      </c>
      <c r="U10" s="90">
        <f t="shared" si="0"/>
        <v>0</v>
      </c>
      <c r="V10" s="430"/>
      <c r="W10" s="243"/>
      <c r="Z10" s="64"/>
    </row>
    <row r="11" spans="1:258" s="308" customFormat="1" ht="17.399999999999999" x14ac:dyDescent="0.3">
      <c r="A11" s="107"/>
      <c r="B11" s="206"/>
      <c r="C11" s="85"/>
      <c r="D11" s="84" t="s">
        <v>166</v>
      </c>
      <c r="E11" s="270">
        <f t="shared" si="1"/>
        <v>3.0886192355261184E-5</v>
      </c>
      <c r="F11" s="90">
        <f t="shared" si="1"/>
        <v>5.6127917811111196E-5</v>
      </c>
      <c r="G11" s="278">
        <f t="shared" si="1"/>
        <v>6.6986415814669059E-5</v>
      </c>
      <c r="H11" s="90">
        <f t="shared" si="0"/>
        <v>2.3614147577663829E-5</v>
      </c>
      <c r="I11" s="90">
        <f t="shared" si="0"/>
        <v>0</v>
      </c>
      <c r="J11" s="90">
        <f t="shared" si="0"/>
        <v>2.8078356686601077E-5</v>
      </c>
      <c r="K11" s="90">
        <f t="shared" si="0"/>
        <v>2.8078356686601078E-6</v>
      </c>
      <c r="L11" s="90">
        <f t="shared" si="0"/>
        <v>1.6275778781861868E-6</v>
      </c>
      <c r="M11" s="90">
        <f t="shared" si="0"/>
        <v>0</v>
      </c>
      <c r="N11" s="90">
        <f t="shared" si="0"/>
        <v>0</v>
      </c>
      <c r="O11" s="90">
        <f t="shared" si="0"/>
        <v>0</v>
      </c>
      <c r="P11" s="90">
        <f t="shared" si="0"/>
        <v>0</v>
      </c>
      <c r="Q11" s="90">
        <f t="shared" si="0"/>
        <v>0</v>
      </c>
      <c r="R11" s="90">
        <f t="shared" si="0"/>
        <v>0</v>
      </c>
      <c r="S11" s="90">
        <f t="shared" si="0"/>
        <v>5.6127917811111196E-5</v>
      </c>
      <c r="T11" s="90">
        <f t="shared" si="0"/>
        <v>0</v>
      </c>
      <c r="U11" s="90">
        <f t="shared" si="0"/>
        <v>0</v>
      </c>
      <c r="V11" s="430"/>
      <c r="W11" s="243"/>
      <c r="Z11" s="64"/>
    </row>
    <row r="12" spans="1:258" s="420" customFormat="1" ht="17.399999999999999" x14ac:dyDescent="0.3">
      <c r="A12" s="122" t="s">
        <v>1</v>
      </c>
      <c r="B12" s="150" t="s">
        <v>225</v>
      </c>
      <c r="C12" s="111">
        <f>'Input data plant-based products'!D66</f>
        <v>0.21</v>
      </c>
      <c r="D12" s="269" t="s">
        <v>473</v>
      </c>
      <c r="E12" s="320">
        <f>IF($F$1="GWP100 without fb",E13+E14*'Common input data'!$C$5+E15*'Common input data'!$D$5,IF($F$1="GWP100 with fb",E13+E14*'Common input data'!$C$6+E15*'Common input data'!$D$6,IF($F$1="GTP100 without fb",E13+E14*'Common input data'!$C$7+E15*'Common input data'!$D$7,IF($F$1="GTP100 with fb",E13+E14*'Common input data'!$C$8+E15*'Common input data'!$D$8,E13+E14*'Common input data'!$C$9+E15*'Common input data'!$D$9))))</f>
        <v>-7.761267663111529E-2</v>
      </c>
      <c r="F12" s="302">
        <f>IF($F$1="GWP100 without fb",F13+F14*'Common input data'!$C$5+F15*'Common input data'!$D$5,IF($F$1="GWP100 with fb",F13+F14*'Common input data'!$C$6+F15*'Common input data'!$D$6,IF($F$1="GTP100 without fb",F13+F14*'Common input data'!$C$7+F15*'Common input data'!$D$7,IF($F$1="GTP100 with fb",F13+F14*'Common input data'!$C$8+F15*'Common input data'!$D$8,F13+F14*'Common input data'!$C$9+F15*'Common input data'!$D$9))))</f>
        <v>8.8745675997805307E-2</v>
      </c>
      <c r="G12" s="321">
        <f>IF($F$1="GWP100 without fb",G13+G14*'Common input data'!$C$5+G15*'Common input data'!$D$5,IF($F$1="GWP100 with fb",G13+G14*'Common input data'!$C$6+G15*'Common input data'!$D$6,IF($F$1="GTP100 without fb",G13+G14*'Common input data'!$C$7+G15*'Common input data'!$D$7,IF($F$1="GTP100 with fb",G13+G14*'Common input data'!$C$8+G15*'Common input data'!$D$8,G13+G14*'Common input data'!$C$9+G15*'Common input data'!$D$9))))</f>
        <v>0.20139118748992166</v>
      </c>
      <c r="H12" s="102"/>
      <c r="I12" s="102"/>
      <c r="J12" s="102"/>
      <c r="K12" s="102"/>
      <c r="L12" s="102"/>
      <c r="M12" s="102"/>
      <c r="N12" s="102"/>
      <c r="O12" s="102"/>
      <c r="P12" s="102"/>
      <c r="Q12" s="102"/>
      <c r="R12" s="102"/>
      <c r="S12" s="102"/>
      <c r="T12" s="102"/>
      <c r="U12" s="102"/>
      <c r="V12" s="430"/>
      <c r="W12" s="243"/>
      <c r="X12" s="308"/>
      <c r="Y12" s="308"/>
      <c r="Z12" s="64"/>
      <c r="AA12" s="308"/>
      <c r="AB12" s="308"/>
      <c r="AC12" s="308"/>
      <c r="AD12" s="308"/>
      <c r="AE12" s="308"/>
      <c r="AF12" s="308"/>
      <c r="AG12" s="308"/>
      <c r="AH12" s="308"/>
      <c r="AI12" s="308"/>
      <c r="AJ12" s="308"/>
      <c r="AK12" s="308"/>
      <c r="AL12" s="308"/>
      <c r="AM12" s="308"/>
      <c r="AN12" s="308"/>
      <c r="AO12" s="308"/>
      <c r="AP12" s="308"/>
      <c r="AQ12" s="308"/>
      <c r="AR12" s="308"/>
      <c r="AS12" s="308"/>
      <c r="AT12" s="308"/>
      <c r="AU12" s="308"/>
      <c r="AV12" s="308"/>
      <c r="AW12" s="308"/>
      <c r="AX12" s="308"/>
      <c r="AY12" s="308"/>
      <c r="AZ12" s="308"/>
      <c r="BA12" s="308"/>
      <c r="BB12" s="308"/>
      <c r="BC12" s="308"/>
      <c r="BD12" s="308"/>
      <c r="BE12" s="308"/>
      <c r="BF12" s="308"/>
      <c r="BG12" s="308"/>
      <c r="BH12" s="308"/>
      <c r="BI12" s="308"/>
      <c r="BJ12" s="308"/>
      <c r="BK12" s="308"/>
      <c r="BL12" s="308"/>
      <c r="BM12" s="308"/>
      <c r="BN12" s="308"/>
      <c r="BO12" s="308"/>
      <c r="BP12" s="308"/>
      <c r="BQ12" s="308"/>
      <c r="BR12" s="308"/>
      <c r="BS12" s="308"/>
      <c r="BT12" s="308"/>
      <c r="BU12" s="308"/>
      <c r="BV12" s="308"/>
      <c r="BW12" s="308"/>
      <c r="BX12" s="308"/>
      <c r="BY12" s="308"/>
      <c r="BZ12" s="308"/>
      <c r="CA12" s="308"/>
      <c r="CB12" s="308"/>
      <c r="CC12" s="308"/>
      <c r="CD12" s="308"/>
      <c r="CE12" s="308"/>
      <c r="CF12" s="308"/>
      <c r="CG12" s="308"/>
      <c r="CH12" s="308"/>
      <c r="CI12" s="308"/>
      <c r="CJ12" s="308"/>
      <c r="CK12" s="308"/>
      <c r="CL12" s="308"/>
      <c r="CM12" s="308"/>
      <c r="CN12" s="308"/>
      <c r="CO12" s="308"/>
      <c r="CP12" s="308"/>
      <c r="CQ12" s="308"/>
      <c r="CR12" s="308"/>
      <c r="CS12" s="308"/>
      <c r="CT12" s="308"/>
      <c r="CU12" s="308"/>
      <c r="CV12" s="308"/>
      <c r="CW12" s="308"/>
      <c r="CX12" s="308"/>
      <c r="CY12" s="308"/>
      <c r="CZ12" s="308"/>
      <c r="DA12" s="308"/>
      <c r="DB12" s="308"/>
      <c r="DC12" s="308"/>
      <c r="DD12" s="308"/>
      <c r="DE12" s="308"/>
      <c r="DF12" s="308"/>
      <c r="DG12" s="308"/>
      <c r="DH12" s="308"/>
      <c r="DI12" s="308"/>
      <c r="DJ12" s="308"/>
      <c r="DK12" s="308"/>
      <c r="DL12" s="308"/>
      <c r="DM12" s="308"/>
      <c r="DN12" s="308"/>
      <c r="DO12" s="308"/>
      <c r="DP12" s="308"/>
      <c r="DQ12" s="308"/>
      <c r="DR12" s="308"/>
      <c r="DS12" s="308"/>
      <c r="DT12" s="308"/>
      <c r="DU12" s="308"/>
      <c r="DV12" s="308"/>
      <c r="DW12" s="308"/>
      <c r="DX12" s="308"/>
      <c r="DY12" s="308"/>
      <c r="DZ12" s="308"/>
      <c r="EA12" s="308"/>
      <c r="EB12" s="308"/>
      <c r="EC12" s="308"/>
      <c r="ED12" s="308"/>
      <c r="EE12" s="308"/>
      <c r="EF12" s="308"/>
      <c r="EG12" s="308"/>
      <c r="EH12" s="308"/>
      <c r="EI12" s="308"/>
      <c r="EJ12" s="308"/>
      <c r="EK12" s="308"/>
      <c r="EL12" s="308"/>
      <c r="EM12" s="308"/>
      <c r="EN12" s="308"/>
      <c r="EO12" s="308"/>
      <c r="EP12" s="308"/>
      <c r="EQ12" s="308"/>
      <c r="ER12" s="308"/>
      <c r="ES12" s="308"/>
      <c r="ET12" s="308"/>
      <c r="EU12" s="308"/>
      <c r="EV12" s="308"/>
      <c r="EW12" s="308"/>
      <c r="EX12" s="308"/>
      <c r="EY12" s="308"/>
      <c r="EZ12" s="308"/>
      <c r="FA12" s="308"/>
      <c r="FB12" s="308"/>
      <c r="FC12" s="308"/>
      <c r="FD12" s="308"/>
      <c r="FE12" s="308"/>
      <c r="FF12" s="308"/>
      <c r="FG12" s="308"/>
      <c r="FH12" s="308"/>
      <c r="FI12" s="308"/>
      <c r="FJ12" s="308"/>
      <c r="FK12" s="308"/>
      <c r="FL12" s="308"/>
      <c r="FM12" s="308"/>
      <c r="FN12" s="308"/>
      <c r="FO12" s="308"/>
      <c r="FP12" s="308"/>
      <c r="FQ12" s="308"/>
      <c r="FR12" s="308"/>
      <c r="FS12" s="308"/>
      <c r="FT12" s="308"/>
      <c r="FU12" s="308"/>
      <c r="FV12" s="308"/>
      <c r="FW12" s="308"/>
      <c r="FX12" s="308"/>
      <c r="FY12" s="308"/>
      <c r="FZ12" s="308"/>
      <c r="GA12" s="308"/>
      <c r="GB12" s="308"/>
      <c r="GC12" s="308"/>
      <c r="GD12" s="308"/>
      <c r="GE12" s="308"/>
      <c r="GF12" s="308"/>
      <c r="GG12" s="308"/>
      <c r="GH12" s="308"/>
      <c r="GI12" s="308"/>
      <c r="GJ12" s="308"/>
      <c r="GK12" s="308"/>
      <c r="GL12" s="308"/>
      <c r="GM12" s="308"/>
      <c r="GN12" s="308"/>
      <c r="GO12" s="308"/>
      <c r="GP12" s="308"/>
      <c r="GQ12" s="308"/>
      <c r="GR12" s="308"/>
      <c r="GS12" s="308"/>
      <c r="GT12" s="308"/>
      <c r="GU12" s="308"/>
      <c r="GV12" s="308"/>
      <c r="GW12" s="308"/>
      <c r="GX12" s="308"/>
      <c r="GY12" s="308"/>
      <c r="GZ12" s="308"/>
      <c r="HA12" s="308"/>
      <c r="HB12" s="308"/>
      <c r="HC12" s="308"/>
      <c r="HD12" s="308"/>
      <c r="HE12" s="308"/>
      <c r="HF12" s="308"/>
      <c r="HG12" s="308"/>
      <c r="HH12" s="308"/>
      <c r="HI12" s="308"/>
      <c r="HJ12" s="308"/>
      <c r="HK12" s="308"/>
      <c r="HL12" s="308"/>
      <c r="HM12" s="308"/>
      <c r="HN12" s="308"/>
      <c r="HO12" s="308"/>
      <c r="HP12" s="308"/>
      <c r="HQ12" s="308"/>
      <c r="HR12" s="308"/>
      <c r="HS12" s="308"/>
      <c r="HT12" s="308"/>
      <c r="HU12" s="308"/>
      <c r="HV12" s="308"/>
      <c r="HW12" s="308"/>
      <c r="HX12" s="308"/>
      <c r="HY12" s="308"/>
      <c r="HZ12" s="308"/>
      <c r="IA12" s="308"/>
      <c r="IB12" s="308"/>
      <c r="IC12" s="308"/>
      <c r="ID12" s="308"/>
      <c r="IE12" s="308"/>
      <c r="IF12" s="308"/>
      <c r="IG12" s="308"/>
      <c r="IH12" s="308"/>
      <c r="II12" s="308"/>
      <c r="IJ12" s="308"/>
      <c r="IK12" s="308"/>
      <c r="IL12" s="308"/>
      <c r="IM12" s="308"/>
      <c r="IN12" s="308"/>
      <c r="IO12" s="308"/>
      <c r="IP12" s="308"/>
      <c r="IQ12" s="308"/>
      <c r="IR12" s="308"/>
      <c r="IS12" s="308"/>
      <c r="IT12" s="308"/>
      <c r="IU12" s="308"/>
      <c r="IV12" s="308"/>
      <c r="IW12" s="308"/>
      <c r="IX12" s="308"/>
    </row>
    <row r="13" spans="1:258" s="308" customFormat="1" ht="17.399999999999999" x14ac:dyDescent="0.3">
      <c r="A13" s="103"/>
      <c r="B13" s="84"/>
      <c r="C13" s="64"/>
      <c r="D13" s="83" t="s">
        <v>164</v>
      </c>
      <c r="E13" s="270">
        <f>IF(AND($F$2="No",$F$3="No"),SUM(J13:K13),IF(AND($F$2="Yes", $F$3="No"), SUM(J13:K13)+Q13, IF(AND($F$2="No", $F$3="Yes"),SUM(J13:K13)+P13, SUM(J13:K13)+Q13+P13)))</f>
        <v>-9.1139048141381296E-2</v>
      </c>
      <c r="F13" s="90">
        <f>IF(AND($F$2="No",$F$3="No"),SUM(H13:O13),IF(AND($F$2="Yes", $F$3="No"), SUM(H13:O13)+Q13, IF(AND($F$2="No", $F$3="Yes"),SUM(H13:O13)+P13, SUM(H13:O13)+Q13+P13)))</f>
        <v>6.5624581444365448E-2</v>
      </c>
      <c r="G13" s="278">
        <f>SUM(S13:U13)/(1-'Common input data'!$B$121)</f>
        <v>0.1737970896817824</v>
      </c>
      <c r="H13" s="90">
        <f>('Input data plant-based products'!$F$66*('Common input data'!$B$76*'Common input data'!B69+'Common input data'!$B$77*'Common input data'!C69))/'Input data plant-based products'!$E$66</f>
        <v>6.5895734499003319E-3</v>
      </c>
      <c r="I13" s="90">
        <f>'Common input data'!$B$81</f>
        <v>0.03</v>
      </c>
      <c r="J13" s="90">
        <v>0</v>
      </c>
      <c r="K13" s="90">
        <v>0</v>
      </c>
      <c r="L13" s="90">
        <f>('Input data plant-based products'!$I$66*'Common input data'!$C$59*'Common input data'!H49)/'Input data plant-based products'!$E$66</f>
        <v>7.0174056135846416E-2</v>
      </c>
      <c r="M13" s="90">
        <v>0</v>
      </c>
      <c r="N13" s="90">
        <f>'Input data plant-based products'!F$152</f>
        <v>0.05</v>
      </c>
      <c r="O13" s="90">
        <v>0</v>
      </c>
      <c r="P13" s="90">
        <f>'Common input data'!$F$13</f>
        <v>-9.1139048141381296E-2</v>
      </c>
      <c r="Q13" s="90">
        <v>0</v>
      </c>
      <c r="R13" s="90">
        <v>0</v>
      </c>
      <c r="S13" s="90">
        <f>F13+R13</f>
        <v>6.5624581444365448E-2</v>
      </c>
      <c r="T13" s="90">
        <f>'Common input data'!$B$88</f>
        <v>0.05</v>
      </c>
      <c r="U13" s="90">
        <f>'Common input data'!C98</f>
        <v>0.03</v>
      </c>
      <c r="V13" s="430"/>
      <c r="W13" s="243"/>
      <c r="Z13" s="64"/>
    </row>
    <row r="14" spans="1:258" s="308" customFormat="1" ht="17.399999999999999" x14ac:dyDescent="0.3">
      <c r="A14" s="107"/>
      <c r="B14" s="84"/>
      <c r="C14" s="142"/>
      <c r="D14" s="83" t="s">
        <v>165</v>
      </c>
      <c r="E14" s="270">
        <f>SUM(J14:K14)</f>
        <v>0</v>
      </c>
      <c r="F14" s="90">
        <f>SUM(H14:O14)</f>
        <v>3.1084758261539355E-5</v>
      </c>
      <c r="G14" s="278">
        <f>SUM(S14:U14)/(1-'Common input data'!$B$121)</f>
        <v>3.7098410623629733E-5</v>
      </c>
      <c r="H14" s="90">
        <f>('Input data plant-based products'!$F$66*('Common input data'!$B$76*'Common input data'!B70+'Common input data'!$B$77*'Common input data'!C70))/'Input data plant-based products'!$E$66</f>
        <v>1.7641827624438352E-11</v>
      </c>
      <c r="I14" s="90">
        <v>0</v>
      </c>
      <c r="J14" s="90">
        <v>0</v>
      </c>
      <c r="K14" s="90">
        <v>0</v>
      </c>
      <c r="L14" s="90">
        <f>('Input data plant-based products'!$I$66*'Common input data'!$C$59*'Common input data'!H50)/'Input data plant-based products'!$E$66</f>
        <v>3.1084740619711734E-5</v>
      </c>
      <c r="M14" s="90">
        <v>0</v>
      </c>
      <c r="N14" s="90">
        <v>0</v>
      </c>
      <c r="O14" s="90">
        <v>0</v>
      </c>
      <c r="P14" s="90">
        <v>0</v>
      </c>
      <c r="Q14" s="90">
        <v>0</v>
      </c>
      <c r="R14" s="90">
        <v>0</v>
      </c>
      <c r="S14" s="90">
        <f>F14+R14</f>
        <v>3.1084758261539355E-5</v>
      </c>
      <c r="T14" s="90">
        <v>0</v>
      </c>
      <c r="U14" s="90">
        <v>0</v>
      </c>
      <c r="V14" s="430"/>
      <c r="W14" s="243"/>
      <c r="Z14" s="64"/>
    </row>
    <row r="15" spans="1:258" s="308" customFormat="1" ht="17.399999999999999" x14ac:dyDescent="0.3">
      <c r="A15" s="174"/>
      <c r="B15" s="206"/>
      <c r="C15" s="85"/>
      <c r="D15" s="84" t="s">
        <v>166</v>
      </c>
      <c r="E15" s="270">
        <f>SUM(J15:K15)</f>
        <v>4.5390508423711441E-5</v>
      </c>
      <c r="F15" s="90">
        <f>SUM(H15:O15)</f>
        <v>7.4040982458213202E-5</v>
      </c>
      <c r="G15" s="278">
        <f>SUM(S15:U15)/(1-'Common input data'!$B$121)</f>
        <v>8.8364939083677299E-5</v>
      </c>
      <c r="H15" s="90">
        <f>('Input data plant-based products'!$F$66*('Common input data'!$B$76*'Common input data'!B71+'Common input data'!$B$77*'Common input data'!C71))/'Input data plant-based products'!$E$66</f>
        <v>2.6764869786383654E-5</v>
      </c>
      <c r="I15" s="90">
        <v>0</v>
      </c>
      <c r="J15" s="90">
        <f>(SUM('Input data plant-based products'!F66:H66)*'Input data plant-based products'!$B$114*44/28)/'Input data plant-based products'!E66</f>
        <v>4.1264098567010399E-5</v>
      </c>
      <c r="K15" s="90">
        <f>J15*'Input data plant-based products'!$B$115</f>
        <v>4.1264098567010402E-6</v>
      </c>
      <c r="L15" s="90">
        <f>('Input data plant-based products'!$I$66*'Common input data'!$C$59*'Common input data'!H51)/'Input data plant-based products'!$E$66</f>
        <v>1.8856042481181073E-6</v>
      </c>
      <c r="M15" s="90">
        <v>0</v>
      </c>
      <c r="N15" s="90">
        <v>0</v>
      </c>
      <c r="O15" s="90">
        <v>0</v>
      </c>
      <c r="P15" s="90">
        <v>0</v>
      </c>
      <c r="Q15" s="90">
        <v>0</v>
      </c>
      <c r="R15" s="90">
        <v>0</v>
      </c>
      <c r="S15" s="90">
        <f>F15+R15</f>
        <v>7.4040982458213202E-5</v>
      </c>
      <c r="T15" s="90">
        <v>0</v>
      </c>
      <c r="U15" s="90">
        <v>0</v>
      </c>
      <c r="V15" s="430"/>
      <c r="W15" s="243"/>
      <c r="Z15" s="64"/>
    </row>
    <row r="16" spans="1:258" s="420" customFormat="1" ht="17.399999999999999" x14ac:dyDescent="0.3">
      <c r="A16" s="122" t="s">
        <v>66</v>
      </c>
      <c r="B16" s="150" t="s">
        <v>225</v>
      </c>
      <c r="C16" s="111">
        <f>'Input data plant-based products'!D67</f>
        <v>0.3</v>
      </c>
      <c r="D16" s="269" t="s">
        <v>473</v>
      </c>
      <c r="E16" s="320">
        <f>IF($F$1="GWP100 without fb",E17+E18*'Common input data'!$C$5+E19*'Common input data'!$D$5,IF($F$1="GWP100 with fb",E17+E18*'Common input data'!$C$6+E19*'Common input data'!$D$6,IF($F$1="GTP100 without fb",E17+E18*'Common input data'!$C$7+E19*'Common input data'!$D$7,IF($F$1="GTP100 with fb",E17+E18*'Common input data'!$C$8+E19*'Common input data'!$D$8,E17+E18*'Common input data'!$C$9+E19*'Common input data'!$D$9))))</f>
        <v>-8.4736057921919794E-2</v>
      </c>
      <c r="F16" s="302">
        <f>IF($F$1="GWP100 without fb",F17+F18*'Common input data'!$C$5+F19*'Common input data'!$D$5,IF($F$1="GWP100 with fb",F17+F18*'Common input data'!$C$6+F19*'Common input data'!$D$6,IF($F$1="GTP100 without fb",F17+F18*'Common input data'!$C$7+F19*'Common input data'!$D$7,IF($F$1="GTP100 with fb",F17+F18*'Common input data'!$C$8+F19*'Common input data'!$D$8,F17+F18*'Common input data'!$C$9+F19*'Common input data'!$D$9))))</f>
        <v>3.3960278848338514E-2</v>
      </c>
      <c r="G16" s="321">
        <f>IF($F$1="GWP100 without fb",G17+G18*'Common input data'!$C$5+G19*'Common input data'!$D$5,IF($F$1="GWP100 with fb",G17+G18*'Common input data'!$C$6+G19*'Common input data'!$D$6,IF($F$1="GTP100 without fb",G17+G18*'Common input data'!$C$7+G19*'Common input data'!$D$7,IF($F$1="GTP100 with fb",G17+G18*'Common input data'!$C$8+G19*'Common input data'!$D$8,G17+G18*'Common input data'!$C$9+G19*'Common input data'!$D$9))))</f>
        <v>0.37469898418467423</v>
      </c>
      <c r="H16" s="102"/>
      <c r="I16" s="102"/>
      <c r="J16" s="102"/>
      <c r="K16" s="102"/>
      <c r="L16" s="102"/>
      <c r="M16" s="102"/>
      <c r="N16" s="102"/>
      <c r="O16" s="102"/>
      <c r="P16" s="102"/>
      <c r="Q16" s="102"/>
      <c r="R16" s="102"/>
      <c r="S16" s="102"/>
      <c r="T16" s="102"/>
      <c r="U16" s="102"/>
      <c r="V16" s="430"/>
      <c r="W16" s="243"/>
      <c r="X16" s="308"/>
      <c r="Y16" s="308"/>
      <c r="Z16" s="64"/>
      <c r="AA16" s="308"/>
      <c r="AB16" s="308"/>
      <c r="AC16" s="308"/>
      <c r="AD16" s="308"/>
      <c r="AE16" s="308"/>
      <c r="AF16" s="308"/>
      <c r="AG16" s="308"/>
      <c r="AH16" s="308"/>
      <c r="AI16" s="308"/>
      <c r="AJ16" s="308"/>
      <c r="AK16" s="308"/>
      <c r="AL16" s="308"/>
      <c r="AM16" s="308"/>
      <c r="AN16" s="308"/>
      <c r="AO16" s="308"/>
      <c r="AP16" s="308"/>
      <c r="AQ16" s="308"/>
      <c r="AR16" s="308"/>
      <c r="AS16" s="308"/>
      <c r="AT16" s="308"/>
      <c r="AU16" s="308"/>
      <c r="AV16" s="308"/>
      <c r="AW16" s="308"/>
      <c r="AX16" s="308"/>
      <c r="AY16" s="308"/>
      <c r="AZ16" s="308"/>
      <c r="BA16" s="308"/>
      <c r="BB16" s="308"/>
      <c r="BC16" s="308"/>
      <c r="BD16" s="308"/>
      <c r="BE16" s="308"/>
      <c r="BF16" s="308"/>
      <c r="BG16" s="308"/>
      <c r="BH16" s="308"/>
      <c r="BI16" s="308"/>
      <c r="BJ16" s="308"/>
      <c r="BK16" s="308"/>
      <c r="BL16" s="308"/>
      <c r="BM16" s="308"/>
      <c r="BN16" s="308"/>
      <c r="BO16" s="308"/>
      <c r="BP16" s="308"/>
      <c r="BQ16" s="308"/>
      <c r="BR16" s="308"/>
      <c r="BS16" s="308"/>
      <c r="BT16" s="308"/>
      <c r="BU16" s="308"/>
      <c r="BV16" s="308"/>
      <c r="BW16" s="308"/>
      <c r="BX16" s="308"/>
      <c r="BY16" s="308"/>
      <c r="BZ16" s="308"/>
      <c r="CA16" s="308"/>
      <c r="CB16" s="308"/>
      <c r="CC16" s="308"/>
      <c r="CD16" s="308"/>
      <c r="CE16" s="308"/>
      <c r="CF16" s="308"/>
      <c r="CG16" s="308"/>
      <c r="CH16" s="308"/>
      <c r="CI16" s="308"/>
      <c r="CJ16" s="308"/>
      <c r="CK16" s="308"/>
      <c r="CL16" s="308"/>
      <c r="CM16" s="308"/>
      <c r="CN16" s="308"/>
      <c r="CO16" s="308"/>
      <c r="CP16" s="308"/>
      <c r="CQ16" s="308"/>
      <c r="CR16" s="308"/>
      <c r="CS16" s="308"/>
      <c r="CT16" s="308"/>
      <c r="CU16" s="308"/>
      <c r="CV16" s="308"/>
      <c r="CW16" s="308"/>
      <c r="CX16" s="308"/>
      <c r="CY16" s="308"/>
      <c r="CZ16" s="308"/>
      <c r="DA16" s="308"/>
      <c r="DB16" s="308"/>
      <c r="DC16" s="308"/>
      <c r="DD16" s="308"/>
      <c r="DE16" s="308"/>
      <c r="DF16" s="308"/>
      <c r="DG16" s="308"/>
      <c r="DH16" s="308"/>
      <c r="DI16" s="308"/>
      <c r="DJ16" s="308"/>
      <c r="DK16" s="308"/>
      <c r="DL16" s="308"/>
      <c r="DM16" s="308"/>
      <c r="DN16" s="308"/>
      <c r="DO16" s="308"/>
      <c r="DP16" s="308"/>
      <c r="DQ16" s="308"/>
      <c r="DR16" s="308"/>
      <c r="DS16" s="308"/>
      <c r="DT16" s="308"/>
      <c r="DU16" s="308"/>
      <c r="DV16" s="308"/>
      <c r="DW16" s="308"/>
      <c r="DX16" s="308"/>
      <c r="DY16" s="308"/>
      <c r="DZ16" s="308"/>
      <c r="EA16" s="308"/>
      <c r="EB16" s="308"/>
      <c r="EC16" s="308"/>
      <c r="ED16" s="308"/>
      <c r="EE16" s="308"/>
      <c r="EF16" s="308"/>
      <c r="EG16" s="308"/>
      <c r="EH16" s="308"/>
      <c r="EI16" s="308"/>
      <c r="EJ16" s="308"/>
      <c r="EK16" s="308"/>
      <c r="EL16" s="308"/>
      <c r="EM16" s="308"/>
      <c r="EN16" s="308"/>
      <c r="EO16" s="308"/>
      <c r="EP16" s="308"/>
      <c r="EQ16" s="308"/>
      <c r="ER16" s="308"/>
      <c r="ES16" s="308"/>
      <c r="ET16" s="308"/>
      <c r="EU16" s="308"/>
      <c r="EV16" s="308"/>
      <c r="EW16" s="308"/>
      <c r="EX16" s="308"/>
      <c r="EY16" s="308"/>
      <c r="EZ16" s="308"/>
      <c r="FA16" s="308"/>
      <c r="FB16" s="308"/>
      <c r="FC16" s="308"/>
      <c r="FD16" s="308"/>
      <c r="FE16" s="308"/>
      <c r="FF16" s="308"/>
      <c r="FG16" s="308"/>
      <c r="FH16" s="308"/>
      <c r="FI16" s="308"/>
      <c r="FJ16" s="308"/>
      <c r="FK16" s="308"/>
      <c r="FL16" s="308"/>
      <c r="FM16" s="308"/>
      <c r="FN16" s="308"/>
      <c r="FO16" s="308"/>
      <c r="FP16" s="308"/>
      <c r="FQ16" s="308"/>
      <c r="FR16" s="308"/>
      <c r="FS16" s="308"/>
      <c r="FT16" s="308"/>
      <c r="FU16" s="308"/>
      <c r="FV16" s="308"/>
      <c r="FW16" s="308"/>
      <c r="FX16" s="308"/>
      <c r="FY16" s="308"/>
      <c r="FZ16" s="308"/>
      <c r="GA16" s="308"/>
      <c r="GB16" s="308"/>
      <c r="GC16" s="308"/>
      <c r="GD16" s="308"/>
      <c r="GE16" s="308"/>
      <c r="GF16" s="308"/>
      <c r="GG16" s="308"/>
      <c r="GH16" s="308"/>
      <c r="GI16" s="308"/>
      <c r="GJ16" s="308"/>
      <c r="GK16" s="308"/>
      <c r="GL16" s="308"/>
      <c r="GM16" s="308"/>
      <c r="GN16" s="308"/>
      <c r="GO16" s="308"/>
      <c r="GP16" s="308"/>
      <c r="GQ16" s="308"/>
      <c r="GR16" s="308"/>
      <c r="GS16" s="308"/>
      <c r="GT16" s="308"/>
      <c r="GU16" s="308"/>
      <c r="GV16" s="308"/>
      <c r="GW16" s="308"/>
      <c r="GX16" s="308"/>
      <c r="GY16" s="308"/>
      <c r="GZ16" s="308"/>
      <c r="HA16" s="308"/>
      <c r="HB16" s="308"/>
      <c r="HC16" s="308"/>
      <c r="HD16" s="308"/>
      <c r="HE16" s="308"/>
      <c r="HF16" s="308"/>
      <c r="HG16" s="308"/>
      <c r="HH16" s="308"/>
      <c r="HI16" s="308"/>
      <c r="HJ16" s="308"/>
      <c r="HK16" s="308"/>
      <c r="HL16" s="308"/>
      <c r="HM16" s="308"/>
      <c r="HN16" s="308"/>
      <c r="HO16" s="308"/>
      <c r="HP16" s="308"/>
      <c r="HQ16" s="308"/>
      <c r="HR16" s="308"/>
      <c r="HS16" s="308"/>
      <c r="HT16" s="308"/>
      <c r="HU16" s="308"/>
      <c r="HV16" s="308"/>
      <c r="HW16" s="308"/>
      <c r="HX16" s="308"/>
      <c r="HY16" s="308"/>
      <c r="HZ16" s="308"/>
      <c r="IA16" s="308"/>
      <c r="IB16" s="308"/>
      <c r="IC16" s="308"/>
      <c r="ID16" s="308"/>
      <c r="IE16" s="308"/>
      <c r="IF16" s="308"/>
      <c r="IG16" s="308"/>
      <c r="IH16" s="308"/>
      <c r="II16" s="308"/>
      <c r="IJ16" s="308"/>
      <c r="IK16" s="308"/>
      <c r="IL16" s="308"/>
      <c r="IM16" s="308"/>
      <c r="IN16" s="308"/>
      <c r="IO16" s="308"/>
      <c r="IP16" s="308"/>
      <c r="IQ16" s="308"/>
      <c r="IR16" s="308"/>
      <c r="IS16" s="308"/>
      <c r="IT16" s="308"/>
      <c r="IU16" s="308"/>
      <c r="IV16" s="308"/>
      <c r="IW16" s="308"/>
      <c r="IX16" s="308"/>
    </row>
    <row r="17" spans="1:258" s="308" customFormat="1" ht="17.399999999999999" x14ac:dyDescent="0.3">
      <c r="A17" s="144"/>
      <c r="B17" s="84"/>
      <c r="C17" s="64"/>
      <c r="D17" s="83" t="s">
        <v>164</v>
      </c>
      <c r="E17" s="270">
        <f>IF(AND($F$2="No",$F$3="No"),SUM(J17:K17),IF(AND($F$2="Yes", $F$3="No"), SUM(J17:K17)+Q17, IF(AND($F$2="No", $F$3="Yes"),SUM(J17:K17)+P17, SUM(J17:K17)+Q17+P17)))</f>
        <v>-9.1139048141381296E-2</v>
      </c>
      <c r="F17" s="90">
        <f>IF(AND($F$2="No",$F$3="No"),SUM(H17:O17),IF(AND($F$2="Yes", $F$3="No"), SUM(H17:O17)+Q17, IF(AND($F$2="No", $F$3="Yes"),SUM(H17:O17)+P17, SUM(H17:O17)+Q17+P17)))</f>
        <v>2.1485845188175076E-2</v>
      </c>
      <c r="G17" s="278">
        <f>SUM(S17:U17)/(1-'Common input data'!$B$121)</f>
        <v>0.35981124858357216</v>
      </c>
      <c r="H17" s="90">
        <f>('Input data plant-based products'!$F$67*('Common input data'!$C$76*'Common input data'!B69+'Common input data'!$C$77*'Common input data'!C69))/'Input data plant-based products'!$E$67</f>
        <v>3.3145811113692338E-3</v>
      </c>
      <c r="I17" s="90">
        <f>'Common input data'!$B$81</f>
        <v>0.03</v>
      </c>
      <c r="J17" s="90">
        <v>0</v>
      </c>
      <c r="K17" s="90">
        <v>0</v>
      </c>
      <c r="L17" s="90">
        <f>('Input data plant-based products'!$I$67*'Common input data'!$C$59*'Common input data'!H49)/'Input data plant-based products'!$E$67</f>
        <v>2.931031221818714E-2</v>
      </c>
      <c r="M17" s="90">
        <v>0</v>
      </c>
      <c r="N17" s="90">
        <f>'Input data plant-based products'!F$152</f>
        <v>0.05</v>
      </c>
      <c r="O17" s="90">
        <v>0</v>
      </c>
      <c r="P17" s="90">
        <f>'Common input data'!$F$13</f>
        <v>-9.1139048141381296E-2</v>
      </c>
      <c r="Q17" s="90">
        <v>0</v>
      </c>
      <c r="R17" s="90">
        <v>0</v>
      </c>
      <c r="S17" s="90">
        <f>F17+R17</f>
        <v>2.1485845188175076E-2</v>
      </c>
      <c r="T17" s="90">
        <f>'Common input data'!$B$88</f>
        <v>0.05</v>
      </c>
      <c r="U17" s="90">
        <f>'Common input data'!B100+'Common input data'!C100</f>
        <v>0.23</v>
      </c>
      <c r="V17" s="430"/>
      <c r="W17" s="243"/>
      <c r="Z17" s="64"/>
    </row>
    <row r="18" spans="1:258" s="308" customFormat="1" ht="17.399999999999999" x14ac:dyDescent="0.3">
      <c r="A18" s="107"/>
      <c r="B18" s="84"/>
      <c r="C18" s="142"/>
      <c r="D18" s="83" t="s">
        <v>165</v>
      </c>
      <c r="E18" s="270">
        <f>SUM(J18:K18)</f>
        <v>0</v>
      </c>
      <c r="F18" s="90">
        <f>SUM(H18:O18)</f>
        <v>1.2983494592049527E-5</v>
      </c>
      <c r="G18" s="278">
        <f>SUM(S18:U18)/(1-'Common input data'!$B$121)</f>
        <v>1.5495279379459993E-5</v>
      </c>
      <c r="H18" s="90">
        <f>('Input data plant-based products'!$F$67*('Common input data'!$C$76*'Common input data'!B70+'Common input data'!$C$77*'Common input data'!C70))/'Input data plant-based products'!$E$67</f>
        <v>1.4614472690048502E-11</v>
      </c>
      <c r="I18" s="90">
        <v>0</v>
      </c>
      <c r="J18" s="90">
        <v>0</v>
      </c>
      <c r="K18" s="90">
        <v>0</v>
      </c>
      <c r="L18" s="90">
        <f>('Input data plant-based products'!$I$67*'Common input data'!$C$59*'Common input data'!H50)/'Input data plant-based products'!$E$67</f>
        <v>1.2983479977576836E-5</v>
      </c>
      <c r="M18" s="90">
        <v>0</v>
      </c>
      <c r="N18" s="90">
        <v>0</v>
      </c>
      <c r="O18" s="90">
        <v>0</v>
      </c>
      <c r="P18" s="90">
        <v>0</v>
      </c>
      <c r="Q18" s="90">
        <v>0</v>
      </c>
      <c r="R18" s="90">
        <v>0</v>
      </c>
      <c r="S18" s="90">
        <f>F18+R18</f>
        <v>1.2983494592049527E-5</v>
      </c>
      <c r="T18" s="90">
        <v>0</v>
      </c>
      <c r="U18" s="90">
        <v>0</v>
      </c>
      <c r="V18" s="430"/>
      <c r="W18" s="243"/>
      <c r="Z18" s="64"/>
    </row>
    <row r="19" spans="1:258" s="308" customFormat="1" ht="17.399999999999999" x14ac:dyDescent="0.3">
      <c r="A19" s="174"/>
      <c r="B19" s="206"/>
      <c r="C19" s="85"/>
      <c r="D19" s="84" t="s">
        <v>166</v>
      </c>
      <c r="E19" s="270">
        <f>SUM(J19:K19)</f>
        <v>2.148654436060905E-5</v>
      </c>
      <c r="F19" s="90">
        <f>SUM(H19:O19)</f>
        <v>4.0379177328972321E-5</v>
      </c>
      <c r="G19" s="278">
        <f>SUM(S19:U19)/(1-'Common input data'!$B$121)</f>
        <v>4.8190926517451158E-5</v>
      </c>
      <c r="H19" s="90">
        <f>('Input data plant-based products'!$F$67*('Common input data'!$C$76*'Common input data'!B71+'Common input data'!$C$77*'Common input data'!C71))/'Input data plant-based products'!$E$67</f>
        <v>1.8105053451436216E-5</v>
      </c>
      <c r="I19" s="90">
        <v>0</v>
      </c>
      <c r="J19" s="90">
        <f>(SUM('Input data plant-based products'!F67:H67)*'Input data plant-based products'!$B$114*44/28)/'Input data plant-based products'!E67</f>
        <v>1.9533222146008227E-5</v>
      </c>
      <c r="K19" s="90">
        <f>J19*'Input data plant-based products'!$B$115</f>
        <v>1.9533222146008228E-6</v>
      </c>
      <c r="L19" s="90">
        <f>('Input data plant-based products'!$I$67*'Common input data'!$C$59*'Common input data'!H51)/'Input data plant-based products'!$E$67</f>
        <v>7.8757951692705173E-7</v>
      </c>
      <c r="M19" s="90">
        <v>0</v>
      </c>
      <c r="N19" s="90">
        <v>0</v>
      </c>
      <c r="O19" s="90">
        <v>0</v>
      </c>
      <c r="P19" s="90">
        <v>0</v>
      </c>
      <c r="Q19" s="90">
        <v>0</v>
      </c>
      <c r="R19" s="90">
        <v>0</v>
      </c>
      <c r="S19" s="90">
        <f>F19+R19</f>
        <v>4.0379177328972321E-5</v>
      </c>
      <c r="T19" s="90">
        <v>0</v>
      </c>
      <c r="U19" s="90">
        <v>0</v>
      </c>
      <c r="V19" s="430"/>
      <c r="W19" s="243"/>
      <c r="Z19" s="64"/>
    </row>
    <row r="20" spans="1:258" s="420" customFormat="1" ht="17.399999999999999" x14ac:dyDescent="0.3">
      <c r="A20" s="122" t="s">
        <v>70</v>
      </c>
      <c r="B20" s="150" t="s">
        <v>225</v>
      </c>
      <c r="C20" s="111">
        <f>'Input data plant-based products'!D68</f>
        <v>0.49</v>
      </c>
      <c r="D20" s="269" t="s">
        <v>473</v>
      </c>
      <c r="E20" s="320">
        <f>IF($F$1="GWP100 without fb",E21+E22*'Common input data'!$C$5+E23*'Common input data'!$D$5,IF($F$1="GWP100 with fb",E21+E22*'Common input data'!$C$6+E23*'Common input data'!$D$6,IF($F$1="GTP100 without fb",E21+E22*'Common input data'!$C$7+E23*'Common input data'!$D$7,IF($F$1="GTP100 with fb",E21+E22*'Common input data'!$C$8+E23*'Common input data'!$D$8,E21+E22*'Common input data'!$C$9+E23*'Common input data'!$D$9))))</f>
        <v>-8.2072415000823087E-2</v>
      </c>
      <c r="F20" s="302">
        <f>IF($F$1="GWP100 without fb",F21+F22*'Common input data'!$C$5+F23*'Common input data'!$D$5,IF($F$1="GWP100 with fb",F21+F22*'Common input data'!$C$6+F23*'Common input data'!$D$6,IF($F$1="GTP100 without fb",F21+F22*'Common input data'!$C$7+F23*'Common input data'!$D$7,IF($F$1="GTP100 with fb",F21+F22*'Common input data'!$C$8+F23*'Common input data'!$D$8,F21+F22*'Common input data'!$C$9+F23*'Common input data'!$D$9))))</f>
        <v>8.7600112111585526E-2</v>
      </c>
      <c r="G20" s="321">
        <f>IF($F$1="GWP100 without fb",G21+G22*'Common input data'!$C$5+G23*'Common input data'!$D$5,IF($F$1="GWP100 with fb",G21+G22*'Common input data'!$C$6+G23*'Common input data'!$D$6,IF($F$1="GTP100 without fb",G21+G22*'Common input data'!$C$7+G23*'Common input data'!$D$7,IF($F$1="GTP100 with fb",G21+G22*'Common input data'!$C$8+G23*'Common input data'!$D$8,G21+G22*'Common input data'!$C$9+G23*'Common input data'!$D$9))))</f>
        <v>0.43871597101275278</v>
      </c>
      <c r="H20" s="102"/>
      <c r="I20" s="102"/>
      <c r="J20" s="102"/>
      <c r="K20" s="102"/>
      <c r="L20" s="102"/>
      <c r="M20" s="102"/>
      <c r="N20" s="102"/>
      <c r="O20" s="102"/>
      <c r="P20" s="102"/>
      <c r="Q20" s="102"/>
      <c r="R20" s="102"/>
      <c r="S20" s="102"/>
      <c r="T20" s="102"/>
      <c r="U20" s="102"/>
      <c r="V20" s="430"/>
      <c r="W20" s="243"/>
      <c r="X20" s="308"/>
      <c r="Y20" s="308"/>
      <c r="Z20" s="64"/>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8"/>
      <c r="AY20" s="308"/>
      <c r="AZ20" s="308"/>
      <c r="BA20" s="308"/>
      <c r="BB20" s="308"/>
      <c r="BC20" s="308"/>
      <c r="BD20" s="308"/>
      <c r="BE20" s="308"/>
      <c r="BF20" s="308"/>
      <c r="BG20" s="308"/>
      <c r="BH20" s="308"/>
      <c r="BI20" s="308"/>
      <c r="BJ20" s="308"/>
      <c r="BK20" s="308"/>
      <c r="BL20" s="308"/>
      <c r="BM20" s="308"/>
      <c r="BN20" s="308"/>
      <c r="BO20" s="308"/>
      <c r="BP20" s="308"/>
      <c r="BQ20" s="308"/>
      <c r="BR20" s="308"/>
      <c r="BS20" s="308"/>
      <c r="BT20" s="308"/>
      <c r="BU20" s="308"/>
      <c r="BV20" s="308"/>
      <c r="BW20" s="308"/>
      <c r="BX20" s="308"/>
      <c r="BY20" s="308"/>
      <c r="BZ20" s="308"/>
      <c r="CA20" s="308"/>
      <c r="CB20" s="308"/>
      <c r="CC20" s="308"/>
      <c r="CD20" s="308"/>
      <c r="CE20" s="308"/>
      <c r="CF20" s="308"/>
      <c r="CG20" s="308"/>
      <c r="CH20" s="308"/>
      <c r="CI20" s="308"/>
      <c r="CJ20" s="308"/>
      <c r="CK20" s="308"/>
      <c r="CL20" s="308"/>
      <c r="CM20" s="308"/>
      <c r="CN20" s="308"/>
      <c r="CO20" s="308"/>
      <c r="CP20" s="308"/>
      <c r="CQ20" s="308"/>
      <c r="CR20" s="308"/>
      <c r="CS20" s="308"/>
      <c r="CT20" s="308"/>
      <c r="CU20" s="308"/>
      <c r="CV20" s="308"/>
      <c r="CW20" s="308"/>
      <c r="CX20" s="308"/>
      <c r="CY20" s="308"/>
      <c r="CZ20" s="308"/>
      <c r="DA20" s="308"/>
      <c r="DB20" s="308"/>
      <c r="DC20" s="308"/>
      <c r="DD20" s="308"/>
      <c r="DE20" s="308"/>
      <c r="DF20" s="308"/>
      <c r="DG20" s="308"/>
      <c r="DH20" s="308"/>
      <c r="DI20" s="308"/>
      <c r="DJ20" s="308"/>
      <c r="DK20" s="308"/>
      <c r="DL20" s="308"/>
      <c r="DM20" s="308"/>
      <c r="DN20" s="308"/>
      <c r="DO20" s="308"/>
      <c r="DP20" s="308"/>
      <c r="DQ20" s="308"/>
      <c r="DR20" s="308"/>
      <c r="DS20" s="308"/>
      <c r="DT20" s="308"/>
      <c r="DU20" s="308"/>
      <c r="DV20" s="308"/>
      <c r="DW20" s="308"/>
      <c r="DX20" s="308"/>
      <c r="DY20" s="308"/>
      <c r="DZ20" s="308"/>
      <c r="EA20" s="308"/>
      <c r="EB20" s="308"/>
      <c r="EC20" s="308"/>
      <c r="ED20" s="308"/>
      <c r="EE20" s="308"/>
      <c r="EF20" s="308"/>
      <c r="EG20" s="308"/>
      <c r="EH20" s="308"/>
      <c r="EI20" s="308"/>
      <c r="EJ20" s="308"/>
      <c r="EK20" s="308"/>
      <c r="EL20" s="308"/>
      <c r="EM20" s="308"/>
      <c r="EN20" s="308"/>
      <c r="EO20" s="308"/>
      <c r="EP20" s="308"/>
      <c r="EQ20" s="308"/>
      <c r="ER20" s="308"/>
      <c r="ES20" s="308"/>
      <c r="ET20" s="308"/>
      <c r="EU20" s="308"/>
      <c r="EV20" s="308"/>
      <c r="EW20" s="308"/>
      <c r="EX20" s="308"/>
      <c r="EY20" s="308"/>
      <c r="EZ20" s="308"/>
      <c r="FA20" s="308"/>
      <c r="FB20" s="308"/>
      <c r="FC20" s="308"/>
      <c r="FD20" s="308"/>
      <c r="FE20" s="308"/>
      <c r="FF20" s="308"/>
      <c r="FG20" s="308"/>
      <c r="FH20" s="308"/>
      <c r="FI20" s="308"/>
      <c r="FJ20" s="308"/>
      <c r="FK20" s="308"/>
      <c r="FL20" s="308"/>
      <c r="FM20" s="308"/>
      <c r="FN20" s="308"/>
      <c r="FO20" s="308"/>
      <c r="FP20" s="308"/>
      <c r="FQ20" s="308"/>
      <c r="FR20" s="308"/>
      <c r="FS20" s="308"/>
      <c r="FT20" s="308"/>
      <c r="FU20" s="308"/>
      <c r="FV20" s="308"/>
      <c r="FW20" s="308"/>
      <c r="FX20" s="308"/>
      <c r="FY20" s="308"/>
      <c r="FZ20" s="308"/>
      <c r="GA20" s="308"/>
      <c r="GB20" s="308"/>
      <c r="GC20" s="308"/>
      <c r="GD20" s="308"/>
      <c r="GE20" s="308"/>
      <c r="GF20" s="308"/>
      <c r="GG20" s="308"/>
      <c r="GH20" s="308"/>
      <c r="GI20" s="308"/>
      <c r="GJ20" s="308"/>
      <c r="GK20" s="308"/>
      <c r="GL20" s="308"/>
      <c r="GM20" s="308"/>
      <c r="GN20" s="308"/>
      <c r="GO20" s="308"/>
      <c r="GP20" s="308"/>
      <c r="GQ20" s="308"/>
      <c r="GR20" s="308"/>
      <c r="GS20" s="308"/>
      <c r="GT20" s="308"/>
      <c r="GU20" s="308"/>
      <c r="GV20" s="308"/>
      <c r="GW20" s="308"/>
      <c r="GX20" s="308"/>
      <c r="GY20" s="308"/>
      <c r="GZ20" s="308"/>
      <c r="HA20" s="308"/>
      <c r="HB20" s="308"/>
      <c r="HC20" s="308"/>
      <c r="HD20" s="308"/>
      <c r="HE20" s="308"/>
      <c r="HF20" s="308"/>
      <c r="HG20" s="308"/>
      <c r="HH20" s="308"/>
      <c r="HI20" s="308"/>
      <c r="HJ20" s="308"/>
      <c r="HK20" s="308"/>
      <c r="HL20" s="308"/>
      <c r="HM20" s="308"/>
      <c r="HN20" s="308"/>
      <c r="HO20" s="308"/>
      <c r="HP20" s="308"/>
      <c r="HQ20" s="308"/>
      <c r="HR20" s="308"/>
      <c r="HS20" s="308"/>
      <c r="HT20" s="308"/>
      <c r="HU20" s="308"/>
      <c r="HV20" s="308"/>
      <c r="HW20" s="308"/>
      <c r="HX20" s="308"/>
      <c r="HY20" s="308"/>
      <c r="HZ20" s="308"/>
      <c r="IA20" s="308"/>
      <c r="IB20" s="308"/>
      <c r="IC20" s="308"/>
      <c r="ID20" s="308"/>
      <c r="IE20" s="308"/>
      <c r="IF20" s="308"/>
      <c r="IG20" s="308"/>
      <c r="IH20" s="308"/>
      <c r="II20" s="308"/>
      <c r="IJ20" s="308"/>
      <c r="IK20" s="308"/>
      <c r="IL20" s="308"/>
      <c r="IM20" s="308"/>
      <c r="IN20" s="308"/>
      <c r="IO20" s="308"/>
      <c r="IP20" s="308"/>
      <c r="IQ20" s="308"/>
      <c r="IR20" s="308"/>
      <c r="IS20" s="308"/>
      <c r="IT20" s="308"/>
      <c r="IU20" s="308"/>
      <c r="IV20" s="308"/>
      <c r="IW20" s="308"/>
      <c r="IX20" s="308"/>
    </row>
    <row r="21" spans="1:258" s="308" customFormat="1" ht="17.399999999999999" x14ac:dyDescent="0.3">
      <c r="A21" s="144"/>
      <c r="B21" s="84"/>
      <c r="C21" s="64"/>
      <c r="D21" s="83" t="s">
        <v>164</v>
      </c>
      <c r="E21" s="270">
        <f>IF(AND($F$2="No",$F$3="No"),SUM(J21:K21),IF(AND($F$2="Yes", $F$3="No"), SUM(J21:K21)+Q21, IF(AND($F$2="No", $F$3="Yes"),SUM(J21:K21)+P21, SUM(J21:K21)+Q21+P21)))</f>
        <v>-9.1139048141381296E-2</v>
      </c>
      <c r="F21" s="90">
        <f>IF(AND($F$2="No",$F$3="No"),SUM(H21:O21),IF(AND($F$2="Yes", $F$3="No"), SUM(H21:O21)+Q21, IF(AND($F$2="No", $F$3="Yes"),SUM(H21:O21)+P21, SUM(H21:O21)+Q21+P21)))</f>
        <v>6.9149872164734671E-2</v>
      </c>
      <c r="G21" s="278">
        <f>SUM(S21:U21)/(1-'Common input data'!$B$121)</f>
        <v>0.4166963505964133</v>
      </c>
      <c r="H21" s="85">
        <f>('Input data plant-based products'!$F$68*('Common input data'!$C$76*'Common input data'!B69+'Common input data'!$C$77*'Common input data'!C69))/'Input data plant-based products'!$E$68</f>
        <v>4.6934463307576309E-3</v>
      </c>
      <c r="I21" s="90">
        <f>'Common input data'!$B$81</f>
        <v>0.03</v>
      </c>
      <c r="J21" s="85">
        <v>0</v>
      </c>
      <c r="K21" s="90">
        <v>0</v>
      </c>
      <c r="L21" s="85">
        <f>('Input data plant-based products'!$I$68*'Common input data'!$C$59*'Common input data'!H49)/'Input data plant-based products'!$E$68</f>
        <v>7.5595473975358318E-2</v>
      </c>
      <c r="M21" s="90">
        <v>0</v>
      </c>
      <c r="N21" s="90">
        <f>'Input data plant-based products'!F$152</f>
        <v>0.05</v>
      </c>
      <c r="O21" s="90">
        <v>0</v>
      </c>
      <c r="P21" s="90">
        <f>'Common input data'!$F$13</f>
        <v>-9.1139048141381296E-2</v>
      </c>
      <c r="Q21" s="90">
        <v>0</v>
      </c>
      <c r="R21" s="90">
        <v>0</v>
      </c>
      <c r="S21" s="90">
        <f>F21+R21</f>
        <v>6.9149872164734671E-2</v>
      </c>
      <c r="T21" s="90">
        <f>'Common input data'!$B$88</f>
        <v>0.05</v>
      </c>
      <c r="U21" s="90">
        <f>'Common input data'!B102+'Common input data'!C102</f>
        <v>0.23000000000000004</v>
      </c>
      <c r="V21" s="430"/>
      <c r="W21" s="243"/>
      <c r="Z21" s="64"/>
    </row>
    <row r="22" spans="1:258" s="308" customFormat="1" ht="17.399999999999999" x14ac:dyDescent="0.3">
      <c r="A22" s="107"/>
      <c r="B22" s="84"/>
      <c r="C22" s="142"/>
      <c r="D22" s="83" t="s">
        <v>165</v>
      </c>
      <c r="E22" s="270">
        <f>SUM(J22:K22)</f>
        <v>0</v>
      </c>
      <c r="F22" s="90">
        <f>SUM(H22:O22)</f>
        <v>3.3486266608096559E-5</v>
      </c>
      <c r="G22" s="278">
        <f>SUM(S22:U22)/(1-'Common input data'!$B$121)</f>
        <v>3.9964514390853994E-5</v>
      </c>
      <c r="H22" s="85">
        <f>('Input data plant-based products'!$F$68*('Common input data'!$C$76*'Common input data'!B70+'Common input data'!$C$77*'Common input data'!C70))/'Input data plant-based products'!$E$68</f>
        <v>2.0694091023384459E-11</v>
      </c>
      <c r="I22" s="90">
        <v>0</v>
      </c>
      <c r="J22" s="85">
        <v>0</v>
      </c>
      <c r="K22" s="90">
        <v>0</v>
      </c>
      <c r="L22" s="85">
        <f>('Input data plant-based products'!$I$68*'Common input data'!$C$59*'Common input data'!H50)/'Input data plant-based products'!$E$68</f>
        <v>3.3486245914005533E-5</v>
      </c>
      <c r="M22" s="90">
        <v>0</v>
      </c>
      <c r="N22" s="90">
        <v>0</v>
      </c>
      <c r="O22" s="90">
        <v>0</v>
      </c>
      <c r="P22" s="90">
        <v>0</v>
      </c>
      <c r="Q22" s="90">
        <v>0</v>
      </c>
      <c r="R22" s="90">
        <v>0</v>
      </c>
      <c r="S22" s="90">
        <f>F22+R22</f>
        <v>3.3486266608096559E-5</v>
      </c>
      <c r="T22" s="90">
        <v>0</v>
      </c>
      <c r="U22" s="90">
        <v>0</v>
      </c>
      <c r="V22" s="430"/>
      <c r="W22" s="243"/>
      <c r="Z22" s="64"/>
    </row>
    <row r="23" spans="1:258" s="308" customFormat="1" ht="17.399999999999999" x14ac:dyDescent="0.3">
      <c r="A23" s="174"/>
      <c r="B23" s="206"/>
      <c r="C23" s="85"/>
      <c r="D23" s="84" t="s">
        <v>166</v>
      </c>
      <c r="E23" s="780">
        <f>SUM(J23:K23)</f>
        <v>3.0424943424691977E-5</v>
      </c>
      <c r="F23" s="108">
        <f>SUM(H23:O23)</f>
        <v>5.8092976114683127E-5</v>
      </c>
      <c r="G23" s="521">
        <f>SUM(S23:U23)/(1-'Common input data'!$B$121)</f>
        <v>6.9331633983390773E-5</v>
      </c>
      <c r="H23" s="85">
        <f>('Input data plant-based products'!$F$68*('Common input data'!$C$76*'Common input data'!B71+'Common input data'!$C$77*'Common input data'!C71))/'Input data plant-based products'!$E$68</f>
        <v>2.5636752830800808E-5</v>
      </c>
      <c r="I23" s="85">
        <v>0</v>
      </c>
      <c r="J23" s="85">
        <f>(SUM('Input data plant-based products'!F68:H68)*'Input data plant-based products'!$B$114*44/28)/'Input data plant-based products'!E68</f>
        <v>2.7659039476992707E-5</v>
      </c>
      <c r="K23" s="90">
        <f>J23*'Input data plant-based products'!$B$115</f>
        <v>2.7659039476992707E-6</v>
      </c>
      <c r="L23" s="85">
        <f>('Input data plant-based products'!$I$68*'Common input data'!$C$59*'Common input data'!H51)/'Input data plant-based products'!$E$68</f>
        <v>2.0312798591903446E-6</v>
      </c>
      <c r="M23" s="90">
        <v>0</v>
      </c>
      <c r="N23" s="90">
        <v>0</v>
      </c>
      <c r="O23" s="90">
        <v>0</v>
      </c>
      <c r="P23" s="90">
        <v>0</v>
      </c>
      <c r="Q23" s="90">
        <v>0</v>
      </c>
      <c r="R23" s="90">
        <v>0</v>
      </c>
      <c r="S23" s="90">
        <f>F23+R23</f>
        <v>5.8092976114683127E-5</v>
      </c>
      <c r="T23" s="90">
        <v>0</v>
      </c>
      <c r="U23" s="90">
        <v>0</v>
      </c>
      <c r="V23" s="430"/>
      <c r="W23" s="243"/>
      <c r="Z23" s="64"/>
    </row>
    <row r="24" spans="1:258" s="427" customFormat="1" ht="17.399999999999999" x14ac:dyDescent="0.3">
      <c r="A24" s="426" t="s">
        <v>616</v>
      </c>
      <c r="B24" s="412"/>
      <c r="C24" s="413"/>
      <c r="D24" s="414"/>
      <c r="E24" s="767" t="s">
        <v>823</v>
      </c>
      <c r="F24" s="768" t="s">
        <v>823</v>
      </c>
      <c r="G24" s="590" t="s">
        <v>823</v>
      </c>
      <c r="H24" s="413"/>
      <c r="I24" s="413"/>
      <c r="J24" s="413"/>
      <c r="K24" s="416"/>
      <c r="L24" s="416"/>
      <c r="M24" s="417"/>
      <c r="N24" s="416"/>
      <c r="O24" s="416"/>
      <c r="P24" s="416"/>
      <c r="Q24" s="416"/>
      <c r="R24" s="416"/>
      <c r="S24" s="416"/>
      <c r="T24" s="416"/>
      <c r="U24" s="416"/>
      <c r="V24" s="430"/>
      <c r="W24" s="243"/>
      <c r="X24" s="308"/>
      <c r="Y24" s="308"/>
      <c r="Z24" s="64"/>
      <c r="AA24" s="308"/>
      <c r="AB24" s="308"/>
      <c r="AC24" s="308"/>
      <c r="AD24" s="308"/>
      <c r="AE24" s="308"/>
      <c r="AF24" s="308"/>
      <c r="AG24" s="308"/>
      <c r="AH24" s="308"/>
      <c r="AI24" s="308"/>
      <c r="AJ24" s="308"/>
      <c r="AK24" s="308"/>
      <c r="AL24" s="308"/>
      <c r="AM24" s="308"/>
      <c r="AN24" s="308"/>
      <c r="AO24" s="308"/>
      <c r="AP24" s="308"/>
      <c r="AQ24" s="308"/>
      <c r="AR24" s="308"/>
      <c r="AS24" s="308"/>
      <c r="AT24" s="308"/>
      <c r="AU24" s="308"/>
      <c r="AV24" s="308"/>
      <c r="AW24" s="308"/>
      <c r="AX24" s="308"/>
      <c r="AY24" s="308"/>
      <c r="AZ24" s="308"/>
      <c r="BA24" s="308"/>
      <c r="BB24" s="308"/>
      <c r="BC24" s="308"/>
      <c r="BD24" s="308"/>
      <c r="BE24" s="308"/>
      <c r="BF24" s="308"/>
      <c r="BG24" s="308"/>
      <c r="BH24" s="308"/>
      <c r="BI24" s="308"/>
      <c r="BJ24" s="308"/>
      <c r="BK24" s="308"/>
      <c r="BL24" s="308"/>
      <c r="BM24" s="308"/>
      <c r="BN24" s="308"/>
      <c r="BO24" s="308"/>
      <c r="BP24" s="308"/>
      <c r="BQ24" s="308"/>
      <c r="BR24" s="308"/>
      <c r="BS24" s="308"/>
      <c r="BT24" s="308"/>
      <c r="BU24" s="308"/>
      <c r="BV24" s="308"/>
      <c r="BW24" s="308"/>
      <c r="BX24" s="308"/>
      <c r="BY24" s="308"/>
      <c r="BZ24" s="308"/>
      <c r="CA24" s="308"/>
      <c r="CB24" s="308"/>
      <c r="CC24" s="308"/>
      <c r="CD24" s="308"/>
      <c r="CE24" s="308"/>
      <c r="CF24" s="308"/>
      <c r="CG24" s="308"/>
      <c r="CH24" s="308"/>
      <c r="CI24" s="308"/>
      <c r="CJ24" s="308"/>
      <c r="CK24" s="308"/>
      <c r="CL24" s="308"/>
      <c r="CM24" s="308"/>
      <c r="CN24" s="308"/>
      <c r="CO24" s="308"/>
      <c r="CP24" s="308"/>
      <c r="CQ24" s="308"/>
      <c r="CR24" s="308"/>
      <c r="CS24" s="308"/>
      <c r="CT24" s="308"/>
      <c r="CU24" s="308"/>
      <c r="CV24" s="308"/>
      <c r="CW24" s="308"/>
      <c r="CX24" s="308"/>
      <c r="CY24" s="308"/>
      <c r="CZ24" s="308"/>
      <c r="DA24" s="308"/>
      <c r="DB24" s="308"/>
      <c r="DC24" s="308"/>
      <c r="DD24" s="308"/>
      <c r="DE24" s="308"/>
      <c r="DF24" s="308"/>
      <c r="DG24" s="308"/>
      <c r="DH24" s="308"/>
      <c r="DI24" s="308"/>
      <c r="DJ24" s="308"/>
      <c r="DK24" s="308"/>
      <c r="DL24" s="308"/>
      <c r="DM24" s="308"/>
      <c r="DN24" s="308"/>
      <c r="DO24" s="308"/>
      <c r="DP24" s="308"/>
      <c r="DQ24" s="308"/>
      <c r="DR24" s="308"/>
      <c r="DS24" s="308"/>
      <c r="DT24" s="308"/>
      <c r="DU24" s="308"/>
      <c r="DV24" s="308"/>
      <c r="DW24" s="308"/>
      <c r="DX24" s="308"/>
      <c r="DY24" s="308"/>
      <c r="DZ24" s="308"/>
      <c r="EA24" s="308"/>
      <c r="EB24" s="308"/>
      <c r="EC24" s="308"/>
      <c r="ED24" s="308"/>
      <c r="EE24" s="308"/>
      <c r="EF24" s="308"/>
      <c r="EG24" s="308"/>
      <c r="EH24" s="308"/>
      <c r="EI24" s="308"/>
      <c r="EJ24" s="308"/>
      <c r="EK24" s="308"/>
      <c r="EL24" s="308"/>
      <c r="EM24" s="308"/>
      <c r="EN24" s="308"/>
      <c r="EO24" s="308"/>
      <c r="EP24" s="308"/>
      <c r="EQ24" s="308"/>
      <c r="ER24" s="308"/>
      <c r="ES24" s="308"/>
      <c r="ET24" s="308"/>
      <c r="EU24" s="308"/>
      <c r="EV24" s="308"/>
      <c r="EW24" s="308"/>
      <c r="EX24" s="308"/>
      <c r="EY24" s="308"/>
      <c r="EZ24" s="308"/>
      <c r="FA24" s="308"/>
      <c r="FB24" s="308"/>
      <c r="FC24" s="308"/>
      <c r="FD24" s="308"/>
      <c r="FE24" s="308"/>
      <c r="FF24" s="308"/>
      <c r="FG24" s="308"/>
      <c r="FH24" s="308"/>
      <c r="FI24" s="308"/>
      <c r="FJ24" s="308"/>
      <c r="FK24" s="308"/>
      <c r="FL24" s="308"/>
      <c r="FM24" s="308"/>
      <c r="FN24" s="308"/>
      <c r="FO24" s="308"/>
      <c r="FP24" s="308"/>
      <c r="FQ24" s="308"/>
      <c r="FR24" s="308"/>
      <c r="FS24" s="308"/>
      <c r="FT24" s="308"/>
      <c r="FU24" s="308"/>
      <c r="FV24" s="308"/>
      <c r="FW24" s="308"/>
      <c r="FX24" s="308"/>
      <c r="FY24" s="308"/>
      <c r="FZ24" s="308"/>
      <c r="GA24" s="308"/>
      <c r="GB24" s="308"/>
      <c r="GC24" s="308"/>
      <c r="GD24" s="308"/>
      <c r="GE24" s="308"/>
      <c r="GF24" s="308"/>
      <c r="GG24" s="308"/>
      <c r="GH24" s="308"/>
      <c r="GI24" s="308"/>
      <c r="GJ24" s="308"/>
      <c r="GK24" s="308"/>
      <c r="GL24" s="308"/>
      <c r="GM24" s="308"/>
      <c r="GN24" s="308"/>
      <c r="GO24" s="308"/>
      <c r="GP24" s="308"/>
      <c r="GQ24" s="308"/>
      <c r="GR24" s="308"/>
      <c r="GS24" s="308"/>
      <c r="GT24" s="308"/>
      <c r="GU24" s="308"/>
      <c r="GV24" s="308"/>
      <c r="GW24" s="308"/>
      <c r="GX24" s="308"/>
      <c r="GY24" s="308"/>
      <c r="GZ24" s="308"/>
      <c r="HA24" s="308"/>
      <c r="HB24" s="308"/>
      <c r="HC24" s="308"/>
      <c r="HD24" s="308"/>
      <c r="HE24" s="308"/>
      <c r="HF24" s="308"/>
      <c r="HG24" s="308"/>
      <c r="HH24" s="308"/>
      <c r="HI24" s="308"/>
      <c r="HJ24" s="308"/>
      <c r="HK24" s="308"/>
      <c r="HL24" s="308"/>
      <c r="HM24" s="308"/>
      <c r="HN24" s="308"/>
      <c r="HO24" s="308"/>
      <c r="HP24" s="308"/>
      <c r="HQ24" s="308"/>
      <c r="HR24" s="308"/>
      <c r="HS24" s="308"/>
      <c r="HT24" s="308"/>
      <c r="HU24" s="308"/>
      <c r="HV24" s="308"/>
      <c r="HW24" s="308"/>
      <c r="HX24" s="308"/>
      <c r="HY24" s="308"/>
      <c r="HZ24" s="308"/>
      <c r="IA24" s="308"/>
      <c r="IB24" s="308"/>
      <c r="IC24" s="308"/>
      <c r="ID24" s="308"/>
      <c r="IE24" s="308"/>
      <c r="IF24" s="308"/>
      <c r="IG24" s="308"/>
      <c r="IH24" s="308"/>
      <c r="II24" s="308"/>
      <c r="IJ24" s="308"/>
      <c r="IK24" s="308"/>
      <c r="IL24" s="308"/>
      <c r="IM24" s="308"/>
      <c r="IN24" s="308"/>
      <c r="IO24" s="308"/>
      <c r="IP24" s="308"/>
      <c r="IQ24" s="308"/>
      <c r="IR24" s="308"/>
      <c r="IS24" s="308"/>
      <c r="IT24" s="308"/>
      <c r="IU24" s="308"/>
      <c r="IV24" s="308"/>
      <c r="IW24" s="308"/>
      <c r="IX24" s="308"/>
    </row>
    <row r="25" spans="1:258" s="420" customFormat="1" ht="17.399999999999999" x14ac:dyDescent="0.3">
      <c r="A25" s="122" t="s">
        <v>249</v>
      </c>
      <c r="B25" s="150"/>
      <c r="C25" s="112">
        <f>SUM(C29:C44)</f>
        <v>1</v>
      </c>
      <c r="D25" s="269" t="s">
        <v>473</v>
      </c>
      <c r="E25" s="769">
        <f>IF($F$1="GWP100 without fb",E26+E27*'Common input data'!$C$5+E28*'Common input data'!$D$5,IF($F$1="GWP100 with fb",E26+E27*'Common input data'!$C$6+E28*'Common input data'!$D$6,IF($F$1="GTP100 without fb",E26+E27*'Common input data'!$C$7+E28*'Common input data'!$D$7,IF($F$1="GTP100 with fb",E26+E27*'Common input data'!$C$8+E28*'Common input data'!$D$8,E26+E27*'Common input data'!$C$9+E28*'Common input data'!$D$9))))</f>
        <v>-4.6228324027044312E-2</v>
      </c>
      <c r="F25" s="326">
        <f>IF($F$1="GWP100 without fb",F26+F27*'Common input data'!$C$5+F28*'Common input data'!$D$5,IF($F$1="GWP100 with fb",F26+F27*'Common input data'!$C$6+F28*'Common input data'!$D$6,IF($F$1="GTP100 without fb",F26+F27*'Common input data'!$C$7+F28*'Common input data'!$D$7,IF($F$1="GTP100 with fb",F26+F27*'Common input data'!$C$8+F28*'Common input data'!$D$8,F26+F27*'Common input data'!$C$9+F28*'Common input data'!$D$9))))</f>
        <v>0.13743447910824808</v>
      </c>
      <c r="G25" s="770">
        <f>IF($F$1="GWP100 without fb",G26+G27*'Common input data'!$C$5+G28*'Common input data'!$D$5,IF($F$1="GWP100 with fb",G26+G27*'Common input data'!$C$6+G28*'Common input data'!$D$6,IF($F$1="GTP100 without fb",G26+G27*'Common input data'!$C$7+G28*'Common input data'!$D$7,IF($F$1="GTP100 with fb",G26+G27*'Common input data'!$C$8+G28*'Common input data'!$D$8,G26+G27*'Common input data'!$C$9+G28*'Common input data'!$D$9))))</f>
        <v>0.39929546763953838</v>
      </c>
      <c r="H25" s="302"/>
      <c r="I25" s="104"/>
      <c r="J25" s="104"/>
      <c r="K25" s="102"/>
      <c r="L25" s="102"/>
      <c r="M25" s="102"/>
      <c r="N25" s="102"/>
      <c r="O25" s="102"/>
      <c r="P25" s="102"/>
      <c r="Q25" s="102"/>
      <c r="R25" s="102"/>
      <c r="S25" s="102"/>
      <c r="T25" s="102"/>
      <c r="U25" s="102"/>
      <c r="V25" s="430"/>
      <c r="W25" s="243"/>
      <c r="X25" s="308"/>
      <c r="Y25" s="308"/>
      <c r="Z25" s="64"/>
      <c r="AA25" s="308"/>
      <c r="AB25" s="308"/>
      <c r="AC25" s="308"/>
      <c r="AD25" s="308"/>
      <c r="AE25" s="308"/>
      <c r="AF25" s="308"/>
      <c r="AG25" s="308"/>
      <c r="AH25" s="308"/>
      <c r="AI25" s="308"/>
      <c r="AJ25" s="308"/>
      <c r="AK25" s="308"/>
      <c r="AL25" s="308"/>
      <c r="AM25" s="308"/>
      <c r="AN25" s="308"/>
      <c r="AO25" s="308"/>
      <c r="AP25" s="308"/>
      <c r="AQ25" s="308"/>
      <c r="AR25" s="308"/>
      <c r="AS25" s="308"/>
      <c r="AT25" s="308"/>
      <c r="AU25" s="308"/>
      <c r="AV25" s="308"/>
      <c r="AW25" s="308"/>
      <c r="AX25" s="308"/>
      <c r="AY25" s="308"/>
      <c r="AZ25" s="308"/>
      <c r="BA25" s="308"/>
      <c r="BB25" s="308"/>
      <c r="BC25" s="308"/>
      <c r="BD25" s="308"/>
      <c r="BE25" s="308"/>
      <c r="BF25" s="308"/>
      <c r="BG25" s="308"/>
      <c r="BH25" s="308"/>
      <c r="BI25" s="308"/>
      <c r="BJ25" s="308"/>
      <c r="BK25" s="308"/>
      <c r="BL25" s="308"/>
      <c r="BM25" s="308"/>
      <c r="BN25" s="308"/>
      <c r="BO25" s="308"/>
      <c r="BP25" s="308"/>
      <c r="BQ25" s="308"/>
      <c r="BR25" s="308"/>
      <c r="BS25" s="308"/>
      <c r="BT25" s="308"/>
      <c r="BU25" s="308"/>
      <c r="BV25" s="308"/>
      <c r="BW25" s="308"/>
      <c r="BX25" s="308"/>
      <c r="BY25" s="308"/>
      <c r="BZ25" s="308"/>
      <c r="CA25" s="308"/>
      <c r="CB25" s="308"/>
      <c r="CC25" s="308"/>
      <c r="CD25" s="308"/>
      <c r="CE25" s="308"/>
      <c r="CF25" s="308"/>
      <c r="CG25" s="308"/>
      <c r="CH25" s="308"/>
      <c r="CI25" s="308"/>
      <c r="CJ25" s="308"/>
      <c r="CK25" s="308"/>
      <c r="CL25" s="308"/>
      <c r="CM25" s="308"/>
      <c r="CN25" s="308"/>
      <c r="CO25" s="308"/>
      <c r="CP25" s="308"/>
      <c r="CQ25" s="308"/>
      <c r="CR25" s="308"/>
      <c r="CS25" s="308"/>
      <c r="CT25" s="308"/>
      <c r="CU25" s="308"/>
      <c r="CV25" s="308"/>
      <c r="CW25" s="308"/>
      <c r="CX25" s="308"/>
      <c r="CY25" s="308"/>
      <c r="CZ25" s="308"/>
      <c r="DA25" s="308"/>
      <c r="DB25" s="308"/>
      <c r="DC25" s="308"/>
      <c r="DD25" s="308"/>
      <c r="DE25" s="308"/>
      <c r="DF25" s="308"/>
      <c r="DG25" s="308"/>
      <c r="DH25" s="308"/>
      <c r="DI25" s="308"/>
      <c r="DJ25" s="308"/>
      <c r="DK25" s="308"/>
      <c r="DL25" s="308"/>
      <c r="DM25" s="308"/>
      <c r="DN25" s="308"/>
      <c r="DO25" s="308"/>
      <c r="DP25" s="308"/>
      <c r="DQ25" s="308"/>
      <c r="DR25" s="308"/>
      <c r="DS25" s="308"/>
      <c r="DT25" s="308"/>
      <c r="DU25" s="308"/>
      <c r="DV25" s="308"/>
      <c r="DW25" s="308"/>
      <c r="DX25" s="308"/>
      <c r="DY25" s="308"/>
      <c r="DZ25" s="308"/>
      <c r="EA25" s="308"/>
      <c r="EB25" s="308"/>
      <c r="EC25" s="308"/>
      <c r="ED25" s="308"/>
      <c r="EE25" s="308"/>
      <c r="EF25" s="308"/>
      <c r="EG25" s="308"/>
      <c r="EH25" s="308"/>
      <c r="EI25" s="308"/>
      <c r="EJ25" s="308"/>
      <c r="EK25" s="308"/>
      <c r="EL25" s="308"/>
      <c r="EM25" s="308"/>
      <c r="EN25" s="308"/>
      <c r="EO25" s="308"/>
      <c r="EP25" s="308"/>
      <c r="EQ25" s="308"/>
      <c r="ER25" s="308"/>
      <c r="ES25" s="308"/>
      <c r="ET25" s="308"/>
      <c r="EU25" s="308"/>
      <c r="EV25" s="308"/>
      <c r="EW25" s="308"/>
      <c r="EX25" s="308"/>
      <c r="EY25" s="308"/>
      <c r="EZ25" s="308"/>
      <c r="FA25" s="308"/>
      <c r="FB25" s="308"/>
      <c r="FC25" s="308"/>
      <c r="FD25" s="308"/>
      <c r="FE25" s="308"/>
      <c r="FF25" s="308"/>
      <c r="FG25" s="308"/>
      <c r="FH25" s="308"/>
      <c r="FI25" s="308"/>
      <c r="FJ25" s="308"/>
      <c r="FK25" s="308"/>
      <c r="FL25" s="308"/>
      <c r="FM25" s="308"/>
      <c r="FN25" s="308"/>
      <c r="FO25" s="308"/>
      <c r="FP25" s="308"/>
      <c r="FQ25" s="308"/>
      <c r="FR25" s="308"/>
      <c r="FS25" s="308"/>
      <c r="FT25" s="308"/>
      <c r="FU25" s="308"/>
      <c r="FV25" s="308"/>
      <c r="FW25" s="308"/>
      <c r="FX25" s="308"/>
      <c r="FY25" s="308"/>
      <c r="FZ25" s="308"/>
      <c r="GA25" s="308"/>
      <c r="GB25" s="308"/>
      <c r="GC25" s="308"/>
      <c r="GD25" s="308"/>
      <c r="GE25" s="308"/>
      <c r="GF25" s="308"/>
      <c r="GG25" s="308"/>
      <c r="GH25" s="308"/>
      <c r="GI25" s="308"/>
      <c r="GJ25" s="308"/>
      <c r="GK25" s="308"/>
      <c r="GL25" s="308"/>
      <c r="GM25" s="308"/>
      <c r="GN25" s="308"/>
      <c r="GO25" s="308"/>
      <c r="GP25" s="308"/>
      <c r="GQ25" s="308"/>
      <c r="GR25" s="308"/>
      <c r="GS25" s="308"/>
      <c r="GT25" s="308"/>
      <c r="GU25" s="308"/>
      <c r="GV25" s="308"/>
      <c r="GW25" s="308"/>
      <c r="GX25" s="308"/>
      <c r="GY25" s="308"/>
      <c r="GZ25" s="308"/>
      <c r="HA25" s="308"/>
      <c r="HB25" s="308"/>
      <c r="HC25" s="308"/>
      <c r="HD25" s="308"/>
      <c r="HE25" s="308"/>
      <c r="HF25" s="308"/>
      <c r="HG25" s="308"/>
      <c r="HH25" s="308"/>
      <c r="HI25" s="308"/>
      <c r="HJ25" s="308"/>
      <c r="HK25" s="308"/>
      <c r="HL25" s="308"/>
      <c r="HM25" s="308"/>
      <c r="HN25" s="308"/>
      <c r="HO25" s="308"/>
      <c r="HP25" s="308"/>
      <c r="HQ25" s="308"/>
      <c r="HR25" s="308"/>
      <c r="HS25" s="308"/>
      <c r="HT25" s="308"/>
      <c r="HU25" s="308"/>
      <c r="HV25" s="308"/>
      <c r="HW25" s="308"/>
      <c r="HX25" s="308"/>
      <c r="HY25" s="308"/>
      <c r="HZ25" s="308"/>
      <c r="IA25" s="308"/>
      <c r="IB25" s="308"/>
      <c r="IC25" s="308"/>
      <c r="ID25" s="308"/>
      <c r="IE25" s="308"/>
      <c r="IF25" s="308"/>
      <c r="IG25" s="308"/>
      <c r="IH25" s="308"/>
      <c r="II25" s="308"/>
      <c r="IJ25" s="308"/>
      <c r="IK25" s="308"/>
      <c r="IL25" s="308"/>
      <c r="IM25" s="308"/>
      <c r="IN25" s="308"/>
      <c r="IO25" s="308"/>
      <c r="IP25" s="308"/>
      <c r="IQ25" s="308"/>
      <c r="IR25" s="308"/>
      <c r="IS25" s="308"/>
      <c r="IT25" s="308"/>
      <c r="IU25" s="308"/>
      <c r="IV25" s="308"/>
      <c r="IW25" s="308"/>
      <c r="IX25" s="308"/>
    </row>
    <row r="26" spans="1:258" s="308" customFormat="1" ht="17.399999999999999" x14ac:dyDescent="0.3">
      <c r="A26" s="103"/>
      <c r="B26" s="84"/>
      <c r="C26" s="64"/>
      <c r="D26" s="83" t="s">
        <v>164</v>
      </c>
      <c r="E26" s="270">
        <f t="shared" ref="E26:G28" si="2">E30*$C$29+E34*$C$33+$C$37*E38+$C$41*E42</f>
        <v>-9.1139048141381296E-2</v>
      </c>
      <c r="F26" s="90">
        <f t="shared" si="2"/>
        <v>5.6712760529299688E-2</v>
      </c>
      <c r="G26" s="278">
        <f t="shared" si="2"/>
        <v>0.30295733829361593</v>
      </c>
      <c r="H26" s="90">
        <f t="shared" ref="H26:U28" si="3">H30*$C$29+H34*$C$33+$C$37*H38+$C$41*H42</f>
        <v>2.1461819946979183E-2</v>
      </c>
      <c r="I26" s="90">
        <f t="shared" si="3"/>
        <v>0.03</v>
      </c>
      <c r="J26" s="90">
        <f t="shared" si="3"/>
        <v>0</v>
      </c>
      <c r="K26" s="90">
        <f t="shared" si="3"/>
        <v>0</v>
      </c>
      <c r="L26" s="90">
        <f t="shared" si="3"/>
        <v>4.6389988723701793E-2</v>
      </c>
      <c r="M26" s="90">
        <f t="shared" si="3"/>
        <v>0</v>
      </c>
      <c r="N26" s="90">
        <f t="shared" si="3"/>
        <v>0.05</v>
      </c>
      <c r="O26" s="90">
        <f t="shared" si="3"/>
        <v>0</v>
      </c>
      <c r="P26" s="90">
        <f t="shared" si="3"/>
        <v>-9.1139048141381296E-2</v>
      </c>
      <c r="Q26" s="90">
        <f t="shared" si="3"/>
        <v>0</v>
      </c>
      <c r="R26" s="90">
        <f t="shared" si="3"/>
        <v>0</v>
      </c>
      <c r="S26" s="90">
        <f t="shared" si="3"/>
        <v>5.6712760529299688E-2</v>
      </c>
      <c r="T26" s="90">
        <f t="shared" si="3"/>
        <v>0.05</v>
      </c>
      <c r="U26" s="90">
        <f t="shared" si="3"/>
        <v>0.14713519322692106</v>
      </c>
      <c r="V26" s="430"/>
      <c r="W26" s="243"/>
      <c r="Z26" s="64"/>
    </row>
    <row r="27" spans="1:258" s="308" customFormat="1" ht="17.399999999999999" x14ac:dyDescent="0.3">
      <c r="A27" s="103"/>
      <c r="B27" s="84"/>
      <c r="C27" s="142"/>
      <c r="D27" s="83" t="s">
        <v>165</v>
      </c>
      <c r="E27" s="270">
        <f t="shared" si="2"/>
        <v>0</v>
      </c>
      <c r="F27" s="90">
        <f t="shared" si="2"/>
        <v>2.0549294572800644E-5</v>
      </c>
      <c r="G27" s="278">
        <f t="shared" si="2"/>
        <v>2.4524757814537109E-5</v>
      </c>
      <c r="H27" s="90">
        <f t="shared" si="3"/>
        <v>9.382493326708764E-11</v>
      </c>
      <c r="I27" s="90">
        <f t="shared" si="3"/>
        <v>0</v>
      </c>
      <c r="J27" s="90">
        <f t="shared" si="3"/>
        <v>0</v>
      </c>
      <c r="K27" s="90">
        <f t="shared" si="3"/>
        <v>0</v>
      </c>
      <c r="L27" s="90">
        <f t="shared" si="3"/>
        <v>2.0549200747867374E-5</v>
      </c>
      <c r="M27" s="90">
        <f t="shared" si="3"/>
        <v>0</v>
      </c>
      <c r="N27" s="90">
        <f t="shared" si="3"/>
        <v>0</v>
      </c>
      <c r="O27" s="90">
        <f t="shared" si="3"/>
        <v>0</v>
      </c>
      <c r="P27" s="90">
        <f t="shared" si="3"/>
        <v>0</v>
      </c>
      <c r="Q27" s="90">
        <f t="shared" si="3"/>
        <v>0</v>
      </c>
      <c r="R27" s="90">
        <f t="shared" si="3"/>
        <v>0</v>
      </c>
      <c r="S27" s="90">
        <f t="shared" si="3"/>
        <v>2.0549294572800644E-5</v>
      </c>
      <c r="T27" s="90">
        <f t="shared" si="3"/>
        <v>0</v>
      </c>
      <c r="U27" s="90">
        <f t="shared" si="3"/>
        <v>0</v>
      </c>
      <c r="V27" s="430"/>
      <c r="W27" s="243"/>
      <c r="Z27" s="64"/>
    </row>
    <row r="28" spans="1:258" s="308" customFormat="1" ht="17.399999999999999" x14ac:dyDescent="0.3">
      <c r="A28" s="107"/>
      <c r="B28" s="206"/>
      <c r="C28" s="85"/>
      <c r="D28" s="84" t="s">
        <v>166</v>
      </c>
      <c r="E28" s="270">
        <f t="shared" si="2"/>
        <v>1.5070712790045968E-4</v>
      </c>
      <c r="F28" s="90">
        <f t="shared" si="2"/>
        <v>2.6853369987742674E-4</v>
      </c>
      <c r="G28" s="278">
        <f t="shared" si="2"/>
        <v>3.2048418651083271E-4</v>
      </c>
      <c r="H28" s="90">
        <f t="shared" si="3"/>
        <v>1.1658005489324278E-4</v>
      </c>
      <c r="I28" s="90">
        <f t="shared" si="3"/>
        <v>0</v>
      </c>
      <c r="J28" s="90">
        <f t="shared" si="3"/>
        <v>1.3700647990950879E-4</v>
      </c>
      <c r="K28" s="90">
        <f t="shared" si="3"/>
        <v>1.370064799095088E-5</v>
      </c>
      <c r="L28" s="90">
        <f t="shared" si="3"/>
        <v>1.2465170837243369E-6</v>
      </c>
      <c r="M28" s="90">
        <f t="shared" si="3"/>
        <v>0</v>
      </c>
      <c r="N28" s="90">
        <f t="shared" si="3"/>
        <v>0</v>
      </c>
      <c r="O28" s="90">
        <f t="shared" si="3"/>
        <v>0</v>
      </c>
      <c r="P28" s="90">
        <f t="shared" si="3"/>
        <v>0</v>
      </c>
      <c r="Q28" s="90">
        <f t="shared" si="3"/>
        <v>0</v>
      </c>
      <c r="R28" s="90">
        <f t="shared" si="3"/>
        <v>0</v>
      </c>
      <c r="S28" s="90">
        <f t="shared" si="3"/>
        <v>2.6853369987742674E-4</v>
      </c>
      <c r="T28" s="90">
        <f t="shared" si="3"/>
        <v>0</v>
      </c>
      <c r="U28" s="90">
        <f t="shared" si="3"/>
        <v>0</v>
      </c>
      <c r="V28" s="430"/>
      <c r="W28" s="243"/>
      <c r="Z28" s="64"/>
    </row>
    <row r="29" spans="1:258" s="420" customFormat="1" ht="17.399999999999999" x14ac:dyDescent="0.3">
      <c r="A29" s="122" t="s">
        <v>1</v>
      </c>
      <c r="B29" s="150" t="s">
        <v>225</v>
      </c>
      <c r="C29" s="104">
        <f>'Input data plant-based products'!D77</f>
        <v>5.5877298484047239E-2</v>
      </c>
      <c r="D29" s="269" t="s">
        <v>473</v>
      </c>
      <c r="E29" s="320">
        <f>IF($F$1="GWP100 without fb",E30+E31*'Common input data'!$C$5+E32*'Common input data'!$D$5,IF($F$1="GWP100 with fb",E30+E31*'Common input data'!$C$6+E32*'Common input data'!$D$6,IF($F$1="GTP100 without fb",E30+E31*'Common input data'!$C$7+E32*'Common input data'!$D$7,IF($F$1="GTP100 with fb",E30+E31*'Common input data'!$C$8+E32*'Common input data'!$D$8,E30+E31*'Common input data'!$C$9+E32*'Common input data'!$D$9))))</f>
        <v>-7.4098740964065157E-2</v>
      </c>
      <c r="F29" s="302">
        <f>IF($F$1="GWP100 without fb",F30+F31*'Common input data'!$C$5+F32*'Common input data'!$D$5,IF($F$1="GWP100 with fb",F30+F31*'Common input data'!$C$6+F32*'Common input data'!$D$6,IF($F$1="GTP100 without fb",F30+F31*'Common input data'!$C$7+F32*'Common input data'!$D$7,IF($F$1="GTP100 with fb",F30+F31*'Common input data'!$C$8+F32*'Common input data'!$D$8,F30+F31*'Common input data'!$C$9+F32*'Common input data'!$D$9))))</f>
        <v>0.10904141708063506</v>
      </c>
      <c r="G29" s="321">
        <f>IF($F$1="GWP100 without fb",G30+G31*'Common input data'!$C$5+G32*'Common input data'!$D$5,IF($F$1="GWP100 with fb",G30+G31*'Common input data'!$C$6+G32*'Common input data'!$D$6,IF($F$1="GTP100 without fb",G30+G31*'Common input data'!$C$7+G32*'Common input data'!$D$7,IF($F$1="GTP100 with fb",G30+G31*'Common input data'!$C$8+G32*'Common input data'!$D$8,G30+G31*'Common input data'!$C$9+G32*'Common input data'!$D$9))))</f>
        <v>0.22561333939686723</v>
      </c>
      <c r="H29" s="102"/>
      <c r="I29" s="102"/>
      <c r="J29" s="102"/>
      <c r="K29" s="102"/>
      <c r="L29" s="102"/>
      <c r="M29" s="102"/>
      <c r="N29" s="102"/>
      <c r="O29" s="102"/>
      <c r="P29" s="102"/>
      <c r="Q29" s="102"/>
      <c r="R29" s="102"/>
      <c r="S29" s="102"/>
      <c r="T29" s="102"/>
      <c r="U29" s="102"/>
      <c r="V29" s="430"/>
      <c r="W29" s="243"/>
      <c r="X29" s="308"/>
      <c r="Y29" s="308"/>
      <c r="Z29" s="64"/>
      <c r="AA29" s="308"/>
      <c r="AB29" s="308"/>
      <c r="AC29" s="308"/>
      <c r="AD29" s="308"/>
      <c r="AE29" s="308"/>
      <c r="AF29" s="308"/>
      <c r="AG29" s="308"/>
      <c r="AH29" s="308"/>
      <c r="AI29" s="308"/>
      <c r="AJ29" s="308"/>
      <c r="AK29" s="308"/>
      <c r="AL29" s="308"/>
      <c r="AM29" s="308"/>
      <c r="AN29" s="308"/>
      <c r="AO29" s="308"/>
      <c r="AP29" s="308"/>
      <c r="AQ29" s="308"/>
      <c r="AR29" s="308"/>
      <c r="AS29" s="308"/>
      <c r="AT29" s="308"/>
      <c r="AU29" s="308"/>
      <c r="AV29" s="308"/>
      <c r="AW29" s="308"/>
      <c r="AX29" s="308"/>
      <c r="AY29" s="308"/>
      <c r="AZ29" s="308"/>
      <c r="BA29" s="308"/>
      <c r="BB29" s="308"/>
      <c r="BC29" s="308"/>
      <c r="BD29" s="308"/>
      <c r="BE29" s="308"/>
      <c r="BF29" s="308"/>
      <c r="BG29" s="308"/>
      <c r="BH29" s="308"/>
      <c r="BI29" s="308"/>
      <c r="BJ29" s="308"/>
      <c r="BK29" s="308"/>
      <c r="BL29" s="308"/>
      <c r="BM29" s="308"/>
      <c r="BN29" s="308"/>
      <c r="BO29" s="308"/>
      <c r="BP29" s="308"/>
      <c r="BQ29" s="308"/>
      <c r="BR29" s="308"/>
      <c r="BS29" s="308"/>
      <c r="BT29" s="308"/>
      <c r="BU29" s="308"/>
      <c r="BV29" s="308"/>
      <c r="BW29" s="308"/>
      <c r="BX29" s="308"/>
      <c r="BY29" s="308"/>
      <c r="BZ29" s="308"/>
      <c r="CA29" s="308"/>
      <c r="CB29" s="308"/>
      <c r="CC29" s="308"/>
      <c r="CD29" s="308"/>
      <c r="CE29" s="308"/>
      <c r="CF29" s="308"/>
      <c r="CG29" s="308"/>
      <c r="CH29" s="308"/>
      <c r="CI29" s="308"/>
      <c r="CJ29" s="308"/>
      <c r="CK29" s="308"/>
      <c r="CL29" s="308"/>
      <c r="CM29" s="308"/>
      <c r="CN29" s="308"/>
      <c r="CO29" s="308"/>
      <c r="CP29" s="308"/>
      <c r="CQ29" s="308"/>
      <c r="CR29" s="308"/>
      <c r="CS29" s="308"/>
      <c r="CT29" s="308"/>
      <c r="CU29" s="308"/>
      <c r="CV29" s="308"/>
      <c r="CW29" s="308"/>
      <c r="CX29" s="308"/>
      <c r="CY29" s="308"/>
      <c r="CZ29" s="308"/>
      <c r="DA29" s="308"/>
      <c r="DB29" s="308"/>
      <c r="DC29" s="308"/>
      <c r="DD29" s="308"/>
      <c r="DE29" s="308"/>
      <c r="DF29" s="308"/>
      <c r="DG29" s="308"/>
      <c r="DH29" s="308"/>
      <c r="DI29" s="308"/>
      <c r="DJ29" s="308"/>
      <c r="DK29" s="308"/>
      <c r="DL29" s="308"/>
      <c r="DM29" s="308"/>
      <c r="DN29" s="308"/>
      <c r="DO29" s="308"/>
      <c r="DP29" s="308"/>
      <c r="DQ29" s="308"/>
      <c r="DR29" s="308"/>
      <c r="DS29" s="308"/>
      <c r="DT29" s="308"/>
      <c r="DU29" s="308"/>
      <c r="DV29" s="308"/>
      <c r="DW29" s="308"/>
      <c r="DX29" s="308"/>
      <c r="DY29" s="308"/>
      <c r="DZ29" s="308"/>
      <c r="EA29" s="308"/>
      <c r="EB29" s="308"/>
      <c r="EC29" s="308"/>
      <c r="ED29" s="308"/>
      <c r="EE29" s="308"/>
      <c r="EF29" s="308"/>
      <c r="EG29" s="308"/>
      <c r="EH29" s="308"/>
      <c r="EI29" s="308"/>
      <c r="EJ29" s="308"/>
      <c r="EK29" s="308"/>
      <c r="EL29" s="308"/>
      <c r="EM29" s="308"/>
      <c r="EN29" s="308"/>
      <c r="EO29" s="308"/>
      <c r="EP29" s="308"/>
      <c r="EQ29" s="308"/>
      <c r="ER29" s="308"/>
      <c r="ES29" s="308"/>
      <c r="ET29" s="308"/>
      <c r="EU29" s="308"/>
      <c r="EV29" s="308"/>
      <c r="EW29" s="308"/>
      <c r="EX29" s="308"/>
      <c r="EY29" s="308"/>
      <c r="EZ29" s="308"/>
      <c r="FA29" s="308"/>
      <c r="FB29" s="308"/>
      <c r="FC29" s="308"/>
      <c r="FD29" s="308"/>
      <c r="FE29" s="308"/>
      <c r="FF29" s="308"/>
      <c r="FG29" s="308"/>
      <c r="FH29" s="308"/>
      <c r="FI29" s="308"/>
      <c r="FJ29" s="308"/>
      <c r="FK29" s="308"/>
      <c r="FL29" s="308"/>
      <c r="FM29" s="308"/>
      <c r="FN29" s="308"/>
      <c r="FO29" s="308"/>
      <c r="FP29" s="308"/>
      <c r="FQ29" s="308"/>
      <c r="FR29" s="308"/>
      <c r="FS29" s="308"/>
      <c r="FT29" s="308"/>
      <c r="FU29" s="308"/>
      <c r="FV29" s="308"/>
      <c r="FW29" s="308"/>
      <c r="FX29" s="308"/>
      <c r="FY29" s="308"/>
      <c r="FZ29" s="308"/>
      <c r="GA29" s="308"/>
      <c r="GB29" s="308"/>
      <c r="GC29" s="308"/>
      <c r="GD29" s="308"/>
      <c r="GE29" s="308"/>
      <c r="GF29" s="308"/>
      <c r="GG29" s="308"/>
      <c r="GH29" s="308"/>
      <c r="GI29" s="308"/>
      <c r="GJ29" s="308"/>
      <c r="GK29" s="308"/>
      <c r="GL29" s="308"/>
      <c r="GM29" s="308"/>
      <c r="GN29" s="308"/>
      <c r="GO29" s="308"/>
      <c r="GP29" s="308"/>
      <c r="GQ29" s="308"/>
      <c r="GR29" s="308"/>
      <c r="GS29" s="308"/>
      <c r="GT29" s="308"/>
      <c r="GU29" s="308"/>
      <c r="GV29" s="308"/>
      <c r="GW29" s="308"/>
      <c r="GX29" s="308"/>
      <c r="GY29" s="308"/>
      <c r="GZ29" s="308"/>
      <c r="HA29" s="308"/>
      <c r="HB29" s="308"/>
      <c r="HC29" s="308"/>
      <c r="HD29" s="308"/>
      <c r="HE29" s="308"/>
      <c r="HF29" s="308"/>
      <c r="HG29" s="308"/>
      <c r="HH29" s="308"/>
      <c r="HI29" s="308"/>
      <c r="HJ29" s="308"/>
      <c r="HK29" s="308"/>
      <c r="HL29" s="308"/>
      <c r="HM29" s="308"/>
      <c r="HN29" s="308"/>
      <c r="HO29" s="308"/>
      <c r="HP29" s="308"/>
      <c r="HQ29" s="308"/>
      <c r="HR29" s="308"/>
      <c r="HS29" s="308"/>
      <c r="HT29" s="308"/>
      <c r="HU29" s="308"/>
      <c r="HV29" s="308"/>
      <c r="HW29" s="308"/>
      <c r="HX29" s="308"/>
      <c r="HY29" s="308"/>
      <c r="HZ29" s="308"/>
      <c r="IA29" s="308"/>
      <c r="IB29" s="308"/>
      <c r="IC29" s="308"/>
      <c r="ID29" s="308"/>
      <c r="IE29" s="308"/>
      <c r="IF29" s="308"/>
      <c r="IG29" s="308"/>
      <c r="IH29" s="308"/>
      <c r="II29" s="308"/>
      <c r="IJ29" s="308"/>
      <c r="IK29" s="308"/>
      <c r="IL29" s="308"/>
      <c r="IM29" s="308"/>
      <c r="IN29" s="308"/>
      <c r="IO29" s="308"/>
      <c r="IP29" s="308"/>
      <c r="IQ29" s="308"/>
      <c r="IR29" s="308"/>
      <c r="IS29" s="308"/>
      <c r="IT29" s="308"/>
      <c r="IU29" s="308"/>
      <c r="IV29" s="308"/>
      <c r="IW29" s="308"/>
      <c r="IX29" s="308"/>
    </row>
    <row r="30" spans="1:258" s="308" customFormat="1" ht="17.399999999999999" x14ac:dyDescent="0.3">
      <c r="A30" s="103"/>
      <c r="B30" s="84"/>
      <c r="C30" s="64"/>
      <c r="D30" s="83" t="s">
        <v>164</v>
      </c>
      <c r="E30" s="270">
        <f>IF(AND($F$2="No",$F$3="No"),SUM(J30:K30),IF(AND($F$2="Yes", $F$3="No"), SUM(J30:K30)+Q30, IF(AND($F$2="No", $F$3="Yes"),SUM(J30:K30)+P30, SUM(J30:K30)+Q30+P30)))</f>
        <v>-9.1139048141381296E-2</v>
      </c>
      <c r="F30" s="90">
        <f>IF(AND($F$2="No",$F$3="No"),SUM(H30:O30),IF(AND($F$2="Yes", $F$3="No"), SUM(H30:O30)+Q30, IF(AND($F$2="No", $F$3="Yes"),SUM(H30:O30)+P30, SUM(H30:O30)+Q30+P30)))</f>
        <v>8.0041288745248962E-2</v>
      </c>
      <c r="G30" s="278">
        <f>SUM(S30:U30)/(1-'Common input data'!$B$121)</f>
        <v>0.1910028508715228</v>
      </c>
      <c r="H30" s="90">
        <f>('Input data plant-based products'!$F$77*('Common input data'!$B$76*'Common input data'!B69+'Common input data'!$B$77*'Common input data'!C69))/'Input data plant-based products'!$E$77</f>
        <v>8.3014395744317564E-3</v>
      </c>
      <c r="I30" s="90">
        <f>'Common input data'!$B$81</f>
        <v>0.03</v>
      </c>
      <c r="J30" s="90">
        <v>0</v>
      </c>
      <c r="K30" s="90">
        <v>0</v>
      </c>
      <c r="L30" s="90">
        <f>('Input data plant-based products'!$I$77*'Common input data'!$C$59*'Common input data'!H49)/'Input data plant-based products'!$E$77</f>
        <v>8.2878897312198496E-2</v>
      </c>
      <c r="M30" s="90">
        <v>0</v>
      </c>
      <c r="N30" s="90">
        <f>'Input data plant-based products'!F$152</f>
        <v>0.05</v>
      </c>
      <c r="O30" s="90">
        <v>0</v>
      </c>
      <c r="P30" s="90">
        <f>'Common input data'!$F$13</f>
        <v>-9.1139048141381296E-2</v>
      </c>
      <c r="Q30" s="90">
        <v>0</v>
      </c>
      <c r="R30" s="90">
        <v>0</v>
      </c>
      <c r="S30" s="90">
        <f>F30+R30</f>
        <v>8.0041288745248962E-2</v>
      </c>
      <c r="T30" s="90">
        <f>'Common input data'!$B$88</f>
        <v>0.05</v>
      </c>
      <c r="U30" s="90">
        <f>'Common input data'!C98</f>
        <v>0.03</v>
      </c>
      <c r="V30" s="430"/>
      <c r="W30" s="243"/>
      <c r="Z30" s="64"/>
    </row>
    <row r="31" spans="1:258" s="308" customFormat="1" ht="17.399999999999999" x14ac:dyDescent="0.3">
      <c r="A31" s="103"/>
      <c r="B31" s="84"/>
      <c r="C31" s="142"/>
      <c r="D31" s="83" t="s">
        <v>165</v>
      </c>
      <c r="E31" s="270">
        <f>SUM(J31:K31)</f>
        <v>0</v>
      </c>
      <c r="F31" s="90">
        <f>SUM(H31:O31)</f>
        <v>3.6712579082232948E-5</v>
      </c>
      <c r="G31" s="278">
        <f>SUM(S31:U31)/(1-'Common input data'!$B$121)</f>
        <v>4.381498876027324E-5</v>
      </c>
      <c r="H31" s="90">
        <f>('Input data plant-based products'!$F$77*('Common input data'!$B$76*'Common input data'!B70+'Common input data'!$B$77*'Common input data'!C70))/'Input data plant-based products'!$E$77</f>
        <v>2.222489317711923E-11</v>
      </c>
      <c r="I31" s="90">
        <v>0</v>
      </c>
      <c r="J31" s="90">
        <v>0</v>
      </c>
      <c r="K31" s="90">
        <v>0</v>
      </c>
      <c r="L31" s="90">
        <f>('Input data plant-based products'!$I$77*'Common input data'!$C$59*'Common input data'!H50)/'Input data plant-based products'!$E$77</f>
        <v>3.6712556857339771E-5</v>
      </c>
      <c r="M31" s="90">
        <v>0</v>
      </c>
      <c r="N31" s="90">
        <v>0</v>
      </c>
      <c r="O31" s="90">
        <v>0</v>
      </c>
      <c r="P31" s="90">
        <v>0</v>
      </c>
      <c r="Q31" s="90">
        <v>0</v>
      </c>
      <c r="R31" s="90">
        <v>0</v>
      </c>
      <c r="S31" s="90">
        <f>F31+R31</f>
        <v>3.6712579082232948E-5</v>
      </c>
      <c r="T31" s="90">
        <v>0</v>
      </c>
      <c r="U31" s="90">
        <v>0</v>
      </c>
      <c r="V31" s="430"/>
      <c r="W31" s="243"/>
      <c r="Z31" s="64"/>
    </row>
    <row r="32" spans="1:258" s="308" customFormat="1" ht="17.399999999999999" x14ac:dyDescent="0.3">
      <c r="A32" s="107"/>
      <c r="B32" s="206"/>
      <c r="C32" s="85"/>
      <c r="D32" s="84" t="s">
        <v>166</v>
      </c>
      <c r="E32" s="270">
        <f>SUM(J32:K32)</f>
        <v>5.7182238850054144E-5</v>
      </c>
      <c r="F32" s="90">
        <f>SUM(H32:O32)</f>
        <v>9.312718337781939E-5</v>
      </c>
      <c r="G32" s="278">
        <f>SUM(S32:U32)/(1-'Common input data'!$B$121)</f>
        <v>1.1114355338085618E-4</v>
      </c>
      <c r="H32" s="90">
        <f>('Input data plant-based products'!$F$77*('Common input data'!$B$76*'Common input data'!B71+'Common input data'!$B$77*'Common input data'!C71))/'Input data plant-based products'!$E$77</f>
        <v>3.3717956243823148E-5</v>
      </c>
      <c r="I32" s="90">
        <v>0</v>
      </c>
      <c r="J32" s="90">
        <f>(SUM('Input data plant-based products'!F77:H77)*'Input data plant-based products'!$B$114*44/28)/'Input data plant-based products'!E77</f>
        <v>5.1983853500049221E-5</v>
      </c>
      <c r="K32" s="90">
        <f>J32*'Input data plant-based products'!$B$115</f>
        <v>5.1983853500049226E-6</v>
      </c>
      <c r="L32" s="90">
        <f>('Input data plant-based products'!$I$77*'Common input data'!$C$59*'Common input data'!H51)/'Input data plant-based products'!$E$77</f>
        <v>2.2269882839421094E-6</v>
      </c>
      <c r="M32" s="90">
        <v>0</v>
      </c>
      <c r="N32" s="90">
        <v>0</v>
      </c>
      <c r="O32" s="90">
        <v>0</v>
      </c>
      <c r="P32" s="90">
        <v>0</v>
      </c>
      <c r="Q32" s="90">
        <v>0</v>
      </c>
      <c r="R32" s="90">
        <v>0</v>
      </c>
      <c r="S32" s="90">
        <f>F32+R32</f>
        <v>9.312718337781939E-5</v>
      </c>
      <c r="T32" s="90">
        <v>0</v>
      </c>
      <c r="U32" s="90">
        <v>0</v>
      </c>
      <c r="V32" s="430"/>
      <c r="W32" s="243"/>
      <c r="Z32" s="64"/>
    </row>
    <row r="33" spans="1:258" s="420" customFormat="1" ht="17.399999999999999" x14ac:dyDescent="0.3">
      <c r="A33" s="122" t="s">
        <v>93</v>
      </c>
      <c r="B33" s="150" t="s">
        <v>225</v>
      </c>
      <c r="C33" s="104">
        <f>'Input data plant-based products'!D78</f>
        <v>0.23061781466398334</v>
      </c>
      <c r="D33" s="269" t="s">
        <v>473</v>
      </c>
      <c r="E33" s="320">
        <f>IF($F$1="GWP100 without fb",E34+E35*'Common input data'!$C$5+E36*'Common input data'!$D$5,IF($F$1="GWP100 with fb",E34+E35*'Common input data'!$C$6+E36*'Common input data'!$D$6,IF($F$1="GTP100 without fb",E34+E35*'Common input data'!$C$7+E36*'Common input data'!$D$7,IF($F$1="GTP100 with fb",E34+E35*'Common input data'!$C$8+E36*'Common input data'!$D$8,E34+E35*'Common input data'!$C$9+E36*'Common input data'!$D$9))))</f>
        <v>-8.4847850374653561E-2</v>
      </c>
      <c r="F33" s="302">
        <f>IF($F$1="GWP100 without fb",F34+F35*'Common input data'!$C$5+F36*'Common input data'!$D$5,IF($F$1="GWP100 with fb",F34+F35*'Common input data'!$C$6+F36*'Common input data'!$D$6,IF($F$1="GTP100 without fb",F34+F35*'Common input data'!$C$7+F36*'Common input data'!$D$7,IF($F$1="GTP100 with fb",F34+F35*'Common input data'!$C$8+F36*'Common input data'!$D$8,F34+F35*'Common input data'!$C$9+F36*'Common input data'!$D$9))))</f>
        <v>3.6226229215901865E-2</v>
      </c>
      <c r="G33" s="321">
        <f>IF($F$1="GWP100 without fb",G34+G35*'Common input data'!$C$5+G36*'Common input data'!$D$5,IF($F$1="GWP100 with fb",G34+G35*'Common input data'!$C$6+G36*'Common input data'!$D$6,IF($F$1="GTP100 without fb",G34+G35*'Common input data'!$C$7+G36*'Common input data'!$D$7,IF($F$1="GTP100 with fb",G34+G35*'Common input data'!$C$8+G36*'Common input data'!$D$8,G34+G35*'Common input data'!$C$9+G36*'Common input data'!$D$9))))</f>
        <v>0.25805732094032924</v>
      </c>
      <c r="H33" s="102"/>
      <c r="I33" s="102"/>
      <c r="J33" s="102"/>
      <c r="K33" s="102"/>
      <c r="L33" s="102"/>
      <c r="M33" s="102"/>
      <c r="N33" s="102"/>
      <c r="O33" s="102"/>
      <c r="P33" s="102"/>
      <c r="Q33" s="102"/>
      <c r="R33" s="102"/>
      <c r="S33" s="102"/>
      <c r="T33" s="102"/>
      <c r="U33" s="102"/>
      <c r="V33" s="430"/>
      <c r="W33" s="243"/>
      <c r="X33" s="308"/>
      <c r="Y33" s="308"/>
      <c r="Z33" s="64"/>
      <c r="AA33" s="308"/>
      <c r="AB33" s="308"/>
      <c r="AC33" s="308"/>
      <c r="AD33" s="308"/>
      <c r="AE33" s="308"/>
      <c r="AF33" s="308"/>
      <c r="AG33" s="308"/>
      <c r="AH33" s="308"/>
      <c r="AI33" s="308"/>
      <c r="AJ33" s="308"/>
      <c r="AK33" s="308"/>
      <c r="AL33" s="308"/>
      <c r="AM33" s="308"/>
      <c r="AN33" s="308"/>
      <c r="AO33" s="308"/>
      <c r="AP33" s="308"/>
      <c r="AQ33" s="308"/>
      <c r="AR33" s="308"/>
      <c r="AS33" s="308"/>
      <c r="AT33" s="308"/>
      <c r="AU33" s="308"/>
      <c r="AV33" s="308"/>
      <c r="AW33" s="308"/>
      <c r="AX33" s="308"/>
      <c r="AY33" s="308"/>
      <c r="AZ33" s="308"/>
      <c r="BA33" s="308"/>
      <c r="BB33" s="308"/>
      <c r="BC33" s="308"/>
      <c r="BD33" s="308"/>
      <c r="BE33" s="308"/>
      <c r="BF33" s="308"/>
      <c r="BG33" s="308"/>
      <c r="BH33" s="308"/>
      <c r="BI33" s="308"/>
      <c r="BJ33" s="308"/>
      <c r="BK33" s="308"/>
      <c r="BL33" s="308"/>
      <c r="BM33" s="308"/>
      <c r="BN33" s="308"/>
      <c r="BO33" s="308"/>
      <c r="BP33" s="308"/>
      <c r="BQ33" s="308"/>
      <c r="BR33" s="308"/>
      <c r="BS33" s="308"/>
      <c r="BT33" s="308"/>
      <c r="BU33" s="308"/>
      <c r="BV33" s="308"/>
      <c r="BW33" s="308"/>
      <c r="BX33" s="308"/>
      <c r="BY33" s="308"/>
      <c r="BZ33" s="308"/>
      <c r="CA33" s="308"/>
      <c r="CB33" s="308"/>
      <c r="CC33" s="308"/>
      <c r="CD33" s="308"/>
      <c r="CE33" s="308"/>
      <c r="CF33" s="308"/>
      <c r="CG33" s="308"/>
      <c r="CH33" s="308"/>
      <c r="CI33" s="308"/>
      <c r="CJ33" s="308"/>
      <c r="CK33" s="308"/>
      <c r="CL33" s="308"/>
      <c r="CM33" s="308"/>
      <c r="CN33" s="308"/>
      <c r="CO33" s="308"/>
      <c r="CP33" s="308"/>
      <c r="CQ33" s="308"/>
      <c r="CR33" s="308"/>
      <c r="CS33" s="308"/>
      <c r="CT33" s="308"/>
      <c r="CU33" s="308"/>
      <c r="CV33" s="308"/>
      <c r="CW33" s="308"/>
      <c r="CX33" s="308"/>
      <c r="CY33" s="308"/>
      <c r="CZ33" s="308"/>
      <c r="DA33" s="308"/>
      <c r="DB33" s="308"/>
      <c r="DC33" s="308"/>
      <c r="DD33" s="308"/>
      <c r="DE33" s="308"/>
      <c r="DF33" s="308"/>
      <c r="DG33" s="308"/>
      <c r="DH33" s="308"/>
      <c r="DI33" s="308"/>
      <c r="DJ33" s="308"/>
      <c r="DK33" s="308"/>
      <c r="DL33" s="308"/>
      <c r="DM33" s="308"/>
      <c r="DN33" s="308"/>
      <c r="DO33" s="308"/>
      <c r="DP33" s="308"/>
      <c r="DQ33" s="308"/>
      <c r="DR33" s="308"/>
      <c r="DS33" s="308"/>
      <c r="DT33" s="308"/>
      <c r="DU33" s="308"/>
      <c r="DV33" s="308"/>
      <c r="DW33" s="308"/>
      <c r="DX33" s="308"/>
      <c r="DY33" s="308"/>
      <c r="DZ33" s="308"/>
      <c r="EA33" s="308"/>
      <c r="EB33" s="308"/>
      <c r="EC33" s="308"/>
      <c r="ED33" s="308"/>
      <c r="EE33" s="308"/>
      <c r="EF33" s="308"/>
      <c r="EG33" s="308"/>
      <c r="EH33" s="308"/>
      <c r="EI33" s="308"/>
      <c r="EJ33" s="308"/>
      <c r="EK33" s="308"/>
      <c r="EL33" s="308"/>
      <c r="EM33" s="308"/>
      <c r="EN33" s="308"/>
      <c r="EO33" s="308"/>
      <c r="EP33" s="308"/>
      <c r="EQ33" s="308"/>
      <c r="ER33" s="308"/>
      <c r="ES33" s="308"/>
      <c r="ET33" s="308"/>
      <c r="EU33" s="308"/>
      <c r="EV33" s="308"/>
      <c r="EW33" s="308"/>
      <c r="EX33" s="308"/>
      <c r="EY33" s="308"/>
      <c r="EZ33" s="308"/>
      <c r="FA33" s="308"/>
      <c r="FB33" s="308"/>
      <c r="FC33" s="308"/>
      <c r="FD33" s="308"/>
      <c r="FE33" s="308"/>
      <c r="FF33" s="308"/>
      <c r="FG33" s="308"/>
      <c r="FH33" s="308"/>
      <c r="FI33" s="308"/>
      <c r="FJ33" s="308"/>
      <c r="FK33" s="308"/>
      <c r="FL33" s="308"/>
      <c r="FM33" s="308"/>
      <c r="FN33" s="308"/>
      <c r="FO33" s="308"/>
      <c r="FP33" s="308"/>
      <c r="FQ33" s="308"/>
      <c r="FR33" s="308"/>
      <c r="FS33" s="308"/>
      <c r="FT33" s="308"/>
      <c r="FU33" s="308"/>
      <c r="FV33" s="308"/>
      <c r="FW33" s="308"/>
      <c r="FX33" s="308"/>
      <c r="FY33" s="308"/>
      <c r="FZ33" s="308"/>
      <c r="GA33" s="308"/>
      <c r="GB33" s="308"/>
      <c r="GC33" s="308"/>
      <c r="GD33" s="308"/>
      <c r="GE33" s="308"/>
      <c r="GF33" s="308"/>
      <c r="GG33" s="308"/>
      <c r="GH33" s="308"/>
      <c r="GI33" s="308"/>
      <c r="GJ33" s="308"/>
      <c r="GK33" s="308"/>
      <c r="GL33" s="308"/>
      <c r="GM33" s="308"/>
      <c r="GN33" s="308"/>
      <c r="GO33" s="308"/>
      <c r="GP33" s="308"/>
      <c r="GQ33" s="308"/>
      <c r="GR33" s="308"/>
      <c r="GS33" s="308"/>
      <c r="GT33" s="308"/>
      <c r="GU33" s="308"/>
      <c r="GV33" s="308"/>
      <c r="GW33" s="308"/>
      <c r="GX33" s="308"/>
      <c r="GY33" s="308"/>
      <c r="GZ33" s="308"/>
      <c r="HA33" s="308"/>
      <c r="HB33" s="308"/>
      <c r="HC33" s="308"/>
      <c r="HD33" s="308"/>
      <c r="HE33" s="308"/>
      <c r="HF33" s="308"/>
      <c r="HG33" s="308"/>
      <c r="HH33" s="308"/>
      <c r="HI33" s="308"/>
      <c r="HJ33" s="308"/>
      <c r="HK33" s="308"/>
      <c r="HL33" s="308"/>
      <c r="HM33" s="308"/>
      <c r="HN33" s="308"/>
      <c r="HO33" s="308"/>
      <c r="HP33" s="308"/>
      <c r="HQ33" s="308"/>
      <c r="HR33" s="308"/>
      <c r="HS33" s="308"/>
      <c r="HT33" s="308"/>
      <c r="HU33" s="308"/>
      <c r="HV33" s="308"/>
      <c r="HW33" s="308"/>
      <c r="HX33" s="308"/>
      <c r="HY33" s="308"/>
      <c r="HZ33" s="308"/>
      <c r="IA33" s="308"/>
      <c r="IB33" s="308"/>
      <c r="IC33" s="308"/>
      <c r="ID33" s="308"/>
      <c r="IE33" s="308"/>
      <c r="IF33" s="308"/>
      <c r="IG33" s="308"/>
      <c r="IH33" s="308"/>
      <c r="II33" s="308"/>
      <c r="IJ33" s="308"/>
      <c r="IK33" s="308"/>
      <c r="IL33" s="308"/>
      <c r="IM33" s="308"/>
      <c r="IN33" s="308"/>
      <c r="IO33" s="308"/>
      <c r="IP33" s="308"/>
      <c r="IQ33" s="308"/>
      <c r="IR33" s="308"/>
      <c r="IS33" s="308"/>
      <c r="IT33" s="308"/>
      <c r="IU33" s="308"/>
      <c r="IV33" s="308"/>
      <c r="IW33" s="308"/>
      <c r="IX33" s="308"/>
    </row>
    <row r="34" spans="1:258" s="308" customFormat="1" ht="17.399999999999999" x14ac:dyDescent="0.3">
      <c r="A34" s="103"/>
      <c r="B34" s="84"/>
      <c r="C34" s="64"/>
      <c r="D34" s="83" t="s">
        <v>164</v>
      </c>
      <c r="E34" s="270">
        <f>IF(AND($F$2="No",$F$3="No"),SUM(J34:K34),IF(AND($F$2="Yes", $F$3="No"), SUM(J34:K34)+Q34, IF(AND($F$2="No", $F$3="Yes"),SUM(J34:K34)+P34, SUM(J34:K34)+Q34+P34)))</f>
        <v>-9.1139048141381296E-2</v>
      </c>
      <c r="F34" s="90">
        <f>IF(AND($F$2="No",$F$3="No"),SUM(H34:O34),IF(AND($F$2="Yes", $F$3="No"), SUM(H34:O34)+Q34, IF(AND($F$2="No", $F$3="Yes"),SUM(H34:O34)+P34, SUM(H34:O34)+Q34+P34)))</f>
        <v>2.5846704518285635E-2</v>
      </c>
      <c r="G34" s="278">
        <f>SUM(S34:U34)/(1-'Common input data'!$B$121)</f>
        <v>0.24566977505464332</v>
      </c>
      <c r="H34" s="90">
        <f>('Input data plant-based products'!$F$78*('Common input data'!$C$76*'Common input data'!B69+'Common input data'!$C$77*'Common input data'!C69))/'Input data plant-based products'!$E$78</f>
        <v>2.016058862231696E-3</v>
      </c>
      <c r="I34" s="90">
        <f>'Common input data'!$B$81</f>
        <v>0.03</v>
      </c>
      <c r="J34" s="90">
        <v>0</v>
      </c>
      <c r="K34" s="90">
        <v>0</v>
      </c>
      <c r="L34" s="90">
        <f>('Input data plant-based products'!$I$78*'Common input data'!$C$59*'Common input data'!H49)/'Input data plant-based products'!$E$78</f>
        <v>3.4969693797435232E-2</v>
      </c>
      <c r="M34" s="90">
        <v>0</v>
      </c>
      <c r="N34" s="90">
        <f>'Input data plant-based products'!F$152</f>
        <v>0.05</v>
      </c>
      <c r="O34" s="90">
        <v>0</v>
      </c>
      <c r="P34" s="90">
        <f>'Common input data'!$F$13</f>
        <v>-9.1139048141381296E-2</v>
      </c>
      <c r="Q34" s="90">
        <v>0</v>
      </c>
      <c r="R34" s="90">
        <v>0</v>
      </c>
      <c r="S34" s="90">
        <f>F34+R34</f>
        <v>2.5846704518285635E-2</v>
      </c>
      <c r="T34" s="90">
        <f>'Common input data'!$B$88</f>
        <v>0.05</v>
      </c>
      <c r="U34" s="90">
        <f>'Common input data'!B99+'Common input data'!C99</f>
        <v>0.13</v>
      </c>
      <c r="V34" s="430"/>
      <c r="W34" s="243"/>
      <c r="Z34" s="64"/>
    </row>
    <row r="35" spans="1:258" s="308" customFormat="1" ht="17.399999999999999" x14ac:dyDescent="0.3">
      <c r="A35" s="103"/>
      <c r="B35" s="84"/>
      <c r="C35" s="142"/>
      <c r="D35" s="83" t="s">
        <v>165</v>
      </c>
      <c r="E35" s="270">
        <f>SUM(J35:K35)</f>
        <v>0</v>
      </c>
      <c r="F35" s="90">
        <f>SUM(H35:O35)</f>
        <v>1.5490404073604935E-5</v>
      </c>
      <c r="G35" s="278">
        <f>SUM(S35:U35)/(1-'Common input data'!$B$121)</f>
        <v>1.8487175168403072E-5</v>
      </c>
      <c r="H35" s="90">
        <f>('Input data plant-based products'!$F$78*('Common input data'!$C$76*'Common input data'!B70+'Common input data'!$C$77*'Common input data'!C70))/'Input data plant-based products'!$E$78</f>
        <v>8.8890982581639471E-12</v>
      </c>
      <c r="I35" s="90">
        <v>0</v>
      </c>
      <c r="J35" s="90">
        <v>0</v>
      </c>
      <c r="K35" s="90">
        <v>0</v>
      </c>
      <c r="L35" s="90">
        <f>('Input data plant-based products'!$I$78*'Common input data'!$C$59*'Common input data'!H50)/'Input data plant-based products'!$E$78</f>
        <v>1.5490395184506676E-5</v>
      </c>
      <c r="M35" s="90">
        <v>0</v>
      </c>
      <c r="N35" s="90">
        <v>0</v>
      </c>
      <c r="O35" s="90">
        <v>0</v>
      </c>
      <c r="P35" s="90">
        <v>0</v>
      </c>
      <c r="Q35" s="90">
        <v>0</v>
      </c>
      <c r="R35" s="90">
        <v>0</v>
      </c>
      <c r="S35" s="90">
        <f>F35+R35</f>
        <v>1.5490404073604935E-5</v>
      </c>
      <c r="T35" s="90">
        <v>0</v>
      </c>
      <c r="U35" s="90">
        <v>0</v>
      </c>
      <c r="V35" s="430"/>
      <c r="W35" s="243"/>
      <c r="Z35" s="64"/>
    </row>
    <row r="36" spans="1:258" s="308" customFormat="1" ht="17.399999999999999" x14ac:dyDescent="0.3">
      <c r="A36" s="107"/>
      <c r="B36" s="206"/>
      <c r="C36" s="85"/>
      <c r="D36" s="84" t="s">
        <v>166</v>
      </c>
      <c r="E36" s="270">
        <f>SUM(J36:K36)</f>
        <v>2.1111401901770915E-5</v>
      </c>
      <c r="F36" s="90">
        <f>SUM(H36:O36)</f>
        <v>3.3063258252059276E-5</v>
      </c>
      <c r="G36" s="278">
        <f>SUM(S36:U36)/(1-'Common input data'!$B$121)</f>
        <v>3.9459670905906761E-5</v>
      </c>
      <c r="H36" s="90">
        <f>('Input data plant-based products'!$F$78*('Common input data'!$C$76*'Common input data'!B71+'Common input data'!$C$77*'Common input data'!C71))/'Input data plant-based products'!$E$78</f>
        <v>1.1012207043824086E-5</v>
      </c>
      <c r="I36" s="90">
        <v>0</v>
      </c>
      <c r="J36" s="90">
        <f>(SUM('Input data plant-based products'!F78:H78)*'Input data plant-based products'!$B$114*44/28)/'Input data plant-based products'!E78</f>
        <v>1.9192183547064468E-5</v>
      </c>
      <c r="K36" s="90">
        <f>J36*'Input data plant-based products'!$B$115</f>
        <v>1.9192183547064467E-6</v>
      </c>
      <c r="L36" s="90">
        <f>('Input data plant-based products'!$I$78*'Common input data'!$C$59*'Common input data'!H51)/'Input data plant-based products'!$E$78</f>
        <v>9.3964930646427654E-7</v>
      </c>
      <c r="M36" s="90">
        <v>0</v>
      </c>
      <c r="N36" s="90">
        <v>0</v>
      </c>
      <c r="O36" s="90">
        <v>0</v>
      </c>
      <c r="P36" s="90">
        <v>0</v>
      </c>
      <c r="Q36" s="90">
        <v>0</v>
      </c>
      <c r="R36" s="90">
        <v>0</v>
      </c>
      <c r="S36" s="90">
        <f>F36+R36</f>
        <v>3.3063258252059276E-5</v>
      </c>
      <c r="T36" s="90">
        <v>0</v>
      </c>
      <c r="U36" s="90">
        <v>0</v>
      </c>
      <c r="V36" s="430"/>
      <c r="W36" s="243"/>
      <c r="Z36" s="64"/>
    </row>
    <row r="37" spans="1:258" s="420" customFormat="1" ht="17.399999999999999" x14ac:dyDescent="0.3">
      <c r="A37" s="122" t="s">
        <v>79</v>
      </c>
      <c r="B37" s="150" t="s">
        <v>225</v>
      </c>
      <c r="C37" s="104">
        <f>'Input data plant-based products'!D79</f>
        <v>0.4862756560987116</v>
      </c>
      <c r="D37" s="269" t="s">
        <v>473</v>
      </c>
      <c r="E37" s="320">
        <f>IF($F$1="GWP100 without fb",E38+E39*'Common input data'!$C$5+E40*'Common input data'!$D$5,IF($F$1="GWP100 with fb",E38+E39*'Common input data'!$C$6+E40*'Common input data'!$D$6,IF($F$1="GTP100 without fb",E38+E39*'Common input data'!$C$7+E40*'Common input data'!$D$7,IF($F$1="GTP100 with fb",E38+E39*'Common input data'!$C$8+E40*'Common input data'!$D$8,E38+E39*'Common input data'!$C$9+E40*'Common input data'!$D$9))))</f>
        <v>-3.1603943611764572E-2</v>
      </c>
      <c r="F37" s="302">
        <f>IF($F$1="GWP100 without fb",F38+F39*'Common input data'!$C$5+F40*'Common input data'!$D$5,IF($F$1="GWP100 with fb",F38+F39*'Common input data'!$C$6+F40*'Common input data'!$D$6,IF($F$1="GTP100 without fb",F38+F39*'Common input data'!$C$7+F40*'Common input data'!$D$7,IF($F$1="GTP100 with fb",F38+F39*'Common input data'!$C$8+F40*'Common input data'!$D$8,F38+F39*'Common input data'!$C$9+F40*'Common input data'!$D$9))))</f>
        <v>0.15804252168928484</v>
      </c>
      <c r="G37" s="321">
        <f>IF($F$1="GWP100 without fb",G38+G39*'Common input data'!$C$5+G40*'Common input data'!$D$5,IF($F$1="GWP100 with fb",G38+G39*'Common input data'!$C$6+G40*'Common input data'!$D$6,IF($F$1="GTP100 without fb",G38+G39*'Common input data'!$C$7+G40*'Common input data'!$D$7,IF($F$1="GTP100 with fb",G38+G39*'Common input data'!$C$8+G40*'Common input data'!$D$8,G38+G39*'Common input data'!$C$9+G40*'Common input data'!$D$9))))</f>
        <v>0.40344017387431064</v>
      </c>
      <c r="H37" s="102"/>
      <c r="I37" s="102"/>
      <c r="J37" s="102"/>
      <c r="K37" s="102"/>
      <c r="L37" s="102"/>
      <c r="M37" s="102"/>
      <c r="N37" s="102"/>
      <c r="O37" s="102"/>
      <c r="P37" s="102"/>
      <c r="Q37" s="102"/>
      <c r="R37" s="102"/>
      <c r="S37" s="102"/>
      <c r="T37" s="102"/>
      <c r="U37" s="102"/>
      <c r="V37" s="430"/>
      <c r="W37" s="243"/>
      <c r="X37" s="308"/>
      <c r="Y37" s="308"/>
      <c r="Z37" s="64"/>
      <c r="AA37" s="308"/>
      <c r="AB37" s="308"/>
      <c r="AC37" s="308"/>
      <c r="AD37" s="308"/>
      <c r="AE37" s="308"/>
      <c r="AF37" s="308"/>
      <c r="AG37" s="308"/>
      <c r="AH37" s="308"/>
      <c r="AI37" s="308"/>
      <c r="AJ37" s="308"/>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8"/>
      <c r="CK37" s="308"/>
      <c r="CL37" s="308"/>
      <c r="CM37" s="308"/>
      <c r="CN37" s="308"/>
      <c r="CO37" s="308"/>
      <c r="CP37" s="308"/>
      <c r="CQ37" s="308"/>
      <c r="CR37" s="308"/>
      <c r="CS37" s="308"/>
      <c r="CT37" s="308"/>
      <c r="CU37" s="308"/>
      <c r="CV37" s="308"/>
      <c r="CW37" s="308"/>
      <c r="CX37" s="308"/>
      <c r="CY37" s="308"/>
      <c r="CZ37" s="308"/>
      <c r="DA37" s="308"/>
      <c r="DB37" s="308"/>
      <c r="DC37" s="308"/>
      <c r="DD37" s="308"/>
      <c r="DE37" s="308"/>
      <c r="DF37" s="308"/>
      <c r="DG37" s="308"/>
      <c r="DH37" s="308"/>
      <c r="DI37" s="308"/>
      <c r="DJ37" s="308"/>
      <c r="DK37" s="308"/>
      <c r="DL37" s="308"/>
      <c r="DM37" s="308"/>
      <c r="DN37" s="308"/>
      <c r="DO37" s="308"/>
      <c r="DP37" s="308"/>
      <c r="DQ37" s="308"/>
      <c r="DR37" s="308"/>
      <c r="DS37" s="308"/>
      <c r="DT37" s="308"/>
      <c r="DU37" s="308"/>
      <c r="DV37" s="308"/>
      <c r="DW37" s="308"/>
      <c r="DX37" s="308"/>
      <c r="DY37" s="308"/>
      <c r="DZ37" s="308"/>
      <c r="EA37" s="308"/>
      <c r="EB37" s="308"/>
      <c r="EC37" s="308"/>
      <c r="ED37" s="308"/>
      <c r="EE37" s="308"/>
      <c r="EF37" s="308"/>
      <c r="EG37" s="308"/>
      <c r="EH37" s="308"/>
      <c r="EI37" s="308"/>
      <c r="EJ37" s="308"/>
      <c r="EK37" s="308"/>
      <c r="EL37" s="308"/>
      <c r="EM37" s="308"/>
      <c r="EN37" s="308"/>
      <c r="EO37" s="308"/>
      <c r="EP37" s="308"/>
      <c r="EQ37" s="308"/>
      <c r="ER37" s="308"/>
      <c r="ES37" s="308"/>
      <c r="ET37" s="308"/>
      <c r="EU37" s="308"/>
      <c r="EV37" s="308"/>
      <c r="EW37" s="308"/>
      <c r="EX37" s="308"/>
      <c r="EY37" s="308"/>
      <c r="EZ37" s="308"/>
      <c r="FA37" s="308"/>
      <c r="FB37" s="308"/>
      <c r="FC37" s="308"/>
      <c r="FD37" s="308"/>
      <c r="FE37" s="308"/>
      <c r="FF37" s="308"/>
      <c r="FG37" s="308"/>
      <c r="FH37" s="308"/>
      <c r="FI37" s="308"/>
      <c r="FJ37" s="308"/>
      <c r="FK37" s="308"/>
      <c r="FL37" s="308"/>
      <c r="FM37" s="308"/>
      <c r="FN37" s="308"/>
      <c r="FO37" s="308"/>
      <c r="FP37" s="308"/>
      <c r="FQ37" s="308"/>
      <c r="FR37" s="308"/>
      <c r="FS37" s="308"/>
      <c r="FT37" s="308"/>
      <c r="FU37" s="308"/>
      <c r="FV37" s="308"/>
      <c r="FW37" s="308"/>
      <c r="FX37" s="308"/>
      <c r="FY37" s="308"/>
      <c r="FZ37" s="308"/>
      <c r="GA37" s="308"/>
      <c r="GB37" s="308"/>
      <c r="GC37" s="308"/>
      <c r="GD37" s="308"/>
      <c r="GE37" s="308"/>
      <c r="GF37" s="308"/>
      <c r="GG37" s="308"/>
      <c r="GH37" s="308"/>
      <c r="GI37" s="308"/>
      <c r="GJ37" s="308"/>
      <c r="GK37" s="308"/>
      <c r="GL37" s="308"/>
      <c r="GM37" s="308"/>
      <c r="GN37" s="308"/>
      <c r="GO37" s="308"/>
      <c r="GP37" s="308"/>
      <c r="GQ37" s="308"/>
      <c r="GR37" s="308"/>
      <c r="GS37" s="308"/>
      <c r="GT37" s="308"/>
      <c r="GU37" s="308"/>
      <c r="GV37" s="308"/>
      <c r="GW37" s="308"/>
      <c r="GX37" s="308"/>
      <c r="GY37" s="308"/>
      <c r="GZ37" s="308"/>
      <c r="HA37" s="308"/>
      <c r="HB37" s="308"/>
      <c r="HC37" s="308"/>
      <c r="HD37" s="308"/>
      <c r="HE37" s="308"/>
      <c r="HF37" s="308"/>
      <c r="HG37" s="308"/>
      <c r="HH37" s="308"/>
      <c r="HI37" s="308"/>
      <c r="HJ37" s="308"/>
      <c r="HK37" s="308"/>
      <c r="HL37" s="308"/>
      <c r="HM37" s="308"/>
      <c r="HN37" s="308"/>
      <c r="HO37" s="308"/>
      <c r="HP37" s="308"/>
      <c r="HQ37" s="308"/>
      <c r="HR37" s="308"/>
      <c r="HS37" s="308"/>
      <c r="HT37" s="308"/>
      <c r="HU37" s="308"/>
      <c r="HV37" s="308"/>
      <c r="HW37" s="308"/>
      <c r="HX37" s="308"/>
      <c r="HY37" s="308"/>
      <c r="HZ37" s="308"/>
      <c r="IA37" s="308"/>
      <c r="IB37" s="308"/>
      <c r="IC37" s="308"/>
      <c r="ID37" s="308"/>
      <c r="IE37" s="308"/>
      <c r="IF37" s="308"/>
      <c r="IG37" s="308"/>
      <c r="IH37" s="308"/>
      <c r="II37" s="308"/>
      <c r="IJ37" s="308"/>
      <c r="IK37" s="308"/>
      <c r="IL37" s="308"/>
      <c r="IM37" s="308"/>
      <c r="IN37" s="308"/>
      <c r="IO37" s="308"/>
      <c r="IP37" s="308"/>
      <c r="IQ37" s="308"/>
      <c r="IR37" s="308"/>
      <c r="IS37" s="308"/>
      <c r="IT37" s="308"/>
      <c r="IU37" s="308"/>
      <c r="IV37" s="308"/>
      <c r="IW37" s="308"/>
      <c r="IX37" s="308"/>
    </row>
    <row r="38" spans="1:258" s="308" customFormat="1" ht="17.399999999999999" x14ac:dyDescent="0.3">
      <c r="A38" s="107"/>
      <c r="B38" s="84"/>
      <c r="C38" s="64"/>
      <c r="D38" s="83" t="s">
        <v>164</v>
      </c>
      <c r="E38" s="270">
        <f>IF(AND($F$2="No",$F$3="No"),SUM(J38:K38),IF(AND($F$2="Yes", $F$3="No"), SUM(J38:K38)+Q38, IF(AND($F$2="No", $F$3="Yes"),SUM(J38:K38)+P38, SUM(J38:K38)+Q38+P38)))</f>
        <v>-9.1139048141381296E-2</v>
      </c>
      <c r="F38" s="90">
        <f>IF(AND($F$2="No",$F$3="No"),SUM(H38:O38),IF(AND($F$2="Yes", $F$3="No"), SUM(H38:O38)+Q38, IF(AND($F$2="No", $F$3="Yes"),SUM(H38:O38)+P38, SUM(H38:O38)+Q38+P38)))</f>
        <v>5.0941328111143214E-2</v>
      </c>
      <c r="G38" s="278">
        <f>SUM(S38:U38)/(1-'Common input data'!$B$121)</f>
        <v>0.27561920051455213</v>
      </c>
      <c r="H38" s="85">
        <f>('Input data plant-based products'!$F$79*('Common input data'!$C$76*'Common input data'!B69+'Common input data'!$C$77*'Common input data'!C69))/'Input data plant-based products'!$E$79</f>
        <v>2.8749644545207419E-2</v>
      </c>
      <c r="I38" s="90">
        <f>'Common input data'!$B$81</f>
        <v>0.03</v>
      </c>
      <c r="J38" s="85">
        <v>0</v>
      </c>
      <c r="K38" s="90">
        <v>0</v>
      </c>
      <c r="L38" s="85">
        <f>('Input data plant-based products'!$I$79*'Common input data'!$C$59*'Common input data'!H49)/'Input data plant-based products'!$E$79</f>
        <v>3.3330731707317075E-2</v>
      </c>
      <c r="M38" s="90">
        <v>0</v>
      </c>
      <c r="N38" s="90">
        <f>'Input data plant-based products'!F$152</f>
        <v>0.05</v>
      </c>
      <c r="O38" s="90">
        <v>0</v>
      </c>
      <c r="P38" s="90">
        <f>'Common input data'!$F$13</f>
        <v>-9.1139048141381296E-2</v>
      </c>
      <c r="Q38" s="90">
        <v>0</v>
      </c>
      <c r="R38" s="90">
        <v>0</v>
      </c>
      <c r="S38" s="90">
        <f>F38+R38</f>
        <v>5.0941328111143214E-2</v>
      </c>
      <c r="T38" s="90">
        <f>'Common input data'!$B$88</f>
        <v>0.05</v>
      </c>
      <c r="U38" s="90">
        <f>'Common input data'!B99+'Common input data'!C99</f>
        <v>0.13</v>
      </c>
      <c r="V38" s="430"/>
      <c r="W38" s="243"/>
      <c r="Z38" s="64"/>
    </row>
    <row r="39" spans="1:258" s="308" customFormat="1" ht="17.399999999999999" x14ac:dyDescent="0.3">
      <c r="A39" s="107"/>
      <c r="B39" s="84"/>
      <c r="C39" s="142"/>
      <c r="D39" s="83" t="s">
        <v>165</v>
      </c>
      <c r="E39" s="270">
        <f>SUM(J39:K39)</f>
        <v>0</v>
      </c>
      <c r="F39" s="90">
        <f>SUM(H39:O39)</f>
        <v>1.4764517005288251E-5</v>
      </c>
      <c r="G39" s="278">
        <f>SUM(S39:U39)/(1-'Common input data'!$B$121)</f>
        <v>1.7620858103936331E-5</v>
      </c>
      <c r="H39" s="85">
        <f>('Input data plant-based products'!$F$79*('Common input data'!$C$76*'Common input data'!B70+'Common input data'!$C$77*'Common input data'!C70))/'Input data plant-based products'!$E$79</f>
        <v>1.2676138580931263E-10</v>
      </c>
      <c r="I39" s="90">
        <v>0</v>
      </c>
      <c r="J39" s="85">
        <v>0</v>
      </c>
      <c r="K39" s="90">
        <v>0</v>
      </c>
      <c r="L39" s="85">
        <f>('Input data plant-based products'!$I$79*'Common input data'!$C$59*'Common input data'!H50)/'Input data plant-based products'!$E$79</f>
        <v>1.4764390243902441E-5</v>
      </c>
      <c r="M39" s="90">
        <v>0</v>
      </c>
      <c r="N39" s="90">
        <v>0</v>
      </c>
      <c r="O39" s="90">
        <v>0</v>
      </c>
      <c r="P39" s="90">
        <v>0</v>
      </c>
      <c r="Q39" s="90">
        <v>0</v>
      </c>
      <c r="R39" s="90">
        <v>0</v>
      </c>
      <c r="S39" s="90">
        <f>F39+R39</f>
        <v>1.4764517005288251E-5</v>
      </c>
      <c r="T39" s="90">
        <v>0</v>
      </c>
      <c r="U39" s="90">
        <v>0</v>
      </c>
      <c r="V39" s="430"/>
      <c r="W39" s="243"/>
      <c r="Z39" s="64"/>
    </row>
    <row r="40" spans="1:258" s="308" customFormat="1" ht="17.399999999999999" x14ac:dyDescent="0.3">
      <c r="A40" s="107"/>
      <c r="B40" s="206"/>
      <c r="C40" s="85"/>
      <c r="D40" s="84" t="s">
        <v>166</v>
      </c>
      <c r="E40" s="270">
        <f>SUM(J40:K40)</f>
        <v>1.997822299651568E-4</v>
      </c>
      <c r="F40" s="90">
        <f>SUM(H40:O40)</f>
        <v>3.577154362414827E-4</v>
      </c>
      <c r="G40" s="278">
        <f>SUM(S40:U40)/(1-'Common input data'!$B$121)</f>
        <v>4.2691900732961299E-4</v>
      </c>
      <c r="H40" s="85">
        <f>('Input data plant-based products'!$F$79*('Common input data'!$C$76*'Common input data'!B71+'Common input data'!$C$77*'Common input data'!C71))/'Input data plant-based products'!$E$79</f>
        <v>1.5703759652022838E-4</v>
      </c>
      <c r="I40" s="85">
        <v>0</v>
      </c>
      <c r="J40" s="85">
        <f>(SUM('Input data plant-based products'!F79:H79)*'Input data plant-based products'!$B$114*44/28)/'Input data plant-based products'!E79</f>
        <v>1.8162020905923345E-4</v>
      </c>
      <c r="K40" s="90">
        <f>J40*'Input data plant-based products'!$B$115</f>
        <v>1.8162020905923345E-5</v>
      </c>
      <c r="L40" s="85">
        <f>('Input data plant-based products'!$I$79*'Common input data'!$C$59*'Common input data'!H51)/'Input data plant-based products'!$E$79</f>
        <v>8.9560975609756112E-7</v>
      </c>
      <c r="M40" s="90">
        <v>0</v>
      </c>
      <c r="N40" s="90">
        <v>0</v>
      </c>
      <c r="O40" s="90">
        <v>0</v>
      </c>
      <c r="P40" s="90">
        <v>0</v>
      </c>
      <c r="Q40" s="90">
        <v>0</v>
      </c>
      <c r="R40" s="90">
        <v>0</v>
      </c>
      <c r="S40" s="90">
        <f>F40+R40</f>
        <v>3.577154362414827E-4</v>
      </c>
      <c r="T40" s="90">
        <v>0</v>
      </c>
      <c r="U40" s="90">
        <v>0</v>
      </c>
      <c r="V40" s="430"/>
      <c r="W40" s="243"/>
      <c r="Z40" s="64"/>
    </row>
    <row r="41" spans="1:258" s="420" customFormat="1" ht="17.399999999999999" x14ac:dyDescent="0.3">
      <c r="A41" s="122" t="s">
        <v>70</v>
      </c>
      <c r="B41" s="150" t="s">
        <v>225</v>
      </c>
      <c r="C41" s="104">
        <f>'Input data plant-based products'!D80</f>
        <v>0.22722923075325785</v>
      </c>
      <c r="D41" s="269" t="s">
        <v>473</v>
      </c>
      <c r="E41" s="320">
        <f>IF($F$1="GWP100 without fb",E42+E43*'Common input data'!$C$5+E44*'Common input data'!$D$5,IF($F$1="GWP100 with fb",E42+E43*'Common input data'!$C$6+E44*'Common input data'!$D$6,IF($F$1="GTP100 without fb",E42+E43*'Common input data'!$C$7+E44*'Common input data'!$D$7,IF($F$1="GTP100 with fb",E42+E43*'Common input data'!$C$8+E44*'Common input data'!$D$8,E42+E43*'Common input data'!$C$9+E44*'Common input data'!$D$9))))</f>
        <v>-3.1475846174090258E-2</v>
      </c>
      <c r="F41" s="302">
        <f>IF($F$1="GWP100 without fb",F42+F43*'Common input data'!$C$5+F44*'Common input data'!$D$5,IF($F$1="GWP100 with fb",F42+F43*'Common input data'!$C$6+F44*'Common input data'!$D$6,IF($F$1="GTP100 without fb",F42+F43*'Common input data'!$C$7+F44*'Common input data'!$D$7,IF($F$1="GTP100 with fb",F42+F43*'Common input data'!$C$8+F44*'Common input data'!$D$8,F42+F43*'Common input data'!$C$9+F44*'Common input data'!$D$9))))</f>
        <v>0.2030323933445293</v>
      </c>
      <c r="G41" s="321">
        <f>IF($F$1="GWP100 without fb",G42+G43*'Common input data'!$C$5+G44*'Common input data'!$D$5,IF($F$1="GWP100 with fb",G42+G43*'Common input data'!$C$6+G44*'Common input data'!$D$6,IF($F$1="GTP100 without fb",G42+G43*'Common input data'!$C$7+G44*'Common input data'!$D$7,IF($F$1="GTP100 with fb",G42+G43*'Common input data'!$C$8+G44*'Common input data'!$D$8,G42+G43*'Common input data'!$C$9+G44*'Common input data'!$D$9))))</f>
        <v>0.57647976291267378</v>
      </c>
      <c r="H41" s="102"/>
      <c r="I41" s="102"/>
      <c r="J41" s="102"/>
      <c r="K41" s="102"/>
      <c r="L41" s="102"/>
      <c r="M41" s="102"/>
      <c r="N41" s="102"/>
      <c r="O41" s="102"/>
      <c r="P41" s="102"/>
      <c r="Q41" s="102"/>
      <c r="R41" s="102"/>
      <c r="S41" s="102"/>
      <c r="T41" s="102"/>
      <c r="U41" s="102"/>
      <c r="V41" s="430"/>
      <c r="W41" s="243"/>
      <c r="X41" s="308"/>
      <c r="Y41" s="308"/>
      <c r="Z41" s="64"/>
      <c r="AA41" s="308"/>
      <c r="AB41" s="308"/>
      <c r="AC41" s="308"/>
      <c r="AD41" s="308"/>
      <c r="AE41" s="308"/>
      <c r="AF41" s="308"/>
      <c r="AG41" s="308"/>
      <c r="AH41" s="308"/>
      <c r="AI41" s="308"/>
      <c r="AJ41" s="308"/>
      <c r="AK41" s="308"/>
      <c r="AL41" s="308"/>
      <c r="AM41" s="308"/>
      <c r="AN41" s="308"/>
      <c r="AO41" s="308"/>
      <c r="AP41" s="308"/>
      <c r="AQ41" s="308"/>
      <c r="AR41" s="308"/>
      <c r="AS41" s="308"/>
      <c r="AT41" s="308"/>
      <c r="AU41" s="308"/>
      <c r="AV41" s="308"/>
      <c r="AW41" s="308"/>
      <c r="AX41" s="308"/>
      <c r="AY41" s="308"/>
      <c r="AZ41" s="308"/>
      <c r="BA41" s="308"/>
      <c r="BB41" s="308"/>
      <c r="BC41" s="308"/>
      <c r="BD41" s="308"/>
      <c r="BE41" s="308"/>
      <c r="BF41" s="308"/>
      <c r="BG41" s="308"/>
      <c r="BH41" s="308"/>
      <c r="BI41" s="308"/>
      <c r="BJ41" s="308"/>
      <c r="BK41" s="308"/>
      <c r="BL41" s="308"/>
      <c r="BM41" s="308"/>
      <c r="BN41" s="308"/>
      <c r="BO41" s="308"/>
      <c r="BP41" s="308"/>
      <c r="BQ41" s="308"/>
      <c r="BR41" s="308"/>
      <c r="BS41" s="308"/>
      <c r="BT41" s="308"/>
      <c r="BU41" s="308"/>
      <c r="BV41" s="308"/>
      <c r="BW41" s="308"/>
      <c r="BX41" s="308"/>
      <c r="BY41" s="308"/>
      <c r="BZ41" s="308"/>
      <c r="CA41" s="308"/>
      <c r="CB41" s="308"/>
      <c r="CC41" s="308"/>
      <c r="CD41" s="308"/>
      <c r="CE41" s="308"/>
      <c r="CF41" s="308"/>
      <c r="CG41" s="308"/>
      <c r="CH41" s="308"/>
      <c r="CI41" s="308"/>
      <c r="CJ41" s="308"/>
      <c r="CK41" s="308"/>
      <c r="CL41" s="308"/>
      <c r="CM41" s="308"/>
      <c r="CN41" s="308"/>
      <c r="CO41" s="308"/>
      <c r="CP41" s="308"/>
      <c r="CQ41" s="308"/>
      <c r="CR41" s="308"/>
      <c r="CS41" s="308"/>
      <c r="CT41" s="308"/>
      <c r="CU41" s="308"/>
      <c r="CV41" s="308"/>
      <c r="CW41" s="308"/>
      <c r="CX41" s="308"/>
      <c r="CY41" s="308"/>
      <c r="CZ41" s="308"/>
      <c r="DA41" s="308"/>
      <c r="DB41" s="308"/>
      <c r="DC41" s="308"/>
      <c r="DD41" s="308"/>
      <c r="DE41" s="308"/>
      <c r="DF41" s="308"/>
      <c r="DG41" s="308"/>
      <c r="DH41" s="308"/>
      <c r="DI41" s="308"/>
      <c r="DJ41" s="308"/>
      <c r="DK41" s="308"/>
      <c r="DL41" s="308"/>
      <c r="DM41" s="308"/>
      <c r="DN41" s="308"/>
      <c r="DO41" s="308"/>
      <c r="DP41" s="308"/>
      <c r="DQ41" s="308"/>
      <c r="DR41" s="308"/>
      <c r="DS41" s="308"/>
      <c r="DT41" s="308"/>
      <c r="DU41" s="308"/>
      <c r="DV41" s="308"/>
      <c r="DW41" s="308"/>
      <c r="DX41" s="308"/>
      <c r="DY41" s="308"/>
      <c r="DZ41" s="308"/>
      <c r="EA41" s="308"/>
      <c r="EB41" s="308"/>
      <c r="EC41" s="308"/>
      <c r="ED41" s="308"/>
      <c r="EE41" s="308"/>
      <c r="EF41" s="308"/>
      <c r="EG41" s="308"/>
      <c r="EH41" s="308"/>
      <c r="EI41" s="308"/>
      <c r="EJ41" s="308"/>
      <c r="EK41" s="308"/>
      <c r="EL41" s="308"/>
      <c r="EM41" s="308"/>
      <c r="EN41" s="308"/>
      <c r="EO41" s="308"/>
      <c r="EP41" s="308"/>
      <c r="EQ41" s="308"/>
      <c r="ER41" s="308"/>
      <c r="ES41" s="308"/>
      <c r="ET41" s="308"/>
      <c r="EU41" s="308"/>
      <c r="EV41" s="308"/>
      <c r="EW41" s="308"/>
      <c r="EX41" s="308"/>
      <c r="EY41" s="308"/>
      <c r="EZ41" s="308"/>
      <c r="FA41" s="308"/>
      <c r="FB41" s="308"/>
      <c r="FC41" s="308"/>
      <c r="FD41" s="308"/>
      <c r="FE41" s="308"/>
      <c r="FF41" s="308"/>
      <c r="FG41" s="308"/>
      <c r="FH41" s="308"/>
      <c r="FI41" s="308"/>
      <c r="FJ41" s="308"/>
      <c r="FK41" s="308"/>
      <c r="FL41" s="308"/>
      <c r="FM41" s="308"/>
      <c r="FN41" s="308"/>
      <c r="FO41" s="308"/>
      <c r="FP41" s="308"/>
      <c r="FQ41" s="308"/>
      <c r="FR41" s="308"/>
      <c r="FS41" s="308"/>
      <c r="FT41" s="308"/>
      <c r="FU41" s="308"/>
      <c r="FV41" s="308"/>
      <c r="FW41" s="308"/>
      <c r="FX41" s="308"/>
      <c r="FY41" s="308"/>
      <c r="FZ41" s="308"/>
      <c r="GA41" s="308"/>
      <c r="GB41" s="308"/>
      <c r="GC41" s="308"/>
      <c r="GD41" s="308"/>
      <c r="GE41" s="308"/>
      <c r="GF41" s="308"/>
      <c r="GG41" s="308"/>
      <c r="GH41" s="308"/>
      <c r="GI41" s="308"/>
      <c r="GJ41" s="308"/>
      <c r="GK41" s="308"/>
      <c r="GL41" s="308"/>
      <c r="GM41" s="308"/>
      <c r="GN41" s="308"/>
      <c r="GO41" s="308"/>
      <c r="GP41" s="308"/>
      <c r="GQ41" s="308"/>
      <c r="GR41" s="308"/>
      <c r="GS41" s="308"/>
      <c r="GT41" s="308"/>
      <c r="GU41" s="308"/>
      <c r="GV41" s="308"/>
      <c r="GW41" s="308"/>
      <c r="GX41" s="308"/>
      <c r="GY41" s="308"/>
      <c r="GZ41" s="308"/>
      <c r="HA41" s="308"/>
      <c r="HB41" s="308"/>
      <c r="HC41" s="308"/>
      <c r="HD41" s="308"/>
      <c r="HE41" s="308"/>
      <c r="HF41" s="308"/>
      <c r="HG41" s="308"/>
      <c r="HH41" s="308"/>
      <c r="HI41" s="308"/>
      <c r="HJ41" s="308"/>
      <c r="HK41" s="308"/>
      <c r="HL41" s="308"/>
      <c r="HM41" s="308"/>
      <c r="HN41" s="308"/>
      <c r="HO41" s="308"/>
      <c r="HP41" s="308"/>
      <c r="HQ41" s="308"/>
      <c r="HR41" s="308"/>
      <c r="HS41" s="308"/>
      <c r="HT41" s="308"/>
      <c r="HU41" s="308"/>
      <c r="HV41" s="308"/>
      <c r="HW41" s="308"/>
      <c r="HX41" s="308"/>
      <c r="HY41" s="308"/>
      <c r="HZ41" s="308"/>
      <c r="IA41" s="308"/>
      <c r="IB41" s="308"/>
      <c r="IC41" s="308"/>
      <c r="ID41" s="308"/>
      <c r="IE41" s="308"/>
      <c r="IF41" s="308"/>
      <c r="IG41" s="308"/>
      <c r="IH41" s="308"/>
      <c r="II41" s="308"/>
      <c r="IJ41" s="308"/>
      <c r="IK41" s="308"/>
      <c r="IL41" s="308"/>
      <c r="IM41" s="308"/>
      <c r="IN41" s="308"/>
      <c r="IO41" s="308"/>
      <c r="IP41" s="308"/>
      <c r="IQ41" s="308"/>
      <c r="IR41" s="308"/>
      <c r="IS41" s="308"/>
      <c r="IT41" s="308"/>
      <c r="IU41" s="308"/>
      <c r="IV41" s="308"/>
      <c r="IW41" s="308"/>
      <c r="IX41" s="308"/>
    </row>
    <row r="42" spans="1:258" s="308" customFormat="1" ht="17.399999999999999" x14ac:dyDescent="0.3">
      <c r="A42" s="144"/>
      <c r="B42" s="84"/>
      <c r="C42" s="64"/>
      <c r="D42" s="83" t="s">
        <v>164</v>
      </c>
      <c r="E42" s="270">
        <f>IF(AND($F$2="No",$F$3="No"),SUM(J42:K42),IF(AND($F$2="Yes", $F$3="No"), SUM(J42:K42)+Q42, IF(AND($F$2="No", $F$3="Yes"),SUM(J42:K42)+P42, SUM(J42:K42)+Q42+P42)))</f>
        <v>-9.1139048141381296E-2</v>
      </c>
      <c r="F42" s="90">
        <f>IF(AND($F$2="No",$F$3="No"),SUM(H42:O42),IF(AND($F$2="Yes", $F$3="No"), SUM(H42:O42)+Q42, IF(AND($F$2="No", $F$3="Yes"),SUM(H42:O42)+P42, SUM(H42:O42)+Q42+P42)))</f>
        <v>9.4653452875215482E-2</v>
      </c>
      <c r="G42" s="278">
        <f>SUM(S42:U42)/(1-'Common input data'!$B$121)</f>
        <v>0.44713384995251881</v>
      </c>
      <c r="H42" s="85">
        <f>('Input data plant-based products'!$F$80*('Common input data'!$C$76*'Common input data'!B69+'Common input data'!$C$77*'Common input data'!C69))/'Input data plant-based products'!$E$80</f>
        <v>2.8837692032146776E-2</v>
      </c>
      <c r="I42" s="90">
        <f>'Common input data'!$B$81</f>
        <v>0.03</v>
      </c>
      <c r="J42" s="85">
        <v>0</v>
      </c>
      <c r="K42" s="90">
        <v>0</v>
      </c>
      <c r="L42" s="85">
        <f>('Input data plant-based products'!$I$80*'Common input data'!$C$59*'Common input data'!H49)/'Input data plant-based products'!$E$80</f>
        <v>7.6954808984449993E-2</v>
      </c>
      <c r="M42" s="90">
        <v>0</v>
      </c>
      <c r="N42" s="90">
        <f>'Input data plant-based products'!F$152</f>
        <v>0.05</v>
      </c>
      <c r="O42" s="90">
        <v>0</v>
      </c>
      <c r="P42" s="90">
        <f>'Common input data'!$F$13</f>
        <v>-9.1139048141381296E-2</v>
      </c>
      <c r="Q42" s="90">
        <v>0</v>
      </c>
      <c r="R42" s="90">
        <v>0</v>
      </c>
      <c r="S42" s="90">
        <f>F42+R42</f>
        <v>9.4653452875215482E-2</v>
      </c>
      <c r="T42" s="90">
        <f>'Common input data'!$B$88</f>
        <v>0.05</v>
      </c>
      <c r="U42" s="85">
        <f>'Common input data'!B102+'Common input data'!C102</f>
        <v>0.23000000000000004</v>
      </c>
      <c r="V42" s="430"/>
      <c r="W42" s="243"/>
      <c r="Z42" s="64"/>
    </row>
    <row r="43" spans="1:258" s="308" customFormat="1" ht="17.399999999999999" x14ac:dyDescent="0.3">
      <c r="A43" s="107"/>
      <c r="B43" s="84"/>
      <c r="C43" s="142"/>
      <c r="D43" s="83" t="s">
        <v>165</v>
      </c>
      <c r="E43" s="270">
        <f>SUM(J43:K43)</f>
        <v>0</v>
      </c>
      <c r="F43" s="90">
        <f>SUM(H43:O43)</f>
        <v>3.408851263625776E-5</v>
      </c>
      <c r="G43" s="278">
        <f>SUM(S43:U43)/(1-'Common input data'!$B$121)</f>
        <v>4.0683270839309892E-5</v>
      </c>
      <c r="H43" s="85">
        <f>('Input data plant-based products'!$F$80*('Common input data'!$C$76*'Common input data'!B70+'Common input data'!$C$77*'Common input data'!C70))/'Input data plant-based products'!$E$80</f>
        <v>1.2714960005119346E-10</v>
      </c>
      <c r="I43" s="85">
        <v>0</v>
      </c>
      <c r="J43" s="85">
        <v>0</v>
      </c>
      <c r="K43" s="85">
        <v>0</v>
      </c>
      <c r="L43" s="85">
        <f>('Input data plant-based products'!$I$80*'Common input data'!$C$59*'Common input data'!H50)/'Input data plant-based products'!$E$80</f>
        <v>3.4088385486657707E-5</v>
      </c>
      <c r="M43" s="90">
        <v>0</v>
      </c>
      <c r="N43" s="90">
        <v>0</v>
      </c>
      <c r="O43" s="90">
        <v>0</v>
      </c>
      <c r="P43" s="90">
        <v>0</v>
      </c>
      <c r="Q43" s="90">
        <v>0</v>
      </c>
      <c r="R43" s="90">
        <v>0</v>
      </c>
      <c r="S43" s="90">
        <f>F43+R43</f>
        <v>3.408851263625776E-5</v>
      </c>
      <c r="T43" s="90">
        <v>0</v>
      </c>
      <c r="U43" s="90">
        <v>0</v>
      </c>
      <c r="V43" s="430"/>
      <c r="W43" s="243"/>
      <c r="Z43" s="64"/>
    </row>
    <row r="44" spans="1:258" s="308" customFormat="1" ht="17.399999999999999" x14ac:dyDescent="0.3">
      <c r="A44" s="174"/>
      <c r="B44" s="206"/>
      <c r="C44" s="85"/>
      <c r="D44" s="84" t="s">
        <v>166</v>
      </c>
      <c r="E44" s="780">
        <f>SUM(J44:K44)</f>
        <v>2.0021208713856054E-4</v>
      </c>
      <c r="F44" s="108">
        <f>SUM(H44:O44)</f>
        <v>3.5979842630765453E-4</v>
      </c>
      <c r="G44" s="521">
        <f>SUM(S44:U44)/(1-'Common input data'!$B$121)</f>
        <v>4.2940497232086709E-4</v>
      </c>
      <c r="H44" s="85">
        <f>('Input data plant-based products'!$F$80*('Common input data'!$C$76*'Common input data'!B71+'Common input data'!$C$77*'Common input data'!C71))/'Input data plant-based products'!$E$80</f>
        <v>1.5751853344822628E-4</v>
      </c>
      <c r="I44" s="85">
        <v>0</v>
      </c>
      <c r="J44" s="85">
        <f>(SUM('Input data plant-based products'!F80:H80)*'Input data plant-based products'!$B$114*44/28)/'Input data plant-based products'!E80</f>
        <v>1.8201098830778232E-4</v>
      </c>
      <c r="K44" s="90">
        <f>J44*'Input data plant-based products'!$B$115</f>
        <v>1.8201098830778231E-5</v>
      </c>
      <c r="L44" s="85">
        <f>('Input data plant-based products'!$I$80*'Common input data'!$C$59*'Common input data'!H51)/'Input data plant-based products'!$E$80</f>
        <v>2.0678057208677293E-6</v>
      </c>
      <c r="M44" s="90">
        <v>0</v>
      </c>
      <c r="N44" s="90">
        <v>0</v>
      </c>
      <c r="O44" s="90">
        <v>0</v>
      </c>
      <c r="P44" s="90">
        <v>0</v>
      </c>
      <c r="Q44" s="90">
        <v>0</v>
      </c>
      <c r="R44" s="90">
        <v>0</v>
      </c>
      <c r="S44" s="90">
        <f>F44+R44</f>
        <v>3.5979842630765453E-4</v>
      </c>
      <c r="T44" s="90">
        <v>0</v>
      </c>
      <c r="U44" s="90">
        <v>0</v>
      </c>
      <c r="V44" s="430"/>
      <c r="W44" s="243"/>
      <c r="Z44" s="64"/>
    </row>
    <row r="45" spans="1:258" s="427" customFormat="1" ht="17.399999999999999" x14ac:dyDescent="0.3">
      <c r="A45" s="426" t="s">
        <v>610</v>
      </c>
      <c r="B45" s="412"/>
      <c r="C45" s="413"/>
      <c r="D45" s="414"/>
      <c r="E45" s="767" t="s">
        <v>824</v>
      </c>
      <c r="F45" s="768" t="s">
        <v>824</v>
      </c>
      <c r="G45" s="590" t="s">
        <v>824</v>
      </c>
      <c r="H45" s="413"/>
      <c r="I45" s="413"/>
      <c r="J45" s="413"/>
      <c r="K45" s="416"/>
      <c r="L45" s="416"/>
      <c r="M45" s="417"/>
      <c r="N45" s="416"/>
      <c r="O45" s="416"/>
      <c r="P45" s="416"/>
      <c r="Q45" s="416"/>
      <c r="R45" s="416"/>
      <c r="S45" s="416"/>
      <c r="T45" s="416"/>
      <c r="U45" s="416"/>
      <c r="V45" s="430"/>
      <c r="W45" s="243"/>
      <c r="X45" s="308"/>
      <c r="Y45" s="308"/>
      <c r="Z45" s="64"/>
      <c r="AA45" s="308"/>
      <c r="AB45" s="308"/>
      <c r="AC45" s="308"/>
      <c r="AD45" s="308"/>
      <c r="AE45" s="308"/>
      <c r="AF45" s="308"/>
      <c r="AG45" s="308"/>
      <c r="AH45" s="308"/>
      <c r="AI45" s="308"/>
      <c r="AJ45" s="308"/>
      <c r="AK45" s="308"/>
      <c r="AL45" s="308"/>
      <c r="AM45" s="308"/>
      <c r="AN45" s="308"/>
      <c r="AO45" s="308"/>
      <c r="AP45" s="308"/>
      <c r="AQ45" s="308"/>
      <c r="AR45" s="308"/>
      <c r="AS45" s="308"/>
      <c r="AT45" s="308"/>
      <c r="AU45" s="308"/>
      <c r="AV45" s="308"/>
      <c r="AW45" s="308"/>
      <c r="AX45" s="308"/>
      <c r="AY45" s="308"/>
      <c r="AZ45" s="308"/>
      <c r="BA45" s="308"/>
      <c r="BB45" s="308"/>
      <c r="BC45" s="308"/>
      <c r="BD45" s="308"/>
      <c r="BE45" s="308"/>
      <c r="BF45" s="308"/>
      <c r="BG45" s="308"/>
      <c r="BH45" s="308"/>
      <c r="BI45" s="308"/>
      <c r="BJ45" s="308"/>
      <c r="BK45" s="308"/>
      <c r="BL45" s="308"/>
      <c r="BM45" s="308"/>
      <c r="BN45" s="308"/>
      <c r="BO45" s="308"/>
      <c r="BP45" s="308"/>
      <c r="BQ45" s="308"/>
      <c r="BR45" s="308"/>
      <c r="BS45" s="308"/>
      <c r="BT45" s="308"/>
      <c r="BU45" s="308"/>
      <c r="BV45" s="308"/>
      <c r="BW45" s="308"/>
      <c r="BX45" s="308"/>
      <c r="BY45" s="308"/>
      <c r="BZ45" s="308"/>
      <c r="CA45" s="308"/>
      <c r="CB45" s="308"/>
      <c r="CC45" s="308"/>
      <c r="CD45" s="308"/>
      <c r="CE45" s="308"/>
      <c r="CF45" s="308"/>
      <c r="CG45" s="308"/>
      <c r="CH45" s="308"/>
      <c r="CI45" s="308"/>
      <c r="CJ45" s="308"/>
      <c r="CK45" s="308"/>
      <c r="CL45" s="308"/>
      <c r="CM45" s="308"/>
      <c r="CN45" s="308"/>
      <c r="CO45" s="308"/>
      <c r="CP45" s="308"/>
      <c r="CQ45" s="308"/>
      <c r="CR45" s="308"/>
      <c r="CS45" s="308"/>
      <c r="CT45" s="308"/>
      <c r="CU45" s="308"/>
      <c r="CV45" s="308"/>
      <c r="CW45" s="308"/>
      <c r="CX45" s="308"/>
      <c r="CY45" s="308"/>
      <c r="CZ45" s="308"/>
      <c r="DA45" s="308"/>
      <c r="DB45" s="308"/>
      <c r="DC45" s="308"/>
      <c r="DD45" s="308"/>
      <c r="DE45" s="308"/>
      <c r="DF45" s="308"/>
      <c r="DG45" s="308"/>
      <c r="DH45" s="308"/>
      <c r="DI45" s="308"/>
      <c r="DJ45" s="308"/>
      <c r="DK45" s="308"/>
      <c r="DL45" s="308"/>
      <c r="DM45" s="308"/>
      <c r="DN45" s="308"/>
      <c r="DO45" s="308"/>
      <c r="DP45" s="308"/>
      <c r="DQ45" s="308"/>
      <c r="DR45" s="308"/>
      <c r="DS45" s="308"/>
      <c r="DT45" s="308"/>
      <c r="DU45" s="308"/>
      <c r="DV45" s="308"/>
      <c r="DW45" s="308"/>
      <c r="DX45" s="308"/>
      <c r="DY45" s="308"/>
      <c r="DZ45" s="308"/>
      <c r="EA45" s="308"/>
      <c r="EB45" s="308"/>
      <c r="EC45" s="308"/>
      <c r="ED45" s="308"/>
      <c r="EE45" s="308"/>
      <c r="EF45" s="308"/>
      <c r="EG45" s="308"/>
      <c r="EH45" s="308"/>
      <c r="EI45" s="308"/>
      <c r="EJ45" s="308"/>
      <c r="EK45" s="308"/>
      <c r="EL45" s="308"/>
      <c r="EM45" s="308"/>
      <c r="EN45" s="308"/>
      <c r="EO45" s="308"/>
      <c r="EP45" s="308"/>
      <c r="EQ45" s="308"/>
      <c r="ER45" s="308"/>
      <c r="ES45" s="308"/>
      <c r="ET45" s="308"/>
      <c r="EU45" s="308"/>
      <c r="EV45" s="308"/>
      <c r="EW45" s="308"/>
      <c r="EX45" s="308"/>
      <c r="EY45" s="308"/>
      <c r="EZ45" s="308"/>
      <c r="FA45" s="308"/>
      <c r="FB45" s="308"/>
      <c r="FC45" s="308"/>
      <c r="FD45" s="308"/>
      <c r="FE45" s="308"/>
      <c r="FF45" s="308"/>
      <c r="FG45" s="308"/>
      <c r="FH45" s="308"/>
      <c r="FI45" s="308"/>
      <c r="FJ45" s="308"/>
      <c r="FK45" s="308"/>
      <c r="FL45" s="308"/>
      <c r="FM45" s="308"/>
      <c r="FN45" s="308"/>
      <c r="FO45" s="308"/>
      <c r="FP45" s="308"/>
      <c r="FQ45" s="308"/>
      <c r="FR45" s="308"/>
      <c r="FS45" s="308"/>
      <c r="FT45" s="308"/>
      <c r="FU45" s="308"/>
      <c r="FV45" s="308"/>
      <c r="FW45" s="308"/>
      <c r="FX45" s="308"/>
      <c r="FY45" s="308"/>
      <c r="FZ45" s="308"/>
      <c r="GA45" s="308"/>
      <c r="GB45" s="308"/>
      <c r="GC45" s="308"/>
      <c r="GD45" s="308"/>
      <c r="GE45" s="308"/>
      <c r="GF45" s="308"/>
      <c r="GG45" s="308"/>
      <c r="GH45" s="308"/>
      <c r="GI45" s="308"/>
      <c r="GJ45" s="308"/>
      <c r="GK45" s="308"/>
      <c r="GL45" s="308"/>
      <c r="GM45" s="308"/>
      <c r="GN45" s="308"/>
      <c r="GO45" s="308"/>
      <c r="GP45" s="308"/>
      <c r="GQ45" s="308"/>
      <c r="GR45" s="308"/>
      <c r="GS45" s="308"/>
      <c r="GT45" s="308"/>
      <c r="GU45" s="308"/>
      <c r="GV45" s="308"/>
      <c r="GW45" s="308"/>
      <c r="GX45" s="308"/>
      <c r="GY45" s="308"/>
      <c r="GZ45" s="308"/>
      <c r="HA45" s="308"/>
      <c r="HB45" s="308"/>
      <c r="HC45" s="308"/>
      <c r="HD45" s="308"/>
      <c r="HE45" s="308"/>
      <c r="HF45" s="308"/>
      <c r="HG45" s="308"/>
      <c r="HH45" s="308"/>
      <c r="HI45" s="308"/>
      <c r="HJ45" s="308"/>
      <c r="HK45" s="308"/>
      <c r="HL45" s="308"/>
      <c r="HM45" s="308"/>
      <c r="HN45" s="308"/>
      <c r="HO45" s="308"/>
      <c r="HP45" s="308"/>
      <c r="HQ45" s="308"/>
      <c r="HR45" s="308"/>
      <c r="HS45" s="308"/>
      <c r="HT45" s="308"/>
      <c r="HU45" s="308"/>
      <c r="HV45" s="308"/>
      <c r="HW45" s="308"/>
      <c r="HX45" s="308"/>
      <c r="HY45" s="308"/>
      <c r="HZ45" s="308"/>
      <c r="IA45" s="308"/>
      <c r="IB45" s="308"/>
      <c r="IC45" s="308"/>
      <c r="ID45" s="308"/>
      <c r="IE45" s="308"/>
      <c r="IF45" s="308"/>
      <c r="IG45" s="308"/>
      <c r="IH45" s="308"/>
      <c r="II45" s="308"/>
      <c r="IJ45" s="308"/>
      <c r="IK45" s="308"/>
      <c r="IL45" s="308"/>
      <c r="IM45" s="308"/>
      <c r="IN45" s="308"/>
      <c r="IO45" s="308"/>
      <c r="IP45" s="308"/>
      <c r="IQ45" s="308"/>
      <c r="IR45" s="308"/>
      <c r="IS45" s="308"/>
      <c r="IT45" s="308"/>
      <c r="IU45" s="308"/>
      <c r="IV45" s="308"/>
      <c r="IW45" s="308"/>
      <c r="IX45" s="308"/>
    </row>
    <row r="46" spans="1:258" s="420" customFormat="1" ht="17.399999999999999" x14ac:dyDescent="0.3">
      <c r="A46" s="122" t="s">
        <v>249</v>
      </c>
      <c r="B46" s="150"/>
      <c r="C46" s="112">
        <f>SUM(C50:C65)</f>
        <v>1</v>
      </c>
      <c r="D46" s="269" t="s">
        <v>473</v>
      </c>
      <c r="E46" s="769">
        <f>IF($F$1="GWP100 without fb",E47+E48*'Common input data'!$C$5+E49*'Common input data'!$D$5,IF($F$1="GWP100 with fb",E47+E48*'Common input data'!$C$6+E49*'Common input data'!$D$6,IF($F$1="GTP100 without fb",E47+E48*'Common input data'!$C$7+E49*'Common input data'!$D$7,IF($F$1="GTP100 with fb",E47+E48*'Common input data'!$C$8+E49*'Common input data'!$D$8,E47+E48*'Common input data'!$C$9+E49*'Common input data'!$D$9))))</f>
        <v>-3.7214233262140239E-2</v>
      </c>
      <c r="F46" s="326">
        <f>IF($F$1="GWP100 without fb",F47+F48*'Common input data'!$C$5+F49*'Common input data'!$D$5,IF($F$1="GWP100 with fb",F47+F48*'Common input data'!$C$6+F49*'Common input data'!$D$6,IF($F$1="GTP100 without fb",F47+F48*'Common input data'!$C$7+F49*'Common input data'!$D$7,IF($F$1="GTP100 with fb",F47+F48*'Common input data'!$C$8+F49*'Common input data'!$D$8,F47+F48*'Common input data'!$C$9+F49*'Common input data'!$D$9))))</f>
        <v>1.6061450203515291</v>
      </c>
      <c r="G46" s="770">
        <f>IF($F$1="GWP100 without fb",G47+G48*'Common input data'!$C$5+G49*'Common input data'!$D$5,IF($F$1="GWP100 with fb",G47+G48*'Common input data'!$C$6+G49*'Common input data'!$D$6,IF($F$1="GTP100 without fb",G47+G48*'Common input data'!$C$7+G49*'Common input data'!$D$7,IF($F$1="GTP100 with fb",G47+G48*'Common input data'!$C$8+G49*'Common input data'!$D$8,G47+G48*'Common input data'!$C$9+G49*'Common input data'!$D$9))))</f>
        <v>2.1412400290625722</v>
      </c>
      <c r="H46" s="302"/>
      <c r="I46" s="104"/>
      <c r="J46" s="104"/>
      <c r="K46" s="102"/>
      <c r="L46" s="102"/>
      <c r="M46" s="102"/>
      <c r="N46" s="102"/>
      <c r="O46" s="102"/>
      <c r="P46" s="102"/>
      <c r="Q46" s="102"/>
      <c r="R46" s="102"/>
      <c r="S46" s="102"/>
      <c r="T46" s="102"/>
      <c r="U46" s="102"/>
      <c r="V46" s="430"/>
      <c r="W46" s="243"/>
      <c r="X46" s="308"/>
      <c r="Y46" s="308"/>
      <c r="Z46" s="64"/>
      <c r="AA46" s="308"/>
      <c r="AB46" s="308"/>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8"/>
      <c r="BL46" s="308"/>
      <c r="BM46" s="308"/>
      <c r="BN46" s="308"/>
      <c r="BO46" s="308"/>
      <c r="BP46" s="308"/>
      <c r="BQ46" s="308"/>
      <c r="BR46" s="308"/>
      <c r="BS46" s="308"/>
      <c r="BT46" s="308"/>
      <c r="BU46" s="308"/>
      <c r="BV46" s="308"/>
      <c r="BW46" s="308"/>
      <c r="BX46" s="308"/>
      <c r="BY46" s="308"/>
      <c r="BZ46" s="308"/>
      <c r="CA46" s="308"/>
      <c r="CB46" s="308"/>
      <c r="CC46" s="308"/>
      <c r="CD46" s="308"/>
      <c r="CE46" s="308"/>
      <c r="CF46" s="308"/>
      <c r="CG46" s="308"/>
      <c r="CH46" s="308"/>
      <c r="CI46" s="308"/>
      <c r="CJ46" s="308"/>
      <c r="CK46" s="308"/>
      <c r="CL46" s="308"/>
      <c r="CM46" s="308"/>
      <c r="CN46" s="308"/>
      <c r="CO46" s="308"/>
      <c r="CP46" s="308"/>
      <c r="CQ46" s="308"/>
      <c r="CR46" s="308"/>
      <c r="CS46" s="308"/>
      <c r="CT46" s="308"/>
      <c r="CU46" s="308"/>
      <c r="CV46" s="308"/>
      <c r="CW46" s="308"/>
      <c r="CX46" s="308"/>
      <c r="CY46" s="308"/>
      <c r="CZ46" s="308"/>
      <c r="DA46" s="308"/>
      <c r="DB46" s="308"/>
      <c r="DC46" s="308"/>
      <c r="DD46" s="308"/>
      <c r="DE46" s="308"/>
      <c r="DF46" s="308"/>
      <c r="DG46" s="308"/>
      <c r="DH46" s="308"/>
      <c r="DI46" s="308"/>
      <c r="DJ46" s="308"/>
      <c r="DK46" s="308"/>
      <c r="DL46" s="308"/>
      <c r="DM46" s="308"/>
      <c r="DN46" s="308"/>
      <c r="DO46" s="308"/>
      <c r="DP46" s="308"/>
      <c r="DQ46" s="308"/>
      <c r="DR46" s="308"/>
      <c r="DS46" s="308"/>
      <c r="DT46" s="308"/>
      <c r="DU46" s="308"/>
      <c r="DV46" s="308"/>
      <c r="DW46" s="308"/>
      <c r="DX46" s="308"/>
      <c r="DY46" s="308"/>
      <c r="DZ46" s="308"/>
      <c r="EA46" s="308"/>
      <c r="EB46" s="308"/>
      <c r="EC46" s="308"/>
      <c r="ED46" s="308"/>
      <c r="EE46" s="308"/>
      <c r="EF46" s="308"/>
      <c r="EG46" s="308"/>
      <c r="EH46" s="308"/>
      <c r="EI46" s="308"/>
      <c r="EJ46" s="308"/>
      <c r="EK46" s="308"/>
      <c r="EL46" s="308"/>
      <c r="EM46" s="308"/>
      <c r="EN46" s="308"/>
      <c r="EO46" s="308"/>
      <c r="EP46" s="308"/>
      <c r="EQ46" s="308"/>
      <c r="ER46" s="308"/>
      <c r="ES46" s="308"/>
      <c r="ET46" s="308"/>
      <c r="EU46" s="308"/>
      <c r="EV46" s="308"/>
      <c r="EW46" s="308"/>
      <c r="EX46" s="308"/>
      <c r="EY46" s="308"/>
      <c r="EZ46" s="308"/>
      <c r="FA46" s="308"/>
      <c r="FB46" s="308"/>
      <c r="FC46" s="308"/>
      <c r="FD46" s="308"/>
      <c r="FE46" s="308"/>
      <c r="FF46" s="308"/>
      <c r="FG46" s="308"/>
      <c r="FH46" s="308"/>
      <c r="FI46" s="308"/>
      <c r="FJ46" s="308"/>
      <c r="FK46" s="308"/>
      <c r="FL46" s="308"/>
      <c r="FM46" s="308"/>
      <c r="FN46" s="308"/>
      <c r="FO46" s="308"/>
      <c r="FP46" s="308"/>
      <c r="FQ46" s="308"/>
      <c r="FR46" s="308"/>
      <c r="FS46" s="308"/>
      <c r="FT46" s="308"/>
      <c r="FU46" s="308"/>
      <c r="FV46" s="308"/>
      <c r="FW46" s="308"/>
      <c r="FX46" s="308"/>
      <c r="FY46" s="308"/>
      <c r="FZ46" s="308"/>
      <c r="GA46" s="308"/>
      <c r="GB46" s="308"/>
      <c r="GC46" s="308"/>
      <c r="GD46" s="308"/>
      <c r="GE46" s="308"/>
      <c r="GF46" s="308"/>
      <c r="GG46" s="308"/>
      <c r="GH46" s="308"/>
      <c r="GI46" s="308"/>
      <c r="GJ46" s="308"/>
      <c r="GK46" s="308"/>
      <c r="GL46" s="308"/>
      <c r="GM46" s="308"/>
      <c r="GN46" s="308"/>
      <c r="GO46" s="308"/>
      <c r="GP46" s="308"/>
      <c r="GQ46" s="308"/>
      <c r="GR46" s="308"/>
      <c r="GS46" s="308"/>
      <c r="GT46" s="308"/>
      <c r="GU46" s="308"/>
      <c r="GV46" s="308"/>
      <c r="GW46" s="308"/>
      <c r="GX46" s="308"/>
      <c r="GY46" s="308"/>
      <c r="GZ46" s="308"/>
      <c r="HA46" s="308"/>
      <c r="HB46" s="308"/>
      <c r="HC46" s="308"/>
      <c r="HD46" s="308"/>
      <c r="HE46" s="308"/>
      <c r="HF46" s="308"/>
      <c r="HG46" s="308"/>
      <c r="HH46" s="308"/>
      <c r="HI46" s="308"/>
      <c r="HJ46" s="308"/>
      <c r="HK46" s="308"/>
      <c r="HL46" s="308"/>
      <c r="HM46" s="308"/>
      <c r="HN46" s="308"/>
      <c r="HO46" s="308"/>
      <c r="HP46" s="308"/>
      <c r="HQ46" s="308"/>
      <c r="HR46" s="308"/>
      <c r="HS46" s="308"/>
      <c r="HT46" s="308"/>
      <c r="HU46" s="308"/>
      <c r="HV46" s="308"/>
      <c r="HW46" s="308"/>
      <c r="HX46" s="308"/>
      <c r="HY46" s="308"/>
      <c r="HZ46" s="308"/>
      <c r="IA46" s="308"/>
      <c r="IB46" s="308"/>
      <c r="IC46" s="308"/>
      <c r="ID46" s="308"/>
      <c r="IE46" s="308"/>
      <c r="IF46" s="308"/>
      <c r="IG46" s="308"/>
      <c r="IH46" s="308"/>
      <c r="II46" s="308"/>
      <c r="IJ46" s="308"/>
      <c r="IK46" s="308"/>
      <c r="IL46" s="308"/>
      <c r="IM46" s="308"/>
      <c r="IN46" s="308"/>
      <c r="IO46" s="308"/>
      <c r="IP46" s="308"/>
      <c r="IQ46" s="308"/>
      <c r="IR46" s="308"/>
      <c r="IS46" s="308"/>
      <c r="IT46" s="308"/>
      <c r="IU46" s="308"/>
      <c r="IV46" s="308"/>
      <c r="IW46" s="308"/>
      <c r="IX46" s="308"/>
    </row>
    <row r="47" spans="1:258" s="308" customFormat="1" ht="17.399999999999999" x14ac:dyDescent="0.3">
      <c r="A47" s="103"/>
      <c r="B47" s="84"/>
      <c r="C47" s="64"/>
      <c r="D47" s="83" t="s">
        <v>164</v>
      </c>
      <c r="E47" s="270">
        <f>E51*$C$50+E55*$C$54+$C$58*E59+$C$62*E63</f>
        <v>-5.6506209847656405E-2</v>
      </c>
      <c r="F47" s="90">
        <f>F51*$C$50+F55*$C$54+$C$58*F59+$C$62*F63</f>
        <v>1.4710259844099922</v>
      </c>
      <c r="G47" s="278">
        <f>G51*$C$50+G55*$C$54+$C$58*G59+$C$62*G63</f>
        <v>1.9799808860365105</v>
      </c>
      <c r="H47" s="90">
        <f>H51*$C$50+H55*$C$54+$C$58*H59+$C$62*H63</f>
        <v>9.941492335796635E-3</v>
      </c>
      <c r="I47" s="90">
        <f t="shared" ref="H47:U49" si="4">I51*$C$50+I55*$C$54+$C$58*I59+$C$62*I63</f>
        <v>0.03</v>
      </c>
      <c r="J47" s="90">
        <f t="shared" si="4"/>
        <v>0</v>
      </c>
      <c r="K47" s="90">
        <f t="shared" si="4"/>
        <v>0</v>
      </c>
      <c r="L47" s="90">
        <f t="shared" si="4"/>
        <v>1.7760687312877711E-2</v>
      </c>
      <c r="M47" s="90">
        <f t="shared" si="4"/>
        <v>1.4388300146089745</v>
      </c>
      <c r="N47" s="90">
        <f t="shared" si="4"/>
        <v>3.1E-2</v>
      </c>
      <c r="O47" s="90">
        <f t="shared" si="4"/>
        <v>0</v>
      </c>
      <c r="P47" s="90">
        <f t="shared" si="4"/>
        <v>-5.6506209847656405E-2</v>
      </c>
      <c r="Q47" s="90">
        <f t="shared" si="4"/>
        <v>0</v>
      </c>
      <c r="R47" s="90">
        <f t="shared" si="4"/>
        <v>0</v>
      </c>
      <c r="S47" s="90">
        <f t="shared" si="4"/>
        <v>1.4710259844099922</v>
      </c>
      <c r="T47" s="90">
        <f t="shared" si="4"/>
        <v>0.05</v>
      </c>
      <c r="U47" s="90">
        <f t="shared" si="4"/>
        <v>0.13800000000000001</v>
      </c>
      <c r="V47" s="430"/>
      <c r="W47" s="243"/>
      <c r="Z47" s="64"/>
    </row>
    <row r="48" spans="1:258" s="308" customFormat="1" ht="17.399999999999999" x14ac:dyDescent="0.3">
      <c r="A48" s="103"/>
      <c r="B48" s="84"/>
      <c r="C48" s="142"/>
      <c r="D48" s="83" t="s">
        <v>165</v>
      </c>
      <c r="E48" s="270">
        <f t="shared" ref="E48:G49" si="5">E52*$C$50+E56*$C$54+$C$58*E60+$C$62*E64</f>
        <v>0</v>
      </c>
      <c r="F48" s="90">
        <f t="shared" si="5"/>
        <v>2.3131303219889928E-3</v>
      </c>
      <c r="G48" s="278">
        <f t="shared" si="5"/>
        <v>2.7606281441568121E-3</v>
      </c>
      <c r="H48" s="90">
        <f t="shared" si="4"/>
        <v>3.7960019388360188E-11</v>
      </c>
      <c r="I48" s="90">
        <f t="shared" si="4"/>
        <v>0</v>
      </c>
      <c r="J48" s="90">
        <f t="shared" si="4"/>
        <v>0</v>
      </c>
      <c r="K48" s="90">
        <f t="shared" si="4"/>
        <v>0</v>
      </c>
      <c r="L48" s="90">
        <f t="shared" si="4"/>
        <v>7.8673855944688805E-6</v>
      </c>
      <c r="M48" s="90">
        <f t="shared" si="4"/>
        <v>2.3052628984345041E-3</v>
      </c>
      <c r="N48" s="90">
        <f t="shared" si="4"/>
        <v>0</v>
      </c>
      <c r="O48" s="90">
        <f t="shared" si="4"/>
        <v>0</v>
      </c>
      <c r="P48" s="90">
        <f t="shared" si="4"/>
        <v>0</v>
      </c>
      <c r="Q48" s="90">
        <f t="shared" si="4"/>
        <v>0</v>
      </c>
      <c r="R48" s="90">
        <f t="shared" si="4"/>
        <v>0</v>
      </c>
      <c r="S48" s="90">
        <f t="shared" si="4"/>
        <v>2.3131303219889928E-3</v>
      </c>
      <c r="T48" s="90">
        <f t="shared" si="4"/>
        <v>0</v>
      </c>
      <c r="U48" s="90">
        <f t="shared" si="4"/>
        <v>0</v>
      </c>
      <c r="V48" s="430"/>
      <c r="W48" s="243"/>
      <c r="Z48" s="64"/>
    </row>
    <row r="49" spans="1:258" s="308" customFormat="1" ht="17.399999999999999" x14ac:dyDescent="0.3">
      <c r="A49" s="107"/>
      <c r="B49" s="206"/>
      <c r="C49" s="85"/>
      <c r="D49" s="84" t="s">
        <v>166</v>
      </c>
      <c r="E49" s="270">
        <f t="shared" si="5"/>
        <v>6.4738176461463635E-5</v>
      </c>
      <c r="F49" s="90">
        <f t="shared" si="5"/>
        <v>1.8950538588560786E-4</v>
      </c>
      <c r="G49" s="278">
        <f t="shared" si="5"/>
        <v>2.2616706753265052E-4</v>
      </c>
      <c r="H49" s="90">
        <f t="shared" si="4"/>
        <v>4.9553165675480928E-5</v>
      </c>
      <c r="I49" s="90">
        <f t="shared" si="4"/>
        <v>0</v>
      </c>
      <c r="J49" s="90">
        <f t="shared" si="4"/>
        <v>5.9837491735732879E-5</v>
      </c>
      <c r="K49" s="90">
        <f t="shared" si="4"/>
        <v>4.9006847257307632E-6</v>
      </c>
      <c r="L49" s="90">
        <f t="shared" si="4"/>
        <v>4.7723659270640846E-7</v>
      </c>
      <c r="M49" s="90">
        <f t="shared" si="4"/>
        <v>7.4736807155956911E-5</v>
      </c>
      <c r="N49" s="90">
        <f t="shared" si="4"/>
        <v>0</v>
      </c>
      <c r="O49" s="90">
        <f t="shared" si="4"/>
        <v>0</v>
      </c>
      <c r="P49" s="90">
        <f t="shared" si="4"/>
        <v>0</v>
      </c>
      <c r="Q49" s="90">
        <f t="shared" si="4"/>
        <v>0</v>
      </c>
      <c r="R49" s="90">
        <f t="shared" si="4"/>
        <v>0</v>
      </c>
      <c r="S49" s="90">
        <f t="shared" si="4"/>
        <v>1.8950538588560786E-4</v>
      </c>
      <c r="T49" s="90">
        <f t="shared" si="4"/>
        <v>0</v>
      </c>
      <c r="U49" s="90">
        <f t="shared" si="4"/>
        <v>0</v>
      </c>
      <c r="V49" s="430"/>
      <c r="W49" s="243"/>
      <c r="Z49" s="64"/>
    </row>
    <row r="50" spans="1:258" s="420" customFormat="1" ht="17.399999999999999" x14ac:dyDescent="0.3">
      <c r="A50" s="122" t="s">
        <v>1</v>
      </c>
      <c r="B50" s="150" t="s">
        <v>102</v>
      </c>
      <c r="C50" s="104">
        <f>'Input data plant-based products'!D73</f>
        <v>0.38</v>
      </c>
      <c r="D50" s="269" t="s">
        <v>473</v>
      </c>
      <c r="E50" s="320">
        <f>IF($F$1="GWP100 without fb",E51+E52*'Common input data'!$C$5+E53*'Common input data'!$D$5,IF($F$1="GWP100 with fb",E51+E52*'Common input data'!$C$6+E53*'Common input data'!$D$6,IF($F$1="GTP100 without fb",E51+E52*'Common input data'!$C$7+E53*'Common input data'!$D$7,IF($F$1="GTP100 with fb",E51+E52*'Common input data'!$C$8+E53*'Common input data'!$D$8,E51+E52*'Common input data'!$C$9+E53*'Common input data'!$D$9))))</f>
        <v>1.7469974846463815E-2</v>
      </c>
      <c r="F50" s="302">
        <f>IF($F$1="GWP100 without fb",F51+F52*'Common input data'!$C$5+F53*'Common input data'!$D$5,IF($F$1="GWP100 with fb",F51+F52*'Common input data'!$C$6+F53*'Common input data'!$D$6,IF($F$1="GTP100 without fb",F51+F52*'Common input data'!$C$7+F53*'Common input data'!$D$7,IF($F$1="GTP100 with fb",F51+F52*'Common input data'!$C$8+F53*'Common input data'!$D$8,F51+F52*'Common input data'!$C$9+F53*'Common input data'!$D$9))))</f>
        <v>4.1184611728658762</v>
      </c>
      <c r="G50" s="321">
        <f>IF($F$1="GWP100 without fb",G51+G52*'Common input data'!$C$5+G53*'Common input data'!$D$5,IF($F$1="GWP100 with fb",G51+G52*'Common input data'!$C$6+G53*'Common input data'!$D$6,IF($F$1="GTP100 without fb",G51+G52*'Common input data'!$C$7+G53*'Common input data'!$D$7,IF($F$1="GTP100 with fb",G51+G52*'Common input data'!$C$8+G53*'Common input data'!$D$8,G51+G52*'Common input data'!$C$9+G53*'Common input data'!$D$9))))</f>
        <v>5.010694799935405</v>
      </c>
      <c r="H50" s="102"/>
      <c r="I50" s="102"/>
      <c r="J50" s="102"/>
      <c r="K50" s="102"/>
      <c r="L50" s="102"/>
      <c r="M50" s="102"/>
      <c r="N50" s="102"/>
      <c r="O50" s="102"/>
      <c r="P50" s="102"/>
      <c r="Q50" s="102"/>
      <c r="R50" s="102"/>
      <c r="S50" s="102"/>
      <c r="T50" s="102"/>
      <c r="U50" s="102"/>
      <c r="V50" s="430"/>
      <c r="W50" s="243"/>
      <c r="X50" s="308"/>
      <c r="Y50" s="308"/>
      <c r="Z50" s="64"/>
      <c r="AA50" s="308"/>
      <c r="AB50" s="308"/>
      <c r="AC50" s="308"/>
      <c r="AD50" s="308"/>
      <c r="AE50" s="308"/>
      <c r="AF50" s="308"/>
      <c r="AG50" s="308"/>
      <c r="AH50" s="308"/>
      <c r="AI50" s="308"/>
      <c r="AJ50" s="308"/>
      <c r="AK50" s="308"/>
      <c r="AL50" s="308"/>
      <c r="AM50" s="308"/>
      <c r="AN50" s="308"/>
      <c r="AO50" s="308"/>
      <c r="AP50" s="308"/>
      <c r="AQ50" s="308"/>
      <c r="AR50" s="308"/>
      <c r="AS50" s="308"/>
      <c r="AT50" s="308"/>
      <c r="AU50" s="308"/>
      <c r="AV50" s="308"/>
      <c r="AW50" s="308"/>
      <c r="AX50" s="308"/>
      <c r="AY50" s="308"/>
      <c r="AZ50" s="308"/>
      <c r="BA50" s="308"/>
      <c r="BB50" s="308"/>
      <c r="BC50" s="308"/>
      <c r="BD50" s="308"/>
      <c r="BE50" s="308"/>
      <c r="BF50" s="308"/>
      <c r="BG50" s="308"/>
      <c r="BH50" s="308"/>
      <c r="BI50" s="308"/>
      <c r="BJ50" s="308"/>
      <c r="BK50" s="308"/>
      <c r="BL50" s="308"/>
      <c r="BM50" s="308"/>
      <c r="BN50" s="308"/>
      <c r="BO50" s="308"/>
      <c r="BP50" s="308"/>
      <c r="BQ50" s="308"/>
      <c r="BR50" s="308"/>
      <c r="BS50" s="308"/>
      <c r="BT50" s="308"/>
      <c r="BU50" s="308"/>
      <c r="BV50" s="308"/>
      <c r="BW50" s="308"/>
      <c r="BX50" s="308"/>
      <c r="BY50" s="308"/>
      <c r="BZ50" s="308"/>
      <c r="CA50" s="308"/>
      <c r="CB50" s="308"/>
      <c r="CC50" s="308"/>
      <c r="CD50" s="308"/>
      <c r="CE50" s="308"/>
      <c r="CF50" s="308"/>
      <c r="CG50" s="308"/>
      <c r="CH50" s="308"/>
      <c r="CI50" s="308"/>
      <c r="CJ50" s="308"/>
      <c r="CK50" s="308"/>
      <c r="CL50" s="308"/>
      <c r="CM50" s="308"/>
      <c r="CN50" s="308"/>
      <c r="CO50" s="308"/>
      <c r="CP50" s="308"/>
      <c r="CQ50" s="308"/>
      <c r="CR50" s="308"/>
      <c r="CS50" s="308"/>
      <c r="CT50" s="308"/>
      <c r="CU50" s="308"/>
      <c r="CV50" s="308"/>
      <c r="CW50" s="308"/>
      <c r="CX50" s="308"/>
      <c r="CY50" s="308"/>
      <c r="CZ50" s="308"/>
      <c r="DA50" s="308"/>
      <c r="DB50" s="308"/>
      <c r="DC50" s="308"/>
      <c r="DD50" s="308"/>
      <c r="DE50" s="308"/>
      <c r="DF50" s="308"/>
      <c r="DG50" s="308"/>
      <c r="DH50" s="308"/>
      <c r="DI50" s="308"/>
      <c r="DJ50" s="308"/>
      <c r="DK50" s="308"/>
      <c r="DL50" s="308"/>
      <c r="DM50" s="308"/>
      <c r="DN50" s="308"/>
      <c r="DO50" s="308"/>
      <c r="DP50" s="308"/>
      <c r="DQ50" s="308"/>
      <c r="DR50" s="308"/>
      <c r="DS50" s="308"/>
      <c r="DT50" s="308"/>
      <c r="DU50" s="308"/>
      <c r="DV50" s="308"/>
      <c r="DW50" s="308"/>
      <c r="DX50" s="308"/>
      <c r="DY50" s="308"/>
      <c r="DZ50" s="308"/>
      <c r="EA50" s="308"/>
      <c r="EB50" s="308"/>
      <c r="EC50" s="308"/>
      <c r="ED50" s="308"/>
      <c r="EE50" s="308"/>
      <c r="EF50" s="308"/>
      <c r="EG50" s="308"/>
      <c r="EH50" s="308"/>
      <c r="EI50" s="308"/>
      <c r="EJ50" s="308"/>
      <c r="EK50" s="308"/>
      <c r="EL50" s="308"/>
      <c r="EM50" s="308"/>
      <c r="EN50" s="308"/>
      <c r="EO50" s="308"/>
      <c r="EP50" s="308"/>
      <c r="EQ50" s="308"/>
      <c r="ER50" s="308"/>
      <c r="ES50" s="308"/>
      <c r="ET50" s="308"/>
      <c r="EU50" s="308"/>
      <c r="EV50" s="308"/>
      <c r="EW50" s="308"/>
      <c r="EX50" s="308"/>
      <c r="EY50" s="308"/>
      <c r="EZ50" s="308"/>
      <c r="FA50" s="308"/>
      <c r="FB50" s="308"/>
      <c r="FC50" s="308"/>
      <c r="FD50" s="308"/>
      <c r="FE50" s="308"/>
      <c r="FF50" s="308"/>
      <c r="FG50" s="308"/>
      <c r="FH50" s="308"/>
      <c r="FI50" s="308"/>
      <c r="FJ50" s="308"/>
      <c r="FK50" s="308"/>
      <c r="FL50" s="308"/>
      <c r="FM50" s="308"/>
      <c r="FN50" s="308"/>
      <c r="FO50" s="308"/>
      <c r="FP50" s="308"/>
      <c r="FQ50" s="308"/>
      <c r="FR50" s="308"/>
      <c r="FS50" s="308"/>
      <c r="FT50" s="308"/>
      <c r="FU50" s="308"/>
      <c r="FV50" s="308"/>
      <c r="FW50" s="308"/>
      <c r="FX50" s="308"/>
      <c r="FY50" s="308"/>
      <c r="FZ50" s="308"/>
      <c r="GA50" s="308"/>
      <c r="GB50" s="308"/>
      <c r="GC50" s="308"/>
      <c r="GD50" s="308"/>
      <c r="GE50" s="308"/>
      <c r="GF50" s="308"/>
      <c r="GG50" s="308"/>
      <c r="GH50" s="308"/>
      <c r="GI50" s="308"/>
      <c r="GJ50" s="308"/>
      <c r="GK50" s="308"/>
      <c r="GL50" s="308"/>
      <c r="GM50" s="308"/>
      <c r="GN50" s="308"/>
      <c r="GO50" s="308"/>
      <c r="GP50" s="308"/>
      <c r="GQ50" s="308"/>
      <c r="GR50" s="308"/>
      <c r="GS50" s="308"/>
      <c r="GT50" s="308"/>
      <c r="GU50" s="308"/>
      <c r="GV50" s="308"/>
      <c r="GW50" s="308"/>
      <c r="GX50" s="308"/>
      <c r="GY50" s="308"/>
      <c r="GZ50" s="308"/>
      <c r="HA50" s="308"/>
      <c r="HB50" s="308"/>
      <c r="HC50" s="308"/>
      <c r="HD50" s="308"/>
      <c r="HE50" s="308"/>
      <c r="HF50" s="308"/>
      <c r="HG50" s="308"/>
      <c r="HH50" s="308"/>
      <c r="HI50" s="308"/>
      <c r="HJ50" s="308"/>
      <c r="HK50" s="308"/>
      <c r="HL50" s="308"/>
      <c r="HM50" s="308"/>
      <c r="HN50" s="308"/>
      <c r="HO50" s="308"/>
      <c r="HP50" s="308"/>
      <c r="HQ50" s="308"/>
      <c r="HR50" s="308"/>
      <c r="HS50" s="308"/>
      <c r="HT50" s="308"/>
      <c r="HU50" s="308"/>
      <c r="HV50" s="308"/>
      <c r="HW50" s="308"/>
      <c r="HX50" s="308"/>
      <c r="HY50" s="308"/>
      <c r="HZ50" s="308"/>
      <c r="IA50" s="308"/>
      <c r="IB50" s="308"/>
      <c r="IC50" s="308"/>
      <c r="ID50" s="308"/>
      <c r="IE50" s="308"/>
      <c r="IF50" s="308"/>
      <c r="IG50" s="308"/>
      <c r="IH50" s="308"/>
      <c r="II50" s="308"/>
      <c r="IJ50" s="308"/>
      <c r="IK50" s="308"/>
      <c r="IL50" s="308"/>
      <c r="IM50" s="308"/>
      <c r="IN50" s="308"/>
      <c r="IO50" s="308"/>
      <c r="IP50" s="308"/>
      <c r="IQ50" s="308"/>
      <c r="IR50" s="308"/>
      <c r="IS50" s="308"/>
      <c r="IT50" s="308"/>
      <c r="IU50" s="308"/>
      <c r="IV50" s="308"/>
      <c r="IW50" s="308"/>
      <c r="IX50" s="308"/>
    </row>
    <row r="51" spans="1:258" s="308" customFormat="1" ht="17.399999999999999" x14ac:dyDescent="0.3">
      <c r="A51" s="103"/>
      <c r="B51" s="84"/>
      <c r="C51" s="64"/>
      <c r="D51" s="83" t="s">
        <v>164</v>
      </c>
      <c r="E51" s="270">
        <f>IF(AND($F$2="No",$F$3="No"),SUM(J51:K51),IF(AND($F$2="Yes", $F$3="No"), SUM(J51:K51)+Q51, IF(AND($F$2="No", $F$3="Yes"),SUM(J51:K51)+P51, SUM(J51:K51)+Q51+P51)))</f>
        <v>0</v>
      </c>
      <c r="F51" s="90">
        <f>IF(AND($F$2="No",$F$3="No"),SUM(H51:O51),IF(AND($F$2="Yes", $F$3="No"), SUM(H51:O51)+Q51, IF(AND($F$2="No", $F$3="Yes"),SUM(H51:O51)+P51, SUM(H51:O51)+Q51+P51)))</f>
        <v>3.8253193076419274</v>
      </c>
      <c r="G51" s="278">
        <f>SUM(S51:U51)/(1-'Common input data'!$B$121)</f>
        <v>4.6608417563455387</v>
      </c>
      <c r="H51" s="90">
        <f>('Input data plant-based products'!$F$73*('Common input data'!$B$76*'Common input data'!B69+'Common input data'!$B$77*'Common input data'!C69))/'Input data plant-based products'!$E$73</f>
        <v>8.9245323551527204E-3</v>
      </c>
      <c r="I51" s="90">
        <f>'Common input data'!$B$81</f>
        <v>0.03</v>
      </c>
      <c r="J51" s="90">
        <v>0</v>
      </c>
      <c r="K51" s="90">
        <v>0</v>
      </c>
      <c r="L51" s="90">
        <v>0</v>
      </c>
      <c r="M51" s="90">
        <f>'Input data plant-based products'!M144/'Input data plant-based products'!E$73</f>
        <v>3.7863947752867748</v>
      </c>
      <c r="N51" s="90">
        <v>0</v>
      </c>
      <c r="O51" s="90">
        <v>0</v>
      </c>
      <c r="P51" s="90">
        <v>0</v>
      </c>
      <c r="Q51" s="90">
        <v>0</v>
      </c>
      <c r="R51" s="90">
        <v>0</v>
      </c>
      <c r="S51" s="90">
        <f>F51+R51</f>
        <v>3.8253193076419274</v>
      </c>
      <c r="T51" s="90">
        <f>'Common input data'!$B$88</f>
        <v>0.05</v>
      </c>
      <c r="U51" s="90">
        <f>'Common input data'!C98</f>
        <v>0.03</v>
      </c>
      <c r="V51" s="430"/>
      <c r="W51" s="243"/>
      <c r="Z51" s="64"/>
    </row>
    <row r="52" spans="1:258" s="308" customFormat="1" ht="17.399999999999999" x14ac:dyDescent="0.3">
      <c r="A52" s="107"/>
      <c r="B52" s="84"/>
      <c r="C52" s="142"/>
      <c r="D52" s="83" t="s">
        <v>165</v>
      </c>
      <c r="E52" s="270">
        <f>SUM(J52:K52)</f>
        <v>0</v>
      </c>
      <c r="F52" s="90">
        <f>SUM(H52:O52)</f>
        <v>6.0664813355628061E-3</v>
      </c>
      <c r="G52" s="278">
        <f>SUM(S52:U52)/(1-'Common input data'!$B$121)</f>
        <v>7.2401018445671398E-3</v>
      </c>
      <c r="H52" s="90">
        <f>('Input data plant-based products'!$F$73*('Common input data'!$B$76*'Common input data'!B70+'Common input data'!$B$77*'Common input data'!C70))/'Input data plant-based products'!$E$73</f>
        <v>2.3893058122101741E-11</v>
      </c>
      <c r="I52" s="90">
        <v>0</v>
      </c>
      <c r="J52" s="90">
        <v>0</v>
      </c>
      <c r="K52" s="90">
        <v>0</v>
      </c>
      <c r="L52" s="90">
        <v>0</v>
      </c>
      <c r="M52" s="90">
        <f>'Input data plant-based products'!N144/'Input data plant-based products'!E$73</f>
        <v>6.0664813116697476E-3</v>
      </c>
      <c r="N52" s="90">
        <v>0</v>
      </c>
      <c r="O52" s="90">
        <v>0</v>
      </c>
      <c r="P52" s="90">
        <v>0</v>
      </c>
      <c r="Q52" s="90">
        <v>0</v>
      </c>
      <c r="R52" s="90">
        <v>0</v>
      </c>
      <c r="S52" s="90">
        <f>F52+R52</f>
        <v>6.0664813355628061E-3</v>
      </c>
      <c r="T52" s="90">
        <v>0</v>
      </c>
      <c r="U52" s="90">
        <v>0</v>
      </c>
      <c r="V52" s="430"/>
      <c r="W52" s="243"/>
      <c r="Z52" s="64"/>
    </row>
    <row r="53" spans="1:258" s="308" customFormat="1" ht="17.399999999999999" x14ac:dyDescent="0.3">
      <c r="A53" s="174"/>
      <c r="B53" s="206"/>
      <c r="C53" s="85"/>
      <c r="D53" s="84" t="s">
        <v>166</v>
      </c>
      <c r="E53" s="270">
        <f>SUM(J53:K53)</f>
        <v>5.8624076665985951E-5</v>
      </c>
      <c r="F53" s="90">
        <f>SUM(H53:O53)</f>
        <v>2.9154865709668857E-4</v>
      </c>
      <c r="G53" s="278">
        <f>SUM(S53:U53)/(1-'Common input data'!$B$121)</f>
        <v>3.4795161367309773E-4</v>
      </c>
      <c r="H53" s="90">
        <f>('Input data plant-based products'!$F$73*('Common input data'!$B$76*'Common input data'!B71+'Common input data'!$B$77*'Common input data'!C71))/'Input data plant-based products'!$E$73</f>
        <v>3.6248772125552869E-5</v>
      </c>
      <c r="I53" s="90">
        <v>0</v>
      </c>
      <c r="J53" s="90">
        <f>(SUM('Input data plant-based products'!F73:H73)*'Input data plant-based products'!$B$114*44/28)/'Input data plant-based products'!E73</f>
        <v>5.5885678423246852E-5</v>
      </c>
      <c r="K53" s="90">
        <f>J53*'Input data plant-based products'!$B$115*(1-'Input data plant-based products'!L144)</f>
        <v>2.7383982427390961E-6</v>
      </c>
      <c r="L53" s="90">
        <v>0</v>
      </c>
      <c r="M53" s="90">
        <f>'Input data plant-based products'!O144/'Input data plant-based products'!E$73</f>
        <v>1.9667580830514978E-4</v>
      </c>
      <c r="N53" s="90">
        <v>0</v>
      </c>
      <c r="O53" s="90">
        <v>0</v>
      </c>
      <c r="P53" s="90">
        <v>0</v>
      </c>
      <c r="Q53" s="90">
        <v>0</v>
      </c>
      <c r="R53" s="90">
        <v>0</v>
      </c>
      <c r="S53" s="90">
        <f>F53+R53</f>
        <v>2.9154865709668857E-4</v>
      </c>
      <c r="T53" s="90">
        <v>0</v>
      </c>
      <c r="U53" s="90">
        <v>0</v>
      </c>
      <c r="V53" s="430"/>
      <c r="W53" s="243"/>
      <c r="Z53" s="64"/>
    </row>
    <row r="54" spans="1:258" s="420" customFormat="1" ht="17.399999999999999" x14ac:dyDescent="0.3">
      <c r="A54" s="122" t="s">
        <v>74</v>
      </c>
      <c r="B54" s="150" t="s">
        <v>225</v>
      </c>
      <c r="C54" s="104">
        <f>'Input data plant-based products'!D74</f>
        <v>0.34</v>
      </c>
      <c r="D54" s="269" t="s">
        <v>473</v>
      </c>
      <c r="E54" s="320">
        <f>IF($F$1="GWP100 without fb",E55+E56*'Common input data'!$C$5+E57*'Common input data'!$D$5,IF($F$1="GWP100 with fb",E55+E56*'Common input data'!$C$6+E57*'Common input data'!$D$6,IF($F$1="GTP100 without fb",E55+E56*'Common input data'!$C$7+E57*'Common input data'!$D$7,IF($F$1="GTP100 with fb",E55+E56*'Common input data'!$C$8+E57*'Common input data'!$D$8,E55+E56*'Common input data'!$C$9+E57*'Common input data'!$D$9))))</f>
        <v>-6.8977593483352501E-2</v>
      </c>
      <c r="F54" s="302">
        <f>IF($F$1="GWP100 without fb",F55+F56*'Common input data'!$C$5+F57*'Common input data'!$D$5,IF($F$1="GWP100 with fb",F55+F56*'Common input data'!$C$6+F57*'Common input data'!$D$6,IF($F$1="GTP100 without fb",F55+F56*'Common input data'!$C$7+F57*'Common input data'!$D$7,IF($F$1="GTP100 with fb",F55+F56*'Common input data'!$C$8+F57*'Common input data'!$D$8,F55+F56*'Common input data'!$C$9+F57*'Common input data'!$D$9))))</f>
        <v>6.7307085227234692E-2</v>
      </c>
      <c r="G54" s="321">
        <f>IF($F$1="GWP100 without fb",G55+G56*'Common input data'!$C$5+G57*'Common input data'!$D$5,IF($F$1="GWP100 with fb",G55+G56*'Common input data'!$C$6+G57*'Common input data'!$D$6,IF($F$1="GTP100 without fb",G55+G56*'Common input data'!$C$7+G57*'Common input data'!$D$7,IF($F$1="GTP100 with fb",G55+G56*'Common input data'!$C$8+G57*'Common input data'!$D$8,G55+G56*'Common input data'!$C$9+G57*'Common input data'!$D$9))))</f>
        <v>0.41449705839268969</v>
      </c>
      <c r="H54" s="102"/>
      <c r="I54" s="102"/>
      <c r="J54" s="102"/>
      <c r="K54" s="102"/>
      <c r="L54" s="102"/>
      <c r="M54" s="102"/>
      <c r="N54" s="102"/>
      <c r="O54" s="102"/>
      <c r="P54" s="102"/>
      <c r="Q54" s="102"/>
      <c r="R54" s="102"/>
      <c r="S54" s="102"/>
      <c r="T54" s="102"/>
      <c r="U54" s="102"/>
      <c r="V54" s="430"/>
      <c r="W54" s="243"/>
      <c r="X54" s="308"/>
      <c r="Y54" s="308"/>
      <c r="Z54" s="64"/>
      <c r="AA54" s="308"/>
      <c r="AB54" s="308"/>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308"/>
      <c r="BC54" s="308"/>
      <c r="BD54" s="308"/>
      <c r="BE54" s="308"/>
      <c r="BF54" s="308"/>
      <c r="BG54" s="308"/>
      <c r="BH54" s="308"/>
      <c r="BI54" s="308"/>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8"/>
      <c r="DL54" s="308"/>
      <c r="DM54" s="308"/>
      <c r="DN54" s="308"/>
      <c r="DO54" s="308"/>
      <c r="DP54" s="308"/>
      <c r="DQ54" s="308"/>
      <c r="DR54" s="308"/>
      <c r="DS54" s="308"/>
      <c r="DT54" s="308"/>
      <c r="DU54" s="308"/>
      <c r="DV54" s="308"/>
      <c r="DW54" s="308"/>
      <c r="DX54" s="308"/>
      <c r="DY54" s="308"/>
      <c r="DZ54" s="308"/>
      <c r="EA54" s="308"/>
      <c r="EB54" s="308"/>
      <c r="EC54" s="308"/>
      <c r="ED54" s="308"/>
      <c r="EE54" s="308"/>
      <c r="EF54" s="308"/>
      <c r="EG54" s="308"/>
      <c r="EH54" s="308"/>
      <c r="EI54" s="308"/>
      <c r="EJ54" s="308"/>
      <c r="EK54" s="308"/>
      <c r="EL54" s="308"/>
      <c r="EM54" s="308"/>
      <c r="EN54" s="308"/>
      <c r="EO54" s="308"/>
      <c r="EP54" s="308"/>
      <c r="EQ54" s="308"/>
      <c r="ER54" s="308"/>
      <c r="ES54" s="308"/>
      <c r="ET54" s="308"/>
      <c r="EU54" s="308"/>
      <c r="EV54" s="308"/>
      <c r="EW54" s="308"/>
      <c r="EX54" s="308"/>
      <c r="EY54" s="308"/>
      <c r="EZ54" s="308"/>
      <c r="FA54" s="308"/>
      <c r="FB54" s="308"/>
      <c r="FC54" s="308"/>
      <c r="FD54" s="308"/>
      <c r="FE54" s="308"/>
      <c r="FF54" s="308"/>
      <c r="FG54" s="308"/>
      <c r="FH54" s="308"/>
      <c r="FI54" s="308"/>
      <c r="FJ54" s="308"/>
      <c r="FK54" s="308"/>
      <c r="FL54" s="308"/>
      <c r="FM54" s="308"/>
      <c r="FN54" s="308"/>
      <c r="FO54" s="308"/>
      <c r="FP54" s="308"/>
      <c r="FQ54" s="308"/>
      <c r="FR54" s="308"/>
      <c r="FS54" s="308"/>
      <c r="FT54" s="308"/>
      <c r="FU54" s="308"/>
      <c r="FV54" s="308"/>
      <c r="FW54" s="308"/>
      <c r="FX54" s="308"/>
      <c r="FY54" s="308"/>
      <c r="FZ54" s="308"/>
      <c r="GA54" s="308"/>
      <c r="GB54" s="308"/>
      <c r="GC54" s="308"/>
      <c r="GD54" s="308"/>
      <c r="GE54" s="308"/>
      <c r="GF54" s="308"/>
      <c r="GG54" s="308"/>
      <c r="GH54" s="308"/>
      <c r="GI54" s="308"/>
      <c r="GJ54" s="308"/>
      <c r="GK54" s="308"/>
      <c r="GL54" s="308"/>
      <c r="GM54" s="308"/>
      <c r="GN54" s="308"/>
      <c r="GO54" s="308"/>
      <c r="GP54" s="308"/>
      <c r="GQ54" s="308"/>
      <c r="GR54" s="308"/>
      <c r="GS54" s="308"/>
      <c r="GT54" s="308"/>
      <c r="GU54" s="308"/>
      <c r="GV54" s="308"/>
      <c r="GW54" s="308"/>
      <c r="GX54" s="308"/>
      <c r="GY54" s="308"/>
      <c r="GZ54" s="308"/>
      <c r="HA54" s="308"/>
      <c r="HB54" s="308"/>
      <c r="HC54" s="308"/>
      <c r="HD54" s="308"/>
      <c r="HE54" s="308"/>
      <c r="HF54" s="308"/>
      <c r="HG54" s="308"/>
      <c r="HH54" s="308"/>
      <c r="HI54" s="308"/>
      <c r="HJ54" s="308"/>
      <c r="HK54" s="308"/>
      <c r="HL54" s="308"/>
      <c r="HM54" s="308"/>
      <c r="HN54" s="308"/>
      <c r="HO54" s="308"/>
      <c r="HP54" s="308"/>
      <c r="HQ54" s="308"/>
      <c r="HR54" s="308"/>
      <c r="HS54" s="308"/>
      <c r="HT54" s="308"/>
      <c r="HU54" s="308"/>
      <c r="HV54" s="308"/>
      <c r="HW54" s="308"/>
      <c r="HX54" s="308"/>
      <c r="HY54" s="308"/>
      <c r="HZ54" s="308"/>
      <c r="IA54" s="308"/>
      <c r="IB54" s="308"/>
      <c r="IC54" s="308"/>
      <c r="ID54" s="308"/>
      <c r="IE54" s="308"/>
      <c r="IF54" s="308"/>
      <c r="IG54" s="308"/>
      <c r="IH54" s="308"/>
      <c r="II54" s="308"/>
      <c r="IJ54" s="308"/>
      <c r="IK54" s="308"/>
      <c r="IL54" s="308"/>
      <c r="IM54" s="308"/>
      <c r="IN54" s="308"/>
      <c r="IO54" s="308"/>
      <c r="IP54" s="308"/>
      <c r="IQ54" s="308"/>
      <c r="IR54" s="308"/>
      <c r="IS54" s="308"/>
      <c r="IT54" s="308"/>
      <c r="IU54" s="308"/>
      <c r="IV54" s="308"/>
      <c r="IW54" s="308"/>
      <c r="IX54" s="308"/>
    </row>
    <row r="55" spans="1:258" s="308" customFormat="1" ht="17.399999999999999" x14ac:dyDescent="0.3">
      <c r="A55" s="144"/>
      <c r="B55" s="84"/>
      <c r="C55" s="64"/>
      <c r="D55" s="83" t="s">
        <v>164</v>
      </c>
      <c r="E55" s="270">
        <f>IF(AND($F$2="No",$F$3="No"),SUM(J55:K55),IF(AND($F$2="Yes", $F$3="No"), SUM(J55:K55)+Q55, IF(AND($F$2="No", $F$3="Yes"),SUM(J55:K55)+P55, SUM(J55:K55)+Q55+P55)))</f>
        <v>-9.1139048141381296E-2</v>
      </c>
      <c r="F55" s="90">
        <f>IF(AND($F$2="No",$F$3="No"),SUM(H55:O55),IF(AND($F$2="Yes", $F$3="No"), SUM(H55:O55)+Q55, IF(AND($F$2="No", $F$3="Yes"),SUM(H55:O55)+P55, SUM(H55:O55)+Q55+P55)))</f>
        <v>2.5882500700437933E-2</v>
      </c>
      <c r="G55" s="278">
        <f>SUM(S55:U55)/(1-'Common input data'!$B$121)</f>
        <v>0.36505848036810828</v>
      </c>
      <c r="H55" s="90">
        <f>('Input data plant-based products'!$F$74*('Common input data'!$C$76*'Common input data'!B69+'Common input data'!$C$77*'Common input data'!C69))/'Input data plant-based products'!$E$74</f>
        <v>1.1472130440977901E-2</v>
      </c>
      <c r="I55" s="90">
        <f>'Common input data'!$B$81</f>
        <v>0.03</v>
      </c>
      <c r="J55" s="90">
        <v>0</v>
      </c>
      <c r="K55" s="90">
        <v>0</v>
      </c>
      <c r="L55" s="90">
        <f>('Input data plant-based products'!$I$74*'Common input data'!$C$59*'Common input data'!H49)/'Input data plant-based products'!$E$74</f>
        <v>2.5549418400841326E-2</v>
      </c>
      <c r="M55" s="90">
        <v>0</v>
      </c>
      <c r="N55" s="90">
        <f>'Input data plant-based products'!F$152</f>
        <v>0.05</v>
      </c>
      <c r="O55" s="90">
        <v>0</v>
      </c>
      <c r="P55" s="90">
        <f>'Common input data'!F$13</f>
        <v>-9.1139048141381296E-2</v>
      </c>
      <c r="Q55" s="90">
        <v>0</v>
      </c>
      <c r="R55" s="90">
        <v>0</v>
      </c>
      <c r="S55" s="90">
        <f>F55+R55</f>
        <v>2.5882500700437933E-2</v>
      </c>
      <c r="T55" s="90">
        <f>'Common input data'!$B$88</f>
        <v>0.05</v>
      </c>
      <c r="U55" s="90">
        <f>'Common input data'!B100+'Common input data'!C100</f>
        <v>0.23</v>
      </c>
      <c r="V55" s="430"/>
      <c r="W55" s="243"/>
      <c r="Z55" s="64"/>
    </row>
    <row r="56" spans="1:258" s="308" customFormat="1" ht="17.399999999999999" x14ac:dyDescent="0.3">
      <c r="A56" s="107"/>
      <c r="B56" s="84"/>
      <c r="C56" s="142"/>
      <c r="D56" s="83" t="s">
        <v>165</v>
      </c>
      <c r="E56" s="270">
        <f>SUM(J56:K56)</f>
        <v>0</v>
      </c>
      <c r="F56" s="90">
        <f>SUM(H56:O56)</f>
        <v>1.1317581415022786E-5</v>
      </c>
      <c r="G56" s="278">
        <f>SUM(S56:U56)/(1-'Common input data'!$B$121)</f>
        <v>1.3507078905624521E-5</v>
      </c>
      <c r="H56" s="90">
        <f>('Input data plant-based products'!$F$74*('Common input data'!$C$76*'Common input data'!B70+'Common input data'!$C$77*'Common input data'!C70))/'Input data plant-based products'!$E$74</f>
        <v>5.0582300264508111E-11</v>
      </c>
      <c r="I56" s="90">
        <v>0</v>
      </c>
      <c r="J56" s="90">
        <v>0</v>
      </c>
      <c r="K56" s="90">
        <v>0</v>
      </c>
      <c r="L56" s="90">
        <f>('Input data plant-based products'!$I$74*'Common input data'!$C$59*'Common input data'!H50)/'Input data plant-based products'!$E$74</f>
        <v>1.1317530832722522E-5</v>
      </c>
      <c r="M56" s="90">
        <v>0</v>
      </c>
      <c r="N56" s="90">
        <v>0</v>
      </c>
      <c r="O56" s="90">
        <v>0</v>
      </c>
      <c r="P56" s="90">
        <v>0</v>
      </c>
      <c r="Q56" s="90">
        <v>0</v>
      </c>
      <c r="R56" s="90">
        <v>0</v>
      </c>
      <c r="S56" s="90">
        <f>F56+R56</f>
        <v>1.1317581415022786E-5</v>
      </c>
      <c r="T56" s="90">
        <v>0</v>
      </c>
      <c r="U56" s="90">
        <v>0</v>
      </c>
      <c r="V56" s="430"/>
      <c r="W56" s="243"/>
      <c r="Z56" s="64"/>
    </row>
    <row r="57" spans="1:258" s="308" customFormat="1" ht="17.399999999999999" x14ac:dyDescent="0.3">
      <c r="A57" s="174"/>
      <c r="B57" s="206"/>
      <c r="C57" s="85"/>
      <c r="D57" s="84" t="s">
        <v>166</v>
      </c>
      <c r="E57" s="270">
        <f>SUM(J57:K57)</f>
        <v>7.4367297510163764E-5</v>
      </c>
      <c r="F57" s="90">
        <f>SUM(H57:O57)</f>
        <v>1.3771740523048991E-4</v>
      </c>
      <c r="G57" s="278">
        <f>SUM(S57:U57)/(1-'Common input data'!$B$121)</f>
        <v>1.6436019242211471E-4</v>
      </c>
      <c r="H57" s="90">
        <f>('Input data plant-based products'!$F$74*('Common input data'!$C$76*'Common input data'!B71+'Common input data'!$C$77*'Common input data'!C71))/'Input data plant-based products'!$E$74</f>
        <v>6.2663584886583833E-5</v>
      </c>
      <c r="I57" s="90">
        <v>0</v>
      </c>
      <c r="J57" s="90">
        <f>(SUM('Input data plant-based products'!F74:H74)*'Input data plant-based products'!$B$114*44/28)/'Input data plant-based products'!E74</f>
        <v>6.760663410014887E-5</v>
      </c>
      <c r="K57" s="90">
        <f>J57*'Input data plant-based products'!$B$115</f>
        <v>6.760663410014887E-6</v>
      </c>
      <c r="L57" s="90">
        <f>('Input data plant-based products'!$I$74*'Common input data'!$C$59*'Common input data'!H51)/'Input data plant-based products'!$E$74</f>
        <v>6.8652283374231176E-7</v>
      </c>
      <c r="M57" s="90">
        <v>0</v>
      </c>
      <c r="N57" s="90">
        <v>0</v>
      </c>
      <c r="O57" s="90">
        <v>0</v>
      </c>
      <c r="P57" s="90">
        <v>0</v>
      </c>
      <c r="Q57" s="90">
        <v>0</v>
      </c>
      <c r="R57" s="90">
        <v>0</v>
      </c>
      <c r="S57" s="90">
        <f>F57+R57</f>
        <v>1.3771740523048991E-4</v>
      </c>
      <c r="T57" s="90">
        <v>0</v>
      </c>
      <c r="U57" s="90">
        <v>0</v>
      </c>
      <c r="V57" s="430"/>
      <c r="W57" s="243"/>
      <c r="Z57" s="64"/>
    </row>
    <row r="58" spans="1:258" s="420" customFormat="1" ht="17.399999999999999" x14ac:dyDescent="0.3">
      <c r="A58" s="122" t="s">
        <v>79</v>
      </c>
      <c r="B58" s="150" t="s">
        <v>225</v>
      </c>
      <c r="C58" s="104">
        <f>'Input data plant-based products'!D75</f>
        <v>0.16</v>
      </c>
      <c r="D58" s="269" t="s">
        <v>473</v>
      </c>
      <c r="E58" s="320">
        <f>IF($F$1="GWP100 without fb",E59+E60*'Common input data'!$C$5+E61*'Common input data'!$D$5,IF($F$1="GWP100 with fb",E59+E60*'Common input data'!$C$6+E61*'Common input data'!$D$6,IF($F$1="GTP100 without fb",E59+E60*'Common input data'!$C$7+E61*'Common input data'!$D$7,IF($F$1="GTP100 with fb",E59+E60*'Common input data'!$C$8+E61*'Common input data'!$D$8,E59+E60*'Common input data'!$C$9+E61*'Common input data'!$D$9))))</f>
        <v>-7.2827438973219333E-2</v>
      </c>
      <c r="F58" s="302">
        <f>IF($F$1="GWP100 without fb",F59+F60*'Common input data'!$C$5+F61*'Common input data'!$D$5,IF($F$1="GWP100 with fb",F59+F60*'Common input data'!$C$6+F61*'Common input data'!$D$6,IF($F$1="GTP100 without fb",F59+F60*'Common input data'!$C$7+F61*'Common input data'!$D$7,IF($F$1="GTP100 with fb",F59+F60*'Common input data'!$C$8+F61*'Common input data'!$D$8,F59+F60*'Common input data'!$C$9+F61*'Common input data'!$D$9))))</f>
        <v>5.985043485590124E-2</v>
      </c>
      <c r="G58" s="321">
        <f>IF($F$1="GWP100 without fb",G59+G60*'Common input data'!$C$5+G61*'Common input data'!$D$5,IF($F$1="GWP100 with fb",G59+G60*'Common input data'!$C$6+G61*'Common input data'!$D$6,IF($F$1="GTP100 without fb",G59+G60*'Common input data'!$C$7+G61*'Common input data'!$D$7,IF($F$1="GTP100 with fb",G59+G60*'Common input data'!$C$8+G61*'Common input data'!$D$8,G59+G60*'Common input data'!$C$9+G61*'Common input data'!$D$9))))</f>
        <v>0.28625186162537447</v>
      </c>
      <c r="H58" s="102"/>
      <c r="I58" s="102"/>
      <c r="J58" s="102"/>
      <c r="K58" s="102"/>
      <c r="L58" s="102"/>
      <c r="M58" s="102"/>
      <c r="N58" s="102"/>
      <c r="O58" s="102"/>
      <c r="P58" s="102"/>
      <c r="Q58" s="102"/>
      <c r="R58" s="102"/>
      <c r="S58" s="102"/>
      <c r="T58" s="102"/>
      <c r="U58" s="102"/>
      <c r="V58" s="430"/>
      <c r="W58" s="243"/>
      <c r="X58" s="308"/>
      <c r="Y58" s="308"/>
      <c r="Z58" s="64"/>
      <c r="AA58" s="308"/>
      <c r="AB58" s="308"/>
      <c r="AC58" s="308"/>
      <c r="AD58" s="308"/>
      <c r="AE58" s="308"/>
      <c r="AF58" s="308"/>
      <c r="AG58" s="308"/>
      <c r="AH58" s="308"/>
      <c r="AI58" s="308"/>
      <c r="AJ58" s="308"/>
      <c r="AK58" s="308"/>
      <c r="AL58" s="308"/>
      <c r="AM58" s="308"/>
      <c r="AN58" s="308"/>
      <c r="AO58" s="308"/>
      <c r="AP58" s="308"/>
      <c r="AQ58" s="308"/>
      <c r="AR58" s="308"/>
      <c r="AS58" s="308"/>
      <c r="AT58" s="308"/>
      <c r="AU58" s="308"/>
      <c r="AV58" s="308"/>
      <c r="AW58" s="308"/>
      <c r="AX58" s="308"/>
      <c r="AY58" s="308"/>
      <c r="AZ58" s="308"/>
      <c r="BA58" s="308"/>
      <c r="BB58" s="308"/>
      <c r="BC58" s="308"/>
      <c r="BD58" s="308"/>
      <c r="BE58" s="308"/>
      <c r="BF58" s="308"/>
      <c r="BG58" s="308"/>
      <c r="BH58" s="308"/>
      <c r="BI58" s="308"/>
      <c r="BJ58" s="308"/>
      <c r="BK58" s="308"/>
      <c r="BL58" s="308"/>
      <c r="BM58" s="308"/>
      <c r="BN58" s="308"/>
      <c r="BO58" s="308"/>
      <c r="BP58" s="308"/>
      <c r="BQ58" s="308"/>
      <c r="BR58" s="308"/>
      <c r="BS58" s="308"/>
      <c r="BT58" s="308"/>
      <c r="BU58" s="308"/>
      <c r="BV58" s="308"/>
      <c r="BW58" s="308"/>
      <c r="BX58" s="308"/>
      <c r="BY58" s="308"/>
      <c r="BZ58" s="308"/>
      <c r="CA58" s="308"/>
      <c r="CB58" s="308"/>
      <c r="CC58" s="308"/>
      <c r="CD58" s="308"/>
      <c r="CE58" s="308"/>
      <c r="CF58" s="308"/>
      <c r="CG58" s="308"/>
      <c r="CH58" s="308"/>
      <c r="CI58" s="308"/>
      <c r="CJ58" s="308"/>
      <c r="CK58" s="308"/>
      <c r="CL58" s="308"/>
      <c r="CM58" s="308"/>
      <c r="CN58" s="308"/>
      <c r="CO58" s="308"/>
      <c r="CP58" s="308"/>
      <c r="CQ58" s="308"/>
      <c r="CR58" s="308"/>
      <c r="CS58" s="308"/>
      <c r="CT58" s="308"/>
      <c r="CU58" s="308"/>
      <c r="CV58" s="308"/>
      <c r="CW58" s="308"/>
      <c r="CX58" s="308"/>
      <c r="CY58" s="308"/>
      <c r="CZ58" s="308"/>
      <c r="DA58" s="308"/>
      <c r="DB58" s="308"/>
      <c r="DC58" s="308"/>
      <c r="DD58" s="308"/>
      <c r="DE58" s="308"/>
      <c r="DF58" s="308"/>
      <c r="DG58" s="308"/>
      <c r="DH58" s="308"/>
      <c r="DI58" s="308"/>
      <c r="DJ58" s="308"/>
      <c r="DK58" s="308"/>
      <c r="DL58" s="308"/>
      <c r="DM58" s="308"/>
      <c r="DN58" s="308"/>
      <c r="DO58" s="308"/>
      <c r="DP58" s="308"/>
      <c r="DQ58" s="308"/>
      <c r="DR58" s="308"/>
      <c r="DS58" s="308"/>
      <c r="DT58" s="308"/>
      <c r="DU58" s="308"/>
      <c r="DV58" s="308"/>
      <c r="DW58" s="308"/>
      <c r="DX58" s="308"/>
      <c r="DY58" s="308"/>
      <c r="DZ58" s="308"/>
      <c r="EA58" s="308"/>
      <c r="EB58" s="308"/>
      <c r="EC58" s="308"/>
      <c r="ED58" s="308"/>
      <c r="EE58" s="308"/>
      <c r="EF58" s="308"/>
      <c r="EG58" s="308"/>
      <c r="EH58" s="308"/>
      <c r="EI58" s="308"/>
      <c r="EJ58" s="308"/>
      <c r="EK58" s="308"/>
      <c r="EL58" s="308"/>
      <c r="EM58" s="308"/>
      <c r="EN58" s="308"/>
      <c r="EO58" s="308"/>
      <c r="EP58" s="308"/>
      <c r="EQ58" s="308"/>
      <c r="ER58" s="308"/>
      <c r="ES58" s="308"/>
      <c r="ET58" s="308"/>
      <c r="EU58" s="308"/>
      <c r="EV58" s="308"/>
      <c r="EW58" s="308"/>
      <c r="EX58" s="308"/>
      <c r="EY58" s="308"/>
      <c r="EZ58" s="308"/>
      <c r="FA58" s="308"/>
      <c r="FB58" s="308"/>
      <c r="FC58" s="308"/>
      <c r="FD58" s="308"/>
      <c r="FE58" s="308"/>
      <c r="FF58" s="308"/>
      <c r="FG58" s="308"/>
      <c r="FH58" s="308"/>
      <c r="FI58" s="308"/>
      <c r="FJ58" s="308"/>
      <c r="FK58" s="308"/>
      <c r="FL58" s="308"/>
      <c r="FM58" s="308"/>
      <c r="FN58" s="308"/>
      <c r="FO58" s="308"/>
      <c r="FP58" s="308"/>
      <c r="FQ58" s="308"/>
      <c r="FR58" s="308"/>
      <c r="FS58" s="308"/>
      <c r="FT58" s="308"/>
      <c r="FU58" s="308"/>
      <c r="FV58" s="308"/>
      <c r="FW58" s="308"/>
      <c r="FX58" s="308"/>
      <c r="FY58" s="308"/>
      <c r="FZ58" s="308"/>
      <c r="GA58" s="308"/>
      <c r="GB58" s="308"/>
      <c r="GC58" s="308"/>
      <c r="GD58" s="308"/>
      <c r="GE58" s="308"/>
      <c r="GF58" s="308"/>
      <c r="GG58" s="308"/>
      <c r="GH58" s="308"/>
      <c r="GI58" s="308"/>
      <c r="GJ58" s="308"/>
      <c r="GK58" s="308"/>
      <c r="GL58" s="308"/>
      <c r="GM58" s="308"/>
      <c r="GN58" s="308"/>
      <c r="GO58" s="308"/>
      <c r="GP58" s="308"/>
      <c r="GQ58" s="308"/>
      <c r="GR58" s="308"/>
      <c r="GS58" s="308"/>
      <c r="GT58" s="308"/>
      <c r="GU58" s="308"/>
      <c r="GV58" s="308"/>
      <c r="GW58" s="308"/>
      <c r="GX58" s="308"/>
      <c r="GY58" s="308"/>
      <c r="GZ58" s="308"/>
      <c r="HA58" s="308"/>
      <c r="HB58" s="308"/>
      <c r="HC58" s="308"/>
      <c r="HD58" s="308"/>
      <c r="HE58" s="308"/>
      <c r="HF58" s="308"/>
      <c r="HG58" s="308"/>
      <c r="HH58" s="308"/>
      <c r="HI58" s="308"/>
      <c r="HJ58" s="308"/>
      <c r="HK58" s="308"/>
      <c r="HL58" s="308"/>
      <c r="HM58" s="308"/>
      <c r="HN58" s="308"/>
      <c r="HO58" s="308"/>
      <c r="HP58" s="308"/>
      <c r="HQ58" s="308"/>
      <c r="HR58" s="308"/>
      <c r="HS58" s="308"/>
      <c r="HT58" s="308"/>
      <c r="HU58" s="308"/>
      <c r="HV58" s="308"/>
      <c r="HW58" s="308"/>
      <c r="HX58" s="308"/>
      <c r="HY58" s="308"/>
      <c r="HZ58" s="308"/>
      <c r="IA58" s="308"/>
      <c r="IB58" s="308"/>
      <c r="IC58" s="308"/>
      <c r="ID58" s="308"/>
      <c r="IE58" s="308"/>
      <c r="IF58" s="308"/>
      <c r="IG58" s="308"/>
      <c r="IH58" s="308"/>
      <c r="II58" s="308"/>
      <c r="IJ58" s="308"/>
      <c r="IK58" s="308"/>
      <c r="IL58" s="308"/>
      <c r="IM58" s="308"/>
      <c r="IN58" s="308"/>
      <c r="IO58" s="308"/>
      <c r="IP58" s="308"/>
      <c r="IQ58" s="308"/>
      <c r="IR58" s="308"/>
      <c r="IS58" s="308"/>
      <c r="IT58" s="308"/>
      <c r="IU58" s="308"/>
      <c r="IV58" s="308"/>
      <c r="IW58" s="308"/>
      <c r="IX58" s="308"/>
    </row>
    <row r="59" spans="1:258" s="308" customFormat="1" ht="17.399999999999999" x14ac:dyDescent="0.3">
      <c r="A59" s="144"/>
      <c r="B59" s="84"/>
      <c r="C59" s="64"/>
      <c r="D59" s="83" t="s">
        <v>164</v>
      </c>
      <c r="E59" s="270">
        <f>IF(AND($F$2="No",$F$3="No"),SUM(J59:K59),IF(AND($F$2="Yes", $F$3="No"), SUM(J59:K59)+Q59, IF(AND($F$2="No", $F$3="Yes"),SUM(J59:K59)+P59, SUM(J59:K59)+Q59+P59)))</f>
        <v>-9.1139048141381296E-2</v>
      </c>
      <c r="F59" s="90">
        <f>IF(AND($F$2="No",$F$3="No"),SUM(H59:O59),IF(AND($F$2="Yes", $F$3="No"), SUM(H59:O59)+Q59, IF(AND($F$2="No", $F$3="Yes"),SUM(H59:O59)+P59, SUM(H59:O59)+Q59+P59)))</f>
        <v>2.5482908755437822E-2</v>
      </c>
      <c r="G59" s="278">
        <f>SUM(S59:U59)/(1-'Common input data'!$B$121)</f>
        <v>0.24523559942169454</v>
      </c>
      <c r="H59" s="85">
        <f>('Input data plant-based products'!$F$75*('Common input data'!$C$76*'Common input data'!B69+'Common input data'!$C$77*'Common input data'!C69))/'Input data plant-based products'!$E$75</f>
        <v>9.4792138965144219E-3</v>
      </c>
      <c r="I59" s="90">
        <f>'Common input data'!$B$81</f>
        <v>0.03</v>
      </c>
      <c r="J59" s="85">
        <v>0</v>
      </c>
      <c r="K59" s="90">
        <v>0</v>
      </c>
      <c r="L59" s="85">
        <f>('Input data plant-based products'!$I$75*'Common input data'!$C$59*'Common input data'!H49)/'Input data plant-based products'!$E$75</f>
        <v>2.7142743000304701E-2</v>
      </c>
      <c r="M59" s="90">
        <v>0</v>
      </c>
      <c r="N59" s="90">
        <f>'Input data plant-based products'!F$152</f>
        <v>0.05</v>
      </c>
      <c r="O59" s="90">
        <v>0</v>
      </c>
      <c r="P59" s="90">
        <f>'Common input data'!F$13</f>
        <v>-9.1139048141381296E-2</v>
      </c>
      <c r="Q59" s="90">
        <v>0</v>
      </c>
      <c r="R59" s="90">
        <v>0</v>
      </c>
      <c r="S59" s="90">
        <f>F59+R59</f>
        <v>2.5482908755437822E-2</v>
      </c>
      <c r="T59" s="90">
        <f>'Common input data'!$B$88</f>
        <v>0.05</v>
      </c>
      <c r="U59" s="90">
        <f>'Common input data'!B99+'Common input data'!C99</f>
        <v>0.13</v>
      </c>
      <c r="V59" s="430"/>
      <c r="W59" s="243"/>
      <c r="Z59" s="64"/>
    </row>
    <row r="60" spans="1:258" s="308" customFormat="1" ht="17.399999999999999" x14ac:dyDescent="0.3">
      <c r="A60" s="107"/>
      <c r="B60" s="84"/>
      <c r="C60" s="142"/>
      <c r="D60" s="83" t="s">
        <v>165</v>
      </c>
      <c r="E60" s="270">
        <f>SUM(J60:K60)</f>
        <v>0</v>
      </c>
      <c r="F60" s="90">
        <f>SUM(H60:O60)</f>
        <v>1.2023361699089277E-5</v>
      </c>
      <c r="G60" s="278">
        <f>SUM(S60:U60)/(1-'Common input data'!$B$121)</f>
        <v>1.4349399330575579E-5</v>
      </c>
      <c r="H60" s="85">
        <f>('Input data plant-based products'!$F$75*('Common input data'!$C$76*'Common input data'!B70+'Common input data'!$C$77*'Common input data'!C70))/'Input data plant-based products'!$E$75</f>
        <v>4.179523986863933E-11</v>
      </c>
      <c r="I60" s="90">
        <v>0</v>
      </c>
      <c r="J60" s="85">
        <v>0</v>
      </c>
      <c r="K60" s="90">
        <v>0</v>
      </c>
      <c r="L60" s="85">
        <f>('Input data plant-based products'!$I$75*'Common input data'!$C$59*'Common input data'!H50)/'Input data plant-based products'!$E$75</f>
        <v>1.2023319903849409E-5</v>
      </c>
      <c r="M60" s="90">
        <v>0</v>
      </c>
      <c r="N60" s="90">
        <v>0</v>
      </c>
      <c r="O60" s="90">
        <v>0</v>
      </c>
      <c r="P60" s="90">
        <v>0</v>
      </c>
      <c r="Q60" s="90">
        <v>0</v>
      </c>
      <c r="R60" s="90">
        <v>0</v>
      </c>
      <c r="S60" s="90">
        <f>F60+R60</f>
        <v>1.2023361699089277E-5</v>
      </c>
      <c r="T60" s="90">
        <v>0</v>
      </c>
      <c r="U60" s="90">
        <v>0</v>
      </c>
      <c r="V60" s="430"/>
      <c r="W60" s="243"/>
      <c r="Z60" s="64"/>
    </row>
    <row r="61" spans="1:258" s="308" customFormat="1" ht="17.399999999999999" x14ac:dyDescent="0.3">
      <c r="A61" s="174"/>
      <c r="B61" s="206"/>
      <c r="C61" s="85"/>
      <c r="D61" s="84" t="s">
        <v>166</v>
      </c>
      <c r="E61" s="270">
        <f>SUM(J61:K61)</f>
        <v>6.1448352913295198E-5</v>
      </c>
      <c r="F61" s="90">
        <f>SUM(H61:O61)</f>
        <v>1.1395547584796772E-4</v>
      </c>
      <c r="G61" s="278">
        <f>SUM(S61:U61)/(1-'Common input data'!$B$121)</f>
        <v>1.360012839813435E-4</v>
      </c>
      <c r="H61" s="85">
        <f>('Input data plant-based products'!$F$75*('Common input data'!$C$76*'Common input data'!B71+'Common input data'!$C$77*'Common input data'!C71))/'Input data plant-based products'!$E$75</f>
        <v>5.1777786847730719E-5</v>
      </c>
      <c r="I61" s="85">
        <v>0</v>
      </c>
      <c r="J61" s="85">
        <f>(SUM('Input data plant-based products'!F75:H75)*'Input data plant-based products'!$B$114*44/28)/'Input data plant-based products'!E75</f>
        <v>5.5862139012086538E-5</v>
      </c>
      <c r="K61" s="90">
        <f>J61*'Input data plant-based products'!$B$115</f>
        <v>5.5862139012086542E-6</v>
      </c>
      <c r="L61" s="85">
        <f>('Input data plant-based products'!$I$75*'Common input data'!$C$59*'Common input data'!H51)/'Input data plant-based products'!$E$75</f>
        <v>7.2933608694180183E-7</v>
      </c>
      <c r="M61" s="90">
        <v>0</v>
      </c>
      <c r="N61" s="90">
        <v>0</v>
      </c>
      <c r="O61" s="90">
        <v>0</v>
      </c>
      <c r="P61" s="90">
        <v>0</v>
      </c>
      <c r="Q61" s="90">
        <v>0</v>
      </c>
      <c r="R61" s="90">
        <v>0</v>
      </c>
      <c r="S61" s="90">
        <f>F61+R61</f>
        <v>1.1395547584796772E-4</v>
      </c>
      <c r="T61" s="90">
        <v>0</v>
      </c>
      <c r="U61" s="90">
        <v>0</v>
      </c>
      <c r="V61" s="430"/>
      <c r="W61" s="243"/>
      <c r="Z61" s="64"/>
    </row>
    <row r="62" spans="1:258" s="420" customFormat="1" ht="17.399999999999999" x14ac:dyDescent="0.3">
      <c r="A62" s="122" t="s">
        <v>70</v>
      </c>
      <c r="B62" s="150" t="s">
        <v>225</v>
      </c>
      <c r="C62" s="104">
        <f>'Input data plant-based products'!D76</f>
        <v>0.12</v>
      </c>
      <c r="D62" s="269" t="s">
        <v>473</v>
      </c>
      <c r="E62" s="320">
        <f>IF($F$1="GWP100 without fb",E63+E64*'Common input data'!$C$5+E65*'Common input data'!$D$5,IF($F$1="GWP100 with fb",E63+E64*'Common input data'!$C$6+E65*'Common input data'!$D$6,IF($F$1="GTP100 without fb",E63+E64*'Common input data'!$C$7+E65*'Common input data'!$D$7,IF($F$1="GTP100 with fb",E63+E64*'Common input data'!$C$8+E65*'Common input data'!$D$8,E63+E64*'Common input data'!$C$9+E65*'Common input data'!$D$9))))</f>
        <v>-7.2900430697846227E-2</v>
      </c>
      <c r="F62" s="302">
        <f>IF($F$1="GWP100 without fb",F63+F64*'Common input data'!$C$5+F65*'Common input data'!$D$5,IF($F$1="GWP100 with fb",F63+F64*'Common input data'!$C$6+F65*'Common input data'!$D$6,IF($F$1="GTP100 without fb",F63+F64*'Common input data'!$C$7+F65*'Common input data'!$D$7,IF($F$1="GTP100 with fb",F63+F64*'Common input data'!$C$8+F65*'Common input data'!$D$8,F63+F64*'Common input data'!$C$9+F65*'Common input data'!$D$9))))</f>
        <v>7.2244134235769447E-2</v>
      </c>
      <c r="G62" s="321">
        <f>IF($F$1="GWP100 without fb",G63+G64*'Common input data'!$C$5+G65*'Common input data'!$D$5,IF($F$1="GWP100 with fb",G63+G64*'Common input data'!$C$6+G65*'Common input data'!$D$6,IF($F$1="GTP100 without fb",G63+G64*'Common input data'!$C$7+G65*'Common input data'!$D$7,IF($F$1="GTP100 with fb",G63+G64*'Common input data'!$C$8+G65*'Common input data'!$D$8,G63+G64*'Common input data'!$C$9+G65*'Common input data'!$D$9))))</f>
        <v>0.42038922811286489</v>
      </c>
      <c r="H62" s="102"/>
      <c r="I62" s="102"/>
      <c r="J62" s="102"/>
      <c r="K62" s="102"/>
      <c r="L62" s="102"/>
      <c r="M62" s="102"/>
      <c r="N62" s="102"/>
      <c r="O62" s="102"/>
      <c r="P62" s="102"/>
      <c r="Q62" s="102"/>
      <c r="R62" s="102"/>
      <c r="S62" s="102"/>
      <c r="T62" s="102"/>
      <c r="U62" s="102"/>
      <c r="V62" s="430"/>
      <c r="W62" s="243"/>
      <c r="X62" s="308"/>
      <c r="Y62" s="308"/>
      <c r="Z62" s="64"/>
      <c r="AA62" s="308"/>
      <c r="AB62" s="308"/>
      <c r="AC62" s="308"/>
      <c r="AD62" s="308"/>
      <c r="AE62" s="308"/>
      <c r="AF62" s="308"/>
      <c r="AG62" s="308"/>
      <c r="AH62" s="308"/>
      <c r="AI62" s="308"/>
      <c r="AJ62" s="308"/>
      <c r="AK62" s="308"/>
      <c r="AL62" s="308"/>
      <c r="AM62" s="308"/>
      <c r="AN62" s="308"/>
      <c r="AO62" s="308"/>
      <c r="AP62" s="308"/>
      <c r="AQ62" s="308"/>
      <c r="AR62" s="308"/>
      <c r="AS62" s="308"/>
      <c r="AT62" s="308"/>
      <c r="AU62" s="308"/>
      <c r="AV62" s="308"/>
      <c r="AW62" s="308"/>
      <c r="AX62" s="308"/>
      <c r="AY62" s="308"/>
      <c r="AZ62" s="308"/>
      <c r="BA62" s="308"/>
      <c r="BB62" s="308"/>
      <c r="BC62" s="308"/>
      <c r="BD62" s="308"/>
      <c r="BE62" s="308"/>
      <c r="BF62" s="308"/>
      <c r="BG62" s="308"/>
      <c r="BH62" s="308"/>
      <c r="BI62" s="308"/>
      <c r="BJ62" s="308"/>
      <c r="BK62" s="308"/>
      <c r="BL62" s="308"/>
      <c r="BM62" s="308"/>
      <c r="BN62" s="308"/>
      <c r="BO62" s="308"/>
      <c r="BP62" s="308"/>
      <c r="BQ62" s="308"/>
      <c r="BR62" s="308"/>
      <c r="BS62" s="308"/>
      <c r="BT62" s="308"/>
      <c r="BU62" s="308"/>
      <c r="BV62" s="308"/>
      <c r="BW62" s="308"/>
      <c r="BX62" s="308"/>
      <c r="BY62" s="308"/>
      <c r="BZ62" s="308"/>
      <c r="CA62" s="308"/>
      <c r="CB62" s="308"/>
      <c r="CC62" s="308"/>
      <c r="CD62" s="308"/>
      <c r="CE62" s="308"/>
      <c r="CF62" s="308"/>
      <c r="CG62" s="308"/>
      <c r="CH62" s="308"/>
      <c r="CI62" s="308"/>
      <c r="CJ62" s="308"/>
      <c r="CK62" s="308"/>
      <c r="CL62" s="308"/>
      <c r="CM62" s="308"/>
      <c r="CN62" s="308"/>
      <c r="CO62" s="308"/>
      <c r="CP62" s="308"/>
      <c r="CQ62" s="308"/>
      <c r="CR62" s="308"/>
      <c r="CS62" s="308"/>
      <c r="CT62" s="308"/>
      <c r="CU62" s="308"/>
      <c r="CV62" s="308"/>
      <c r="CW62" s="308"/>
      <c r="CX62" s="308"/>
      <c r="CY62" s="308"/>
      <c r="CZ62" s="308"/>
      <c r="DA62" s="308"/>
      <c r="DB62" s="308"/>
      <c r="DC62" s="308"/>
      <c r="DD62" s="308"/>
      <c r="DE62" s="308"/>
      <c r="DF62" s="308"/>
      <c r="DG62" s="308"/>
      <c r="DH62" s="308"/>
      <c r="DI62" s="308"/>
      <c r="DJ62" s="308"/>
      <c r="DK62" s="308"/>
      <c r="DL62" s="308"/>
      <c r="DM62" s="308"/>
      <c r="DN62" s="308"/>
      <c r="DO62" s="308"/>
      <c r="DP62" s="308"/>
      <c r="DQ62" s="308"/>
      <c r="DR62" s="308"/>
      <c r="DS62" s="308"/>
      <c r="DT62" s="308"/>
      <c r="DU62" s="308"/>
      <c r="DV62" s="308"/>
      <c r="DW62" s="308"/>
      <c r="DX62" s="308"/>
      <c r="DY62" s="308"/>
      <c r="DZ62" s="308"/>
      <c r="EA62" s="308"/>
      <c r="EB62" s="308"/>
      <c r="EC62" s="308"/>
      <c r="ED62" s="308"/>
      <c r="EE62" s="308"/>
      <c r="EF62" s="308"/>
      <c r="EG62" s="308"/>
      <c r="EH62" s="308"/>
      <c r="EI62" s="308"/>
      <c r="EJ62" s="308"/>
      <c r="EK62" s="308"/>
      <c r="EL62" s="308"/>
      <c r="EM62" s="308"/>
      <c r="EN62" s="308"/>
      <c r="EO62" s="308"/>
      <c r="EP62" s="308"/>
      <c r="EQ62" s="308"/>
      <c r="ER62" s="308"/>
      <c r="ES62" s="308"/>
      <c r="ET62" s="308"/>
      <c r="EU62" s="308"/>
      <c r="EV62" s="308"/>
      <c r="EW62" s="308"/>
      <c r="EX62" s="308"/>
      <c r="EY62" s="308"/>
      <c r="EZ62" s="308"/>
      <c r="FA62" s="308"/>
      <c r="FB62" s="308"/>
      <c r="FC62" s="308"/>
      <c r="FD62" s="308"/>
      <c r="FE62" s="308"/>
      <c r="FF62" s="308"/>
      <c r="FG62" s="308"/>
      <c r="FH62" s="308"/>
      <c r="FI62" s="308"/>
      <c r="FJ62" s="308"/>
      <c r="FK62" s="308"/>
      <c r="FL62" s="308"/>
      <c r="FM62" s="308"/>
      <c r="FN62" s="308"/>
      <c r="FO62" s="308"/>
      <c r="FP62" s="308"/>
      <c r="FQ62" s="308"/>
      <c r="FR62" s="308"/>
      <c r="FS62" s="308"/>
      <c r="FT62" s="308"/>
      <c r="FU62" s="308"/>
      <c r="FV62" s="308"/>
      <c r="FW62" s="308"/>
      <c r="FX62" s="308"/>
      <c r="FY62" s="308"/>
      <c r="FZ62" s="308"/>
      <c r="GA62" s="308"/>
      <c r="GB62" s="308"/>
      <c r="GC62" s="308"/>
      <c r="GD62" s="308"/>
      <c r="GE62" s="308"/>
      <c r="GF62" s="308"/>
      <c r="GG62" s="308"/>
      <c r="GH62" s="308"/>
      <c r="GI62" s="308"/>
      <c r="GJ62" s="308"/>
      <c r="GK62" s="308"/>
      <c r="GL62" s="308"/>
      <c r="GM62" s="308"/>
      <c r="GN62" s="308"/>
      <c r="GO62" s="308"/>
      <c r="GP62" s="308"/>
      <c r="GQ62" s="308"/>
      <c r="GR62" s="308"/>
      <c r="GS62" s="308"/>
      <c r="GT62" s="308"/>
      <c r="GU62" s="308"/>
      <c r="GV62" s="308"/>
      <c r="GW62" s="308"/>
      <c r="GX62" s="308"/>
      <c r="GY62" s="308"/>
      <c r="GZ62" s="308"/>
      <c r="HA62" s="308"/>
      <c r="HB62" s="308"/>
      <c r="HC62" s="308"/>
      <c r="HD62" s="308"/>
      <c r="HE62" s="308"/>
      <c r="HF62" s="308"/>
      <c r="HG62" s="308"/>
      <c r="HH62" s="308"/>
      <c r="HI62" s="308"/>
      <c r="HJ62" s="308"/>
      <c r="HK62" s="308"/>
      <c r="HL62" s="308"/>
      <c r="HM62" s="308"/>
      <c r="HN62" s="308"/>
      <c r="HO62" s="308"/>
      <c r="HP62" s="308"/>
      <c r="HQ62" s="308"/>
      <c r="HR62" s="308"/>
      <c r="HS62" s="308"/>
      <c r="HT62" s="308"/>
      <c r="HU62" s="308"/>
      <c r="HV62" s="308"/>
      <c r="HW62" s="308"/>
      <c r="HX62" s="308"/>
      <c r="HY62" s="308"/>
      <c r="HZ62" s="308"/>
      <c r="IA62" s="308"/>
      <c r="IB62" s="308"/>
      <c r="IC62" s="308"/>
      <c r="ID62" s="308"/>
      <c r="IE62" s="308"/>
      <c r="IF62" s="308"/>
      <c r="IG62" s="308"/>
      <c r="IH62" s="308"/>
      <c r="II62" s="308"/>
      <c r="IJ62" s="308"/>
      <c r="IK62" s="308"/>
      <c r="IL62" s="308"/>
      <c r="IM62" s="308"/>
      <c r="IN62" s="308"/>
      <c r="IO62" s="308"/>
      <c r="IP62" s="308"/>
      <c r="IQ62" s="308"/>
      <c r="IR62" s="308"/>
      <c r="IS62" s="308"/>
      <c r="IT62" s="308"/>
      <c r="IU62" s="308"/>
      <c r="IV62" s="308"/>
      <c r="IW62" s="308"/>
      <c r="IX62" s="308"/>
    </row>
    <row r="63" spans="1:258" s="308" customFormat="1" ht="17.399999999999999" x14ac:dyDescent="0.3">
      <c r="A63" s="144"/>
      <c r="B63" s="84"/>
      <c r="C63" s="64"/>
      <c r="D63" s="83" t="s">
        <v>164</v>
      </c>
      <c r="E63" s="270">
        <f>IF(AND($F$2="No",$F$3="No"),SUM(J63:K63),IF(AND($F$2="Yes", $F$3="No"), SUM(J63:K63)+Q63, IF(AND($F$2="No", $F$3="Yes"),SUM(J63:K63)+P63, SUM(J63:K63)+Q63+P63)))</f>
        <v>-9.1139048141381296E-2</v>
      </c>
      <c r="F63" s="90">
        <f>IF(AND($F$2="No",$F$3="No"),SUM(H63:O63),IF(AND($F$2="Yes", $F$3="No"), SUM(H63:O63)+Q63, IF(AND($F$2="No", $F$3="Yes"),SUM(H63:O63)+P63, SUM(H63:O63)+Q63+P63)))</f>
        <v>3.7727765558674631E-2</v>
      </c>
      <c r="G63" s="278">
        <f>SUM(S63:U63)/(1-'Common input data'!$B$121)</f>
        <v>0.37919532827148189</v>
      </c>
      <c r="H63" s="85">
        <f>('Input data plant-based products'!$F$76*('Common input data'!$C$76*'Common input data'!B69+'Common input data'!$C$77*'Common input data'!C69))/'Input data plant-based products'!$E$76</f>
        <v>9.4414288955317234E-3</v>
      </c>
      <c r="I63" s="90">
        <f>'Common input data'!$B$81</f>
        <v>0.03</v>
      </c>
      <c r="J63" s="85">
        <v>0</v>
      </c>
      <c r="K63" s="90">
        <v>0</v>
      </c>
      <c r="L63" s="85">
        <f>('Input data plant-based products'!$I$76*'Common input data'!$C$59*'Common input data'!H49)/'Input data plant-based products'!$E$76</f>
        <v>3.9425384804524219E-2</v>
      </c>
      <c r="M63" s="90">
        <v>0</v>
      </c>
      <c r="N63" s="90">
        <f>'Input data plant-based products'!F$152</f>
        <v>0.05</v>
      </c>
      <c r="O63" s="90">
        <v>0</v>
      </c>
      <c r="P63" s="90">
        <f>'Common input data'!F$13</f>
        <v>-9.1139048141381296E-2</v>
      </c>
      <c r="Q63" s="90">
        <v>0</v>
      </c>
      <c r="R63" s="90">
        <v>0</v>
      </c>
      <c r="S63" s="90">
        <f>F63+R63</f>
        <v>3.7727765558674631E-2</v>
      </c>
      <c r="T63" s="90">
        <f>'Common input data'!$B$88</f>
        <v>0.05</v>
      </c>
      <c r="U63" s="85">
        <f>'Common input data'!B102+'Common input data'!C102</f>
        <v>0.23000000000000004</v>
      </c>
      <c r="V63" s="430"/>
      <c r="W63" s="243"/>
      <c r="Z63" s="64"/>
    </row>
    <row r="64" spans="1:258" s="308" customFormat="1" ht="17.399999999999999" x14ac:dyDescent="0.3">
      <c r="A64" s="107"/>
      <c r="B64" s="84"/>
      <c r="C64" s="142"/>
      <c r="D64" s="83" t="s">
        <v>165</v>
      </c>
      <c r="E64" s="270">
        <f>SUM(J64:K64)</f>
        <v>0</v>
      </c>
      <c r="F64" s="90">
        <f>SUM(H64:O64)</f>
        <v>1.7464157684701255E-5</v>
      </c>
      <c r="G64" s="278">
        <f>SUM(S64:U64)/(1-'Common input data'!$B$121)</f>
        <v>2.0842770837452267E-5</v>
      </c>
      <c r="H64" s="85">
        <f>('Input data plant-based products'!$F$76*('Common input data'!$C$76*'Common input data'!B70+'Common input data'!$C$77*'Common input data'!C70))/'Input data plant-based products'!$E$76</f>
        <v>4.1628640275387263E-11</v>
      </c>
      <c r="I64" s="85">
        <v>0</v>
      </c>
      <c r="J64" s="85">
        <v>0</v>
      </c>
      <c r="K64" s="85">
        <v>0</v>
      </c>
      <c r="L64" s="85">
        <f>('Input data plant-based products'!$I$76*'Common input data'!$C$59*'Common input data'!H50)/'Input data plant-based products'!$E$76</f>
        <v>1.7464116056060979E-5</v>
      </c>
      <c r="M64" s="90">
        <v>0</v>
      </c>
      <c r="N64" s="90">
        <v>0</v>
      </c>
      <c r="O64" s="90">
        <v>0</v>
      </c>
      <c r="P64" s="90">
        <v>0</v>
      </c>
      <c r="Q64" s="90">
        <v>0</v>
      </c>
      <c r="R64" s="90">
        <v>0</v>
      </c>
      <c r="S64" s="90">
        <f>F64+R64</f>
        <v>1.7464157684701255E-5</v>
      </c>
      <c r="T64" s="90">
        <v>0</v>
      </c>
      <c r="U64" s="90">
        <v>0</v>
      </c>
      <c r="V64" s="430"/>
      <c r="W64" s="243"/>
      <c r="Z64" s="64"/>
    </row>
    <row r="65" spans="1:258" s="308" customFormat="1" ht="17.399999999999999" x14ac:dyDescent="0.3">
      <c r="A65" s="174"/>
      <c r="B65" s="206"/>
      <c r="C65" s="85"/>
      <c r="D65" s="84" t="s">
        <v>166</v>
      </c>
      <c r="E65" s="780">
        <f>SUM(J65:K65)</f>
        <v>6.1203414240050576E-5</v>
      </c>
      <c r="F65" s="108">
        <f>SUM(H65:O65)</f>
        <v>1.1383418562354016E-4</v>
      </c>
      <c r="G65" s="521">
        <f>SUM(S65:U65)/(1-'Common input data'!$B$121)</f>
        <v>1.3585652896949536E-4</v>
      </c>
      <c r="H65" s="85">
        <f>('Input data plant-based products'!$F$76*('Common input data'!$C$76*'Common input data'!B71+'Common input data'!$C$77*'Common input data'!C71))/'Input data plant-based products'!$E$76</f>
        <v>5.1571395922461806E-5</v>
      </c>
      <c r="I65" s="85">
        <v>0</v>
      </c>
      <c r="J65" s="85">
        <f>(SUM('Input data plant-based products'!F76:H76)*'Input data plant-based products'!$B$114*44/28)/'Input data plant-based products'!E76</f>
        <v>5.5639467490955073E-5</v>
      </c>
      <c r="K65" s="90">
        <f>J65*'Input data plant-based products'!$B$115</f>
        <v>5.5639467490955075E-6</v>
      </c>
      <c r="L65" s="85">
        <f>('Input data plant-based products'!$I$76*'Common input data'!$C$59*'Common input data'!H51)/'Input data plant-based products'!$E$76</f>
        <v>1.0593754610277846E-6</v>
      </c>
      <c r="M65" s="90">
        <v>0</v>
      </c>
      <c r="N65" s="90">
        <v>0</v>
      </c>
      <c r="O65" s="90">
        <v>0</v>
      </c>
      <c r="P65" s="90">
        <v>0</v>
      </c>
      <c r="Q65" s="90">
        <v>0</v>
      </c>
      <c r="R65" s="90">
        <v>0</v>
      </c>
      <c r="S65" s="90">
        <f>F65+R65</f>
        <v>1.1383418562354016E-4</v>
      </c>
      <c r="T65" s="90">
        <v>0</v>
      </c>
      <c r="U65" s="90">
        <v>0</v>
      </c>
      <c r="V65" s="430"/>
      <c r="W65" s="243"/>
      <c r="Z65" s="64"/>
    </row>
    <row r="66" spans="1:258" s="427" customFormat="1" ht="17.399999999999999" x14ac:dyDescent="0.3">
      <c r="A66" s="426" t="s">
        <v>611</v>
      </c>
      <c r="B66" s="412"/>
      <c r="C66" s="413"/>
      <c r="D66" s="414"/>
      <c r="E66" s="767" t="s">
        <v>825</v>
      </c>
      <c r="F66" s="768" t="s">
        <v>825</v>
      </c>
      <c r="G66" s="590" t="s">
        <v>825</v>
      </c>
      <c r="H66" s="413"/>
      <c r="I66" s="413"/>
      <c r="J66" s="413"/>
      <c r="K66" s="416"/>
      <c r="L66" s="416"/>
      <c r="M66" s="417"/>
      <c r="N66" s="416"/>
      <c r="O66" s="416"/>
      <c r="P66" s="416"/>
      <c r="Q66" s="416"/>
      <c r="R66" s="416"/>
      <c r="S66" s="416"/>
      <c r="T66" s="416"/>
      <c r="U66" s="416"/>
      <c r="V66" s="430"/>
      <c r="W66" s="243"/>
      <c r="X66" s="308"/>
      <c r="Y66" s="308"/>
      <c r="Z66" s="64"/>
      <c r="AA66" s="308"/>
      <c r="AB66" s="308"/>
      <c r="AC66" s="308"/>
      <c r="AD66" s="308"/>
      <c r="AE66" s="308"/>
      <c r="AF66" s="308"/>
      <c r="AG66" s="308"/>
      <c r="AH66" s="308"/>
      <c r="AI66" s="308"/>
      <c r="AJ66" s="308"/>
      <c r="AK66" s="308"/>
      <c r="AL66" s="308"/>
      <c r="AM66" s="308"/>
      <c r="AN66" s="308"/>
      <c r="AO66" s="308"/>
      <c r="AP66" s="308"/>
      <c r="AQ66" s="308"/>
      <c r="AR66" s="308"/>
      <c r="AS66" s="308"/>
      <c r="AT66" s="308"/>
      <c r="AU66" s="308"/>
      <c r="AV66" s="308"/>
      <c r="AW66" s="308"/>
      <c r="AX66" s="308"/>
      <c r="AY66" s="308"/>
      <c r="AZ66" s="308"/>
      <c r="BA66" s="308"/>
      <c r="BB66" s="308"/>
      <c r="BC66" s="308"/>
      <c r="BD66" s="308"/>
      <c r="BE66" s="308"/>
      <c r="BF66" s="308"/>
      <c r="BG66" s="308"/>
      <c r="BH66" s="308"/>
      <c r="BI66" s="308"/>
      <c r="BJ66" s="308"/>
      <c r="BK66" s="308"/>
      <c r="BL66" s="308"/>
      <c r="BM66" s="308"/>
      <c r="BN66" s="308"/>
      <c r="BO66" s="308"/>
      <c r="BP66" s="308"/>
      <c r="BQ66" s="308"/>
      <c r="BR66" s="308"/>
      <c r="BS66" s="308"/>
      <c r="BT66" s="308"/>
      <c r="BU66" s="308"/>
      <c r="BV66" s="308"/>
      <c r="BW66" s="308"/>
      <c r="BX66" s="308"/>
      <c r="BY66" s="308"/>
      <c r="BZ66" s="308"/>
      <c r="CA66" s="308"/>
      <c r="CB66" s="308"/>
      <c r="CC66" s="308"/>
      <c r="CD66" s="308"/>
      <c r="CE66" s="308"/>
      <c r="CF66" s="308"/>
      <c r="CG66" s="308"/>
      <c r="CH66" s="308"/>
      <c r="CI66" s="308"/>
      <c r="CJ66" s="308"/>
      <c r="CK66" s="308"/>
      <c r="CL66" s="308"/>
      <c r="CM66" s="308"/>
      <c r="CN66" s="308"/>
      <c r="CO66" s="308"/>
      <c r="CP66" s="308"/>
      <c r="CQ66" s="308"/>
      <c r="CR66" s="308"/>
      <c r="CS66" s="308"/>
      <c r="CT66" s="308"/>
      <c r="CU66" s="308"/>
      <c r="CV66" s="308"/>
      <c r="CW66" s="308"/>
      <c r="CX66" s="308"/>
      <c r="CY66" s="308"/>
      <c r="CZ66" s="308"/>
      <c r="DA66" s="308"/>
      <c r="DB66" s="308"/>
      <c r="DC66" s="308"/>
      <c r="DD66" s="308"/>
      <c r="DE66" s="308"/>
      <c r="DF66" s="308"/>
      <c r="DG66" s="308"/>
      <c r="DH66" s="308"/>
      <c r="DI66" s="308"/>
      <c r="DJ66" s="308"/>
      <c r="DK66" s="308"/>
      <c r="DL66" s="308"/>
      <c r="DM66" s="308"/>
      <c r="DN66" s="308"/>
      <c r="DO66" s="308"/>
      <c r="DP66" s="308"/>
      <c r="DQ66" s="308"/>
      <c r="DR66" s="308"/>
      <c r="DS66" s="308"/>
      <c r="DT66" s="308"/>
      <c r="DU66" s="308"/>
      <c r="DV66" s="308"/>
      <c r="DW66" s="308"/>
      <c r="DX66" s="308"/>
      <c r="DY66" s="308"/>
      <c r="DZ66" s="308"/>
      <c r="EA66" s="308"/>
      <c r="EB66" s="308"/>
      <c r="EC66" s="308"/>
      <c r="ED66" s="308"/>
      <c r="EE66" s="308"/>
      <c r="EF66" s="308"/>
      <c r="EG66" s="308"/>
      <c r="EH66" s="308"/>
      <c r="EI66" s="308"/>
      <c r="EJ66" s="308"/>
      <c r="EK66" s="308"/>
      <c r="EL66" s="308"/>
      <c r="EM66" s="308"/>
      <c r="EN66" s="308"/>
      <c r="EO66" s="308"/>
      <c r="EP66" s="308"/>
      <c r="EQ66" s="308"/>
      <c r="ER66" s="308"/>
      <c r="ES66" s="308"/>
      <c r="ET66" s="308"/>
      <c r="EU66" s="308"/>
      <c r="EV66" s="308"/>
      <c r="EW66" s="308"/>
      <c r="EX66" s="308"/>
      <c r="EY66" s="308"/>
      <c r="EZ66" s="308"/>
      <c r="FA66" s="308"/>
      <c r="FB66" s="308"/>
      <c r="FC66" s="308"/>
      <c r="FD66" s="308"/>
      <c r="FE66" s="308"/>
      <c r="FF66" s="308"/>
      <c r="FG66" s="308"/>
      <c r="FH66" s="308"/>
      <c r="FI66" s="308"/>
      <c r="FJ66" s="308"/>
      <c r="FK66" s="308"/>
      <c r="FL66" s="308"/>
      <c r="FM66" s="308"/>
      <c r="FN66" s="308"/>
      <c r="FO66" s="308"/>
      <c r="FP66" s="308"/>
      <c r="FQ66" s="308"/>
      <c r="FR66" s="308"/>
      <c r="FS66" s="308"/>
      <c r="FT66" s="308"/>
      <c r="FU66" s="308"/>
      <c r="FV66" s="308"/>
      <c r="FW66" s="308"/>
      <c r="FX66" s="308"/>
      <c r="FY66" s="308"/>
      <c r="FZ66" s="308"/>
      <c r="GA66" s="308"/>
      <c r="GB66" s="308"/>
      <c r="GC66" s="308"/>
      <c r="GD66" s="308"/>
      <c r="GE66" s="308"/>
      <c r="GF66" s="308"/>
      <c r="GG66" s="308"/>
      <c r="GH66" s="308"/>
      <c r="GI66" s="308"/>
      <c r="GJ66" s="308"/>
      <c r="GK66" s="308"/>
      <c r="GL66" s="308"/>
      <c r="GM66" s="308"/>
      <c r="GN66" s="308"/>
      <c r="GO66" s="308"/>
      <c r="GP66" s="308"/>
      <c r="GQ66" s="308"/>
      <c r="GR66" s="308"/>
      <c r="GS66" s="308"/>
      <c r="GT66" s="308"/>
      <c r="GU66" s="308"/>
      <c r="GV66" s="308"/>
      <c r="GW66" s="308"/>
      <c r="GX66" s="308"/>
      <c r="GY66" s="308"/>
      <c r="GZ66" s="308"/>
      <c r="HA66" s="308"/>
      <c r="HB66" s="308"/>
      <c r="HC66" s="308"/>
      <c r="HD66" s="308"/>
      <c r="HE66" s="308"/>
      <c r="HF66" s="308"/>
      <c r="HG66" s="308"/>
      <c r="HH66" s="308"/>
      <c r="HI66" s="308"/>
      <c r="HJ66" s="308"/>
      <c r="HK66" s="308"/>
      <c r="HL66" s="308"/>
      <c r="HM66" s="308"/>
      <c r="HN66" s="308"/>
      <c r="HO66" s="308"/>
      <c r="HP66" s="308"/>
      <c r="HQ66" s="308"/>
      <c r="HR66" s="308"/>
      <c r="HS66" s="308"/>
      <c r="HT66" s="308"/>
      <c r="HU66" s="308"/>
      <c r="HV66" s="308"/>
      <c r="HW66" s="308"/>
      <c r="HX66" s="308"/>
      <c r="HY66" s="308"/>
      <c r="HZ66" s="308"/>
      <c r="IA66" s="308"/>
      <c r="IB66" s="308"/>
      <c r="IC66" s="308"/>
      <c r="ID66" s="308"/>
      <c r="IE66" s="308"/>
      <c r="IF66" s="308"/>
      <c r="IG66" s="308"/>
      <c r="IH66" s="308"/>
      <c r="II66" s="308"/>
      <c r="IJ66" s="308"/>
      <c r="IK66" s="308"/>
      <c r="IL66" s="308"/>
      <c r="IM66" s="308"/>
      <c r="IN66" s="308"/>
      <c r="IO66" s="308"/>
      <c r="IP66" s="308"/>
      <c r="IQ66" s="308"/>
      <c r="IR66" s="308"/>
      <c r="IS66" s="308"/>
      <c r="IT66" s="308"/>
      <c r="IU66" s="308"/>
      <c r="IV66" s="308"/>
      <c r="IW66" s="308"/>
      <c r="IX66" s="308"/>
    </row>
    <row r="67" spans="1:258" s="420" customFormat="1" ht="17.399999999999999" x14ac:dyDescent="0.3">
      <c r="A67" s="122" t="s">
        <v>249</v>
      </c>
      <c r="B67" s="150"/>
      <c r="C67" s="110">
        <f>SUM(C71:C86)</f>
        <v>1</v>
      </c>
      <c r="D67" s="269" t="s">
        <v>473</v>
      </c>
      <c r="E67" s="769">
        <f>IF($F$1="GWP100 without fb",E68+E69*'Common input data'!$C$5+E70*'Common input data'!$D$5,IF($F$1="GWP100 with fb",E68+E69*'Common input data'!$C$6+E70*'Common input data'!$D$6,IF($F$1="GTP100 without fb",E68+E69*'Common input data'!$C$7+E70*'Common input data'!$D$7,IF($F$1="GTP100 with fb",E68+E69*'Common input data'!$C$8+E70*'Common input data'!$D$8,E68+E69*'Common input data'!$C$9+E70*'Common input data'!$D$9))))</f>
        <v>-7.5399963246066001E-2</v>
      </c>
      <c r="F67" s="326">
        <f>IF($F$1="GWP100 without fb",F68+F69*'Common input data'!$C$5+F70*'Common input data'!$D$5,IF($F$1="GWP100 with fb",F68+F69*'Common input data'!$C$6+F70*'Common input data'!$D$6,IF($F$1="GTP100 without fb",F68+F69*'Common input data'!$C$7+F70*'Common input data'!$D$7,IF($F$1="GTP100 with fb",F68+F69*'Common input data'!$C$8+F70*'Common input data'!$D$8,F68+F69*'Common input data'!$C$9+F70*'Common input data'!$D$9))))</f>
        <v>3.4757548871401013E-2</v>
      </c>
      <c r="G67" s="770">
        <f>IF($F$1="GWP100 without fb",G68+G69*'Common input data'!$C$5+G70*'Common input data'!$D$5,IF($F$1="GWP100 with fb",G68+G69*'Common input data'!$C$6+G70*'Common input data'!$D$6,IF($F$1="GTP100 without fb",G68+G69*'Common input data'!$C$7+G70*'Common input data'!$D$7,IF($F$1="GTP100 with fb",G68+G69*'Common input data'!$C$8+G70*'Common input data'!$D$8,G68+G69*'Common input data'!$C$9+G70*'Common input data'!$D$9))))</f>
        <v>0.67261453986830844</v>
      </c>
      <c r="H67" s="302"/>
      <c r="I67" s="104"/>
      <c r="J67" s="104"/>
      <c r="K67" s="102"/>
      <c r="L67" s="102"/>
      <c r="M67" s="102"/>
      <c r="N67" s="102"/>
      <c r="O67" s="102"/>
      <c r="P67" s="102"/>
      <c r="Q67" s="102"/>
      <c r="R67" s="102"/>
      <c r="S67" s="102"/>
      <c r="T67" s="102"/>
      <c r="U67" s="102"/>
      <c r="V67" s="430"/>
      <c r="W67" s="243"/>
      <c r="X67" s="308"/>
      <c r="Y67" s="308"/>
      <c r="Z67" s="64"/>
      <c r="AA67" s="308"/>
      <c r="AB67" s="308"/>
      <c r="AC67" s="308"/>
      <c r="AD67" s="308"/>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308"/>
      <c r="BD67" s="308"/>
      <c r="BE67" s="308"/>
      <c r="BF67" s="308"/>
      <c r="BG67" s="308"/>
      <c r="BH67" s="308"/>
      <c r="BI67" s="308"/>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308"/>
      <c r="CW67" s="308"/>
      <c r="CX67" s="308"/>
      <c r="CY67" s="308"/>
      <c r="CZ67" s="308"/>
      <c r="DA67" s="308"/>
      <c r="DB67" s="308"/>
      <c r="DC67" s="308"/>
      <c r="DD67" s="308"/>
      <c r="DE67" s="308"/>
      <c r="DF67" s="308"/>
      <c r="DG67" s="308"/>
      <c r="DH67" s="308"/>
      <c r="DI67" s="308"/>
      <c r="DJ67" s="308"/>
      <c r="DK67" s="308"/>
      <c r="DL67" s="308"/>
      <c r="DM67" s="308"/>
      <c r="DN67" s="308"/>
      <c r="DO67" s="308"/>
      <c r="DP67" s="308"/>
      <c r="DQ67" s="308"/>
      <c r="DR67" s="308"/>
      <c r="DS67" s="308"/>
      <c r="DT67" s="308"/>
      <c r="DU67" s="308"/>
      <c r="DV67" s="308"/>
      <c r="DW67" s="308"/>
      <c r="DX67" s="308"/>
      <c r="DY67" s="308"/>
      <c r="DZ67" s="308"/>
      <c r="EA67" s="308"/>
      <c r="EB67" s="308"/>
      <c r="EC67" s="308"/>
      <c r="ED67" s="308"/>
      <c r="EE67" s="308"/>
      <c r="EF67" s="308"/>
      <c r="EG67" s="308"/>
      <c r="EH67" s="308"/>
      <c r="EI67" s="308"/>
      <c r="EJ67" s="308"/>
      <c r="EK67" s="308"/>
      <c r="EL67" s="308"/>
      <c r="EM67" s="308"/>
      <c r="EN67" s="308"/>
      <c r="EO67" s="308"/>
      <c r="EP67" s="308"/>
      <c r="EQ67" s="308"/>
      <c r="ER67" s="308"/>
      <c r="ES67" s="308"/>
      <c r="ET67" s="308"/>
      <c r="EU67" s="308"/>
      <c r="EV67" s="308"/>
      <c r="EW67" s="308"/>
      <c r="EX67" s="308"/>
      <c r="EY67" s="308"/>
      <c r="EZ67" s="308"/>
      <c r="FA67" s="308"/>
      <c r="FB67" s="308"/>
      <c r="FC67" s="308"/>
      <c r="FD67" s="308"/>
      <c r="FE67" s="308"/>
      <c r="FF67" s="308"/>
      <c r="FG67" s="308"/>
      <c r="FH67" s="308"/>
      <c r="FI67" s="308"/>
      <c r="FJ67" s="308"/>
      <c r="FK67" s="308"/>
      <c r="FL67" s="308"/>
      <c r="FM67" s="308"/>
      <c r="FN67" s="308"/>
      <c r="FO67" s="308"/>
      <c r="FP67" s="308"/>
      <c r="FQ67" s="308"/>
      <c r="FR67" s="308"/>
      <c r="FS67" s="308"/>
      <c r="FT67" s="308"/>
      <c r="FU67" s="308"/>
      <c r="FV67" s="308"/>
      <c r="FW67" s="308"/>
      <c r="FX67" s="308"/>
      <c r="FY67" s="308"/>
      <c r="FZ67" s="308"/>
      <c r="GA67" s="308"/>
      <c r="GB67" s="308"/>
      <c r="GC67" s="308"/>
      <c r="GD67" s="308"/>
      <c r="GE67" s="308"/>
      <c r="GF67" s="308"/>
      <c r="GG67" s="308"/>
      <c r="GH67" s="308"/>
      <c r="GI67" s="308"/>
      <c r="GJ67" s="308"/>
      <c r="GK67" s="308"/>
      <c r="GL67" s="308"/>
      <c r="GM67" s="308"/>
      <c r="GN67" s="308"/>
      <c r="GO67" s="308"/>
      <c r="GP67" s="308"/>
      <c r="GQ67" s="308"/>
      <c r="GR67" s="308"/>
      <c r="GS67" s="308"/>
      <c r="GT67" s="308"/>
      <c r="GU67" s="308"/>
      <c r="GV67" s="308"/>
      <c r="GW67" s="308"/>
      <c r="GX67" s="308"/>
      <c r="GY67" s="308"/>
      <c r="GZ67" s="308"/>
      <c r="HA67" s="308"/>
      <c r="HB67" s="308"/>
      <c r="HC67" s="308"/>
      <c r="HD67" s="308"/>
      <c r="HE67" s="308"/>
      <c r="HF67" s="308"/>
      <c r="HG67" s="308"/>
      <c r="HH67" s="308"/>
      <c r="HI67" s="308"/>
      <c r="HJ67" s="308"/>
      <c r="HK67" s="308"/>
      <c r="HL67" s="308"/>
      <c r="HM67" s="308"/>
      <c r="HN67" s="308"/>
      <c r="HO67" s="308"/>
      <c r="HP67" s="308"/>
      <c r="HQ67" s="308"/>
      <c r="HR67" s="308"/>
      <c r="HS67" s="308"/>
      <c r="HT67" s="308"/>
      <c r="HU67" s="308"/>
      <c r="HV67" s="308"/>
      <c r="HW67" s="308"/>
      <c r="HX67" s="308"/>
      <c r="HY67" s="308"/>
      <c r="HZ67" s="308"/>
      <c r="IA67" s="308"/>
      <c r="IB67" s="308"/>
      <c r="IC67" s="308"/>
      <c r="ID67" s="308"/>
      <c r="IE67" s="308"/>
      <c r="IF67" s="308"/>
      <c r="IG67" s="308"/>
      <c r="IH67" s="308"/>
      <c r="II67" s="308"/>
      <c r="IJ67" s="308"/>
      <c r="IK67" s="308"/>
      <c r="IL67" s="308"/>
      <c r="IM67" s="308"/>
      <c r="IN67" s="308"/>
      <c r="IO67" s="308"/>
      <c r="IP67" s="308"/>
      <c r="IQ67" s="308"/>
      <c r="IR67" s="308"/>
      <c r="IS67" s="308"/>
      <c r="IT67" s="308"/>
      <c r="IU67" s="308"/>
      <c r="IV67" s="308"/>
      <c r="IW67" s="308"/>
      <c r="IX67" s="308"/>
    </row>
    <row r="68" spans="1:258" s="308" customFormat="1" ht="17.399999999999999" x14ac:dyDescent="0.3">
      <c r="A68" s="103"/>
      <c r="B68" s="84"/>
      <c r="C68" s="64"/>
      <c r="D68" s="83" t="s">
        <v>164</v>
      </c>
      <c r="E68" s="270">
        <f>E72*$C$71+E76*$C$75+$C$79*E80+$C$83*E84</f>
        <v>-9.1139048141381296E-2</v>
      </c>
      <c r="F68" s="90">
        <f>F72*$C$71+F76*$C$75+$C$79*F80+$C$83*F84</f>
        <v>5.5310823561347377E-3</v>
      </c>
      <c r="G68" s="278">
        <f>G72*$C$71+G76*$C$75+$C$79*G80+$C$83*G84</f>
        <v>0.62910851726707906</v>
      </c>
      <c r="H68" s="90">
        <f>H72*$C$71+H76*$C$75+$C$79*H80+$C$83*H84</f>
        <v>7.0572996080496032E-3</v>
      </c>
      <c r="I68" s="90">
        <f t="shared" ref="H68:U70" si="6">I72*$C$71+I76*$C$75+$C$79*I80+$C$83*I84</f>
        <v>0.03</v>
      </c>
      <c r="J68" s="90">
        <f t="shared" si="6"/>
        <v>0</v>
      </c>
      <c r="K68" s="90">
        <f t="shared" si="6"/>
        <v>0</v>
      </c>
      <c r="L68" s="90">
        <f t="shared" si="6"/>
        <v>9.6128308894664234E-3</v>
      </c>
      <c r="M68" s="90">
        <f t="shared" si="6"/>
        <v>0</v>
      </c>
      <c r="N68" s="90">
        <f t="shared" si="6"/>
        <v>0.05</v>
      </c>
      <c r="O68" s="90">
        <f t="shared" si="6"/>
        <v>0</v>
      </c>
      <c r="P68" s="90">
        <f>P72*$C$71+P76*$C$75+$C$79*P80+$C$83*P84</f>
        <v>-9.1139048141381296E-2</v>
      </c>
      <c r="Q68" s="90">
        <f t="shared" si="6"/>
        <v>0</v>
      </c>
      <c r="R68" s="90">
        <f t="shared" si="6"/>
        <v>0</v>
      </c>
      <c r="S68" s="90">
        <f t="shared" si="6"/>
        <v>5.5310823561347377E-3</v>
      </c>
      <c r="T68" s="90">
        <f t="shared" si="6"/>
        <v>0.05</v>
      </c>
      <c r="U68" s="90">
        <f t="shared" si="6"/>
        <v>0.378</v>
      </c>
      <c r="V68" s="430"/>
      <c r="W68" s="243"/>
      <c r="Z68" s="64"/>
    </row>
    <row r="69" spans="1:258" s="308" customFormat="1" ht="17.399999999999999" x14ac:dyDescent="0.3">
      <c r="A69" s="103"/>
      <c r="B69" s="84"/>
      <c r="C69" s="142"/>
      <c r="D69" s="83" t="s">
        <v>165</v>
      </c>
      <c r="E69" s="270">
        <f t="shared" ref="E69:G70" si="7">E73*$C$71+E77*$C$75+$C$79*E81+$C$83*E85</f>
        <v>0</v>
      </c>
      <c r="F69" s="90">
        <f t="shared" si="7"/>
        <v>4.2581984374626175E-6</v>
      </c>
      <c r="G69" s="278">
        <f t="shared" si="7"/>
        <v>6.0982903688598209E-6</v>
      </c>
      <c r="H69" s="90">
        <f t="shared" si="6"/>
        <v>3.8495250342841252E-11</v>
      </c>
      <c r="I69" s="90">
        <f t="shared" si="6"/>
        <v>0</v>
      </c>
      <c r="J69" s="90">
        <f t="shared" si="6"/>
        <v>0</v>
      </c>
      <c r="K69" s="90">
        <f t="shared" si="6"/>
        <v>0</v>
      </c>
      <c r="L69" s="90">
        <f t="shared" si="6"/>
        <v>4.2581599422122748E-6</v>
      </c>
      <c r="M69" s="90">
        <f t="shared" si="6"/>
        <v>0</v>
      </c>
      <c r="N69" s="90">
        <f t="shared" si="6"/>
        <v>0</v>
      </c>
      <c r="O69" s="90">
        <f t="shared" si="6"/>
        <v>0</v>
      </c>
      <c r="P69" s="90">
        <f t="shared" si="6"/>
        <v>0</v>
      </c>
      <c r="Q69" s="90">
        <f t="shared" si="6"/>
        <v>0</v>
      </c>
      <c r="R69" s="90">
        <f t="shared" si="6"/>
        <v>0</v>
      </c>
      <c r="S69" s="90">
        <f t="shared" si="6"/>
        <v>4.2581984374626175E-6</v>
      </c>
      <c r="T69" s="90">
        <f t="shared" si="6"/>
        <v>0</v>
      </c>
      <c r="U69" s="90">
        <f t="shared" si="6"/>
        <v>0</v>
      </c>
      <c r="V69" s="430"/>
      <c r="W69" s="243"/>
      <c r="Z69" s="64"/>
    </row>
    <row r="70" spans="1:258" s="308" customFormat="1" ht="17.399999999999999" x14ac:dyDescent="0.3">
      <c r="A70" s="107"/>
      <c r="B70" s="206"/>
      <c r="C70" s="85"/>
      <c r="D70" s="84" t="s">
        <v>166</v>
      </c>
      <c r="E70" s="270">
        <f t="shared" si="7"/>
        <v>5.2815721125219124E-5</v>
      </c>
      <c r="F70" s="90">
        <f t="shared" si="7"/>
        <v>9.7589556269773642E-5</v>
      </c>
      <c r="G70" s="278">
        <f t="shared" si="7"/>
        <v>1.4529758633787963E-4</v>
      </c>
      <c r="H70" s="90">
        <f t="shared" si="6"/>
        <v>4.4515534630664748E-5</v>
      </c>
      <c r="I70" s="90">
        <f t="shared" si="6"/>
        <v>0</v>
      </c>
      <c r="J70" s="90">
        <f t="shared" si="6"/>
        <v>4.8014291932017383E-5</v>
      </c>
      <c r="K70" s="90">
        <f t="shared" si="6"/>
        <v>4.8014291932017393E-6</v>
      </c>
      <c r="L70" s="90">
        <f t="shared" si="6"/>
        <v>2.583005138897722E-7</v>
      </c>
      <c r="M70" s="90">
        <f t="shared" si="6"/>
        <v>0</v>
      </c>
      <c r="N70" s="90">
        <f t="shared" si="6"/>
        <v>0</v>
      </c>
      <c r="O70" s="90">
        <f t="shared" si="6"/>
        <v>0</v>
      </c>
      <c r="P70" s="90">
        <f t="shared" si="6"/>
        <v>0</v>
      </c>
      <c r="Q70" s="90">
        <f t="shared" si="6"/>
        <v>0</v>
      </c>
      <c r="R70" s="90">
        <f t="shared" si="6"/>
        <v>0</v>
      </c>
      <c r="S70" s="90">
        <f t="shared" si="6"/>
        <v>9.7589556269773642E-5</v>
      </c>
      <c r="T70" s="90">
        <f t="shared" si="6"/>
        <v>0</v>
      </c>
      <c r="U70" s="90">
        <f t="shared" si="6"/>
        <v>0</v>
      </c>
      <c r="V70" s="430"/>
      <c r="W70" s="243"/>
      <c r="Z70" s="64"/>
    </row>
    <row r="71" spans="1:258" s="420" customFormat="1" ht="17.399999999999999" x14ac:dyDescent="0.3">
      <c r="A71" s="143" t="s">
        <v>88</v>
      </c>
      <c r="B71" s="150" t="s">
        <v>225</v>
      </c>
      <c r="C71" s="104">
        <f>'Input data plant-based products'!D69</f>
        <v>0.22</v>
      </c>
      <c r="D71" s="269" t="s">
        <v>473</v>
      </c>
      <c r="E71" s="320">
        <f>IF($F$1="GWP100 without fb",E72+E73*'Common input data'!$C$5+E74*'Common input data'!$D$5,IF($F$1="GWP100 with fb",E72+E73*'Common input data'!$C$6+E74*'Common input data'!$D$6,IF($F$1="GTP100 without fb",E72+E73*'Common input data'!$C$7+E74*'Common input data'!$D$7,IF($F$1="GTP100 with fb",E72+E73*'Common input data'!$C$8+E74*'Common input data'!$D$8,E72+E73*'Common input data'!$C$9+E74*'Common input data'!$D$9))))</f>
        <v>-7.8725196548901588E-2</v>
      </c>
      <c r="F71" s="302">
        <f>IF($F$1="GWP100 without fb",F72+F73*'Common input data'!$C$5+F74*'Common input data'!$D$5,IF($F$1="GWP100 with fb",F72+F73*'Common input data'!$C$6+F74*'Common input data'!$D$6,IF($F$1="GTP100 without fb",F72+F73*'Common input data'!$C$7+F74*'Common input data'!$D$7,IF($F$1="GTP100 with fb",F72+F73*'Common input data'!$C$8+F74*'Common input data'!$D$8,F72+F73*'Common input data'!$C$9+F74*'Common input data'!$D$9))))</f>
        <v>1.8514905289435505E-2</v>
      </c>
      <c r="G71" s="321">
        <f>IF($F$1="GWP100 without fb",G72+G73*'Common input data'!$C$5+G74*'Common input data'!$D$5,IF($F$1="GWP100 with fb",G72+G73*'Common input data'!$C$6+G74*'Common input data'!$D$6,IF($F$1="GTP100 without fb",G72+G73*'Common input data'!$C$7+G74*'Common input data'!$D$7,IF($F$1="GTP100 with fb",G72+G73*'Common input data'!$C$8+G74*'Common input data'!$D$8,G72+G73*'Common input data'!$C$9+G74*'Common input data'!$D$9))))</f>
        <v>0.61499213779233863</v>
      </c>
      <c r="H71" s="102"/>
      <c r="I71" s="102"/>
      <c r="J71" s="102"/>
      <c r="K71" s="102"/>
      <c r="L71" s="102"/>
      <c r="M71" s="102"/>
      <c r="N71" s="102"/>
      <c r="O71" s="102"/>
      <c r="P71" s="102"/>
      <c r="Q71" s="102"/>
      <c r="R71" s="102"/>
      <c r="S71" s="102"/>
      <c r="T71" s="102"/>
      <c r="U71" s="102"/>
      <c r="V71" s="430"/>
      <c r="W71" s="243"/>
      <c r="X71" s="308"/>
      <c r="Y71" s="308"/>
      <c r="Z71" s="64"/>
      <c r="AA71" s="308"/>
      <c r="AB71" s="308"/>
      <c r="AC71" s="308"/>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308"/>
      <c r="BC71" s="308"/>
      <c r="BD71" s="308"/>
      <c r="BE71" s="308"/>
      <c r="BF71" s="308"/>
      <c r="BG71" s="308"/>
      <c r="BH71" s="308"/>
      <c r="BI71" s="308"/>
      <c r="BJ71" s="308"/>
      <c r="BK71" s="308"/>
      <c r="BL71" s="308"/>
      <c r="BM71" s="308"/>
      <c r="BN71" s="308"/>
      <c r="BO71" s="308"/>
      <c r="BP71" s="308"/>
      <c r="BQ71" s="308"/>
      <c r="BR71" s="308"/>
      <c r="BS71" s="308"/>
      <c r="BT71" s="308"/>
      <c r="BU71" s="308"/>
      <c r="BV71" s="308"/>
      <c r="BW71" s="308"/>
      <c r="BX71" s="308"/>
      <c r="BY71" s="308"/>
      <c r="BZ71" s="308"/>
      <c r="CA71" s="308"/>
      <c r="CB71" s="308"/>
      <c r="CC71" s="308"/>
      <c r="CD71" s="308"/>
      <c r="CE71" s="308"/>
      <c r="CF71" s="308"/>
      <c r="CG71" s="308"/>
      <c r="CH71" s="308"/>
      <c r="CI71" s="308"/>
      <c r="CJ71" s="308"/>
      <c r="CK71" s="308"/>
      <c r="CL71" s="308"/>
      <c r="CM71" s="308"/>
      <c r="CN71" s="308"/>
      <c r="CO71" s="308"/>
      <c r="CP71" s="308"/>
      <c r="CQ71" s="308"/>
      <c r="CR71" s="308"/>
      <c r="CS71" s="308"/>
      <c r="CT71" s="308"/>
      <c r="CU71" s="308"/>
      <c r="CV71" s="308"/>
      <c r="CW71" s="308"/>
      <c r="CX71" s="308"/>
      <c r="CY71" s="308"/>
      <c r="CZ71" s="308"/>
      <c r="DA71" s="308"/>
      <c r="DB71" s="308"/>
      <c r="DC71" s="308"/>
      <c r="DD71" s="308"/>
      <c r="DE71" s="308"/>
      <c r="DF71" s="308"/>
      <c r="DG71" s="308"/>
      <c r="DH71" s="308"/>
      <c r="DI71" s="308"/>
      <c r="DJ71" s="308"/>
      <c r="DK71" s="308"/>
      <c r="DL71" s="308"/>
      <c r="DM71" s="308"/>
      <c r="DN71" s="308"/>
      <c r="DO71" s="308"/>
      <c r="DP71" s="308"/>
      <c r="DQ71" s="308"/>
      <c r="DR71" s="308"/>
      <c r="DS71" s="308"/>
      <c r="DT71" s="308"/>
      <c r="DU71" s="308"/>
      <c r="DV71" s="308"/>
      <c r="DW71" s="308"/>
      <c r="DX71" s="308"/>
      <c r="DY71" s="308"/>
      <c r="DZ71" s="308"/>
      <c r="EA71" s="308"/>
      <c r="EB71" s="308"/>
      <c r="EC71" s="308"/>
      <c r="ED71" s="308"/>
      <c r="EE71" s="308"/>
      <c r="EF71" s="308"/>
      <c r="EG71" s="308"/>
      <c r="EH71" s="308"/>
      <c r="EI71" s="308"/>
      <c r="EJ71" s="308"/>
      <c r="EK71" s="308"/>
      <c r="EL71" s="308"/>
      <c r="EM71" s="308"/>
      <c r="EN71" s="308"/>
      <c r="EO71" s="308"/>
      <c r="EP71" s="308"/>
      <c r="EQ71" s="308"/>
      <c r="ER71" s="308"/>
      <c r="ES71" s="308"/>
      <c r="ET71" s="308"/>
      <c r="EU71" s="308"/>
      <c r="EV71" s="308"/>
      <c r="EW71" s="308"/>
      <c r="EX71" s="308"/>
      <c r="EY71" s="308"/>
      <c r="EZ71" s="308"/>
      <c r="FA71" s="308"/>
      <c r="FB71" s="308"/>
      <c r="FC71" s="308"/>
      <c r="FD71" s="308"/>
      <c r="FE71" s="308"/>
      <c r="FF71" s="308"/>
      <c r="FG71" s="308"/>
      <c r="FH71" s="308"/>
      <c r="FI71" s="308"/>
      <c r="FJ71" s="308"/>
      <c r="FK71" s="308"/>
      <c r="FL71" s="308"/>
      <c r="FM71" s="308"/>
      <c r="FN71" s="308"/>
      <c r="FO71" s="308"/>
      <c r="FP71" s="308"/>
      <c r="FQ71" s="308"/>
      <c r="FR71" s="308"/>
      <c r="FS71" s="308"/>
      <c r="FT71" s="308"/>
      <c r="FU71" s="308"/>
      <c r="FV71" s="308"/>
      <c r="FW71" s="308"/>
      <c r="FX71" s="308"/>
      <c r="FY71" s="308"/>
      <c r="FZ71" s="308"/>
      <c r="GA71" s="308"/>
      <c r="GB71" s="308"/>
      <c r="GC71" s="308"/>
      <c r="GD71" s="308"/>
      <c r="GE71" s="308"/>
      <c r="GF71" s="308"/>
      <c r="GG71" s="308"/>
      <c r="GH71" s="308"/>
      <c r="GI71" s="308"/>
      <c r="GJ71" s="308"/>
      <c r="GK71" s="308"/>
      <c r="GL71" s="308"/>
      <c r="GM71" s="308"/>
      <c r="GN71" s="308"/>
      <c r="GO71" s="308"/>
      <c r="GP71" s="308"/>
      <c r="GQ71" s="308"/>
      <c r="GR71" s="308"/>
      <c r="GS71" s="308"/>
      <c r="GT71" s="308"/>
      <c r="GU71" s="308"/>
      <c r="GV71" s="308"/>
      <c r="GW71" s="308"/>
      <c r="GX71" s="308"/>
      <c r="GY71" s="308"/>
      <c r="GZ71" s="308"/>
      <c r="HA71" s="308"/>
      <c r="HB71" s="308"/>
      <c r="HC71" s="308"/>
      <c r="HD71" s="308"/>
      <c r="HE71" s="308"/>
      <c r="HF71" s="308"/>
      <c r="HG71" s="308"/>
      <c r="HH71" s="308"/>
      <c r="HI71" s="308"/>
      <c r="HJ71" s="308"/>
      <c r="HK71" s="308"/>
      <c r="HL71" s="308"/>
      <c r="HM71" s="308"/>
      <c r="HN71" s="308"/>
      <c r="HO71" s="308"/>
      <c r="HP71" s="308"/>
      <c r="HQ71" s="308"/>
      <c r="HR71" s="308"/>
      <c r="HS71" s="308"/>
      <c r="HT71" s="308"/>
      <c r="HU71" s="308"/>
      <c r="HV71" s="308"/>
      <c r="HW71" s="308"/>
      <c r="HX71" s="308"/>
      <c r="HY71" s="308"/>
      <c r="HZ71" s="308"/>
      <c r="IA71" s="308"/>
      <c r="IB71" s="308"/>
      <c r="IC71" s="308"/>
      <c r="ID71" s="308"/>
      <c r="IE71" s="308"/>
      <c r="IF71" s="308"/>
      <c r="IG71" s="308"/>
      <c r="IH71" s="308"/>
      <c r="II71" s="308"/>
      <c r="IJ71" s="308"/>
      <c r="IK71" s="308"/>
      <c r="IL71" s="308"/>
      <c r="IM71" s="308"/>
      <c r="IN71" s="308"/>
      <c r="IO71" s="308"/>
      <c r="IP71" s="308"/>
      <c r="IQ71" s="308"/>
      <c r="IR71" s="308"/>
      <c r="IS71" s="308"/>
      <c r="IT71" s="308"/>
      <c r="IU71" s="308"/>
      <c r="IV71" s="308"/>
      <c r="IW71" s="308"/>
      <c r="IX71" s="308"/>
    </row>
    <row r="72" spans="1:258" s="308" customFormat="1" ht="17.399999999999999" x14ac:dyDescent="0.3">
      <c r="A72" s="103"/>
      <c r="B72" s="84"/>
      <c r="C72" s="64"/>
      <c r="D72" s="83" t="s">
        <v>164</v>
      </c>
      <c r="E72" s="270">
        <f>IF(AND($F$2="No",$F$3="No"),SUM(J72:K72),IF(AND($F$2="Yes", $F$3="No"), SUM(J72:K72)+Q72, IF(AND($F$2="No", $F$3="Yes"),SUM(J72:K72)+P72, SUM(J72:K72)+Q72+P72)))</f>
        <v>-9.1139048141381296E-2</v>
      </c>
      <c r="F72" s="90">
        <f>IF(AND($F$2="No",$F$3="No"),SUM(H72:O72),IF(AND($F$2="Yes", $F$3="No"), SUM(H72:O72)+Q72, IF(AND($F$2="No", $F$3="Yes"),SUM(H72:O72)+P72, SUM(H72:O72)+Q72+P72)))</f>
        <v>-1.7764944706279567E-3</v>
      </c>
      <c r="G72" s="278">
        <f>SUM(S72:U72)/(1-'Common input data'!$F$121)</f>
        <v>0.58367824927372214</v>
      </c>
      <c r="H72" s="90">
        <f>('Input data plant-based products'!$F$69*('Common input data'!$D$76*'Common input data'!B69+'Common input data'!$D$77*'Common input data'!C69))/'Input data plant-based products'!$E$69</f>
        <v>4.1265890162734305E-3</v>
      </c>
      <c r="I72" s="90">
        <f>'Common input data'!$B$81</f>
        <v>0.03</v>
      </c>
      <c r="J72" s="90">
        <v>0</v>
      </c>
      <c r="K72" s="90">
        <v>0</v>
      </c>
      <c r="L72" s="90">
        <f>('Input data plant-based products'!$I$69*'Common input data'!$C$59*'Common input data'!H49)/'Input data plant-based products'!$E$69</f>
        <v>5.2359646544799078E-3</v>
      </c>
      <c r="M72" s="90">
        <v>0</v>
      </c>
      <c r="N72" s="90">
        <f>'Input data plant-based products'!F$152</f>
        <v>0.05</v>
      </c>
      <c r="O72" s="90">
        <v>0</v>
      </c>
      <c r="P72" s="90">
        <f>'Common input data'!$F$13</f>
        <v>-9.1139048141381296E-2</v>
      </c>
      <c r="Q72" s="90">
        <v>0</v>
      </c>
      <c r="R72" s="90">
        <v>0</v>
      </c>
      <c r="S72" s="90">
        <f>F72+R72</f>
        <v>-1.7764944706279567E-3</v>
      </c>
      <c r="T72" s="90">
        <f>'Common input data'!$B$88</f>
        <v>0.05</v>
      </c>
      <c r="U72" s="90">
        <f>'Common input data'!B$104+'Common input data'!C$104</f>
        <v>0.32999999999999996</v>
      </c>
      <c r="V72" s="430"/>
      <c r="W72" s="243"/>
      <c r="Z72" s="64"/>
    </row>
    <row r="73" spans="1:258" s="308" customFormat="1" ht="17.399999999999999" x14ac:dyDescent="0.3">
      <c r="A73" s="107"/>
      <c r="B73" s="84"/>
      <c r="C73" s="142"/>
      <c r="D73" s="83" t="s">
        <v>165</v>
      </c>
      <c r="E73" s="270">
        <f>SUM(J73:K73)</f>
        <v>0</v>
      </c>
      <c r="F73" s="90">
        <f>SUM(H73:O73)</f>
        <v>2.3193782959384002E-6</v>
      </c>
      <c r="G73" s="278">
        <f>SUM(S73:U73)/(1-'Common input data'!$F$121)</f>
        <v>3.5792874937320982E-6</v>
      </c>
      <c r="H73" s="90">
        <f>('Input data plant-based products'!$F$69*('Common input data'!$D$76*'Common input data'!B70+'Common input data'!$D$77*'Common input data'!C70))/'Input data plant-based products'!$E$69</f>
        <v>2.2509187092223592E-11</v>
      </c>
      <c r="I73" s="90">
        <v>0</v>
      </c>
      <c r="J73" s="90">
        <v>0</v>
      </c>
      <c r="K73" s="90">
        <v>0</v>
      </c>
      <c r="L73" s="90">
        <f>('Input data plant-based products'!$I$69*'Common input data'!$C$59*'Common input data'!H50)/'Input data plant-based products'!$E$69</f>
        <v>2.3193557867513082E-6</v>
      </c>
      <c r="M73" s="90">
        <v>0</v>
      </c>
      <c r="N73" s="90">
        <v>0</v>
      </c>
      <c r="O73" s="90">
        <v>0</v>
      </c>
      <c r="P73" s="90">
        <v>0</v>
      </c>
      <c r="Q73" s="90">
        <v>0</v>
      </c>
      <c r="R73" s="90">
        <v>0</v>
      </c>
      <c r="S73" s="90">
        <f>F73+R73</f>
        <v>2.3193782959384002E-6</v>
      </c>
      <c r="T73" s="90">
        <v>0</v>
      </c>
      <c r="U73" s="90">
        <v>0</v>
      </c>
      <c r="V73" s="430"/>
      <c r="W73" s="243"/>
      <c r="Z73" s="64"/>
    </row>
    <row r="74" spans="1:258" s="308" customFormat="1" ht="17.399999999999999" x14ac:dyDescent="0.3">
      <c r="A74" s="174"/>
      <c r="B74" s="206"/>
      <c r="C74" s="85"/>
      <c r="D74" s="84" t="s">
        <v>166</v>
      </c>
      <c r="E74" s="270">
        <f>SUM(J74:K74)</f>
        <v>4.1657220108992283E-5</v>
      </c>
      <c r="F74" s="90">
        <f>SUM(H74:O74)</f>
        <v>6.7827318449669656E-5</v>
      </c>
      <c r="G74" s="278">
        <f>SUM(S74:U74)/(1-'Common input data'!$F$121)</f>
        <v>1.0467178773097167E-4</v>
      </c>
      <c r="H74" s="90">
        <f>('Input data plant-based products'!$F$69*('Common input data'!$D$76*'Common input data'!B71+'Common input data'!$D$77*'Common input data'!C71))/'Input data plant-based products'!$E$69</f>
        <v>2.6029405928992203E-5</v>
      </c>
      <c r="I74" s="90">
        <v>0</v>
      </c>
      <c r="J74" s="90">
        <f>(SUM('Input data plant-based products'!F69:H69)*'Input data plant-based products'!$B$114*44/28)/'Input data plant-based products'!E69</f>
        <v>3.787020009908389E-5</v>
      </c>
      <c r="K74" s="90">
        <f>J74*'Input data plant-based products'!$B$115</f>
        <v>3.787020009908389E-6</v>
      </c>
      <c r="L74" s="90">
        <f>('Input data plant-based products'!$I$69*'Common input data'!$C$59*'Common input data'!H51)/'Input data plant-based products'!$E$69</f>
        <v>1.4069241168518195E-7</v>
      </c>
      <c r="M74" s="90">
        <v>0</v>
      </c>
      <c r="N74" s="90">
        <v>0</v>
      </c>
      <c r="O74" s="90">
        <v>0</v>
      </c>
      <c r="P74" s="90">
        <v>0</v>
      </c>
      <c r="Q74" s="90">
        <v>0</v>
      </c>
      <c r="R74" s="90">
        <v>0</v>
      </c>
      <c r="S74" s="90">
        <f>F74+R74</f>
        <v>6.7827318449669656E-5</v>
      </c>
      <c r="T74" s="90">
        <v>0</v>
      </c>
      <c r="U74" s="90">
        <v>0</v>
      </c>
      <c r="V74" s="430"/>
      <c r="W74" s="243"/>
      <c r="Z74" s="64"/>
    </row>
    <row r="75" spans="1:258" s="420" customFormat="1" ht="17.399999999999999" x14ac:dyDescent="0.3">
      <c r="A75" s="143" t="s">
        <v>89</v>
      </c>
      <c r="B75" s="150" t="s">
        <v>225</v>
      </c>
      <c r="C75" s="104">
        <f>'Input data plant-based products'!D70</f>
        <v>0.15</v>
      </c>
      <c r="D75" s="269" t="s">
        <v>473</v>
      </c>
      <c r="E75" s="320">
        <f>IF($F$1="GWP100 without fb",E76+E77*'Common input data'!$C$5+E78*'Common input data'!$D$5,IF($F$1="GWP100 with fb",E76+E77*'Common input data'!$C$6+E78*'Common input data'!$D$6,IF($F$1="GTP100 without fb",E76+E77*'Common input data'!$C$7+E78*'Common input data'!$D$7,IF($F$1="GTP100 with fb",E76+E77*'Common input data'!$C$8+E78*'Common input data'!$D$8,E76+E77*'Common input data'!$C$9+E78*'Common input data'!$D$9))))</f>
        <v>-4.9728559587240199E-2</v>
      </c>
      <c r="F75" s="302">
        <f>IF($F$1="GWP100 without fb",F76+F77*'Common input data'!$C$5+F78*'Common input data'!$D$5,IF($F$1="GWP100 with fb",F76+F77*'Common input data'!$C$6+F78*'Common input data'!$D$6,IF($F$1="GTP100 without fb",F76+F77*'Common input data'!$C$7+F78*'Common input data'!$D$7,IF($F$1="GTP100 with fb",F76+F77*'Common input data'!$C$8+F78*'Common input data'!$D$8,F76+F77*'Common input data'!$C$9+F78*'Common input data'!$D$9))))</f>
        <v>0.10219347444212225</v>
      </c>
      <c r="G75" s="321">
        <f>IF($F$1="GWP100 without fb",G76+G77*'Common input data'!$C$5+G78*'Common input data'!$D$5,IF($F$1="GWP100 with fb",G76+G77*'Common input data'!$C$6+G78*'Common input data'!$D$6,IF($F$1="GTP100 without fb",G76+G77*'Common input data'!$C$7+G78*'Common input data'!$D$7,IF($F$1="GTP100 with fb",G76+G77*'Common input data'!$C$8+G78*'Common input data'!$D$8,G76+G77*'Common input data'!$C$9+G78*'Common input data'!$D$9))))</f>
        <v>0.74412573216376865</v>
      </c>
      <c r="H75" s="102"/>
      <c r="I75" s="102"/>
      <c r="J75" s="102"/>
      <c r="K75" s="102"/>
      <c r="L75" s="102"/>
      <c r="M75" s="102"/>
      <c r="N75" s="102"/>
      <c r="O75" s="102"/>
      <c r="P75" s="102"/>
      <c r="Q75" s="102"/>
      <c r="R75" s="102"/>
      <c r="S75" s="102"/>
      <c r="T75" s="102"/>
      <c r="U75" s="102"/>
      <c r="V75" s="430"/>
      <c r="W75" s="243"/>
      <c r="X75" s="308"/>
      <c r="Y75" s="308"/>
      <c r="Z75" s="64"/>
      <c r="AA75" s="308"/>
      <c r="AB75" s="308"/>
      <c r="AC75" s="308"/>
      <c r="AD75" s="308"/>
      <c r="AE75" s="308"/>
      <c r="AF75" s="308"/>
      <c r="AG75" s="308"/>
      <c r="AH75" s="308"/>
      <c r="AI75" s="308"/>
      <c r="AJ75" s="308"/>
      <c r="AK75" s="308"/>
      <c r="AL75" s="308"/>
      <c r="AM75" s="308"/>
      <c r="AN75" s="308"/>
      <c r="AO75" s="308"/>
      <c r="AP75" s="308"/>
      <c r="AQ75" s="308"/>
      <c r="AR75" s="308"/>
      <c r="AS75" s="308"/>
      <c r="AT75" s="308"/>
      <c r="AU75" s="308"/>
      <c r="AV75" s="308"/>
      <c r="AW75" s="308"/>
      <c r="AX75" s="308"/>
      <c r="AY75" s="308"/>
      <c r="AZ75" s="308"/>
      <c r="BA75" s="308"/>
      <c r="BB75" s="308"/>
      <c r="BC75" s="308"/>
      <c r="BD75" s="308"/>
      <c r="BE75" s="308"/>
      <c r="BF75" s="308"/>
      <c r="BG75" s="308"/>
      <c r="BH75" s="308"/>
      <c r="BI75" s="308"/>
      <c r="BJ75" s="308"/>
      <c r="BK75" s="308"/>
      <c r="BL75" s="308"/>
      <c r="BM75" s="308"/>
      <c r="BN75" s="308"/>
      <c r="BO75" s="308"/>
      <c r="BP75" s="308"/>
      <c r="BQ75" s="308"/>
      <c r="BR75" s="308"/>
      <c r="BS75" s="308"/>
      <c r="BT75" s="308"/>
      <c r="BU75" s="308"/>
      <c r="BV75" s="308"/>
      <c r="BW75" s="308"/>
      <c r="BX75" s="308"/>
      <c r="BY75" s="308"/>
      <c r="BZ75" s="308"/>
      <c r="CA75" s="308"/>
      <c r="CB75" s="308"/>
      <c r="CC75" s="308"/>
      <c r="CD75" s="308"/>
      <c r="CE75" s="308"/>
      <c r="CF75" s="308"/>
      <c r="CG75" s="308"/>
      <c r="CH75" s="308"/>
      <c r="CI75" s="308"/>
      <c r="CJ75" s="308"/>
      <c r="CK75" s="308"/>
      <c r="CL75" s="308"/>
      <c r="CM75" s="308"/>
      <c r="CN75" s="308"/>
      <c r="CO75" s="308"/>
      <c r="CP75" s="308"/>
      <c r="CQ75" s="308"/>
      <c r="CR75" s="308"/>
      <c r="CS75" s="308"/>
      <c r="CT75" s="308"/>
      <c r="CU75" s="308"/>
      <c r="CV75" s="308"/>
      <c r="CW75" s="308"/>
      <c r="CX75" s="308"/>
      <c r="CY75" s="308"/>
      <c r="CZ75" s="308"/>
      <c r="DA75" s="308"/>
      <c r="DB75" s="308"/>
      <c r="DC75" s="308"/>
      <c r="DD75" s="308"/>
      <c r="DE75" s="308"/>
      <c r="DF75" s="308"/>
      <c r="DG75" s="308"/>
      <c r="DH75" s="308"/>
      <c r="DI75" s="308"/>
      <c r="DJ75" s="308"/>
      <c r="DK75" s="308"/>
      <c r="DL75" s="308"/>
      <c r="DM75" s="308"/>
      <c r="DN75" s="308"/>
      <c r="DO75" s="308"/>
      <c r="DP75" s="308"/>
      <c r="DQ75" s="308"/>
      <c r="DR75" s="308"/>
      <c r="DS75" s="308"/>
      <c r="DT75" s="308"/>
      <c r="DU75" s="308"/>
      <c r="DV75" s="308"/>
      <c r="DW75" s="308"/>
      <c r="DX75" s="308"/>
      <c r="DY75" s="308"/>
      <c r="DZ75" s="308"/>
      <c r="EA75" s="308"/>
      <c r="EB75" s="308"/>
      <c r="EC75" s="308"/>
      <c r="ED75" s="308"/>
      <c r="EE75" s="308"/>
      <c r="EF75" s="308"/>
      <c r="EG75" s="308"/>
      <c r="EH75" s="308"/>
      <c r="EI75" s="308"/>
      <c r="EJ75" s="308"/>
      <c r="EK75" s="308"/>
      <c r="EL75" s="308"/>
      <c r="EM75" s="308"/>
      <c r="EN75" s="308"/>
      <c r="EO75" s="308"/>
      <c r="EP75" s="308"/>
      <c r="EQ75" s="308"/>
      <c r="ER75" s="308"/>
      <c r="ES75" s="308"/>
      <c r="ET75" s="308"/>
      <c r="EU75" s="308"/>
      <c r="EV75" s="308"/>
      <c r="EW75" s="308"/>
      <c r="EX75" s="308"/>
      <c r="EY75" s="308"/>
      <c r="EZ75" s="308"/>
      <c r="FA75" s="308"/>
      <c r="FB75" s="308"/>
      <c r="FC75" s="308"/>
      <c r="FD75" s="308"/>
      <c r="FE75" s="308"/>
      <c r="FF75" s="308"/>
      <c r="FG75" s="308"/>
      <c r="FH75" s="308"/>
      <c r="FI75" s="308"/>
      <c r="FJ75" s="308"/>
      <c r="FK75" s="308"/>
      <c r="FL75" s="308"/>
      <c r="FM75" s="308"/>
      <c r="FN75" s="308"/>
      <c r="FO75" s="308"/>
      <c r="FP75" s="308"/>
      <c r="FQ75" s="308"/>
      <c r="FR75" s="308"/>
      <c r="FS75" s="308"/>
      <c r="FT75" s="308"/>
      <c r="FU75" s="308"/>
      <c r="FV75" s="308"/>
      <c r="FW75" s="308"/>
      <c r="FX75" s="308"/>
      <c r="FY75" s="308"/>
      <c r="FZ75" s="308"/>
      <c r="GA75" s="308"/>
      <c r="GB75" s="308"/>
      <c r="GC75" s="308"/>
      <c r="GD75" s="308"/>
      <c r="GE75" s="308"/>
      <c r="GF75" s="308"/>
      <c r="GG75" s="308"/>
      <c r="GH75" s="308"/>
      <c r="GI75" s="308"/>
      <c r="GJ75" s="308"/>
      <c r="GK75" s="308"/>
      <c r="GL75" s="308"/>
      <c r="GM75" s="308"/>
      <c r="GN75" s="308"/>
      <c r="GO75" s="308"/>
      <c r="GP75" s="308"/>
      <c r="GQ75" s="308"/>
      <c r="GR75" s="308"/>
      <c r="GS75" s="308"/>
      <c r="GT75" s="308"/>
      <c r="GU75" s="308"/>
      <c r="GV75" s="308"/>
      <c r="GW75" s="308"/>
      <c r="GX75" s="308"/>
      <c r="GY75" s="308"/>
      <c r="GZ75" s="308"/>
      <c r="HA75" s="308"/>
      <c r="HB75" s="308"/>
      <c r="HC75" s="308"/>
      <c r="HD75" s="308"/>
      <c r="HE75" s="308"/>
      <c r="HF75" s="308"/>
      <c r="HG75" s="308"/>
      <c r="HH75" s="308"/>
      <c r="HI75" s="308"/>
      <c r="HJ75" s="308"/>
      <c r="HK75" s="308"/>
      <c r="HL75" s="308"/>
      <c r="HM75" s="308"/>
      <c r="HN75" s="308"/>
      <c r="HO75" s="308"/>
      <c r="HP75" s="308"/>
      <c r="HQ75" s="308"/>
      <c r="HR75" s="308"/>
      <c r="HS75" s="308"/>
      <c r="HT75" s="308"/>
      <c r="HU75" s="308"/>
      <c r="HV75" s="308"/>
      <c r="HW75" s="308"/>
      <c r="HX75" s="308"/>
      <c r="HY75" s="308"/>
      <c r="HZ75" s="308"/>
      <c r="IA75" s="308"/>
      <c r="IB75" s="308"/>
      <c r="IC75" s="308"/>
      <c r="ID75" s="308"/>
      <c r="IE75" s="308"/>
      <c r="IF75" s="308"/>
      <c r="IG75" s="308"/>
      <c r="IH75" s="308"/>
      <c r="II75" s="308"/>
      <c r="IJ75" s="308"/>
      <c r="IK75" s="308"/>
      <c r="IL75" s="308"/>
      <c r="IM75" s="308"/>
      <c r="IN75" s="308"/>
      <c r="IO75" s="308"/>
      <c r="IP75" s="308"/>
      <c r="IQ75" s="308"/>
      <c r="IR75" s="308"/>
      <c r="IS75" s="308"/>
      <c r="IT75" s="308"/>
      <c r="IU75" s="308"/>
      <c r="IV75" s="308"/>
      <c r="IW75" s="308"/>
      <c r="IX75" s="308"/>
    </row>
    <row r="76" spans="1:258" s="308" customFormat="1" ht="17.399999999999999" x14ac:dyDescent="0.3">
      <c r="A76" s="141"/>
      <c r="B76" s="84"/>
      <c r="C76" s="64"/>
      <c r="D76" s="83" t="s">
        <v>164</v>
      </c>
      <c r="E76" s="270">
        <f>IF(AND($F$2="No",$F$3="No"),SUM(J76:K76),IF(AND($F$2="Yes", $F$3="No"), SUM(J76:K76)+Q76, IF(AND($F$2="No", $F$3="Yes"),SUM(J76:K76)+P76, SUM(J76:K76)+Q76+P76)))</f>
        <v>-9.1139048141381296E-2</v>
      </c>
      <c r="F76" s="90">
        <f>IF(AND($F$2="No",$F$3="No"),SUM(H76:O76),IF(AND($F$2="Yes", $F$3="No"), SUM(H76:O76)+Q76, IF(AND($F$2="No", $F$3="Yes"),SUM(H76:O76)+P76, SUM(H76:O76)+Q76+P76)))</f>
        <v>1.8730835419247902E-2</v>
      </c>
      <c r="G76" s="278">
        <f>SUM(S76:U76)/(1-'Common input data'!$F$121)</f>
        <v>0.61532536330130827</v>
      </c>
      <c r="H76" s="90">
        <f>('Input data plant-based products'!$F$70*('Common input data'!$D$76*'Common input data'!B69+'Common input data'!$D$77*'Common input data'!C69))/'Input data plant-based products'!$E$70</f>
        <v>2.2278530550942519E-2</v>
      </c>
      <c r="I76" s="90">
        <f>'Common input data'!$B$81</f>
        <v>0.03</v>
      </c>
      <c r="J76" s="90">
        <v>0</v>
      </c>
      <c r="K76" s="90">
        <v>0</v>
      </c>
      <c r="L76" s="90">
        <f>('Input data plant-based products'!$I$70*'Common input data'!$C$59*'Common input data'!H49)/'Input data plant-based products'!$E$70</f>
        <v>7.5913530096866745E-3</v>
      </c>
      <c r="M76" s="90">
        <v>0</v>
      </c>
      <c r="N76" s="90">
        <f>'Input data plant-based products'!F$152</f>
        <v>0.05</v>
      </c>
      <c r="O76" s="90">
        <v>0</v>
      </c>
      <c r="P76" s="90">
        <f>'Common input data'!$F$13</f>
        <v>-9.1139048141381296E-2</v>
      </c>
      <c r="Q76" s="90">
        <v>0</v>
      </c>
      <c r="R76" s="90">
        <v>0</v>
      </c>
      <c r="S76" s="90">
        <f>F76+R76</f>
        <v>1.8730835419247902E-2</v>
      </c>
      <c r="T76" s="90">
        <f>'Common input data'!$B$88</f>
        <v>0.05</v>
      </c>
      <c r="U76" s="90">
        <f>'Common input data'!B$104+'Common input data'!C$104</f>
        <v>0.32999999999999996</v>
      </c>
      <c r="V76" s="430"/>
      <c r="W76" s="243"/>
      <c r="Z76" s="64"/>
    </row>
    <row r="77" spans="1:258" s="308" customFormat="1" ht="17.399999999999999" x14ac:dyDescent="0.3">
      <c r="A77" s="141"/>
      <c r="B77" s="84"/>
      <c r="C77" s="142"/>
      <c r="D77" s="83" t="s">
        <v>165</v>
      </c>
      <c r="E77" s="270">
        <f>SUM(J77:K77)</f>
        <v>0</v>
      </c>
      <c r="F77" s="90">
        <f>SUM(H77:O77)</f>
        <v>3.3628349271709808E-6</v>
      </c>
      <c r="G77" s="278">
        <f>SUM(S77:U77)/(1-'Common input data'!$F$121)</f>
        <v>5.1895600727947221E-6</v>
      </c>
      <c r="H77" s="90">
        <f>('Input data plant-based products'!$F$70*('Common input data'!$D$76*'Common input data'!B70+'Common input data'!$D$77*'Common input data'!C70))/'Input data plant-based products'!$E$70</f>
        <v>1.2152206346050051E-10</v>
      </c>
      <c r="I77" s="90">
        <v>0</v>
      </c>
      <c r="J77" s="90">
        <v>0</v>
      </c>
      <c r="K77" s="90">
        <v>0</v>
      </c>
      <c r="L77" s="90">
        <f>('Input data plant-based products'!$I$70*'Common input data'!$C$59*'Common input data'!H50)/'Input data plant-based products'!$E$70</f>
        <v>3.3627134051075201E-6</v>
      </c>
      <c r="M77" s="90">
        <v>0</v>
      </c>
      <c r="N77" s="90">
        <v>0</v>
      </c>
      <c r="O77" s="90">
        <v>0</v>
      </c>
      <c r="P77" s="90">
        <v>0</v>
      </c>
      <c r="Q77" s="90">
        <v>0</v>
      </c>
      <c r="R77" s="90">
        <v>0</v>
      </c>
      <c r="S77" s="90">
        <f>F77+R77</f>
        <v>3.3628349271709808E-6</v>
      </c>
      <c r="T77" s="90">
        <v>0</v>
      </c>
      <c r="U77" s="90">
        <v>0</v>
      </c>
      <c r="V77" s="430"/>
      <c r="W77" s="243"/>
      <c r="Z77" s="64"/>
    </row>
    <row r="78" spans="1:258" s="308" customFormat="1" ht="17.399999999999999" x14ac:dyDescent="0.3">
      <c r="A78" s="107"/>
      <c r="B78" s="206"/>
      <c r="C78" s="85"/>
      <c r="D78" s="84" t="s">
        <v>166</v>
      </c>
      <c r="E78" s="270">
        <f>SUM(J78:K78)</f>
        <v>1.3896137098705065E-4</v>
      </c>
      <c r="F78" s="90">
        <f>SUM(H78:O78)</f>
        <v>2.7969229072265282E-4</v>
      </c>
      <c r="G78" s="278">
        <f>SUM(S78:U78)/(1-'Common input data'!$F$121)</f>
        <v>4.3162390543619256E-4</v>
      </c>
      <c r="H78" s="90">
        <f>('Input data plant-based products'!$F$70*('Common input data'!$D$76*'Common input data'!B71+'Common input data'!$D$77*'Common input data'!C71))/'Input data plant-based products'!$E$70</f>
        <v>1.4052693712048419E-4</v>
      </c>
      <c r="I78" s="90">
        <v>0</v>
      </c>
      <c r="J78" s="90">
        <f>(SUM('Input data plant-based products'!F70:H70)*'Input data plant-based products'!$B$114*44/28)/'Input data plant-based products'!E70</f>
        <v>1.2632851907913695E-4</v>
      </c>
      <c r="K78" s="90">
        <f>J78*'Input data plant-based products'!$B$115</f>
        <v>1.2632851907913696E-5</v>
      </c>
      <c r="L78" s="90">
        <f>('Input data plant-based products'!$I$70*'Common input data'!$C$59*'Common input data'!H51)/'Input data plant-based products'!$E$70</f>
        <v>2.0398261511802974E-7</v>
      </c>
      <c r="M78" s="90">
        <v>0</v>
      </c>
      <c r="N78" s="90">
        <v>0</v>
      </c>
      <c r="O78" s="90">
        <v>0</v>
      </c>
      <c r="P78" s="90">
        <v>0</v>
      </c>
      <c r="Q78" s="90">
        <v>0</v>
      </c>
      <c r="R78" s="90">
        <v>0</v>
      </c>
      <c r="S78" s="90">
        <f>F78+R78</f>
        <v>2.7969229072265282E-4</v>
      </c>
      <c r="T78" s="90">
        <v>0</v>
      </c>
      <c r="U78" s="90">
        <v>0</v>
      </c>
      <c r="V78" s="430"/>
      <c r="W78" s="243"/>
      <c r="Z78" s="64"/>
    </row>
    <row r="79" spans="1:258" s="420" customFormat="1" ht="17.399999999999999" x14ac:dyDescent="0.3">
      <c r="A79" s="143" t="s">
        <v>90</v>
      </c>
      <c r="B79" s="150" t="s">
        <v>225</v>
      </c>
      <c r="C79" s="104">
        <f>'Input data plant-based products'!D71</f>
        <v>0.15</v>
      </c>
      <c r="D79" s="269" t="s">
        <v>473</v>
      </c>
      <c r="E79" s="320">
        <f>IF($F$1="GWP100 without fb",E80+E81*'Common input data'!$C$5+E82*'Common input data'!$D$5,IF($F$1="GWP100 with fb",E80+E81*'Common input data'!$C$6+E82*'Common input data'!$D$6,IF($F$1="GTP100 without fb",E80+E81*'Common input data'!$C$7+E82*'Common input data'!$D$7,IF($F$1="GTP100 with fb",E80+E81*'Common input data'!$C$8+E82*'Common input data'!$D$8,E80+E81*'Common input data'!$C$9+E82*'Common input data'!$D$9))))</f>
        <v>-8.0330710516774234E-2</v>
      </c>
      <c r="F79" s="302">
        <f>IF($F$1="GWP100 without fb",F80+F81*'Common input data'!$C$5+F82*'Common input data'!$D$5,IF($F$1="GWP100 with fb",F80+F81*'Common input data'!$C$6+F82*'Common input data'!$D$6,IF($F$1="GTP100 without fb",F80+F81*'Common input data'!$C$7+F82*'Common input data'!$D$7,IF($F$1="GTP100 with fb",F80+F81*'Common input data'!$C$8+F82*'Common input data'!$D$8,F80+F81*'Common input data'!$C$9+F82*'Common input data'!$D$9))))</f>
        <v>1.9904677308195839E-2</v>
      </c>
      <c r="G79" s="321">
        <f>IF($F$1="GWP100 without fb",G80+G81*'Common input data'!$C$5+G82*'Common input data'!$D$5,IF($F$1="GWP100 with fb",G80+G81*'Common input data'!$C$6+G82*'Common input data'!$D$6,IF($F$1="GTP100 without fb",G80+G81*'Common input data'!$C$7+G82*'Common input data'!$D$7,IF($F$1="GTP100 with fb",G80+G81*'Common input data'!$C$8+G82*'Common input data'!$D$8,G80+G81*'Common input data'!$C$9+G82*'Common input data'!$D$9))))</f>
        <v>0.61713684769783295</v>
      </c>
      <c r="H79" s="102"/>
      <c r="I79" s="102"/>
      <c r="J79" s="102"/>
      <c r="K79" s="102"/>
      <c r="L79" s="102"/>
      <c r="M79" s="102"/>
      <c r="N79" s="102"/>
      <c r="O79" s="102"/>
      <c r="P79" s="102"/>
      <c r="Q79" s="102"/>
      <c r="R79" s="102"/>
      <c r="S79" s="102"/>
      <c r="T79" s="102"/>
      <c r="U79" s="102"/>
      <c r="V79" s="430"/>
      <c r="W79" s="243"/>
      <c r="X79" s="308"/>
      <c r="Y79" s="308"/>
      <c r="Z79" s="64"/>
      <c r="AA79" s="308"/>
      <c r="AB79" s="308"/>
      <c r="AC79" s="308"/>
      <c r="AD79" s="308"/>
      <c r="AE79" s="308"/>
      <c r="AF79" s="308"/>
      <c r="AG79" s="308"/>
      <c r="AH79" s="308"/>
      <c r="AI79" s="308"/>
      <c r="AJ79" s="308"/>
      <c r="AK79" s="308"/>
      <c r="AL79" s="308"/>
      <c r="AM79" s="308"/>
      <c r="AN79" s="308"/>
      <c r="AO79" s="308"/>
      <c r="AP79" s="308"/>
      <c r="AQ79" s="308"/>
      <c r="AR79" s="308"/>
      <c r="AS79" s="308"/>
      <c r="AT79" s="308"/>
      <c r="AU79" s="308"/>
      <c r="AV79" s="308"/>
      <c r="AW79" s="308"/>
      <c r="AX79" s="308"/>
      <c r="AY79" s="308"/>
      <c r="AZ79" s="308"/>
      <c r="BA79" s="308"/>
      <c r="BB79" s="308"/>
      <c r="BC79" s="308"/>
      <c r="BD79" s="308"/>
      <c r="BE79" s="308"/>
      <c r="BF79" s="308"/>
      <c r="BG79" s="308"/>
      <c r="BH79" s="308"/>
      <c r="BI79" s="308"/>
      <c r="BJ79" s="308"/>
      <c r="BK79" s="308"/>
      <c r="BL79" s="308"/>
      <c r="BM79" s="308"/>
      <c r="BN79" s="308"/>
      <c r="BO79" s="308"/>
      <c r="BP79" s="308"/>
      <c r="BQ79" s="308"/>
      <c r="BR79" s="308"/>
      <c r="BS79" s="308"/>
      <c r="BT79" s="308"/>
      <c r="BU79" s="308"/>
      <c r="BV79" s="308"/>
      <c r="BW79" s="308"/>
      <c r="BX79" s="308"/>
      <c r="BY79" s="308"/>
      <c r="BZ79" s="308"/>
      <c r="CA79" s="308"/>
      <c r="CB79" s="308"/>
      <c r="CC79" s="308"/>
      <c r="CD79" s="308"/>
      <c r="CE79" s="308"/>
      <c r="CF79" s="308"/>
      <c r="CG79" s="308"/>
      <c r="CH79" s="308"/>
      <c r="CI79" s="308"/>
      <c r="CJ79" s="308"/>
      <c r="CK79" s="308"/>
      <c r="CL79" s="308"/>
      <c r="CM79" s="308"/>
      <c r="CN79" s="308"/>
      <c r="CO79" s="308"/>
      <c r="CP79" s="308"/>
      <c r="CQ79" s="308"/>
      <c r="CR79" s="308"/>
      <c r="CS79" s="308"/>
      <c r="CT79" s="308"/>
      <c r="CU79" s="308"/>
      <c r="CV79" s="308"/>
      <c r="CW79" s="308"/>
      <c r="CX79" s="308"/>
      <c r="CY79" s="308"/>
      <c r="CZ79" s="308"/>
      <c r="DA79" s="308"/>
      <c r="DB79" s="308"/>
      <c r="DC79" s="308"/>
      <c r="DD79" s="308"/>
      <c r="DE79" s="308"/>
      <c r="DF79" s="308"/>
      <c r="DG79" s="308"/>
      <c r="DH79" s="308"/>
      <c r="DI79" s="308"/>
      <c r="DJ79" s="308"/>
      <c r="DK79" s="308"/>
      <c r="DL79" s="308"/>
      <c r="DM79" s="308"/>
      <c r="DN79" s="308"/>
      <c r="DO79" s="308"/>
      <c r="DP79" s="308"/>
      <c r="DQ79" s="308"/>
      <c r="DR79" s="308"/>
      <c r="DS79" s="308"/>
      <c r="DT79" s="308"/>
      <c r="DU79" s="308"/>
      <c r="DV79" s="308"/>
      <c r="DW79" s="308"/>
      <c r="DX79" s="308"/>
      <c r="DY79" s="308"/>
      <c r="DZ79" s="308"/>
      <c r="EA79" s="308"/>
      <c r="EB79" s="308"/>
      <c r="EC79" s="308"/>
      <c r="ED79" s="308"/>
      <c r="EE79" s="308"/>
      <c r="EF79" s="308"/>
      <c r="EG79" s="308"/>
      <c r="EH79" s="308"/>
      <c r="EI79" s="308"/>
      <c r="EJ79" s="308"/>
      <c r="EK79" s="308"/>
      <c r="EL79" s="308"/>
      <c r="EM79" s="308"/>
      <c r="EN79" s="308"/>
      <c r="EO79" s="308"/>
      <c r="EP79" s="308"/>
      <c r="EQ79" s="308"/>
      <c r="ER79" s="308"/>
      <c r="ES79" s="308"/>
      <c r="ET79" s="308"/>
      <c r="EU79" s="308"/>
      <c r="EV79" s="308"/>
      <c r="EW79" s="308"/>
      <c r="EX79" s="308"/>
      <c r="EY79" s="308"/>
      <c r="EZ79" s="308"/>
      <c r="FA79" s="308"/>
      <c r="FB79" s="308"/>
      <c r="FC79" s="308"/>
      <c r="FD79" s="308"/>
      <c r="FE79" s="308"/>
      <c r="FF79" s="308"/>
      <c r="FG79" s="308"/>
      <c r="FH79" s="308"/>
      <c r="FI79" s="308"/>
      <c r="FJ79" s="308"/>
      <c r="FK79" s="308"/>
      <c r="FL79" s="308"/>
      <c r="FM79" s="308"/>
      <c r="FN79" s="308"/>
      <c r="FO79" s="308"/>
      <c r="FP79" s="308"/>
      <c r="FQ79" s="308"/>
      <c r="FR79" s="308"/>
      <c r="FS79" s="308"/>
      <c r="FT79" s="308"/>
      <c r="FU79" s="308"/>
      <c r="FV79" s="308"/>
      <c r="FW79" s="308"/>
      <c r="FX79" s="308"/>
      <c r="FY79" s="308"/>
      <c r="FZ79" s="308"/>
      <c r="GA79" s="308"/>
      <c r="GB79" s="308"/>
      <c r="GC79" s="308"/>
      <c r="GD79" s="308"/>
      <c r="GE79" s="308"/>
      <c r="GF79" s="308"/>
      <c r="GG79" s="308"/>
      <c r="GH79" s="308"/>
      <c r="GI79" s="308"/>
      <c r="GJ79" s="308"/>
      <c r="GK79" s="308"/>
      <c r="GL79" s="308"/>
      <c r="GM79" s="308"/>
      <c r="GN79" s="308"/>
      <c r="GO79" s="308"/>
      <c r="GP79" s="308"/>
      <c r="GQ79" s="308"/>
      <c r="GR79" s="308"/>
      <c r="GS79" s="308"/>
      <c r="GT79" s="308"/>
      <c r="GU79" s="308"/>
      <c r="GV79" s="308"/>
      <c r="GW79" s="308"/>
      <c r="GX79" s="308"/>
      <c r="GY79" s="308"/>
      <c r="GZ79" s="308"/>
      <c r="HA79" s="308"/>
      <c r="HB79" s="308"/>
      <c r="HC79" s="308"/>
      <c r="HD79" s="308"/>
      <c r="HE79" s="308"/>
      <c r="HF79" s="308"/>
      <c r="HG79" s="308"/>
      <c r="HH79" s="308"/>
      <c r="HI79" s="308"/>
      <c r="HJ79" s="308"/>
      <c r="HK79" s="308"/>
      <c r="HL79" s="308"/>
      <c r="HM79" s="308"/>
      <c r="HN79" s="308"/>
      <c r="HO79" s="308"/>
      <c r="HP79" s="308"/>
      <c r="HQ79" s="308"/>
      <c r="HR79" s="308"/>
      <c r="HS79" s="308"/>
      <c r="HT79" s="308"/>
      <c r="HU79" s="308"/>
      <c r="HV79" s="308"/>
      <c r="HW79" s="308"/>
      <c r="HX79" s="308"/>
      <c r="HY79" s="308"/>
      <c r="HZ79" s="308"/>
      <c r="IA79" s="308"/>
      <c r="IB79" s="308"/>
      <c r="IC79" s="308"/>
      <c r="ID79" s="308"/>
      <c r="IE79" s="308"/>
      <c r="IF79" s="308"/>
      <c r="IG79" s="308"/>
      <c r="IH79" s="308"/>
      <c r="II79" s="308"/>
      <c r="IJ79" s="308"/>
      <c r="IK79" s="308"/>
      <c r="IL79" s="308"/>
      <c r="IM79" s="308"/>
      <c r="IN79" s="308"/>
      <c r="IO79" s="308"/>
      <c r="IP79" s="308"/>
      <c r="IQ79" s="308"/>
      <c r="IR79" s="308"/>
      <c r="IS79" s="308"/>
      <c r="IT79" s="308"/>
      <c r="IU79" s="308"/>
      <c r="IV79" s="308"/>
      <c r="IW79" s="308"/>
      <c r="IX79" s="308"/>
    </row>
    <row r="80" spans="1:258" s="308" customFormat="1" ht="17.399999999999999" x14ac:dyDescent="0.3">
      <c r="A80" s="144"/>
      <c r="B80" s="84"/>
      <c r="C80" s="64"/>
      <c r="D80" s="83" t="s">
        <v>164</v>
      </c>
      <c r="E80" s="270">
        <f>IF(AND($F$2="No",$F$3="No"),SUM(J80:K80),IF(AND($F$2="Yes", $F$3="No"), SUM(J80:K80)+Q80, IF(AND($F$2="No", $F$3="Yes"),SUM(J80:K80)+P80, SUM(J80:K80)+Q80+P80)))</f>
        <v>-9.1139048141381296E-2</v>
      </c>
      <c r="F80" s="90">
        <f>IF(AND($F$2="No",$F$3="No"),SUM(H80:O80),IF(AND($F$2="Yes", $F$3="No"), SUM(H80:O80)+Q80, IF(AND($F$2="No", $F$3="Yes"),SUM(H80:O80)+P80, SUM(H80:O80)+Q80+P80)))</f>
        <v>5.2273053814810844E-4</v>
      </c>
      <c r="G80" s="278">
        <f>SUM(S80:U80)/(1-'Common input data'!$F$121)</f>
        <v>0.58722643601566049</v>
      </c>
      <c r="H80" s="85">
        <f>('Input data plant-based products'!$F$71*('Common input data'!$D$76*'Common input data'!B69+'Common input data'!$D$77*'Common input data'!C69))/'Input data plant-based products'!$E$71</f>
        <v>4.4729262557923824E-3</v>
      </c>
      <c r="I80" s="90">
        <f>'Common input data'!$B$81</f>
        <v>0.03</v>
      </c>
      <c r="J80" s="85">
        <v>0</v>
      </c>
      <c r="K80" s="90">
        <v>0</v>
      </c>
      <c r="L80" s="85">
        <f>('Input data plant-based products'!$I$71*'Common input data'!$C$59*'Common input data'!H49)/'Input data plant-based products'!$E$71</f>
        <v>7.1888524237370211E-3</v>
      </c>
      <c r="M80" s="90">
        <v>0</v>
      </c>
      <c r="N80" s="90">
        <f>'Input data plant-based products'!F$152</f>
        <v>0.05</v>
      </c>
      <c r="O80" s="90">
        <v>0</v>
      </c>
      <c r="P80" s="90">
        <f>'Common input data'!$F$13</f>
        <v>-9.1139048141381296E-2</v>
      </c>
      <c r="Q80" s="90">
        <v>0</v>
      </c>
      <c r="R80" s="90">
        <v>0</v>
      </c>
      <c r="S80" s="90">
        <f>F80+R80</f>
        <v>5.2273053814810844E-4</v>
      </c>
      <c r="T80" s="90">
        <f>'Common input data'!$B$88</f>
        <v>0.05</v>
      </c>
      <c r="U80" s="90">
        <f>'Common input data'!B$104+'Common input data'!C$104</f>
        <v>0.32999999999999996</v>
      </c>
      <c r="V80" s="430"/>
      <c r="W80" s="243"/>
      <c r="Z80" s="64"/>
    </row>
    <row r="81" spans="1:258" s="308" customFormat="1" ht="17.399999999999999" x14ac:dyDescent="0.3">
      <c r="A81" s="144"/>
      <c r="B81" s="84"/>
      <c r="C81" s="142"/>
      <c r="D81" s="83" t="s">
        <v>165</v>
      </c>
      <c r="E81" s="270">
        <f>SUM(J81:K81)</f>
        <v>0</v>
      </c>
      <c r="F81" s="90">
        <f>SUM(H81:O81)</f>
        <v>3.1844436160757525E-6</v>
      </c>
      <c r="G81" s="278">
        <f>SUM(S81:U81)/(1-'Common input data'!$F$121)</f>
        <v>4.9142648396230738E-6</v>
      </c>
      <c r="H81" s="85">
        <f>('Input data plant-based products'!$F$71*('Common input data'!$D$76*'Common input data'!B70+'Common input data'!$D$77*'Common input data'!C70))/'Input data plant-based products'!$E$71</f>
        <v>2.4398342927852797E-11</v>
      </c>
      <c r="I81" s="90">
        <v>0</v>
      </c>
      <c r="J81" s="85">
        <v>0</v>
      </c>
      <c r="K81" s="90">
        <v>0</v>
      </c>
      <c r="L81" s="85">
        <f>('Input data plant-based products'!$I$71*'Common input data'!$C$59*'Common input data'!H50)/'Input data plant-based products'!$E$71</f>
        <v>3.1844192177328246E-6</v>
      </c>
      <c r="M81" s="90">
        <v>0</v>
      </c>
      <c r="N81" s="90">
        <v>0</v>
      </c>
      <c r="O81" s="90">
        <v>0</v>
      </c>
      <c r="P81" s="90">
        <v>0</v>
      </c>
      <c r="Q81" s="90">
        <v>0</v>
      </c>
      <c r="R81" s="90">
        <v>0</v>
      </c>
      <c r="S81" s="90">
        <f>F81+R81</f>
        <v>3.1844436160757525E-6</v>
      </c>
      <c r="T81" s="90">
        <v>0</v>
      </c>
      <c r="U81" s="90">
        <v>0</v>
      </c>
      <c r="V81" s="430"/>
      <c r="W81" s="243"/>
      <c r="Z81" s="64"/>
    </row>
    <row r="82" spans="1:258" s="308" customFormat="1" ht="17.399999999999999" x14ac:dyDescent="0.3">
      <c r="A82" s="107"/>
      <c r="B82" s="206"/>
      <c r="C82" s="85"/>
      <c r="D82" s="84" t="s">
        <v>166</v>
      </c>
      <c r="E82" s="270">
        <f>SUM(J82:K82)</f>
        <v>3.6269589344318994E-5</v>
      </c>
      <c r="F82" s="90">
        <f>SUM(H82:O82)</f>
        <v>6.4676764050675012E-5</v>
      </c>
      <c r="G82" s="278">
        <f>SUM(S82:U82)/(1-'Common input data'!$F$121)</f>
        <v>9.9809821065856478E-5</v>
      </c>
      <c r="H82" s="85">
        <f>('Input data plant-based products'!$F$71*('Common input data'!$D$76*'Common input data'!B71+'Common input data'!$D$77*'Common input data'!C71))/'Input data plant-based products'!$E$71</f>
        <v>2.8214007438911037E-5</v>
      </c>
      <c r="I82" s="85">
        <v>0</v>
      </c>
      <c r="J82" s="85">
        <f>(SUM('Input data plant-based products'!F71:H71)*'Input data plant-based products'!$B$114*44/28)/'Input data plant-based products'!E71</f>
        <v>3.2972353949380902E-5</v>
      </c>
      <c r="K82" s="90">
        <f>J82*'Input data plant-based products'!$B$115</f>
        <v>3.2972353949380905E-6</v>
      </c>
      <c r="L82" s="85">
        <f>('Input data plant-based products'!$I$71*'Common input data'!$C$59*'Common input data'!H51)/'Input data plant-based products'!$E$71</f>
        <v>1.9316726744498846E-7</v>
      </c>
      <c r="M82" s="90">
        <v>0</v>
      </c>
      <c r="N82" s="90">
        <v>0</v>
      </c>
      <c r="O82" s="90">
        <v>0</v>
      </c>
      <c r="P82" s="90">
        <v>0</v>
      </c>
      <c r="Q82" s="90">
        <v>0</v>
      </c>
      <c r="R82" s="90">
        <v>0</v>
      </c>
      <c r="S82" s="90">
        <f>F82+R82</f>
        <v>6.4676764050675012E-5</v>
      </c>
      <c r="T82" s="90">
        <v>0</v>
      </c>
      <c r="U82" s="90">
        <v>0</v>
      </c>
      <c r="V82" s="430"/>
      <c r="W82" s="243"/>
      <c r="Z82" s="64"/>
    </row>
    <row r="83" spans="1:258" s="420" customFormat="1" ht="17.399999999999999" x14ac:dyDescent="0.3">
      <c r="A83" s="143" t="s">
        <v>67</v>
      </c>
      <c r="B83" s="150" t="s">
        <v>225</v>
      </c>
      <c r="C83" s="104">
        <f>'Input data plant-based products'!D72</f>
        <v>0.48</v>
      </c>
      <c r="D83" s="269" t="s">
        <v>473</v>
      </c>
      <c r="E83" s="320">
        <f>IF($F$1="GWP100 without fb",E84+E85*'Common input data'!$C$5+E86*'Common input data'!$D$5,IF($F$1="GWP100 with fb",E84+E85*'Common input data'!$C$6+E86*'Common input data'!$D$6,IF($F$1="GTP100 without fb",E84+E85*'Common input data'!$C$7+E86*'Common input data'!$D$7,IF($F$1="GTP100 with fb",E84+E85*'Common input data'!$C$8+E86*'Common input data'!$D$8,E84+E85*'Common input data'!$C$9+E86*'Common input data'!$D$9))))</f>
        <v>-8.0357353103553075E-2</v>
      </c>
      <c r="F83" s="302">
        <f>IF($F$1="GWP100 without fb",F84+F85*'Common input data'!$C$5+F86*'Common input data'!$D$5,IF($F$1="GWP100 with fb",F84+F85*'Common input data'!$C$6+F86*'Common input data'!$D$6,IF($F$1="GTP100 without fb",F84+F85*'Common input data'!$C$7+F86*'Common input data'!$D$7,IF($F$1="GTP100 with fb",F84+F85*'Common input data'!$C$8+F86*'Common input data'!$D$8,F84+F85*'Common input data'!$C$9+F86*'Common input data'!$D$9))))</f>
        <v>2.5769889469119761E-2</v>
      </c>
      <c r="G83" s="321">
        <f>IF($F$1="GWP100 without fb",G84+G85*'Common input data'!$C$5+G86*'Common input data'!$D$5,IF($F$1="GWP100 with fb",G84+G85*'Common input data'!$C$6+G86*'Common input data'!$D$6,IF($F$1="GTP100 without fb",G84+G85*'Common input data'!$C$7+G86*'Common input data'!$D$7,IF($F$1="GTP100 with fb",G84+G85*'Common input data'!$C$8+G86*'Common input data'!$D$8,G84+G85*'Common input data'!$C$9+G86*'Common input data'!$D$9))))</f>
        <v>0.69401433869740348</v>
      </c>
      <c r="H83" s="102"/>
      <c r="I83" s="102"/>
      <c r="J83" s="102"/>
      <c r="K83" s="102"/>
      <c r="L83" s="102"/>
      <c r="M83" s="102"/>
      <c r="N83" s="102"/>
      <c r="O83" s="102"/>
      <c r="P83" s="102"/>
      <c r="Q83" s="102"/>
      <c r="R83" s="102"/>
      <c r="S83" s="102"/>
      <c r="T83" s="102"/>
      <c r="U83" s="102"/>
      <c r="V83" s="430"/>
      <c r="W83" s="243"/>
      <c r="X83" s="308"/>
      <c r="Y83" s="308"/>
      <c r="Z83" s="64"/>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c r="BP83" s="308"/>
      <c r="BQ83" s="308"/>
      <c r="BR83" s="308"/>
      <c r="BS83" s="308"/>
      <c r="BT83" s="308"/>
      <c r="BU83" s="308"/>
      <c r="BV83" s="308"/>
      <c r="BW83" s="308"/>
      <c r="BX83" s="308"/>
      <c r="BY83" s="308"/>
      <c r="BZ83" s="308"/>
      <c r="CA83" s="308"/>
      <c r="CB83" s="308"/>
      <c r="CC83" s="308"/>
      <c r="CD83" s="308"/>
      <c r="CE83" s="308"/>
      <c r="CF83" s="308"/>
      <c r="CG83" s="308"/>
      <c r="CH83" s="308"/>
      <c r="CI83" s="308"/>
      <c r="CJ83" s="308"/>
      <c r="CK83" s="308"/>
      <c r="CL83" s="308"/>
      <c r="CM83" s="308"/>
      <c r="CN83" s="308"/>
      <c r="CO83" s="308"/>
      <c r="CP83" s="308"/>
      <c r="CQ83" s="308"/>
      <c r="CR83" s="308"/>
      <c r="CS83" s="308"/>
      <c r="CT83" s="308"/>
      <c r="CU83" s="308"/>
      <c r="CV83" s="308"/>
      <c r="CW83" s="308"/>
      <c r="CX83" s="308"/>
      <c r="CY83" s="308"/>
      <c r="CZ83" s="308"/>
      <c r="DA83" s="308"/>
      <c r="DB83" s="308"/>
      <c r="DC83" s="308"/>
      <c r="DD83" s="308"/>
      <c r="DE83" s="308"/>
      <c r="DF83" s="308"/>
      <c r="DG83" s="308"/>
      <c r="DH83" s="308"/>
      <c r="DI83" s="308"/>
      <c r="DJ83" s="308"/>
      <c r="DK83" s="308"/>
      <c r="DL83" s="308"/>
      <c r="DM83" s="308"/>
      <c r="DN83" s="308"/>
      <c r="DO83" s="308"/>
      <c r="DP83" s="308"/>
      <c r="DQ83" s="308"/>
      <c r="DR83" s="308"/>
      <c r="DS83" s="308"/>
      <c r="DT83" s="308"/>
      <c r="DU83" s="308"/>
      <c r="DV83" s="308"/>
      <c r="DW83" s="308"/>
      <c r="DX83" s="308"/>
      <c r="DY83" s="308"/>
      <c r="DZ83" s="308"/>
      <c r="EA83" s="308"/>
      <c r="EB83" s="308"/>
      <c r="EC83" s="308"/>
      <c r="ED83" s="308"/>
      <c r="EE83" s="308"/>
      <c r="EF83" s="308"/>
      <c r="EG83" s="308"/>
      <c r="EH83" s="308"/>
      <c r="EI83" s="308"/>
      <c r="EJ83" s="308"/>
      <c r="EK83" s="308"/>
      <c r="EL83" s="308"/>
      <c r="EM83" s="308"/>
      <c r="EN83" s="308"/>
      <c r="EO83" s="308"/>
      <c r="EP83" s="308"/>
      <c r="EQ83" s="308"/>
      <c r="ER83" s="308"/>
      <c r="ES83" s="308"/>
      <c r="ET83" s="308"/>
      <c r="EU83" s="308"/>
      <c r="EV83" s="308"/>
      <c r="EW83" s="308"/>
      <c r="EX83" s="308"/>
      <c r="EY83" s="308"/>
      <c r="EZ83" s="308"/>
      <c r="FA83" s="308"/>
      <c r="FB83" s="308"/>
      <c r="FC83" s="308"/>
      <c r="FD83" s="308"/>
      <c r="FE83" s="308"/>
      <c r="FF83" s="308"/>
      <c r="FG83" s="308"/>
      <c r="FH83" s="308"/>
      <c r="FI83" s="308"/>
      <c r="FJ83" s="308"/>
      <c r="FK83" s="308"/>
      <c r="FL83" s="308"/>
      <c r="FM83" s="308"/>
      <c r="FN83" s="308"/>
      <c r="FO83" s="308"/>
      <c r="FP83" s="308"/>
      <c r="FQ83" s="308"/>
      <c r="FR83" s="308"/>
      <c r="FS83" s="308"/>
      <c r="FT83" s="308"/>
      <c r="FU83" s="308"/>
      <c r="FV83" s="308"/>
      <c r="FW83" s="308"/>
      <c r="FX83" s="308"/>
      <c r="FY83" s="308"/>
      <c r="FZ83" s="308"/>
      <c r="GA83" s="308"/>
      <c r="GB83" s="308"/>
      <c r="GC83" s="308"/>
      <c r="GD83" s="308"/>
      <c r="GE83" s="308"/>
      <c r="GF83" s="308"/>
      <c r="GG83" s="308"/>
      <c r="GH83" s="308"/>
      <c r="GI83" s="308"/>
      <c r="GJ83" s="308"/>
      <c r="GK83" s="308"/>
      <c r="GL83" s="308"/>
      <c r="GM83" s="308"/>
      <c r="GN83" s="308"/>
      <c r="GO83" s="308"/>
      <c r="GP83" s="308"/>
      <c r="GQ83" s="308"/>
      <c r="GR83" s="308"/>
      <c r="GS83" s="308"/>
      <c r="GT83" s="308"/>
      <c r="GU83" s="308"/>
      <c r="GV83" s="308"/>
      <c r="GW83" s="308"/>
      <c r="GX83" s="308"/>
      <c r="GY83" s="308"/>
      <c r="GZ83" s="308"/>
      <c r="HA83" s="308"/>
      <c r="HB83" s="308"/>
      <c r="HC83" s="308"/>
      <c r="HD83" s="308"/>
      <c r="HE83" s="308"/>
      <c r="HF83" s="308"/>
      <c r="HG83" s="308"/>
      <c r="HH83" s="308"/>
      <c r="HI83" s="308"/>
      <c r="HJ83" s="308"/>
      <c r="HK83" s="308"/>
      <c r="HL83" s="308"/>
      <c r="HM83" s="308"/>
      <c r="HN83" s="308"/>
      <c r="HO83" s="308"/>
      <c r="HP83" s="308"/>
      <c r="HQ83" s="308"/>
      <c r="HR83" s="308"/>
      <c r="HS83" s="308"/>
      <c r="HT83" s="308"/>
      <c r="HU83" s="308"/>
      <c r="HV83" s="308"/>
      <c r="HW83" s="308"/>
      <c r="HX83" s="308"/>
      <c r="HY83" s="308"/>
      <c r="HZ83" s="308"/>
      <c r="IA83" s="308"/>
      <c r="IB83" s="308"/>
      <c r="IC83" s="308"/>
      <c r="ID83" s="308"/>
      <c r="IE83" s="308"/>
      <c r="IF83" s="308"/>
      <c r="IG83" s="308"/>
      <c r="IH83" s="308"/>
      <c r="II83" s="308"/>
      <c r="IJ83" s="308"/>
      <c r="IK83" s="308"/>
      <c r="IL83" s="308"/>
      <c r="IM83" s="308"/>
      <c r="IN83" s="308"/>
      <c r="IO83" s="308"/>
      <c r="IP83" s="308"/>
      <c r="IQ83" s="308"/>
      <c r="IR83" s="308"/>
      <c r="IS83" s="308"/>
      <c r="IT83" s="308"/>
      <c r="IU83" s="308"/>
      <c r="IV83" s="308"/>
      <c r="IW83" s="308"/>
      <c r="IX83" s="308"/>
    </row>
    <row r="84" spans="1:258" s="308" customFormat="1" ht="17.399999999999999" x14ac:dyDescent="0.3">
      <c r="A84" s="144"/>
      <c r="B84" s="84"/>
      <c r="C84" s="64"/>
      <c r="D84" s="83" t="s">
        <v>164</v>
      </c>
      <c r="E84" s="270">
        <f>IF(AND($F$2="No",$F$3="No"),SUM(J84:K84),IF(AND($F$2="Yes", $F$3="No"), SUM(J84:K84)+Q84, IF(AND($F$2="No", $F$3="Yes"),SUM(J84:K84)+P84, SUM(J84:K84)+Q84+P84)))</f>
        <v>-9.1139048141381296E-2</v>
      </c>
      <c r="F84" s="90">
        <f>IF(AND($F$2="No",$F$3="No"),SUM(H84:O84),IF(AND($F$2="Yes", $F$3="No"), SUM(H84:O84)+Q84, IF(AND($F$2="No", $F$3="Yes"),SUM(H84:O84)+P84, SUM(H84:O84)+Q84+P84)))</f>
        <v>6.3205755126322649E-3</v>
      </c>
      <c r="G84" s="278">
        <f>SUM(S84:U84)/(1-'Common input data'!$H$121)</f>
        <v>0.66732610943607262</v>
      </c>
      <c r="H84" s="85">
        <f>('Input data plant-based products'!$F$72*('Common input data'!$D$76*'Common input data'!B69+'Common input data'!$D$77*'Common input data'!C69))/'Input data plant-based products'!$E$72</f>
        <v>4.451523965540027E-3</v>
      </c>
      <c r="I84" s="90">
        <f>'Common input data'!$B$81</f>
        <v>0.03</v>
      </c>
      <c r="J84" s="85">
        <v>0</v>
      </c>
      <c r="K84" s="90">
        <v>0</v>
      </c>
      <c r="L84" s="85">
        <f>('Input data plant-based products'!$I$72*'Common input data'!$C$59*'Common input data'!H49)/'Input data plant-based products'!$E$72</f>
        <v>1.3008099688473522E-2</v>
      </c>
      <c r="M84" s="90">
        <v>0</v>
      </c>
      <c r="N84" s="90">
        <f>'Input data plant-based products'!F$152</f>
        <v>0.05</v>
      </c>
      <c r="O84" s="90">
        <v>0</v>
      </c>
      <c r="P84" s="90">
        <f>'Common input data'!$F$13</f>
        <v>-9.1139048141381296E-2</v>
      </c>
      <c r="Q84" s="90">
        <v>0</v>
      </c>
      <c r="R84" s="90">
        <v>0</v>
      </c>
      <c r="S84" s="90">
        <f>F84+R84</f>
        <v>6.3205755126322649E-3</v>
      </c>
      <c r="T84" s="90">
        <f>'Common input data'!$B$88</f>
        <v>0.05</v>
      </c>
      <c r="U84" s="85">
        <f>'Common input data'!B108+'Common input data'!C108</f>
        <v>0.43000000000000005</v>
      </c>
      <c r="V84" s="430"/>
      <c r="W84" s="243"/>
      <c r="Z84" s="64"/>
    </row>
    <row r="85" spans="1:258" s="308" customFormat="1" ht="17.399999999999999" x14ac:dyDescent="0.3">
      <c r="A85" s="107"/>
      <c r="B85" s="84"/>
      <c r="C85" s="142"/>
      <c r="D85" s="83" t="s">
        <v>165</v>
      </c>
      <c r="E85" s="270">
        <f>SUM(J85:K85)</f>
        <v>0</v>
      </c>
      <c r="F85" s="90">
        <f>SUM(H85:O85)</f>
        <v>5.762173814310749E-6</v>
      </c>
      <c r="G85" s="278">
        <f>SUM(S85:U85)/(1-'Common input data'!$H$121)</f>
        <v>7.9068195487001867E-6</v>
      </c>
      <c r="H85" s="85">
        <f>('Input data plant-based products'!$F$72*('Common input data'!$D$76*'Common input data'!B70+'Common input data'!$D$77*'Common input data'!C70))/'Input data plant-based products'!$E$72</f>
        <v>2.4281600467289717E-11</v>
      </c>
      <c r="I85" s="85">
        <v>0</v>
      </c>
      <c r="J85" s="85">
        <v>0</v>
      </c>
      <c r="K85" s="85">
        <v>0</v>
      </c>
      <c r="L85" s="85">
        <f>('Input data plant-based products'!$I$72*'Common input data'!$C$59*'Common input data'!H50)/'Input data plant-based products'!$E$72</f>
        <v>5.762149532710282E-6</v>
      </c>
      <c r="M85" s="90">
        <v>0</v>
      </c>
      <c r="N85" s="90">
        <v>0</v>
      </c>
      <c r="O85" s="90">
        <v>0</v>
      </c>
      <c r="P85" s="90">
        <v>0</v>
      </c>
      <c r="Q85" s="90">
        <v>0</v>
      </c>
      <c r="R85" s="90">
        <v>0</v>
      </c>
      <c r="S85" s="90">
        <f>F85+R85</f>
        <v>5.762173814310749E-6</v>
      </c>
      <c r="T85" s="90">
        <v>0</v>
      </c>
      <c r="U85" s="90">
        <v>0</v>
      </c>
      <c r="V85" s="430"/>
      <c r="W85" s="243"/>
      <c r="Z85" s="64"/>
    </row>
    <row r="86" spans="1:258" s="308" customFormat="1" ht="17.399999999999999" x14ac:dyDescent="0.3">
      <c r="A86" s="174"/>
      <c r="B86" s="206"/>
      <c r="C86" s="85"/>
      <c r="D86" s="84" t="s">
        <v>166</v>
      </c>
      <c r="E86" s="780">
        <f>SUM(J86:K86)</f>
        <v>3.6180184690698705E-5</v>
      </c>
      <c r="F86" s="108">
        <f>SUM(H86:O86)</f>
        <v>6.4608724989264872E-5</v>
      </c>
      <c r="G86" s="521">
        <f>SUM(S86:U86)/(1-'Common input data'!$H$121)</f>
        <v>8.8655695961996906E-5</v>
      </c>
      <c r="H86" s="85">
        <f>('Input data plant-based products'!$F$72*('Common input data'!$D$76*'Common input data'!B71+'Common input data'!$D$77*'Common input data'!C71))/'Input data plant-based products'!$E$72</f>
        <v>2.8079007588285794E-5</v>
      </c>
      <c r="I86" s="85">
        <v>0</v>
      </c>
      <c r="J86" s="85">
        <f>(SUM('Input data plant-based products'!F72:H72)*'Input data plant-based products'!$B$114*44/28)/'Input data plant-based products'!E72</f>
        <v>3.2891076991544278E-5</v>
      </c>
      <c r="K86" s="90">
        <f>J86*'Input data plant-based products'!$B$115</f>
        <v>3.2891076991544281E-6</v>
      </c>
      <c r="L86" s="85">
        <f>('Input data plant-based products'!$I$72*'Common input data'!$C$59*'Common input data'!H51)/'Input data plant-based products'!$E$72</f>
        <v>3.4953271028037391E-7</v>
      </c>
      <c r="M86" s="90">
        <v>0</v>
      </c>
      <c r="N86" s="90">
        <v>0</v>
      </c>
      <c r="O86" s="90">
        <v>0</v>
      </c>
      <c r="P86" s="90">
        <v>0</v>
      </c>
      <c r="Q86" s="90">
        <v>0</v>
      </c>
      <c r="R86" s="90">
        <v>0</v>
      </c>
      <c r="S86" s="90">
        <f>F86+R86</f>
        <v>6.4608724989264872E-5</v>
      </c>
      <c r="T86" s="90">
        <v>0</v>
      </c>
      <c r="U86" s="90">
        <v>0</v>
      </c>
      <c r="V86" s="430"/>
      <c r="W86" s="243"/>
      <c r="Z86" s="64"/>
    </row>
    <row r="87" spans="1:258" s="308" customFormat="1" ht="17.399999999999999" x14ac:dyDescent="0.3">
      <c r="A87" s="426" t="s">
        <v>601</v>
      </c>
      <c r="B87" s="412"/>
      <c r="C87" s="413"/>
      <c r="D87" s="414"/>
      <c r="E87" s="767" t="s">
        <v>826</v>
      </c>
      <c r="F87" s="768" t="s">
        <v>826</v>
      </c>
      <c r="G87" s="590" t="s">
        <v>826</v>
      </c>
      <c r="H87" s="413"/>
      <c r="I87" s="413"/>
      <c r="J87" s="413"/>
      <c r="K87" s="416"/>
      <c r="L87" s="416"/>
      <c r="M87" s="417"/>
      <c r="N87" s="416"/>
      <c r="O87" s="416"/>
      <c r="P87" s="416"/>
      <c r="Q87" s="416"/>
      <c r="R87" s="416"/>
      <c r="S87" s="416"/>
      <c r="T87" s="416"/>
      <c r="U87" s="416"/>
      <c r="V87" s="430"/>
      <c r="W87" s="243"/>
      <c r="Z87" s="64"/>
    </row>
    <row r="88" spans="1:258" s="308" customFormat="1" ht="17.399999999999999" x14ac:dyDescent="0.3">
      <c r="A88" s="122" t="s">
        <v>249</v>
      </c>
      <c r="B88" s="150"/>
      <c r="C88" s="112">
        <f>SUM(C92:C99)</f>
        <v>1</v>
      </c>
      <c r="D88" s="269" t="s">
        <v>473</v>
      </c>
      <c r="E88" s="769">
        <f>IF($F$1="GWP100 without fb",E89+E90*'Common input data'!$C$5+E91*'Common input data'!$D$5,IF($F$1="GWP100 with fb",E89+E90*'Common input data'!$C$6+E91*'Common input data'!$D$6,IF($F$1="GTP100 without fb",E89+E90*'Common input data'!$C$7+E91*'Common input data'!$D$7,IF($F$1="GTP100 with fb",E89+E90*'Common input data'!$C$8+E91*'Common input data'!$D$8,E89+E90*'Common input data'!$C$9+E91*'Common input data'!$D$9))))</f>
        <v>-3.3708608273529943E-2</v>
      </c>
      <c r="F88" s="326">
        <f>IF($F$1="GWP100 without fb",F89+F90*'Common input data'!$C$5+F91*'Common input data'!$D$5,IF($F$1="GWP100 with fb",F89+F90*'Common input data'!$C$6+F91*'Common input data'!$D$6,IF($F$1="GTP100 without fb",F89+F90*'Common input data'!$C$7+F91*'Common input data'!$D$7,IF($F$1="GTP100 with fb",F89+F90*'Common input data'!$C$8+F91*'Common input data'!$D$8,F89+F90*'Common input data'!$C$9+F91*'Common input data'!$D$9))))</f>
        <v>0.15662907649095659</v>
      </c>
      <c r="G88" s="770">
        <f>IF($F$1="GWP100 without fb",G89+G90*'Common input data'!$C$5+G91*'Common input data'!$D$5,IF($F$1="GWP100 with fb",G89+G90*'Common input data'!$C$6+G91*'Common input data'!$D$6,IF($F$1="GTP100 without fb",G89+G90*'Common input data'!$C$7+G91*'Common input data'!$D$7,IF($F$1="GTP100 with fb",G89+G90*'Common input data'!$C$8+G91*'Common input data'!$D$8,G89+G90*'Common input data'!$C$9+G91*'Common input data'!$D$9))))</f>
        <v>0.72861435320392642</v>
      </c>
      <c r="H88" s="302"/>
      <c r="I88" s="104"/>
      <c r="J88" s="104"/>
      <c r="K88" s="102"/>
      <c r="L88" s="102"/>
      <c r="M88" s="102"/>
      <c r="N88" s="102"/>
      <c r="O88" s="102"/>
      <c r="P88" s="102"/>
      <c r="Q88" s="102"/>
      <c r="R88" s="102"/>
      <c r="S88" s="102"/>
      <c r="T88" s="102"/>
      <c r="U88" s="102"/>
      <c r="V88" s="430"/>
      <c r="W88" s="243"/>
      <c r="Z88" s="64"/>
    </row>
    <row r="89" spans="1:258" s="308" customFormat="1" ht="17.399999999999999" x14ac:dyDescent="0.3">
      <c r="A89" s="103"/>
      <c r="B89" s="84"/>
      <c r="C89" s="64"/>
      <c r="D89" s="83" t="s">
        <v>164</v>
      </c>
      <c r="E89" s="270">
        <f t="shared" ref="E89:G91" si="8">E93*$C$92+E97*$C$96</f>
        <v>-9.1139048141381296E-2</v>
      </c>
      <c r="F89" s="90">
        <f t="shared" si="8"/>
        <v>4.6181512423877621E-2</v>
      </c>
      <c r="G89" s="278">
        <f t="shared" si="8"/>
        <v>0.58558163519846063</v>
      </c>
      <c r="H89" s="90">
        <f t="shared" ref="H89:U89" si="9">H93*$C$92+H97*$C$96</f>
        <v>2.9652186633717437E-2</v>
      </c>
      <c r="I89" s="90">
        <f t="shared" si="9"/>
        <v>2.9999999999999995E-2</v>
      </c>
      <c r="J89" s="90">
        <f t="shared" si="9"/>
        <v>0</v>
      </c>
      <c r="K89" s="90">
        <f t="shared" si="9"/>
        <v>0</v>
      </c>
      <c r="L89" s="90">
        <f t="shared" si="9"/>
        <v>2.7668373931541472E-2</v>
      </c>
      <c r="M89" s="90">
        <f t="shared" si="9"/>
        <v>0</v>
      </c>
      <c r="N89" s="90">
        <f t="shared" si="9"/>
        <v>0.05</v>
      </c>
      <c r="O89" s="90">
        <f t="shared" si="9"/>
        <v>0</v>
      </c>
      <c r="P89" s="90">
        <f t="shared" si="9"/>
        <v>-9.1139048141381296E-2</v>
      </c>
      <c r="Q89" s="90">
        <f t="shared" si="9"/>
        <v>0</v>
      </c>
      <c r="R89" s="90">
        <f t="shared" si="9"/>
        <v>0</v>
      </c>
      <c r="S89" s="90">
        <f t="shared" si="9"/>
        <v>4.6181512423877621E-2</v>
      </c>
      <c r="T89" s="90">
        <f t="shared" si="9"/>
        <v>0.05</v>
      </c>
      <c r="U89" s="90">
        <f t="shared" si="9"/>
        <v>0.34800000000000003</v>
      </c>
      <c r="V89" s="430"/>
      <c r="W89" s="243"/>
      <c r="Z89" s="64"/>
    </row>
    <row r="90" spans="1:258" s="308" customFormat="1" ht="17.399999999999999" x14ac:dyDescent="0.3">
      <c r="A90" s="103"/>
      <c r="B90" s="84"/>
      <c r="C90" s="142"/>
      <c r="D90" s="83" t="s">
        <v>165</v>
      </c>
      <c r="E90" s="270">
        <f t="shared" si="8"/>
        <v>0</v>
      </c>
      <c r="F90" s="90">
        <f t="shared" si="8"/>
        <v>1.2256304488754398E-5</v>
      </c>
      <c r="G90" s="278">
        <f t="shared" si="8"/>
        <v>1.6004432848185684E-5</v>
      </c>
      <c r="H90" s="90">
        <f t="shared" ref="H90:U90" si="10">H94*$C$92+H98*$C$96</f>
        <v>1.4780648701279984E-10</v>
      </c>
      <c r="I90" s="90">
        <f t="shared" si="10"/>
        <v>0</v>
      </c>
      <c r="J90" s="90">
        <f t="shared" si="10"/>
        <v>0</v>
      </c>
      <c r="K90" s="90">
        <f t="shared" si="10"/>
        <v>0</v>
      </c>
      <c r="L90" s="90">
        <f t="shared" si="10"/>
        <v>1.2256156682267386E-5</v>
      </c>
      <c r="M90" s="90">
        <f t="shared" si="10"/>
        <v>0</v>
      </c>
      <c r="N90" s="90">
        <f t="shared" si="10"/>
        <v>0</v>
      </c>
      <c r="O90" s="90">
        <f t="shared" si="10"/>
        <v>0</v>
      </c>
      <c r="P90" s="90">
        <f t="shared" si="10"/>
        <v>0</v>
      </c>
      <c r="Q90" s="90">
        <f t="shared" si="10"/>
        <v>0</v>
      </c>
      <c r="R90" s="90">
        <f t="shared" si="10"/>
        <v>0</v>
      </c>
      <c r="S90" s="90">
        <f t="shared" si="10"/>
        <v>1.2256304488754398E-5</v>
      </c>
      <c r="T90" s="90">
        <f t="shared" si="10"/>
        <v>0</v>
      </c>
      <c r="U90" s="90">
        <f t="shared" si="10"/>
        <v>0</v>
      </c>
      <c r="V90" s="430"/>
      <c r="W90" s="243"/>
      <c r="Z90" s="64"/>
    </row>
    <row r="91" spans="1:258" s="308" customFormat="1" ht="17.399999999999999" x14ac:dyDescent="0.3">
      <c r="A91" s="107"/>
      <c r="B91" s="206"/>
      <c r="C91" s="85"/>
      <c r="D91" s="84" t="s">
        <v>166</v>
      </c>
      <c r="E91" s="270">
        <f t="shared" si="8"/>
        <v>1.927195968719844E-4</v>
      </c>
      <c r="F91" s="90">
        <f t="shared" si="8"/>
        <v>3.6923103931027284E-4</v>
      </c>
      <c r="G91" s="278">
        <f t="shared" si="8"/>
        <v>4.781495546598238E-4</v>
      </c>
      <c r="H91" s="90">
        <f t="shared" ref="H91:U91" si="11">H95*$C$92+H99*$C$96</f>
        <v>1.7576798244328917E-4</v>
      </c>
      <c r="I91" s="90">
        <f t="shared" si="11"/>
        <v>0</v>
      </c>
      <c r="J91" s="90">
        <f t="shared" si="11"/>
        <v>1.7519963351998578E-4</v>
      </c>
      <c r="K91" s="90">
        <f t="shared" si="11"/>
        <v>1.7519963351998582E-5</v>
      </c>
      <c r="L91" s="90">
        <f t="shared" si="11"/>
        <v>7.4345999499927038E-7</v>
      </c>
      <c r="M91" s="90">
        <f t="shared" si="11"/>
        <v>0</v>
      </c>
      <c r="N91" s="90">
        <f t="shared" si="11"/>
        <v>0</v>
      </c>
      <c r="O91" s="90">
        <f t="shared" si="11"/>
        <v>0</v>
      </c>
      <c r="P91" s="90">
        <f t="shared" si="11"/>
        <v>0</v>
      </c>
      <c r="Q91" s="90">
        <f t="shared" si="11"/>
        <v>0</v>
      </c>
      <c r="R91" s="90">
        <f t="shared" si="11"/>
        <v>0</v>
      </c>
      <c r="S91" s="90">
        <f t="shared" si="11"/>
        <v>3.6923103931027284E-4</v>
      </c>
      <c r="T91" s="90">
        <f t="shared" si="11"/>
        <v>0</v>
      </c>
      <c r="U91" s="90">
        <f t="shared" si="11"/>
        <v>0</v>
      </c>
      <c r="V91" s="430"/>
      <c r="W91" s="243"/>
      <c r="Z91" s="64"/>
    </row>
    <row r="92" spans="1:258" s="308" customFormat="1" ht="17.399999999999999" x14ac:dyDescent="0.3">
      <c r="A92" s="122" t="s">
        <v>74</v>
      </c>
      <c r="B92" s="150" t="s">
        <v>225</v>
      </c>
      <c r="C92" s="111">
        <f>'Input data plant-based products'!D95</f>
        <v>0.41</v>
      </c>
      <c r="D92" s="269" t="s">
        <v>473</v>
      </c>
      <c r="E92" s="320">
        <f>IF($F$1="GWP100 without fb",E93+E94*'Common input data'!$C$5+E95*'Common input data'!$D$5,IF($F$1="GWP100 with fb",E93+E94*'Common input data'!$C$6+E95*'Common input data'!$D$6,IF($F$1="GTP100 without fb",E93+E94*'Common input data'!$C$7+E95*'Common input data'!$D$7,IF($F$1="GTP100 with fb",E93+E94*'Common input data'!$C$8+E95*'Common input data'!$D$8,E93+E94*'Common input data'!$C$9+E95*'Common input data'!$D$9))))</f>
        <v>-2.8334961723695817E-2</v>
      </c>
      <c r="F92" s="302">
        <f>IF($F$1="GWP100 without fb",F93+F94*'Common input data'!$C$5+F95*'Common input data'!$D$5,IF($F$1="GWP100 with fb",F93+F94*'Common input data'!$C$6+F95*'Common input data'!$D$6,IF($F$1="GTP100 without fb",F93+F94*'Common input data'!$C$7+F95*'Common input data'!$D$7,IF($F$1="GTP100 with fb",F93+F94*'Common input data'!$C$8+F95*'Common input data'!$D$8,F93+F94*'Common input data'!$C$9+F95*'Common input data'!$D$9))))</f>
        <v>0.16273801403227628</v>
      </c>
      <c r="G92" s="321">
        <f>IF($F$1="GWP100 without fb",G93+G94*'Common input data'!$C$5+G95*'Common input data'!$D$5,IF($F$1="GWP100 with fb",G93+G94*'Common input data'!$C$6+G95*'Common input data'!$D$6,IF($F$1="GTP100 without fb",G93+G94*'Common input data'!$C$7+G95*'Common input data'!$D$7,IF($F$1="GTP100 with fb",G93+G94*'Common input data'!$C$8+G95*'Common input data'!$D$8,G93+G94*'Common input data'!$C$9+G95*'Common input data'!$D$9))))</f>
        <v>0.52839003942269525</v>
      </c>
      <c r="H92" s="102"/>
      <c r="I92" s="102"/>
      <c r="J92" s="102"/>
      <c r="K92" s="102"/>
      <c r="L92" s="102"/>
      <c r="M92" s="102"/>
      <c r="N92" s="102"/>
      <c r="O92" s="102"/>
      <c r="P92" s="102"/>
      <c r="Q92" s="102"/>
      <c r="R92" s="102"/>
      <c r="S92" s="102"/>
      <c r="T92" s="102"/>
      <c r="U92" s="102"/>
      <c r="V92" s="430"/>
      <c r="W92" s="243"/>
      <c r="Z92" s="64"/>
    </row>
    <row r="93" spans="1:258" s="308" customFormat="1" ht="17.399999999999999" x14ac:dyDescent="0.3">
      <c r="A93" s="103"/>
      <c r="B93" s="84"/>
      <c r="C93" s="64"/>
      <c r="D93" s="83" t="s">
        <v>164</v>
      </c>
      <c r="E93" s="270">
        <f>IF(AND($F$2="No",$F$3="No"),SUM(J93:K93),IF(AND($F$2="Yes", $F$3="No"), SUM(J93:K93)+Q93, IF(AND($F$2="No", $F$3="Yes"),SUM(J93:K93)+P93, SUM(J93:K93)+Q93+P93)))</f>
        <v>-9.1139048141381296E-2</v>
      </c>
      <c r="F93" s="90">
        <f>IF(AND($F$2="No",$F$3="No"),SUM(H93:O93),IF(AND($F$2="Yes", $F$3="No"), SUM(H93:O93)+Q93, IF(AND($F$2="No", $F$3="Yes"),SUM(H93:O93)+P93, SUM(H93:O93)+Q93+P93)))</f>
        <v>4.6435595803887564E-2</v>
      </c>
      <c r="G93" s="278">
        <f>SUM(S93:U93)/(1-'Common input data'!$B$121)</f>
        <v>0.38958777396334598</v>
      </c>
      <c r="H93" s="90">
        <f>('Input data plant-based products'!$F$95*('Common input data'!$C$76*'Common input data'!B69+'Common input data'!$C$77*'Common input data'!C69))/'Input data plant-based products'!$E$95</f>
        <v>3.251125355839897E-2</v>
      </c>
      <c r="I93" s="90">
        <f>'Common input data'!$B$81</f>
        <v>0.03</v>
      </c>
      <c r="J93" s="90">
        <v>0</v>
      </c>
      <c r="K93" s="90">
        <v>0</v>
      </c>
      <c r="L93" s="90">
        <f>('Input data plant-based products'!$I$95*'Common input data'!$C$59*'Common input data'!H49)/'Input data plant-based products'!$E$95</f>
        <v>2.5063390386869871E-2</v>
      </c>
      <c r="M93" s="90">
        <v>0</v>
      </c>
      <c r="N93" s="90">
        <f>'Input data plant-based products'!$F$152</f>
        <v>0.05</v>
      </c>
      <c r="O93" s="90">
        <v>0</v>
      </c>
      <c r="P93" s="90">
        <f>'Common input data'!$F$13</f>
        <v>-9.1139048141381296E-2</v>
      </c>
      <c r="Q93" s="90">
        <v>0</v>
      </c>
      <c r="R93" s="90">
        <v>0</v>
      </c>
      <c r="S93" s="90">
        <f>F93+R93</f>
        <v>4.6435595803887564E-2</v>
      </c>
      <c r="T93" s="90">
        <f>'Common input data'!$B$88</f>
        <v>0.05</v>
      </c>
      <c r="U93" s="90">
        <f>'Common input data'!B100+'Common input data'!C100</f>
        <v>0.23</v>
      </c>
      <c r="V93" s="430"/>
      <c r="W93" s="243"/>
      <c r="Z93" s="64"/>
    </row>
    <row r="94" spans="1:258" s="308" customFormat="1" ht="17.399999999999999" x14ac:dyDescent="0.3">
      <c r="A94" s="107"/>
      <c r="B94" s="84"/>
      <c r="C94" s="142"/>
      <c r="D94" s="83" t="s">
        <v>165</v>
      </c>
      <c r="E94" s="270">
        <f>SUM(J94:K94)</f>
        <v>0</v>
      </c>
      <c r="F94" s="90">
        <f>SUM(H94:O94)</f>
        <v>1.1102380158124271E-5</v>
      </c>
      <c r="G94" s="278">
        <f>SUM(S94:U94)/(1-'Common input data'!$B$121)</f>
        <v>1.3250244847982183E-5</v>
      </c>
      <c r="H94" s="90">
        <f>('Input data plant-based products'!$F$95*('Common input data'!$C$76*'Common input data'!B70+'Common input data'!$C$77*'Common input data'!C70))/'Input data plant-based products'!$E$95</f>
        <v>1.4334686987104339E-10</v>
      </c>
      <c r="I94" s="90">
        <v>0</v>
      </c>
      <c r="J94" s="90">
        <v>0</v>
      </c>
      <c r="K94" s="90">
        <v>0</v>
      </c>
      <c r="L94" s="90">
        <f>('Input data plant-based products'!$I$95*'Common input data'!$C$59*'Common input data'!H50)/'Input data plant-based products'!$E$95</f>
        <v>1.11022368112544E-5</v>
      </c>
      <c r="M94" s="90">
        <v>0</v>
      </c>
      <c r="N94" s="90">
        <v>0</v>
      </c>
      <c r="O94" s="90">
        <v>0</v>
      </c>
      <c r="P94" s="90">
        <v>0</v>
      </c>
      <c r="Q94" s="90">
        <v>0</v>
      </c>
      <c r="R94" s="90">
        <v>0</v>
      </c>
      <c r="S94" s="90">
        <f>F94+R94</f>
        <v>1.1102380158124271E-5</v>
      </c>
      <c r="T94" s="90">
        <v>0</v>
      </c>
      <c r="U94" s="90">
        <v>0</v>
      </c>
      <c r="V94" s="430"/>
      <c r="W94" s="243"/>
      <c r="Z94" s="64"/>
    </row>
    <row r="95" spans="1:258" s="308" customFormat="1" ht="17.399999999999999" x14ac:dyDescent="0.3">
      <c r="A95" s="174"/>
      <c r="B95" s="206"/>
      <c r="C95" s="85"/>
      <c r="D95" s="84" t="s">
        <v>166</v>
      </c>
      <c r="E95" s="270">
        <f>SUM(J95:K95)</f>
        <v>2.1075196784458216E-4</v>
      </c>
      <c r="F95" s="90">
        <f>SUM(H95:O95)</f>
        <v>3.8900985672151844E-4</v>
      </c>
      <c r="G95" s="278">
        <f>SUM(S95:U95)/(1-'Common input data'!$B$121)</f>
        <v>4.6426764139099948E-4</v>
      </c>
      <c r="H95" s="90">
        <f>('Input data plant-based products'!$F$95*('Common input data'!$C$76*'Common input data'!B71+'Common input data'!$C$77*'Common input data'!C71))/'Input data plant-based products'!$E$95</f>
        <v>1.7758442580542391E-4</v>
      </c>
      <c r="I95" s="90">
        <v>0</v>
      </c>
      <c r="J95" s="90">
        <f>(SUM('Input data plant-based products'!F95:H95)*'Input data plant-based products'!$B$114*44/28)/'Input data plant-based products'!E95</f>
        <v>1.9159269804052925E-4</v>
      </c>
      <c r="K95" s="90">
        <f>J95*'Input data plant-based products'!$B$115</f>
        <v>1.9159269804052927E-5</v>
      </c>
      <c r="L95" s="90">
        <f>('Input data plant-based products'!$I$95*'Common input data'!$C$59*'Common input data'!H51)/'Input data plant-based products'!$E$95</f>
        <v>6.7346307151230963E-7</v>
      </c>
      <c r="M95" s="90">
        <v>0</v>
      </c>
      <c r="N95" s="90">
        <v>0</v>
      </c>
      <c r="O95" s="90">
        <v>0</v>
      </c>
      <c r="P95" s="90">
        <v>0</v>
      </c>
      <c r="Q95" s="90">
        <v>0</v>
      </c>
      <c r="R95" s="90">
        <v>0</v>
      </c>
      <c r="S95" s="90">
        <f>F95+R95</f>
        <v>3.8900985672151844E-4</v>
      </c>
      <c r="T95" s="90">
        <v>0</v>
      </c>
      <c r="U95" s="90">
        <v>0</v>
      </c>
      <c r="V95" s="430"/>
      <c r="W95" s="243"/>
      <c r="Z95" s="64"/>
    </row>
    <row r="96" spans="1:258" s="308" customFormat="1" ht="17.399999999999999" x14ac:dyDescent="0.3">
      <c r="A96" s="122" t="s">
        <v>67</v>
      </c>
      <c r="B96" s="150" t="s">
        <v>225</v>
      </c>
      <c r="C96" s="111">
        <f>'Input data plant-based products'!D96</f>
        <v>0.59</v>
      </c>
      <c r="D96" s="269" t="s">
        <v>473</v>
      </c>
      <c r="E96" s="320">
        <f>IF($F$1="GWP100 without fb",E97+E98*'Common input data'!$C$5+E99*'Common input data'!$D$5,IF($F$1="GWP100 with fb",E97+E98*'Common input data'!$C$6+E99*'Common input data'!$D$6,IF($F$1="GTP100 without fb",E97+E98*'Common input data'!$C$7+E99*'Common input data'!$D$7,IF($F$1="GTP100 with fb",E97+E98*'Common input data'!$C$8+E99*'Common input data'!$D$8,E97+E98*'Common input data'!$C$9+E99*'Common input data'!$D$9))))</f>
        <v>-3.7442837231889264E-2</v>
      </c>
      <c r="F96" s="302">
        <f>IF($F$1="GWP100 without fb",F97+F98*'Common input data'!$C$5+F99*'Common input data'!$D$5,IF($F$1="GWP100 with fb",F97+F98*'Common input data'!$C$6+F99*'Common input data'!$D$6,IF($F$1="GTP100 without fb",F97+F98*'Common input data'!$C$7+F99*'Common input data'!$D$7,IF($F$1="GTP100 with fb",F97+F98*'Common input data'!$C$8+F99*'Common input data'!$D$8,F97+F98*'Common input data'!$C$9+F99*'Common input data'!$D$9))))</f>
        <v>0.15238388260631069</v>
      </c>
      <c r="G96" s="321">
        <f>IF($F$1="GWP100 without fb",G97+G98*'Common input data'!$C$5+G99*'Common input data'!$D$5,IF($F$1="GWP100 with fb",G97+G98*'Common input data'!$C$6+G99*'Common input data'!$D$6,IF($F$1="GTP100 without fb",G97+G98*'Common input data'!$C$7+G99*'Common input data'!$D$7,IF($F$1="GTP100 with fb",G97+G98*'Common input data'!$C$8+G99*'Common input data'!$D$8,G97+G98*'Common input data'!$C$9+G99*'Common input data'!$D$9))))</f>
        <v>0.86775328311969724</v>
      </c>
      <c r="H96" s="102"/>
      <c r="I96" s="102"/>
      <c r="J96" s="102"/>
      <c r="K96" s="102"/>
      <c r="L96" s="102"/>
      <c r="M96" s="102"/>
      <c r="N96" s="102"/>
      <c r="O96" s="102"/>
      <c r="P96" s="102"/>
      <c r="Q96" s="102"/>
      <c r="R96" s="102"/>
      <c r="S96" s="102"/>
      <c r="T96" s="102"/>
      <c r="U96" s="102"/>
      <c r="V96" s="430"/>
      <c r="W96" s="243"/>
      <c r="Z96" s="64"/>
    </row>
    <row r="97" spans="1:26" s="308" customFormat="1" ht="17.399999999999999" x14ac:dyDescent="0.3">
      <c r="A97" s="144"/>
      <c r="B97" s="84"/>
      <c r="C97" s="64"/>
      <c r="D97" s="83" t="s">
        <v>164</v>
      </c>
      <c r="E97" s="270">
        <f>IF(AND($F$2="No",$F$3="No"),SUM(J97:K97),IF(AND($F$2="Yes", $F$3="No"), SUM(J97:K97)+Q97, IF(AND($F$2="No", $F$3="Yes"),SUM(J97:K97)+P97, SUM(J97:K97)+Q97+P97)))</f>
        <v>-9.1139048141381296E-2</v>
      </c>
      <c r="F97" s="90">
        <f>IF(AND($F$2="No",$F$3="No"),SUM(H97:O97),IF(AND($F$2="Yes", $F$3="No"), SUM(H97:O97)+Q97, IF(AND($F$2="No", $F$3="Yes"),SUM(H97:O97)+P97, SUM(H97:O97)+Q97+P97)))</f>
        <v>4.6004946007260544E-2</v>
      </c>
      <c r="G97" s="278">
        <f>SUM(S97:U97)/(1-'Common input data'!$H$121)</f>
        <v>0.72178075910760808</v>
      </c>
      <c r="H97" s="90">
        <f>('Input data plant-based products'!$F$96*('Common input data'!$D$76*'Common input data'!B69+'Common input data'!$D$77*'Common input data'!C69))/'Input data plant-based products'!$E$96</f>
        <v>2.7665377414870948E-2</v>
      </c>
      <c r="I97" s="90">
        <f>'Common input data'!$B$81</f>
        <v>0.03</v>
      </c>
      <c r="J97" s="90">
        <v>0</v>
      </c>
      <c r="K97" s="90">
        <v>0</v>
      </c>
      <c r="L97" s="90">
        <f>('Input data plant-based products'!$I$96*'Common input data'!$C$59*'Common input data'!H49)/'Input data plant-based products'!$E$96</f>
        <v>2.947861673377089E-2</v>
      </c>
      <c r="M97" s="90">
        <v>0</v>
      </c>
      <c r="N97" s="90">
        <f>'Input data plant-based products'!$F$152</f>
        <v>0.05</v>
      </c>
      <c r="O97" s="90">
        <v>0</v>
      </c>
      <c r="P97" s="90">
        <f>'Common input data'!$F$13</f>
        <v>-9.1139048141381296E-2</v>
      </c>
      <c r="Q97" s="90">
        <v>0</v>
      </c>
      <c r="R97" s="90">
        <v>0</v>
      </c>
      <c r="S97" s="90">
        <f>F97+R97</f>
        <v>4.6004946007260544E-2</v>
      </c>
      <c r="T97" s="90">
        <f>'Common input data'!$B$88</f>
        <v>0.05</v>
      </c>
      <c r="U97" s="90">
        <f>'Common input data'!B108+'Common input data'!C108</f>
        <v>0.43000000000000005</v>
      </c>
      <c r="V97" s="430"/>
      <c r="W97" s="243"/>
      <c r="Z97" s="64"/>
    </row>
    <row r="98" spans="1:26" s="308" customFormat="1" ht="17.399999999999999" x14ac:dyDescent="0.3">
      <c r="A98" s="144"/>
      <c r="B98" s="84"/>
      <c r="C98" s="142"/>
      <c r="D98" s="83" t="s">
        <v>165</v>
      </c>
      <c r="E98" s="270">
        <f>SUM(J98:K98)</f>
        <v>0</v>
      </c>
      <c r="F98" s="90">
        <f>SUM(H98:O98)</f>
        <v>1.3058184108344826E-5</v>
      </c>
      <c r="G98" s="278">
        <f>SUM(S98:U98)/(1-'Common input data'!$H$121)</f>
        <v>1.7918360102564389E-5</v>
      </c>
      <c r="H98" s="90">
        <f>('Input data plant-based products'!$F$96*('Common input data'!$D$76*'Common input data'!B70+'Common input data'!$D$77*'Common input data'!C70))/'Input data plant-based products'!$E$96</f>
        <v>1.509055429926645E-10</v>
      </c>
      <c r="I98" s="90">
        <v>0</v>
      </c>
      <c r="J98" s="90">
        <v>0</v>
      </c>
      <c r="K98" s="90">
        <v>0</v>
      </c>
      <c r="L98" s="90">
        <f>('Input data plant-based products'!$I$96*'Common input data'!$C$59*'Common input data'!H50)/'Input data plant-based products'!$E$96</f>
        <v>1.3058033202801834E-5</v>
      </c>
      <c r="M98" s="90">
        <v>0</v>
      </c>
      <c r="N98" s="90">
        <v>0</v>
      </c>
      <c r="O98" s="90">
        <v>0</v>
      </c>
      <c r="P98" s="90">
        <v>0</v>
      </c>
      <c r="Q98" s="90">
        <v>0</v>
      </c>
      <c r="R98" s="90">
        <v>0</v>
      </c>
      <c r="S98" s="90">
        <f>F98+R98</f>
        <v>1.3058184108344826E-5</v>
      </c>
      <c r="T98" s="90">
        <v>0</v>
      </c>
      <c r="U98" s="90">
        <v>0</v>
      </c>
      <c r="V98" s="430"/>
      <c r="W98" s="243"/>
      <c r="Z98" s="64"/>
    </row>
    <row r="99" spans="1:26" s="308" customFormat="1" ht="17.399999999999999" x14ac:dyDescent="0.3">
      <c r="A99" s="174"/>
      <c r="B99" s="206"/>
      <c r="C99" s="85"/>
      <c r="D99" s="84" t="s">
        <v>166</v>
      </c>
      <c r="E99" s="780">
        <f>SUM(J99:K99)</f>
        <v>1.801886272130605E-4</v>
      </c>
      <c r="F99" s="108">
        <f>SUM(H99:O99)</f>
        <v>3.5548643738042421E-4</v>
      </c>
      <c r="G99" s="521">
        <f>SUM(S99:U99)/(1-'Common input data'!$H$121)</f>
        <v>4.8779630794832892E-4</v>
      </c>
      <c r="H99" s="90">
        <f>('Input data plant-based products'!$F$96*('Common input data'!$D$76*'Common input data'!B71+'Common input data'!$D$77*'Common input data'!C71))/'Input data plant-based products'!$E$96</f>
        <v>1.7450570824248366E-4</v>
      </c>
      <c r="I99" s="90">
        <v>0</v>
      </c>
      <c r="J99" s="90">
        <f>(SUM('Input data plant-based products'!F96:H96)*'Input data plant-based products'!$B$114*44/28)/'Input data plant-based products'!E96</f>
        <v>1.6380784292096409E-4</v>
      </c>
      <c r="K99" s="90">
        <f>J99*'Input data plant-based products'!$B$115</f>
        <v>1.6380784292096409E-5</v>
      </c>
      <c r="L99" s="90">
        <f>('Input data plant-based products'!$I$96*'Common input data'!$C$59*'Common input data'!H51)/'Input data plant-based products'!$E$96</f>
        <v>7.9210192488003981E-7</v>
      </c>
      <c r="M99" s="90">
        <v>0</v>
      </c>
      <c r="N99" s="90">
        <v>0</v>
      </c>
      <c r="O99" s="90">
        <v>0</v>
      </c>
      <c r="P99" s="90">
        <v>0</v>
      </c>
      <c r="Q99" s="90">
        <v>0</v>
      </c>
      <c r="R99" s="90">
        <v>0</v>
      </c>
      <c r="S99" s="90">
        <f>F99+R99</f>
        <v>3.5548643738042421E-4</v>
      </c>
      <c r="T99" s="90">
        <v>0</v>
      </c>
      <c r="U99" s="90">
        <v>0</v>
      </c>
      <c r="V99" s="430"/>
      <c r="W99" s="243"/>
      <c r="Z99" s="64"/>
    </row>
    <row r="100" spans="1:26" s="308" customFormat="1" ht="17.399999999999999" x14ac:dyDescent="0.3">
      <c r="A100" s="426" t="s">
        <v>602</v>
      </c>
      <c r="B100" s="412"/>
      <c r="C100" s="413"/>
      <c r="D100" s="414"/>
      <c r="E100" s="767" t="s">
        <v>827</v>
      </c>
      <c r="F100" s="768" t="s">
        <v>827</v>
      </c>
      <c r="G100" s="590" t="s">
        <v>827</v>
      </c>
      <c r="H100" s="413"/>
      <c r="I100" s="413"/>
      <c r="J100" s="413"/>
      <c r="K100" s="416"/>
      <c r="L100" s="416"/>
      <c r="M100" s="417"/>
      <c r="N100" s="416"/>
      <c r="O100" s="416"/>
      <c r="P100" s="416"/>
      <c r="Q100" s="416"/>
      <c r="R100" s="416"/>
      <c r="S100" s="416"/>
      <c r="T100" s="416"/>
      <c r="U100" s="416"/>
      <c r="V100" s="430"/>
      <c r="W100" s="243"/>
      <c r="Z100" s="64"/>
    </row>
    <row r="101" spans="1:26" s="308" customFormat="1" ht="17.399999999999999" x14ac:dyDescent="0.3">
      <c r="A101" s="122" t="s">
        <v>249</v>
      </c>
      <c r="B101" s="150"/>
      <c r="C101" s="112">
        <f>SUM(C105:C112)</f>
        <v>1</v>
      </c>
      <c r="D101" s="269" t="s">
        <v>473</v>
      </c>
      <c r="E101" s="769">
        <f>IF($F$1="GWP100 without fb",E102+E103*'Common input data'!$C$5+E104*'Common input data'!$D$5,IF($F$1="GWP100 with fb",E102+E103*'Common input data'!$C$6+E104*'Common input data'!$D$6,IF($F$1="GTP100 without fb",E102+E103*'Common input data'!$C$7+E104*'Common input data'!$D$7,IF($F$1="GTP100 with fb",E102+E103*'Common input data'!$C$8+E104*'Common input data'!$D$8,E102+E103*'Common input data'!$C$9+E104*'Common input data'!$D$9))))</f>
        <v>-5.4692983962757853E-2</v>
      </c>
      <c r="F101" s="326">
        <f>IF($F$1="GWP100 without fb",F102+F103*'Common input data'!$C$5+F104*'Common input data'!$D$5,IF($F$1="GWP100 with fb",F102+F103*'Common input data'!$C$6+F104*'Common input data'!$D$6,IF($F$1="GTP100 without fb",F102+F103*'Common input data'!$C$7+F104*'Common input data'!$D$7,IF($F$1="GTP100 with fb",F102+F103*'Common input data'!$C$8+F104*'Common input data'!$D$8,F102+F103*'Common input data'!$C$9+F104*'Common input data'!$D$9))))</f>
        <v>0.10239404868468419</v>
      </c>
      <c r="G101" s="770">
        <f>IF($F$1="GWP100 without fb",G102+G103*'Common input data'!$C$5+G104*'Common input data'!$D$5,IF($F$1="GWP100 with fb",G102+G103*'Common input data'!$C$6+G104*'Common input data'!$D$6,IF($F$1="GTP100 without fb",G102+G103*'Common input data'!$C$7+G104*'Common input data'!$D$7,IF($F$1="GTP100 with fb",G102+G103*'Common input data'!$C$8+G104*'Common input data'!$D$8,G102+G103*'Common input data'!$C$9+G104*'Common input data'!$D$9))))</f>
        <v>0.45637194018938326</v>
      </c>
      <c r="H101" s="302"/>
      <c r="I101" s="104"/>
      <c r="J101" s="104"/>
      <c r="K101" s="102"/>
      <c r="L101" s="102"/>
      <c r="M101" s="102"/>
      <c r="N101" s="102"/>
      <c r="O101" s="102"/>
      <c r="P101" s="102"/>
      <c r="Q101" s="102"/>
      <c r="R101" s="102"/>
      <c r="S101" s="102"/>
      <c r="T101" s="102"/>
      <c r="U101" s="102"/>
      <c r="V101" s="430"/>
      <c r="W101" s="243"/>
      <c r="Z101" s="64"/>
    </row>
    <row r="102" spans="1:26" s="308" customFormat="1" ht="17.399999999999999" x14ac:dyDescent="0.3">
      <c r="A102" s="103"/>
      <c r="B102" s="84"/>
      <c r="C102" s="64"/>
      <c r="D102" s="83" t="s">
        <v>164</v>
      </c>
      <c r="E102" s="270">
        <f t="shared" ref="E102:G104" si="12">E106*$C$105+E110*$C$109</f>
        <v>-9.1139048141381296E-2</v>
      </c>
      <c r="F102" s="90">
        <f t="shared" si="12"/>
        <v>3.6783273296232544E-2</v>
      </c>
      <c r="G102" s="278">
        <f t="shared" si="12"/>
        <v>0.37806811468699442</v>
      </c>
      <c r="H102" s="90">
        <f t="shared" ref="H102:T102" si="13">H106*$C$105+H110*$C$109</f>
        <v>1.7485861884568472E-2</v>
      </c>
      <c r="I102" s="90">
        <f t="shared" si="13"/>
        <v>0.03</v>
      </c>
      <c r="J102" s="90">
        <f t="shared" si="13"/>
        <v>0</v>
      </c>
      <c r="K102" s="90">
        <f t="shared" si="13"/>
        <v>0</v>
      </c>
      <c r="L102" s="90">
        <f t="shared" si="13"/>
        <v>3.0436459553045372E-2</v>
      </c>
      <c r="M102" s="90">
        <f t="shared" si="13"/>
        <v>0</v>
      </c>
      <c r="N102" s="90">
        <f t="shared" si="13"/>
        <v>0.05</v>
      </c>
      <c r="O102" s="90">
        <f t="shared" si="13"/>
        <v>0</v>
      </c>
      <c r="P102" s="90">
        <f t="shared" si="13"/>
        <v>-9.1139048141381296E-2</v>
      </c>
      <c r="Q102" s="90">
        <f t="shared" si="13"/>
        <v>0</v>
      </c>
      <c r="R102" s="90">
        <f t="shared" si="13"/>
        <v>0</v>
      </c>
      <c r="S102" s="90">
        <f t="shared" si="13"/>
        <v>3.6783273296232544E-2</v>
      </c>
      <c r="T102" s="90">
        <f t="shared" si="13"/>
        <v>0.05</v>
      </c>
      <c r="U102" s="90">
        <f>U106*$C$105+U110*$C$109</f>
        <v>0.23000000000000004</v>
      </c>
      <c r="V102" s="430"/>
      <c r="W102" s="243"/>
      <c r="Z102" s="64"/>
    </row>
    <row r="103" spans="1:26" s="308" customFormat="1" ht="17.399999999999999" x14ac:dyDescent="0.3">
      <c r="A103" s="103"/>
      <c r="B103" s="84"/>
      <c r="C103" s="142"/>
      <c r="D103" s="83" t="s">
        <v>165</v>
      </c>
      <c r="E103" s="270">
        <f t="shared" si="12"/>
        <v>0</v>
      </c>
      <c r="F103" s="90">
        <f t="shared" si="12"/>
        <v>1.348240237128454E-5</v>
      </c>
      <c r="G103" s="278">
        <f t="shared" si="12"/>
        <v>1.6090705777878676E-5</v>
      </c>
      <c r="H103" s="90">
        <f t="shared" ref="H103:T103" si="14">H107*$C$105+H111*$C$109</f>
        <v>7.7097721367398105E-11</v>
      </c>
      <c r="I103" s="90">
        <f t="shared" si="14"/>
        <v>0</v>
      </c>
      <c r="J103" s="90">
        <f t="shared" si="14"/>
        <v>0</v>
      </c>
      <c r="K103" s="90">
        <f t="shared" si="14"/>
        <v>0</v>
      </c>
      <c r="L103" s="90">
        <f t="shared" si="14"/>
        <v>1.3482325273563175E-5</v>
      </c>
      <c r="M103" s="90">
        <f t="shared" si="14"/>
        <v>0</v>
      </c>
      <c r="N103" s="90">
        <f t="shared" si="14"/>
        <v>0</v>
      </c>
      <c r="O103" s="90">
        <f t="shared" si="14"/>
        <v>0</v>
      </c>
      <c r="P103" s="90">
        <f t="shared" si="14"/>
        <v>0</v>
      </c>
      <c r="Q103" s="90">
        <f t="shared" si="14"/>
        <v>0</v>
      </c>
      <c r="R103" s="90">
        <f t="shared" si="14"/>
        <v>0</v>
      </c>
      <c r="S103" s="90">
        <f t="shared" si="14"/>
        <v>1.348240237128454E-5</v>
      </c>
      <c r="T103" s="90">
        <f t="shared" si="14"/>
        <v>0</v>
      </c>
      <c r="U103" s="90">
        <f>U107*$C$105+U111*$C$109</f>
        <v>0</v>
      </c>
      <c r="V103" s="430"/>
      <c r="W103" s="243"/>
      <c r="Z103" s="64"/>
    </row>
    <row r="104" spans="1:26" s="308" customFormat="1" ht="17.399999999999999" x14ac:dyDescent="0.3">
      <c r="A104" s="107"/>
      <c r="B104" s="206"/>
      <c r="C104" s="85"/>
      <c r="D104" s="84" t="s">
        <v>166</v>
      </c>
      <c r="E104" s="270">
        <f t="shared" si="12"/>
        <v>1.22302228787327E-4</v>
      </c>
      <c r="F104" s="90">
        <f t="shared" si="12"/>
        <v>2.1863212653633544E-4</v>
      </c>
      <c r="G104" s="278">
        <f t="shared" si="12"/>
        <v>2.6092866277161407E-4</v>
      </c>
      <c r="H104" s="90">
        <f t="shared" ref="H104:T104" si="15">H108*$C$105+H112*$C$109</f>
        <v>9.55120582141268E-5</v>
      </c>
      <c r="I104" s="90">
        <f t="shared" si="15"/>
        <v>0</v>
      </c>
      <c r="J104" s="90">
        <f t="shared" si="15"/>
        <v>1.1118384435211546E-4</v>
      </c>
      <c r="K104" s="90">
        <f t="shared" si="15"/>
        <v>1.1118384435211547E-5</v>
      </c>
      <c r="L104" s="90">
        <f t="shared" si="15"/>
        <v>8.1783953488161971E-7</v>
      </c>
      <c r="M104" s="90">
        <f t="shared" si="15"/>
        <v>0</v>
      </c>
      <c r="N104" s="90">
        <f t="shared" si="15"/>
        <v>0</v>
      </c>
      <c r="O104" s="90">
        <f t="shared" si="15"/>
        <v>0</v>
      </c>
      <c r="P104" s="90">
        <f t="shared" si="15"/>
        <v>0</v>
      </c>
      <c r="Q104" s="90">
        <f t="shared" si="15"/>
        <v>0</v>
      </c>
      <c r="R104" s="90">
        <f t="shared" si="15"/>
        <v>0</v>
      </c>
      <c r="S104" s="90">
        <f t="shared" si="15"/>
        <v>2.1863212653633544E-4</v>
      </c>
      <c r="T104" s="90">
        <f t="shared" si="15"/>
        <v>0</v>
      </c>
      <c r="U104" s="90">
        <f>U108*$C$105+U112*$C$109</f>
        <v>0</v>
      </c>
      <c r="V104" s="430"/>
      <c r="W104" s="243"/>
      <c r="Z104" s="64"/>
    </row>
    <row r="105" spans="1:26" s="308" customFormat="1" ht="17.399999999999999" x14ac:dyDescent="0.3">
      <c r="A105" s="122" t="s">
        <v>74</v>
      </c>
      <c r="B105" s="150" t="s">
        <v>225</v>
      </c>
      <c r="C105" s="111">
        <f>'Input data plant-based products'!D81</f>
        <v>0.43</v>
      </c>
      <c r="D105" s="269" t="s">
        <v>473</v>
      </c>
      <c r="E105" s="320">
        <f>IF($F$1="GWP100 without fb",E106+E107*'Common input data'!$C$5+E108*'Common input data'!$D$5,IF($F$1="GWP100 with fb",E106+E107*'Common input data'!$C$6+E108*'Common input data'!$D$6,IF($F$1="GTP100 without fb",E106+E107*'Common input data'!$C$7+E108*'Common input data'!$D$7,IF($F$1="GTP100 with fb",E106+E107*'Common input data'!$C$8+E108*'Common input data'!$D$8,E106+E107*'Common input data'!$C$9+E108*'Common input data'!$D$9))))</f>
        <v>-2.8979151044140831E-2</v>
      </c>
      <c r="F105" s="302">
        <f>IF($F$1="GWP100 without fb",F106+F107*'Common input data'!$C$5+F108*'Common input data'!$D$5,IF($F$1="GWP100 with fb",F106+F107*'Common input data'!$C$6+F108*'Common input data'!$D$6,IF($F$1="GTP100 without fb",F106+F107*'Common input data'!$C$7+F108*'Common input data'!$D$7,IF($F$1="GTP100 with fb",F106+F107*'Common input data'!$C$8+F108*'Common input data'!$D$8,F106+F107*'Common input data'!$C$9+F108*'Common input data'!$D$9))))</f>
        <v>0.16095453539399637</v>
      </c>
      <c r="G105" s="321">
        <f>IF($F$1="GWP100 without fb",G106+G107*'Common input data'!$C$5+G108*'Common input data'!$D$5,IF($F$1="GWP100 with fb",G106+G107*'Common input data'!$C$6+G108*'Common input data'!$D$6,IF($F$1="GTP100 without fb",G106+G107*'Common input data'!$C$7+G108*'Common input data'!$D$7,IF($F$1="GTP100 with fb",G106+G107*'Common input data'!$C$8+G108*'Common input data'!$D$8,G106+G107*'Common input data'!$C$9+G108*'Common input data'!$D$9))))</f>
        <v>0.52626152929227399</v>
      </c>
      <c r="H105" s="102"/>
      <c r="I105" s="102"/>
      <c r="J105" s="102"/>
      <c r="K105" s="102"/>
      <c r="L105" s="102"/>
      <c r="M105" s="102"/>
      <c r="N105" s="102"/>
      <c r="O105" s="102"/>
      <c r="P105" s="102"/>
      <c r="Q105" s="102"/>
      <c r="R105" s="102"/>
      <c r="S105" s="102"/>
      <c r="T105" s="102"/>
      <c r="U105" s="102"/>
      <c r="V105" s="430"/>
      <c r="W105" s="243"/>
      <c r="Z105" s="64"/>
    </row>
    <row r="106" spans="1:26" s="308" customFormat="1" ht="17.399999999999999" x14ac:dyDescent="0.3">
      <c r="A106" s="103"/>
      <c r="B106" s="84"/>
      <c r="C106" s="64"/>
      <c r="D106" s="83" t="s">
        <v>164</v>
      </c>
      <c r="E106" s="270">
        <f>IF(AND($F$2="No",$F$3="No"),SUM(J106:K106),IF(AND($F$2="Yes", $F$3="No"), SUM(J106:K106)+Q106, IF(AND($F$2="No", $F$3="Yes"),SUM(J106:K106)+P106, SUM(J106:K106)+Q106+P106)))</f>
        <v>-9.1139048141381296E-2</v>
      </c>
      <c r="F106" s="90">
        <f>IF(AND($F$2="No",$F$3="No"),SUM(H106:O106),IF(AND($F$2="Yes", $F$3="No"), SUM(H106:O106)+Q106, IF(AND($F$2="No", $F$3="Yes"),SUM(H106:O106)+P106, SUM(H106:O106)+Q106+P106)))</f>
        <v>4.5845045524861072E-2</v>
      </c>
      <c r="G106" s="278">
        <f>SUM(S106:U106)/(1-'Common input data'!$B$121)</f>
        <v>0.38888297592178195</v>
      </c>
      <c r="H106" s="90">
        <f>('Input data plant-based products'!$F$81*('Common input data'!$C$76*'Common input data'!B69+'Common input data'!$C$77*'Common input data'!C69))/'Input data plant-based products'!$E$81</f>
        <v>3.2177781589754852E-2</v>
      </c>
      <c r="I106" s="90">
        <f>'Common input data'!$B$81</f>
        <v>0.03</v>
      </c>
      <c r="J106" s="90">
        <v>0</v>
      </c>
      <c r="K106" s="90">
        <v>0</v>
      </c>
      <c r="L106" s="90">
        <f>('Input data plant-based products'!$I$81*'Common input data'!$C$59*'Common input data'!H49)/'Input data plant-based products'!$E$81</f>
        <v>2.4806312076487515E-2</v>
      </c>
      <c r="M106" s="90">
        <v>0</v>
      </c>
      <c r="N106" s="90">
        <f>'Input data plant-based products'!$F$152</f>
        <v>0.05</v>
      </c>
      <c r="O106" s="90">
        <v>0</v>
      </c>
      <c r="P106" s="90">
        <f>'Common input data'!$F$13</f>
        <v>-9.1139048141381296E-2</v>
      </c>
      <c r="Q106" s="90">
        <v>0</v>
      </c>
      <c r="R106" s="90">
        <v>0</v>
      </c>
      <c r="S106" s="90">
        <f>F106+R106</f>
        <v>4.5845045524861072E-2</v>
      </c>
      <c r="T106" s="90">
        <f>'Common input data'!$B$88</f>
        <v>0.05</v>
      </c>
      <c r="U106" s="90">
        <f>'Common input data'!B100+'Common input data'!C100</f>
        <v>0.23</v>
      </c>
      <c r="V106" s="430"/>
      <c r="W106" s="243"/>
      <c r="Z106" s="64"/>
    </row>
    <row r="107" spans="1:26" s="308" customFormat="1" ht="17.399999999999999" x14ac:dyDescent="0.3">
      <c r="A107" s="107"/>
      <c r="B107" s="84"/>
      <c r="C107" s="142"/>
      <c r="D107" s="83" t="s">
        <v>165</v>
      </c>
      <c r="E107" s="270">
        <f>SUM(J107:K107)</f>
        <v>0</v>
      </c>
      <c r="F107" s="90">
        <f>SUM(H107:O107)</f>
        <v>1.0988501664903001E-5</v>
      </c>
      <c r="G107" s="278">
        <f>SUM(S107:U107)/(1-'Common input data'!$B$121)</f>
        <v>1.3114335439674186E-5</v>
      </c>
      <c r="H107" s="90">
        <f>('Input data plant-based products'!$F$81*('Common input data'!$C$76*'Common input data'!B70+'Common input data'!$C$77*'Common input data'!C70))/'Input data plant-based products'!$E$81</f>
        <v>1.4187654320987654E-10</v>
      </c>
      <c r="I107" s="90">
        <v>0</v>
      </c>
      <c r="J107" s="90">
        <v>0</v>
      </c>
      <c r="K107" s="90">
        <v>0</v>
      </c>
      <c r="L107" s="90">
        <f>('Input data plant-based products'!$I$81*'Common input data'!$C$59*'Common input data'!H50)/'Input data plant-based products'!$E$81</f>
        <v>1.0988359788359791E-5</v>
      </c>
      <c r="M107" s="90">
        <v>0</v>
      </c>
      <c r="N107" s="90">
        <v>0</v>
      </c>
      <c r="O107" s="90">
        <v>0</v>
      </c>
      <c r="P107" s="90">
        <v>0</v>
      </c>
      <c r="Q107" s="90">
        <v>0</v>
      </c>
      <c r="R107" s="90">
        <v>0</v>
      </c>
      <c r="S107" s="90">
        <f>F107+R107</f>
        <v>1.0988501664903001E-5</v>
      </c>
      <c r="T107" s="90">
        <v>0</v>
      </c>
      <c r="U107" s="90">
        <v>0</v>
      </c>
      <c r="V107" s="430"/>
      <c r="W107" s="243"/>
      <c r="Z107" s="64"/>
    </row>
    <row r="108" spans="1:26" s="308" customFormat="1" ht="17.399999999999999" x14ac:dyDescent="0.3">
      <c r="A108" s="174"/>
      <c r="B108" s="206"/>
      <c r="C108" s="85"/>
      <c r="D108" s="84" t="s">
        <v>166</v>
      </c>
      <c r="E108" s="270">
        <f>SUM(J108:K108)</f>
        <v>2.0859025871557203E-4</v>
      </c>
      <c r="F108" s="90">
        <f>SUM(H108:O108)</f>
        <v>3.8501973427023018E-4</v>
      </c>
      <c r="G108" s="278">
        <f>SUM(S108:U108)/(1-'Common input data'!$B$121)</f>
        <v>4.5950559048839979E-4</v>
      </c>
      <c r="H108" s="90">
        <f>('Input data plant-based products'!$F$81*('Common input data'!$C$76*'Common input data'!B71+'Common input data'!$C$77*'Common input data'!C71))/'Input data plant-based products'!$E$81</f>
        <v>1.7576292027757657E-4</v>
      </c>
      <c r="I108" s="90">
        <v>0</v>
      </c>
      <c r="J108" s="90">
        <f>(SUM('Input data plant-based products'!F81:H81)*'Input data plant-based products'!$B$114*44/28)/'Input data plant-based products'!E81</f>
        <v>1.8962750792324729E-4</v>
      </c>
      <c r="K108" s="90">
        <f>J108*'Input data plant-based products'!$B$115</f>
        <v>1.896275079232473E-5</v>
      </c>
      <c r="L108" s="90">
        <f>('Input data plant-based products'!$I$81*'Common input data'!$C$59*'Common input data'!H51)/'Input data plant-based products'!$E$81</f>
        <v>6.6655527708159296E-7</v>
      </c>
      <c r="M108" s="90">
        <v>0</v>
      </c>
      <c r="N108" s="90">
        <v>0</v>
      </c>
      <c r="O108" s="90">
        <v>0</v>
      </c>
      <c r="P108" s="90">
        <v>0</v>
      </c>
      <c r="Q108" s="90">
        <v>0</v>
      </c>
      <c r="R108" s="90">
        <v>0</v>
      </c>
      <c r="S108" s="90">
        <f>F108+R108</f>
        <v>3.8501973427023018E-4</v>
      </c>
      <c r="T108" s="90">
        <v>0</v>
      </c>
      <c r="U108" s="90">
        <v>0</v>
      </c>
      <c r="V108" s="430"/>
      <c r="W108" s="243"/>
      <c r="Z108" s="64"/>
    </row>
    <row r="109" spans="1:26" s="308" customFormat="1" ht="17.399999999999999" x14ac:dyDescent="0.3">
      <c r="A109" s="122" t="s">
        <v>70</v>
      </c>
      <c r="B109" s="150" t="s">
        <v>225</v>
      </c>
      <c r="C109" s="111">
        <f>'Input data plant-based products'!D82</f>
        <v>0.56999999999999995</v>
      </c>
      <c r="D109" s="269" t="s">
        <v>473</v>
      </c>
      <c r="E109" s="320">
        <f>IF($F$1="GWP100 without fb",E110+E111*'Common input data'!$C$5+E112*'Common input data'!$D$5,IF($F$1="GWP100 with fb",E110+E111*'Common input data'!$C$6+E112*'Common input data'!$D$6,IF($F$1="GTP100 without fb",E110+E111*'Common input data'!$C$7+E112*'Common input data'!$D$7,IF($F$1="GTP100 with fb",E110+E111*'Common input data'!$C$8+E112*'Common input data'!$D$8,E110+E111*'Common input data'!$C$9+E112*'Common input data'!$D$9))))</f>
        <v>-7.4091138620661912E-2</v>
      </c>
      <c r="F109" s="302">
        <f>IF($F$1="GWP100 without fb",F110+F111*'Common input data'!$C$5+F112*'Common input data'!$D$5,IF($F$1="GWP100 with fb",F110+F111*'Common input data'!$C$6+F112*'Common input data'!$D$6,IF($F$1="GTP100 without fb",F110+F111*'Common input data'!$C$7+F112*'Common input data'!$D$7,IF($F$1="GTP100 with fb",F110+F111*'Common input data'!$C$8+F112*'Common input data'!$D$8,F110+F111*'Common input data'!$C$9+F112*'Common input data'!$D$9))))</f>
        <v>5.8216839412746926E-2</v>
      </c>
      <c r="G109" s="321">
        <f>IF($F$1="GWP100 without fb",G110+G111*'Common input data'!$C$5+G112*'Common input data'!$D$5,IF($F$1="GWP100 with fb",G110+G111*'Common input data'!$C$6+G112*'Common input data'!$D$6,IF($F$1="GTP100 without fb",G110+G111*'Common input data'!$C$7+G112*'Common input data'!$D$7,IF($F$1="GTP100 with fb",G110+G111*'Common input data'!$C$8+G112*'Common input data'!$D$8,G110+G111*'Common input data'!$C$9+G112*'Common input data'!$D$9))))</f>
        <v>0.40364821507667625</v>
      </c>
      <c r="H109" s="102"/>
      <c r="I109" s="102"/>
      <c r="J109" s="102"/>
      <c r="K109" s="102"/>
      <c r="L109" s="102"/>
      <c r="M109" s="102"/>
      <c r="N109" s="102"/>
      <c r="O109" s="102"/>
      <c r="P109" s="102"/>
      <c r="Q109" s="102"/>
      <c r="R109" s="102"/>
      <c r="S109" s="102"/>
      <c r="T109" s="102"/>
      <c r="U109" s="102"/>
      <c r="V109" s="430"/>
      <c r="W109" s="243"/>
      <c r="Z109" s="64"/>
    </row>
    <row r="110" spans="1:26" s="308" customFormat="1" ht="17.399999999999999" x14ac:dyDescent="0.3">
      <c r="A110" s="144"/>
      <c r="B110" s="84"/>
      <c r="C110" s="64"/>
      <c r="D110" s="83" t="s">
        <v>164</v>
      </c>
      <c r="E110" s="270">
        <f>IF(AND($F$2="No",$F$3="No"),SUM(J110:K110),IF(AND($F$2="Yes", $F$3="No"), SUM(J110:K110)+Q110, IF(AND($F$2="No", $F$3="Yes"),SUM(J110:K110)+P110, SUM(J110:K110)+Q110+P110)))</f>
        <v>-9.1139048141381296E-2</v>
      </c>
      <c r="F110" s="90">
        <f>IF(AND($F$2="No",$F$3="No"),SUM(H110:O110),IF(AND($F$2="Yes", $F$3="No"), SUM(H110:O110)+Q110, IF(AND($F$2="No", $F$3="Yes"),SUM(H110:O110)+P110, SUM(H110:O110)+Q110+P110)))</f>
        <v>2.9947199509723313E-2</v>
      </c>
      <c r="G110" s="278">
        <f>SUM(S110:U110)/(1-'Common input data'!$B$121)</f>
        <v>0.36990953515899677</v>
      </c>
      <c r="H110" s="90">
        <f>('Input data plant-based products'!$F$82*('Common input data'!$C$76*'Common input data'!B69+'Common input data'!$C$77*'Common input data'!C69))/'Input data plant-based products'!$E$82</f>
        <v>6.4024838613576966E-3</v>
      </c>
      <c r="I110" s="90">
        <f>'Common input data'!$B$81</f>
        <v>0.03</v>
      </c>
      <c r="J110" s="90">
        <v>0</v>
      </c>
      <c r="K110" s="90">
        <v>0</v>
      </c>
      <c r="L110" s="90">
        <f>('Input data plant-based products'!$I$82*'Common input data'!$C$59*'Common input data'!H49)/'Input data plant-based products'!$E$82</f>
        <v>3.468376378974692E-2</v>
      </c>
      <c r="M110" s="90">
        <v>0</v>
      </c>
      <c r="N110" s="90">
        <f>'Input data plant-based products'!$F$152</f>
        <v>0.05</v>
      </c>
      <c r="O110" s="90">
        <v>0</v>
      </c>
      <c r="P110" s="90">
        <f>'Common input data'!$F$13</f>
        <v>-9.1139048141381296E-2</v>
      </c>
      <c r="Q110" s="90">
        <v>0</v>
      </c>
      <c r="R110" s="90">
        <v>0</v>
      </c>
      <c r="S110" s="90">
        <f>F110+R110</f>
        <v>2.9947199509723313E-2</v>
      </c>
      <c r="T110" s="90">
        <f>'Common input data'!$B$88</f>
        <v>0.05</v>
      </c>
      <c r="U110" s="90">
        <f>'Common input data'!B102+'Common input data'!C102</f>
        <v>0.23000000000000004</v>
      </c>
      <c r="V110" s="430"/>
      <c r="W110" s="243"/>
      <c r="Z110" s="64"/>
    </row>
    <row r="111" spans="1:26" s="308" customFormat="1" ht="17.399999999999999" x14ac:dyDescent="0.3">
      <c r="A111" s="144"/>
      <c r="B111" s="84"/>
      <c r="C111" s="142"/>
      <c r="D111" s="83" t="s">
        <v>165</v>
      </c>
      <c r="E111" s="270">
        <f>SUM(J111:K111)</f>
        <v>0</v>
      </c>
      <c r="F111" s="90">
        <f>SUM(H111:O111)</f>
        <v>1.5363766062063599E-5</v>
      </c>
      <c r="G111" s="278">
        <f>SUM(S111:U111)/(1-'Common input data'!$B$121)</f>
        <v>1.833603778740136E-5</v>
      </c>
      <c r="H111" s="90">
        <f>('Input data plant-based products'!$F$82*('Common input data'!$C$76*'Common input data'!B70+'Common input data'!$C$77*'Common input data'!C70))/'Input data plant-based products'!$E$82</f>
        <v>2.8229487345879298E-11</v>
      </c>
      <c r="I111" s="90">
        <v>0</v>
      </c>
      <c r="J111" s="90">
        <v>0</v>
      </c>
      <c r="K111" s="90">
        <v>0</v>
      </c>
      <c r="L111" s="90">
        <f>('Input data plant-based products'!$I$82*'Common input data'!$C$59*'Common input data'!H50)/'Input data plant-based products'!$E$82</f>
        <v>1.5363737832576254E-5</v>
      </c>
      <c r="M111" s="90">
        <v>0</v>
      </c>
      <c r="N111" s="90">
        <v>0</v>
      </c>
      <c r="O111" s="90">
        <v>0</v>
      </c>
      <c r="P111" s="90">
        <v>0</v>
      </c>
      <c r="Q111" s="90">
        <v>0</v>
      </c>
      <c r="R111" s="90">
        <v>0</v>
      </c>
      <c r="S111" s="90">
        <f>F111+R111</f>
        <v>1.5363766062063599E-5</v>
      </c>
      <c r="T111" s="90">
        <v>0</v>
      </c>
      <c r="U111" s="90">
        <v>0</v>
      </c>
      <c r="V111" s="430"/>
      <c r="W111" s="243"/>
      <c r="Z111" s="64"/>
    </row>
    <row r="112" spans="1:26" s="308" customFormat="1" ht="17.399999999999999" x14ac:dyDescent="0.3">
      <c r="A112" s="174"/>
      <c r="B112" s="206"/>
      <c r="C112" s="85"/>
      <c r="D112" s="84" t="s">
        <v>166</v>
      </c>
      <c r="E112" s="780">
        <f>SUM(J112:K112)</f>
        <v>5.7207750069528138E-5</v>
      </c>
      <c r="F112" s="108">
        <f>SUM(H112:O112)</f>
        <v>9.3111650526555187E-5</v>
      </c>
      <c r="G112" s="521">
        <f>SUM(S112:U112)/(1-'Common input data'!$B$121)</f>
        <v>1.1112501554667047E-4</v>
      </c>
      <c r="H112" s="90">
        <f>('Input data plant-based products'!$F$82*('Common input data'!$C$76*'Common input data'!B71+'Common input data'!$C$77*'Common input data'!C71))/'Input data plant-based products'!$E$82</f>
        <v>3.4971934201348923E-5</v>
      </c>
      <c r="I112" s="90">
        <v>0</v>
      </c>
      <c r="J112" s="90">
        <f>(SUM('Input data plant-based products'!F82:H82)*'Input data plant-based products'!$B$114*44/28)/'Input data plant-based products'!E82</f>
        <v>5.2007045517752855E-5</v>
      </c>
      <c r="K112" s="90">
        <f>J112*'Input data plant-based products'!$B$115</f>
        <v>5.200704551775286E-6</v>
      </c>
      <c r="L112" s="90">
        <f>('Input data plant-based products'!$I$82*'Common input data'!$C$59*'Common input data'!H51)/'Input data plant-based products'!$E$82</f>
        <v>9.3196625567813121E-7</v>
      </c>
      <c r="M112" s="90">
        <v>0</v>
      </c>
      <c r="N112" s="90">
        <v>0</v>
      </c>
      <c r="O112" s="90">
        <v>0</v>
      </c>
      <c r="P112" s="90">
        <v>0</v>
      </c>
      <c r="Q112" s="90">
        <v>0</v>
      </c>
      <c r="R112" s="90">
        <v>0</v>
      </c>
      <c r="S112" s="90">
        <f>F112+R112</f>
        <v>9.3111650526555187E-5</v>
      </c>
      <c r="T112" s="90">
        <v>0</v>
      </c>
      <c r="U112" s="90">
        <v>0</v>
      </c>
      <c r="V112" s="430"/>
      <c r="W112" s="243"/>
      <c r="Z112" s="64"/>
    </row>
    <row r="113" spans="1:26" s="308" customFormat="1" ht="17.399999999999999" x14ac:dyDescent="0.3">
      <c r="A113" s="426" t="s">
        <v>591</v>
      </c>
      <c r="B113" s="412"/>
      <c r="C113" s="413"/>
      <c r="D113" s="414"/>
      <c r="E113" s="767" t="s">
        <v>828</v>
      </c>
      <c r="F113" s="768" t="s">
        <v>828</v>
      </c>
      <c r="G113" s="590" t="s">
        <v>828</v>
      </c>
      <c r="H113" s="413"/>
      <c r="I113" s="413"/>
      <c r="J113" s="413"/>
      <c r="K113" s="416"/>
      <c r="L113" s="416"/>
      <c r="M113" s="417"/>
      <c r="N113" s="416"/>
      <c r="O113" s="416"/>
      <c r="P113" s="416"/>
      <c r="Q113" s="416"/>
      <c r="R113" s="416"/>
      <c r="S113" s="416"/>
      <c r="T113" s="416"/>
      <c r="U113" s="416"/>
      <c r="V113" s="430"/>
      <c r="W113" s="243"/>
      <c r="Z113" s="64"/>
    </row>
    <row r="114" spans="1:26" s="308" customFormat="1" ht="17.399999999999999" x14ac:dyDescent="0.3">
      <c r="A114" s="143" t="s">
        <v>12</v>
      </c>
      <c r="B114" s="150" t="s">
        <v>225</v>
      </c>
      <c r="C114" s="112">
        <f>'Input data plant-based products'!D91</f>
        <v>1</v>
      </c>
      <c r="D114" s="269" t="s">
        <v>473</v>
      </c>
      <c r="E114" s="769">
        <f>IF($F$1="GWP100 without fb",E115+E116*'Common input data'!$C$5+E117*'Common input data'!$D$5,IF($F$1="GWP100 with fb",E115+E116*'Common input data'!$C$6+E117*'Common input data'!$D$6,IF($F$1="GTP100 without fb",E115+E116*'Common input data'!$C$7+E117*'Common input data'!$D$7,IF($F$1="GTP100 with fb",E115+E116*'Common input data'!$C$8+E117*'Common input data'!$D$8,E115+E116*'Common input data'!$C$9+E117*'Common input data'!$D$9))))</f>
        <v>-1.3575338157830741E-2</v>
      </c>
      <c r="F114" s="326">
        <f>IF($F$1="GWP100 without fb",F115+F116*'Common input data'!$C$5+F117*'Common input data'!$D$5,IF($F$1="GWP100 with fb",F115+F116*'Common input data'!$C$6+F117*'Common input data'!$D$6,IF($F$1="GTP100 without fb",F115+F116*'Common input data'!$C$7+F117*'Common input data'!$D$7,IF($F$1="GTP100 with fb",F115+F116*'Common input data'!$C$8+F117*'Common input data'!$D$8,F115+F116*'Common input data'!$C$9+F117*'Common input data'!$D$9))))</f>
        <v>0.31686141427046033</v>
      </c>
      <c r="G114" s="770">
        <f>IF($F$1="GWP100 without fb",G115+G116*'Common input data'!$C$5+G117*'Common input data'!$D$5,IF($F$1="GWP100 with fb",G115+G116*'Common input data'!$C$6+G117*'Common input data'!$D$6,IF($F$1="GTP100 without fb",G115+G116*'Common input data'!$C$7+G117*'Common input data'!$D$7,IF($F$1="GTP100 with fb",G115+G116*'Common input data'!$C$8+G117*'Common input data'!$D$8,G115+G116*'Common input data'!$C$9+G117*'Common input data'!$D$9))))</f>
        <v>1.0934483427609367</v>
      </c>
      <c r="H114" s="302"/>
      <c r="I114" s="104"/>
      <c r="J114" s="104"/>
      <c r="K114" s="102"/>
      <c r="L114" s="102"/>
      <c r="M114" s="102"/>
      <c r="N114" s="102"/>
      <c r="O114" s="102"/>
      <c r="P114" s="102"/>
      <c r="Q114" s="102"/>
      <c r="R114" s="102"/>
      <c r="S114" s="102"/>
      <c r="T114" s="102"/>
      <c r="U114" s="102"/>
      <c r="V114" s="430"/>
      <c r="W114" s="243"/>
      <c r="Z114" s="64"/>
    </row>
    <row r="115" spans="1:26" s="308" customFormat="1" ht="17.399999999999999" x14ac:dyDescent="0.3">
      <c r="A115" s="144"/>
      <c r="B115" s="84"/>
      <c r="C115" s="64"/>
      <c r="D115" s="83" t="s">
        <v>164</v>
      </c>
      <c r="E115" s="270">
        <f>IF(AND($F$2="No",$F$3="No"),SUM(J115:K115),IF(AND($F$2="Yes", $F$3="No"), SUM(J115:K115)+Q115, IF(AND($F$2="No", $F$3="Yes"),SUM(J115:K115)+P115, SUM(J115:K115)+Q115+P115)))</f>
        <v>-9.1139048141381296E-2</v>
      </c>
      <c r="F115" s="90">
        <f>IF(AND($F$2="No",$F$3="No"),SUM(H115:O115),IF(AND($F$2="Yes", $F$3="No"), SUM(H115:O115)+Q115, IF(AND($F$2="No", $F$3="Yes"),SUM(H115:O115)+P115, SUM(H115:O115)+Q115+P115)))</f>
        <v>0.16017759683585581</v>
      </c>
      <c r="G115" s="278">
        <f>SUM(S115:U115)/(1-'Common input data'!$H$121)</f>
        <v>0.87844776995973406</v>
      </c>
      <c r="H115" s="85">
        <f>('Input data plant-based products'!$F$91*('Common input data'!$D$76*'Common input data'!B69+'Common input data'!$D$77*'Common input data'!C69))/'Input data plant-based products'!$E$91</f>
        <v>4.1728691035695931E-2</v>
      </c>
      <c r="I115" s="85">
        <f>'Common input data'!B81</f>
        <v>0.03</v>
      </c>
      <c r="J115" s="85">
        <v>0</v>
      </c>
      <c r="K115" s="85">
        <v>0</v>
      </c>
      <c r="L115" s="85">
        <f>('Input data plant-based products'!$I$91*'Common input data'!$C$59*'Common input data'!H49)/'Input data plant-based products'!$E$91</f>
        <v>2.9587953941541189E-2</v>
      </c>
      <c r="M115" s="85">
        <v>0</v>
      </c>
      <c r="N115" s="85">
        <f>'Input data plant-based products'!$E$152</f>
        <v>0.15</v>
      </c>
      <c r="O115" s="85">
        <v>0</v>
      </c>
      <c r="P115" s="85">
        <f>'Common input data'!$F$13</f>
        <v>-9.1139048141381296E-2</v>
      </c>
      <c r="Q115" s="85">
        <v>0</v>
      </c>
      <c r="R115" s="85">
        <v>0</v>
      </c>
      <c r="S115" s="85">
        <f>F115+R115</f>
        <v>0.16017759683585581</v>
      </c>
      <c r="T115" s="90">
        <f>'Common input data'!B88</f>
        <v>0.05</v>
      </c>
      <c r="U115" s="90">
        <f>'Common input data'!B108+'Common input data'!C108</f>
        <v>0.43000000000000005</v>
      </c>
      <c r="V115" s="430"/>
      <c r="W115" s="243"/>
      <c r="Z115" s="64"/>
    </row>
    <row r="116" spans="1:26" s="308" customFormat="1" ht="17.399999999999999" x14ac:dyDescent="0.3">
      <c r="A116" s="144"/>
      <c r="B116" s="84"/>
      <c r="C116" s="142"/>
      <c r="D116" s="83" t="s">
        <v>165</v>
      </c>
      <c r="E116" s="258">
        <f>SUM(J116:K116)</f>
        <v>0</v>
      </c>
      <c r="F116" s="85">
        <f>SUM(H116:O116)</f>
        <v>1.3106693515323299E-5</v>
      </c>
      <c r="G116" s="278">
        <f>SUM(S116:U116)/(1-'Common input data'!$H$121)</f>
        <v>1.7984924413144654E-5</v>
      </c>
      <c r="H116" s="85">
        <f>('Input data plant-based products'!$F$91*('Common input data'!$D$76*'Common input data'!B70+'Common input data'!$D$77*'Common input data'!C70))/'Input data plant-based products'!$E$91</f>
        <v>2.276162976085031E-10</v>
      </c>
      <c r="I116" s="85">
        <v>0</v>
      </c>
      <c r="J116" s="85">
        <v>0</v>
      </c>
      <c r="K116" s="85">
        <v>0</v>
      </c>
      <c r="L116" s="85">
        <f>('Input data plant-based products'!$I$91*'Common input data'!$C$59*'Common input data'!H50)/'Input data plant-based products'!$E$91</f>
        <v>1.310646589902569E-5</v>
      </c>
      <c r="M116" s="85">
        <v>0</v>
      </c>
      <c r="N116" s="85">
        <v>0</v>
      </c>
      <c r="O116" s="85">
        <v>0</v>
      </c>
      <c r="P116" s="85">
        <v>0</v>
      </c>
      <c r="Q116" s="85">
        <v>0</v>
      </c>
      <c r="R116" s="85">
        <v>0</v>
      </c>
      <c r="S116" s="85">
        <f>F116+R116</f>
        <v>1.3106693515323299E-5</v>
      </c>
      <c r="T116" s="90">
        <v>0</v>
      </c>
      <c r="U116" s="90">
        <v>0</v>
      </c>
      <c r="V116" s="430"/>
      <c r="W116" s="243"/>
      <c r="Z116" s="64"/>
    </row>
    <row r="117" spans="1:26" s="308" customFormat="1" ht="17.399999999999999" x14ac:dyDescent="0.3">
      <c r="A117" s="174"/>
      <c r="B117" s="206"/>
      <c r="C117" s="85"/>
      <c r="D117" s="84" t="s">
        <v>166</v>
      </c>
      <c r="E117" s="771">
        <f>SUM(J117:K117)</f>
        <v>2.6028090598506897E-4</v>
      </c>
      <c r="F117" s="101">
        <f>SUM(H117:O117)</f>
        <v>5.2428922770162258E-4</v>
      </c>
      <c r="G117" s="521">
        <f>SUM(S117:U117)/(1-'Common input data'!$H$121)</f>
        <v>7.1942646097703292E-4</v>
      </c>
      <c r="H117" s="85">
        <f>('Input data plant-based products'!$F$91*('Common input data'!$D$76*'Common input data'!B71+'Common input data'!$D$77*'Common input data'!C71))/'Input data plant-based products'!$E$91</f>
        <v>2.632132818582719E-4</v>
      </c>
      <c r="I117" s="85">
        <v>0</v>
      </c>
      <c r="J117" s="85">
        <f>(SUM('Input data plant-based products'!F91:H91)*'Input data plant-based products'!B114*44/28)/'Input data plant-based products'!E91</f>
        <v>2.3661900544097182E-4</v>
      </c>
      <c r="K117" s="85">
        <f>J117*'Input data plant-based products'!$B$115</f>
        <v>2.3661900544097182E-5</v>
      </c>
      <c r="L117" s="85">
        <f>('Input data plant-based products'!$I$91*'Common input data'!$C$59*'Common input data'!H51)/'Input data plant-based products'!$E$91</f>
        <v>7.9503985828166531E-7</v>
      </c>
      <c r="M117" s="85">
        <v>0</v>
      </c>
      <c r="N117" s="85">
        <v>0</v>
      </c>
      <c r="O117" s="85">
        <v>0</v>
      </c>
      <c r="P117" s="85">
        <v>0</v>
      </c>
      <c r="Q117" s="85">
        <v>0</v>
      </c>
      <c r="R117" s="85">
        <v>0</v>
      </c>
      <c r="S117" s="85">
        <f>F117+R117</f>
        <v>5.2428922770162258E-4</v>
      </c>
      <c r="T117" s="90">
        <v>0</v>
      </c>
      <c r="U117" s="90">
        <v>0</v>
      </c>
      <c r="V117" s="430"/>
      <c r="W117" s="243"/>
      <c r="Z117" s="64"/>
    </row>
    <row r="118" spans="1:26" s="308" customFormat="1" ht="17.399999999999999" x14ac:dyDescent="0.3">
      <c r="A118" s="426" t="s">
        <v>604</v>
      </c>
      <c r="B118" s="412"/>
      <c r="C118" s="413"/>
      <c r="D118" s="414"/>
      <c r="E118" s="767" t="s">
        <v>829</v>
      </c>
      <c r="F118" s="768" t="s">
        <v>829</v>
      </c>
      <c r="G118" s="590" t="s">
        <v>829</v>
      </c>
      <c r="H118" s="413"/>
      <c r="I118" s="413"/>
      <c r="J118" s="413"/>
      <c r="K118" s="416"/>
      <c r="L118" s="416"/>
      <c r="M118" s="417"/>
      <c r="N118" s="416"/>
      <c r="O118" s="416"/>
      <c r="P118" s="416"/>
      <c r="Q118" s="416"/>
      <c r="R118" s="416"/>
      <c r="S118" s="416"/>
      <c r="T118" s="416"/>
      <c r="U118" s="416"/>
      <c r="V118" s="430"/>
      <c r="W118" s="243"/>
      <c r="Z118" s="64"/>
    </row>
    <row r="119" spans="1:26" s="308" customFormat="1" ht="17.399999999999999" x14ac:dyDescent="0.3">
      <c r="A119" s="122" t="s">
        <v>249</v>
      </c>
      <c r="B119" s="150"/>
      <c r="C119" s="112">
        <f>SUM(C123:C130)</f>
        <v>1</v>
      </c>
      <c r="D119" s="269" t="s">
        <v>473</v>
      </c>
      <c r="E119" s="769">
        <f>IF($F$1="GWP100 without fb",E120+E121*'Common input data'!$C$5+E122*'Common input data'!$D$5,IF($F$1="GWP100 with fb",E120+E121*'Common input data'!$C$6+E122*'Common input data'!$D$6,IF($F$1="GTP100 without fb",E120+E121*'Common input data'!$C$7+E122*'Common input data'!$D$7,IF($F$1="GTP100 with fb",E120+E121*'Common input data'!$C$8+E122*'Common input data'!$D$8,E120+E121*'Common input data'!$C$9+E122*'Common input data'!$D$9))))</f>
        <v>-6.7999855458349315E-2</v>
      </c>
      <c r="F119" s="326">
        <f>IF($F$1="GWP100 without fb",F120+F121*'Common input data'!$C$5+F122*'Common input data'!$D$5,IF($F$1="GWP100 with fb",F120+F121*'Common input data'!$C$6+F122*'Common input data'!$D$6,IF($F$1="GTP100 without fb",F120+F121*'Common input data'!$C$7+F122*'Common input data'!$D$7,IF($F$1="GTP100 with fb",F120+F121*'Common input data'!$C$8+F122*'Common input data'!$D$8,F120+F121*'Common input data'!$C$9+F122*'Common input data'!$D$9))))</f>
        <v>0.1030327753994365</v>
      </c>
      <c r="G119" s="770">
        <f>IF($F$1="GWP100 without fb",G120+G121*'Common input data'!$C$5+G122*'Common input data'!$D$5,IF($F$1="GWP100 with fb",G120+G121*'Common input data'!$C$6+G122*'Common input data'!$D$6,IF($F$1="GTP100 without fb",G120+G121*'Common input data'!$C$7+G122*'Common input data'!$D$7,IF($F$1="GTP100 with fb",G120+G121*'Common input data'!$C$8+G122*'Common input data'!$D$8,G120+G121*'Common input data'!$C$9+G122*'Common input data'!$D$9))))</f>
        <v>0.63253520331863544</v>
      </c>
      <c r="H119" s="302"/>
      <c r="I119" s="104"/>
      <c r="J119" s="104"/>
      <c r="K119" s="102"/>
      <c r="L119" s="102"/>
      <c r="M119" s="102"/>
      <c r="N119" s="102"/>
      <c r="O119" s="102"/>
      <c r="P119" s="102"/>
      <c r="Q119" s="102"/>
      <c r="R119" s="102"/>
      <c r="S119" s="102"/>
      <c r="T119" s="102"/>
      <c r="U119" s="102"/>
      <c r="V119" s="430"/>
      <c r="W119" s="243"/>
      <c r="Z119" s="64"/>
    </row>
    <row r="120" spans="1:26" s="308" customFormat="1" ht="17.399999999999999" x14ac:dyDescent="0.3">
      <c r="A120" s="103"/>
      <c r="B120" s="84"/>
      <c r="C120" s="64"/>
      <c r="D120" s="83" t="s">
        <v>164</v>
      </c>
      <c r="E120" s="270">
        <f>E124*$C$123+E128*$C$127</f>
        <v>-9.1139048141381296E-2</v>
      </c>
      <c r="F120" s="90">
        <f>F124*$C$123+F128*$C$127</f>
        <v>5.7107207819339881E-2</v>
      </c>
      <c r="G120" s="278">
        <f>G124*$C$123+G128*$C$127</f>
        <v>0.57334471149341504</v>
      </c>
      <c r="H120" s="90">
        <f>H124*$C$123+H128*$C$127</f>
        <v>1.2218935411995736E-2</v>
      </c>
      <c r="I120" s="90">
        <f t="shared" ref="I120:U120" si="16">I124*$C$123+I128*$C$127</f>
        <v>0.03</v>
      </c>
      <c r="J120" s="90">
        <f t="shared" si="16"/>
        <v>0</v>
      </c>
      <c r="K120" s="90">
        <f t="shared" si="16"/>
        <v>0</v>
      </c>
      <c r="L120" s="90">
        <f t="shared" si="16"/>
        <v>5.6027320548725439E-2</v>
      </c>
      <c r="M120" s="90">
        <f t="shared" si="16"/>
        <v>0</v>
      </c>
      <c r="N120" s="90">
        <f t="shared" si="16"/>
        <v>0.05</v>
      </c>
      <c r="O120" s="90">
        <f t="shared" si="16"/>
        <v>0</v>
      </c>
      <c r="P120" s="90">
        <f t="shared" si="16"/>
        <v>-9.1139048141381296E-2</v>
      </c>
      <c r="Q120" s="90">
        <f t="shared" si="16"/>
        <v>0</v>
      </c>
      <c r="R120" s="90">
        <f t="shared" si="16"/>
        <v>0</v>
      </c>
      <c r="S120" s="90">
        <f t="shared" si="16"/>
        <v>5.7107207819339881E-2</v>
      </c>
      <c r="T120" s="90">
        <f t="shared" si="16"/>
        <v>0.05</v>
      </c>
      <c r="U120" s="90">
        <f t="shared" si="16"/>
        <v>0.33200000000000002</v>
      </c>
      <c r="V120" s="430"/>
      <c r="W120" s="243"/>
      <c r="Z120" s="64"/>
    </row>
    <row r="121" spans="1:26" s="308" customFormat="1" ht="17.399999999999999" x14ac:dyDescent="0.3">
      <c r="A121" s="103"/>
      <c r="B121" s="84"/>
      <c r="C121" s="142"/>
      <c r="D121" s="83" t="s">
        <v>165</v>
      </c>
      <c r="E121" s="270">
        <f t="shared" ref="E121:G122" si="17">E125*$C$123+E129*$C$127</f>
        <v>0</v>
      </c>
      <c r="F121" s="90">
        <f t="shared" si="17"/>
        <v>2.4818274311830526E-5</v>
      </c>
      <c r="G121" s="278">
        <f t="shared" si="17"/>
        <v>3.2016473168755642E-5</v>
      </c>
      <c r="H121" s="90">
        <f t="shared" ref="H121:U121" si="18">H125*$C$123+H129*$C$127</f>
        <v>6.0533463341651945E-11</v>
      </c>
      <c r="I121" s="90">
        <f t="shared" si="18"/>
        <v>0</v>
      </c>
      <c r="J121" s="90">
        <f t="shared" si="18"/>
        <v>0</v>
      </c>
      <c r="K121" s="90">
        <f t="shared" si="18"/>
        <v>0</v>
      </c>
      <c r="L121" s="90">
        <f t="shared" si="18"/>
        <v>2.4818213778367182E-5</v>
      </c>
      <c r="M121" s="90">
        <f t="shared" si="18"/>
        <v>0</v>
      </c>
      <c r="N121" s="90">
        <f t="shared" si="18"/>
        <v>0</v>
      </c>
      <c r="O121" s="90">
        <f t="shared" si="18"/>
        <v>0</v>
      </c>
      <c r="P121" s="90">
        <f t="shared" si="18"/>
        <v>0</v>
      </c>
      <c r="Q121" s="90">
        <f t="shared" si="18"/>
        <v>0</v>
      </c>
      <c r="R121" s="90">
        <f t="shared" si="18"/>
        <v>0</v>
      </c>
      <c r="S121" s="90">
        <f t="shared" si="18"/>
        <v>2.4818274311830526E-5</v>
      </c>
      <c r="T121" s="90">
        <f t="shared" si="18"/>
        <v>0</v>
      </c>
      <c r="U121" s="90">
        <f t="shared" si="18"/>
        <v>0</v>
      </c>
      <c r="V121" s="430"/>
      <c r="W121" s="243"/>
      <c r="Z121" s="64"/>
    </row>
    <row r="122" spans="1:26" s="308" customFormat="1" ht="17.399999999999999" x14ac:dyDescent="0.3">
      <c r="A122" s="107"/>
      <c r="B122" s="206"/>
      <c r="C122" s="85"/>
      <c r="D122" s="84" t="s">
        <v>166</v>
      </c>
      <c r="E122" s="270">
        <f t="shared" si="17"/>
        <v>7.7648297594067037E-5</v>
      </c>
      <c r="F122" s="90">
        <f t="shared" si="17"/>
        <v>1.5128102769628991E-4</v>
      </c>
      <c r="G122" s="278">
        <f t="shared" si="17"/>
        <v>1.9497292529356591E-4</v>
      </c>
      <c r="H122" s="90">
        <f t="shared" ref="H122:U122" si="19">H126*$C$123+H130*$C$127</f>
        <v>7.2127254154917797E-5</v>
      </c>
      <c r="I122" s="90">
        <f t="shared" si="19"/>
        <v>0</v>
      </c>
      <c r="J122" s="90">
        <f t="shared" si="19"/>
        <v>7.0589361449151857E-5</v>
      </c>
      <c r="K122" s="90">
        <f t="shared" si="19"/>
        <v>7.058936144915187E-6</v>
      </c>
      <c r="L122" s="90">
        <f t="shared" si="19"/>
        <v>1.5054759473050567E-6</v>
      </c>
      <c r="M122" s="90">
        <f t="shared" si="19"/>
        <v>0</v>
      </c>
      <c r="N122" s="90">
        <f t="shared" si="19"/>
        <v>0</v>
      </c>
      <c r="O122" s="90">
        <f t="shared" si="19"/>
        <v>0</v>
      </c>
      <c r="P122" s="90">
        <f t="shared" si="19"/>
        <v>0</v>
      </c>
      <c r="Q122" s="90">
        <f t="shared" si="19"/>
        <v>0</v>
      </c>
      <c r="R122" s="90">
        <f t="shared" si="19"/>
        <v>0</v>
      </c>
      <c r="S122" s="90">
        <f t="shared" si="19"/>
        <v>1.5128102769628991E-4</v>
      </c>
      <c r="T122" s="90">
        <f t="shared" si="19"/>
        <v>0</v>
      </c>
      <c r="U122" s="90">
        <f t="shared" si="19"/>
        <v>0</v>
      </c>
      <c r="V122" s="430"/>
      <c r="W122" s="243"/>
      <c r="Z122" s="64"/>
    </row>
    <row r="123" spans="1:26" s="308" customFormat="1" ht="17.399999999999999" x14ac:dyDescent="0.3">
      <c r="A123" s="122" t="s">
        <v>66</v>
      </c>
      <c r="B123" s="150" t="s">
        <v>225</v>
      </c>
      <c r="C123" s="111">
        <f>'Input data plant-based products'!D93</f>
        <v>0.49</v>
      </c>
      <c r="D123" s="269" t="s">
        <v>473</v>
      </c>
      <c r="E123" s="320">
        <f>IF($F$1="GWP100 without fb",E124+E125*'Common input data'!$C$5+E126*'Common input data'!$D$5,IF($F$1="GWP100 with fb",E124+E125*'Common input data'!$C$6+E126*'Common input data'!$D$6,IF($F$1="GTP100 without fb",E124+E125*'Common input data'!$C$7+E126*'Common input data'!$D$7,IF($F$1="GTP100 with fb",E124+E125*'Common input data'!$C$8+E126*'Common input data'!$D$8,E124+E125*'Common input data'!$C$9+E126*'Common input data'!$D$9))))</f>
        <v>-6.8074290884238442E-2</v>
      </c>
      <c r="F123" s="302">
        <f>IF($F$1="GWP100 without fb",F124+F125*'Common input data'!$C$5+F126*'Common input data'!$D$5,IF($F$1="GWP100 with fb",F124+F125*'Common input data'!$C$6+F126*'Common input data'!$D$6,IF($F$1="GTP100 without fb",F124+F125*'Common input data'!$C$7+F126*'Common input data'!$D$7,IF($F$1="GTP100 with fb",F124+F125*'Common input data'!$C$8+F126*'Common input data'!$D$8,F124+F125*'Common input data'!$C$9+F126*'Common input data'!$D$9))))</f>
        <v>9.7071461201216236E-2</v>
      </c>
      <c r="G123" s="321">
        <f>IF($F$1="GWP100 without fb",G124+G125*'Common input data'!$C$5+G126*'Common input data'!$D$5,IF($F$1="GWP100 with fb",G124+G125*'Common input data'!$C$6+G126*'Common input data'!$D$6,IF($F$1="GTP100 without fb",G124+G125*'Common input data'!$C$7+G126*'Common input data'!$D$7,IF($F$1="GTP100 with fb",G124+G125*'Common input data'!$C$8+G126*'Common input data'!$D$8,G124+G125*'Common input data'!$C$9+G126*'Common input data'!$D$9))))</f>
        <v>0.45001964578257103</v>
      </c>
      <c r="H123" s="102"/>
      <c r="I123" s="102"/>
      <c r="J123" s="102"/>
      <c r="K123" s="102"/>
      <c r="L123" s="102"/>
      <c r="M123" s="102"/>
      <c r="N123" s="102"/>
      <c r="O123" s="102"/>
      <c r="P123" s="102"/>
      <c r="Q123" s="102"/>
      <c r="R123" s="102"/>
      <c r="S123" s="102"/>
      <c r="T123" s="102"/>
      <c r="U123" s="102"/>
      <c r="V123" s="430"/>
      <c r="W123" s="243"/>
      <c r="Z123" s="64"/>
    </row>
    <row r="124" spans="1:26" s="308" customFormat="1" ht="17.399999999999999" x14ac:dyDescent="0.3">
      <c r="A124" s="103"/>
      <c r="B124" s="84"/>
      <c r="C124" s="64"/>
      <c r="D124" s="83" t="s">
        <v>164</v>
      </c>
      <c r="E124" s="270">
        <f>IF(AND($F$2="No",$F$3="No"),SUM(J124:K124),IF(AND($F$2="Yes", $F$3="No"), SUM(J124:K124)+Q124, IF(AND($F$2="No", $F$3="Yes"),SUM(J124:K124)+P124, SUM(J124:K124)+Q124+P124)))</f>
        <v>-9.1139048141381296E-2</v>
      </c>
      <c r="F124" s="90">
        <f>IF(AND($F$2="No",$F$3="No"),SUM(H124:O124),IF(AND($F$2="Yes", $F$3="No"), SUM(H124:O124)+Q124, IF(AND($F$2="No", $F$3="Yes"),SUM(H124:O124)+P124, SUM(H124:O124)+Q124+P124)))</f>
        <v>5.3359374565620704E-2</v>
      </c>
      <c r="G124" s="278">
        <f>SUM(S124:U124)/(1-'Common input data'!$B$121)</f>
        <v>0.39785102585704823</v>
      </c>
      <c r="H124" s="90">
        <f>('Input data plant-based products'!$F$93*('Common input data'!$C$76*'Common input data'!B69+'Common input data'!$C$77*'Common input data'!C69))/'Input data plant-based products'!$E$93</f>
        <v>1.1939735361531097E-2</v>
      </c>
      <c r="I124" s="90">
        <f>'Common input data'!$B$81</f>
        <v>0.03</v>
      </c>
      <c r="J124" s="90">
        <v>0</v>
      </c>
      <c r="K124" s="90">
        <v>0</v>
      </c>
      <c r="L124" s="90">
        <f>('Input data plant-based products'!$I$93*'Common input data'!$C$59*'Common input data'!H49)/'Input data plant-based products'!$E$93</f>
        <v>5.2558687345470902E-2</v>
      </c>
      <c r="M124" s="90">
        <v>0</v>
      </c>
      <c r="N124" s="90">
        <f>'Input data plant-based products'!$F$152</f>
        <v>0.05</v>
      </c>
      <c r="O124" s="90">
        <v>0</v>
      </c>
      <c r="P124" s="90">
        <f>'Common input data'!$F$13</f>
        <v>-9.1139048141381296E-2</v>
      </c>
      <c r="Q124" s="90">
        <v>0</v>
      </c>
      <c r="R124" s="90">
        <v>0</v>
      </c>
      <c r="S124" s="90">
        <f>F124+R124</f>
        <v>5.3359374565620704E-2</v>
      </c>
      <c r="T124" s="90">
        <f>'Common input data'!$B$88</f>
        <v>0.05</v>
      </c>
      <c r="U124" s="90">
        <f>'Common input data'!B100+'Common input data'!C100</f>
        <v>0.23</v>
      </c>
      <c r="V124" s="430"/>
      <c r="W124" s="243"/>
      <c r="Z124" s="64"/>
    </row>
    <row r="125" spans="1:26" s="308" customFormat="1" ht="17.399999999999999" x14ac:dyDescent="0.3">
      <c r="A125" s="107"/>
      <c r="B125" s="84"/>
      <c r="C125" s="142"/>
      <c r="D125" s="83" t="s">
        <v>165</v>
      </c>
      <c r="E125" s="270">
        <f>SUM(J125:K125)</f>
        <v>0</v>
      </c>
      <c r="F125" s="90">
        <f>SUM(H125:O125)</f>
        <v>2.3281778874652345E-5</v>
      </c>
      <c r="G125" s="278">
        <f>SUM(S125:U125)/(1-'Common input data'!$B$121)</f>
        <v>2.7785868092436265E-5</v>
      </c>
      <c r="H125" s="90">
        <f>('Input data plant-based products'!$F$93*('Common input data'!$C$76*'Common input data'!B70+'Common input data'!$C$77*'Common input data'!C70))/'Input data plant-based products'!$E$93</f>
        <v>5.264403872E-11</v>
      </c>
      <c r="I125" s="90">
        <v>0</v>
      </c>
      <c r="J125" s="90">
        <v>0</v>
      </c>
      <c r="K125" s="90">
        <v>0</v>
      </c>
      <c r="L125" s="90">
        <f>('Input data plant-based products'!$I$93*'Common input data'!$C$59*'Common input data'!H50)/'Input data plant-based products'!$E$93</f>
        <v>2.3281726230613626E-5</v>
      </c>
      <c r="M125" s="90">
        <v>0</v>
      </c>
      <c r="N125" s="90">
        <v>0</v>
      </c>
      <c r="O125" s="90">
        <v>0</v>
      </c>
      <c r="P125" s="90">
        <v>0</v>
      </c>
      <c r="Q125" s="90">
        <v>0</v>
      </c>
      <c r="R125" s="90">
        <v>0</v>
      </c>
      <c r="S125" s="90">
        <f>F125+R125</f>
        <v>2.3281778874652345E-5</v>
      </c>
      <c r="T125" s="90">
        <v>0</v>
      </c>
      <c r="U125" s="90">
        <v>0</v>
      </c>
      <c r="V125" s="430"/>
      <c r="W125" s="243"/>
      <c r="Z125" s="64"/>
    </row>
    <row r="126" spans="1:26" s="308" customFormat="1" ht="17.399999999999999" x14ac:dyDescent="0.3">
      <c r="A126" s="174"/>
      <c r="B126" s="206"/>
      <c r="C126" s="85"/>
      <c r="D126" s="84" t="s">
        <v>166</v>
      </c>
      <c r="E126" s="270">
        <f>SUM(J126:K126)</f>
        <v>7.7398514285714296E-5</v>
      </c>
      <c r="F126" s="90">
        <f>SUM(H126:O126)</f>
        <v>1.4402854414046094E-4</v>
      </c>
      <c r="G126" s="278">
        <f>SUM(S126:U126)/(1-'Common input data'!$B$121)</f>
        <v>1.7189228325630856E-4</v>
      </c>
      <c r="H126" s="90">
        <f>('Input data plant-based products'!$F$93*('Common input data'!$C$76*'Common input data'!B71+'Common input data'!$C$77*'Common input data'!C71))/'Input data plant-based products'!$E$93</f>
        <v>6.521775743397792E-5</v>
      </c>
      <c r="I126" s="90">
        <v>0</v>
      </c>
      <c r="J126" s="90">
        <f>(SUM('Input data plant-based products'!F93:H93)*'Input data plant-based products'!$B$114*44/28)/'Input data plant-based products'!E93</f>
        <v>7.0362285714285728E-5</v>
      </c>
      <c r="K126" s="90">
        <f>J126*'Input data plant-based products'!$B$115</f>
        <v>7.0362285714285733E-6</v>
      </c>
      <c r="L126" s="90">
        <f>('Input data plant-based products'!$I$93*'Common input data'!$C$59*'Common input data'!H51)/'Input data plant-based products'!$E$93</f>
        <v>1.4122724207687124E-6</v>
      </c>
      <c r="M126" s="90">
        <v>0</v>
      </c>
      <c r="N126" s="90">
        <v>0</v>
      </c>
      <c r="O126" s="90">
        <v>0</v>
      </c>
      <c r="P126" s="90">
        <v>0</v>
      </c>
      <c r="Q126" s="90">
        <v>0</v>
      </c>
      <c r="R126" s="90">
        <v>0</v>
      </c>
      <c r="S126" s="90">
        <f>F126+R126</f>
        <v>1.4402854414046094E-4</v>
      </c>
      <c r="T126" s="90">
        <v>0</v>
      </c>
      <c r="U126" s="90">
        <v>0</v>
      </c>
      <c r="V126" s="430"/>
      <c r="W126" s="243"/>
      <c r="Z126" s="64"/>
    </row>
    <row r="127" spans="1:26" s="308" customFormat="1" ht="17.399999999999999" x14ac:dyDescent="0.3">
      <c r="A127" s="122" t="s">
        <v>67</v>
      </c>
      <c r="B127" s="150" t="s">
        <v>225</v>
      </c>
      <c r="C127" s="111">
        <f>'Input data plant-based products'!D94</f>
        <v>0.51</v>
      </c>
      <c r="D127" s="269" t="s">
        <v>473</v>
      </c>
      <c r="E127" s="320">
        <f>IF($F$1="GWP100 without fb",E128+E129*'Common input data'!$C$5+E130*'Common input data'!$D$5,IF($F$1="GWP100 with fb",E128+E129*'Common input data'!$C$6+E130*'Common input data'!$D$6,IF($F$1="GTP100 without fb",E128+E129*'Common input data'!$C$7+E130*'Common input data'!$D$7,IF($F$1="GTP100 with fb",E128+E129*'Common input data'!$C$8+E130*'Common input data'!$D$8,E128+E129*'Common input data'!$C$9+E130*'Common input data'!$D$9))))</f>
        <v>-6.7928339068769578E-2</v>
      </c>
      <c r="F127" s="302">
        <f>IF($F$1="GWP100 without fb",F128+F129*'Common input data'!$C$5+F130*'Common input data'!$D$5,IF($F$1="GWP100 with fb",F128+F129*'Common input data'!$C$6+F130*'Common input data'!$D$6,IF($F$1="GTP100 without fb",F128+F129*'Common input data'!$C$7+F130*'Common input data'!$D$7,IF($F$1="GTP100 with fb",F128+F129*'Common input data'!$C$8+F130*'Common input data'!$D$8,F128+F129*'Common input data'!$C$9+F130*'Common input data'!$D$9))))</f>
        <v>0.10876031257027557</v>
      </c>
      <c r="G127" s="321">
        <f>IF($F$1="GWP100 without fb",G128+G129*'Common input data'!$C$5+G130*'Common input data'!$D$5,IF($F$1="GWP100 with fb",G128+G129*'Common input data'!$C$6+G130*'Common input data'!$D$6,IF($F$1="GTP100 without fb",G128+G129*'Common input data'!$C$7+G130*'Common input data'!$D$7,IF($F$1="GTP100 with fb",G128+G129*'Common input data'!$C$8+G130*'Common input data'!$D$8,G128+G129*'Common input data'!$C$9+G130*'Common input data'!$D$9))))</f>
        <v>0.80789328801014815</v>
      </c>
      <c r="H127" s="102"/>
      <c r="I127" s="102"/>
      <c r="J127" s="102"/>
      <c r="K127" s="102"/>
      <c r="L127" s="102"/>
      <c r="M127" s="102"/>
      <c r="N127" s="102"/>
      <c r="O127" s="102"/>
      <c r="P127" s="102"/>
      <c r="Q127" s="102"/>
      <c r="R127" s="102"/>
      <c r="S127" s="102"/>
      <c r="T127" s="102"/>
      <c r="U127" s="102"/>
      <c r="V127" s="430"/>
      <c r="W127" s="243"/>
      <c r="Z127" s="64"/>
    </row>
    <row r="128" spans="1:26" s="308" customFormat="1" ht="17.399999999999999" x14ac:dyDescent="0.3">
      <c r="A128" s="144"/>
      <c r="B128" s="84"/>
      <c r="C128" s="64"/>
      <c r="D128" s="83" t="s">
        <v>164</v>
      </c>
      <c r="E128" s="270">
        <f>IF(AND($F$2="No",$F$3="No"),SUM(J128:K128),IF(AND($F$2="Yes", $F$3="No"), SUM(J128:K128)+Q128, IF(AND($F$2="No", $F$3="Yes"),SUM(J128:K128)+P128, SUM(J128:K128)+Q128+P128)))</f>
        <v>-9.1139048141381296E-2</v>
      </c>
      <c r="F128" s="90">
        <f>IF(AND($F$2="No",$F$3="No"),SUM(H128:O128),IF(AND($F$2="Yes", $F$3="No"), SUM(H128:O128)+Q128, IF(AND($F$2="No", $F$3="Yes"),SUM(H128:O128)+P128, SUM(H128:O128)+Q128+P128)))</f>
        <v>6.0708067219972017E-2</v>
      </c>
      <c r="G128" s="278">
        <f>SUM(S128:U128)/(1-'Common input data'!$H$121)</f>
        <v>0.74195629181070866</v>
      </c>
      <c r="H128" s="90">
        <f>('Input data plant-based products'!$F$94*('Common input data'!$D$76*'Common input data'!B69+'Common input data'!$D$77*'Common input data'!C69))/'Input data plant-based products'!$E$94</f>
        <v>1.2487186440873526E-2</v>
      </c>
      <c r="I128" s="90">
        <f>'Common input data'!$B$81</f>
        <v>0.03</v>
      </c>
      <c r="J128" s="90">
        <v>0</v>
      </c>
      <c r="K128" s="90">
        <v>0</v>
      </c>
      <c r="L128" s="90">
        <f>('Input data plant-based products'!$I$94*'Common input data'!$C$59*'Common input data'!H49)/'Input data plant-based products'!$E$94</f>
        <v>5.9359928920479796E-2</v>
      </c>
      <c r="M128" s="90">
        <v>0</v>
      </c>
      <c r="N128" s="90">
        <f>'Input data plant-based products'!$F$152</f>
        <v>0.05</v>
      </c>
      <c r="O128" s="90">
        <v>0</v>
      </c>
      <c r="P128" s="90">
        <f>'Common input data'!$F$13</f>
        <v>-9.1139048141381296E-2</v>
      </c>
      <c r="Q128" s="90">
        <v>0</v>
      </c>
      <c r="R128" s="90">
        <v>0</v>
      </c>
      <c r="S128" s="90">
        <f>F128+R128</f>
        <v>6.0708067219972017E-2</v>
      </c>
      <c r="T128" s="90">
        <f>'Common input data'!$B$88</f>
        <v>0.05</v>
      </c>
      <c r="U128" s="90">
        <f>'Common input data'!B108+'Common input data'!C108</f>
        <v>0.43000000000000005</v>
      </c>
      <c r="V128" s="430"/>
      <c r="W128" s="243"/>
      <c r="Z128" s="64"/>
    </row>
    <row r="129" spans="1:258" s="308" customFormat="1" ht="17.399999999999999" x14ac:dyDescent="0.3">
      <c r="A129" s="107"/>
      <c r="B129" s="84"/>
      <c r="C129" s="142"/>
      <c r="D129" s="83" t="s">
        <v>165</v>
      </c>
      <c r="E129" s="270">
        <f>SUM(J129:K129)</f>
        <v>0</v>
      </c>
      <c r="F129" s="90">
        <f>SUM(H129:O129)</f>
        <v>2.6294515025982107E-5</v>
      </c>
      <c r="G129" s="278">
        <f>SUM(S129:U129)/(1-'Common input data'!$H$121)</f>
        <v>3.6081172163650729E-5</v>
      </c>
      <c r="H129" s="90">
        <f>('Input data plant-based products'!$F$94*('Common input data'!$D$76*'Common input data'!B70+'Common input data'!$D$77*'Common input data'!C70))/'Input data plant-based products'!$E$94</f>
        <v>6.8113498762454778E-11</v>
      </c>
      <c r="I129" s="90">
        <v>0</v>
      </c>
      <c r="J129" s="90">
        <v>0</v>
      </c>
      <c r="K129" s="90">
        <v>0</v>
      </c>
      <c r="L129" s="90">
        <f>('Input data plant-based products'!$I$94*'Common input data'!$C$59*'Common input data'!H50)/'Input data plant-based products'!$E$94</f>
        <v>2.6294446912483345E-5</v>
      </c>
      <c r="M129" s="90">
        <v>0</v>
      </c>
      <c r="N129" s="90">
        <v>0</v>
      </c>
      <c r="O129" s="90">
        <v>0</v>
      </c>
      <c r="P129" s="90">
        <v>0</v>
      </c>
      <c r="Q129" s="90">
        <v>0</v>
      </c>
      <c r="R129" s="90">
        <v>0</v>
      </c>
      <c r="S129" s="90">
        <f>F129+R129</f>
        <v>2.6294515025982107E-5</v>
      </c>
      <c r="T129" s="90">
        <v>0</v>
      </c>
      <c r="U129" s="90">
        <v>0</v>
      </c>
      <c r="V129" s="430"/>
      <c r="W129" s="243"/>
      <c r="Z129" s="64"/>
    </row>
    <row r="130" spans="1:258" s="308" customFormat="1" ht="17.399999999999999" x14ac:dyDescent="0.3">
      <c r="A130" s="174"/>
      <c r="B130" s="206"/>
      <c r="C130" s="85"/>
      <c r="D130" s="84" t="s">
        <v>166</v>
      </c>
      <c r="E130" s="780">
        <f>SUM(J130:K130)</f>
        <v>7.788828547856281E-5</v>
      </c>
      <c r="F130" s="108">
        <f>SUM(H130:O130)</f>
        <v>1.5824910013228247E-4</v>
      </c>
      <c r="G130" s="521">
        <f>SUM(S130:U130)/(1-'Common input data'!$H$121)</f>
        <v>2.1714844411367589E-4</v>
      </c>
      <c r="H130" s="90">
        <f>('Input data plant-based products'!$F$94*('Common input data'!$D$76*'Common input data'!B71+'Common input data'!$D$77*'Common input data'!C71))/'Input data plant-based products'!$E$94</f>
        <v>7.8765790220134549E-5</v>
      </c>
      <c r="I130" s="90">
        <v>0</v>
      </c>
      <c r="J130" s="90">
        <f>(SUM('Input data plant-based products'!F94:H94)*'Input data plant-based products'!$B$114*44/28)/'Input data plant-based products'!E94</f>
        <v>7.0807532253238921E-5</v>
      </c>
      <c r="K130" s="90">
        <f>J130*'Input data plant-based products'!$B$115</f>
        <v>7.0807532253238928E-6</v>
      </c>
      <c r="L130" s="90">
        <f>('Input data plant-based products'!$I$94*'Common input data'!$C$59*'Common input data'!H51)/'Input data plant-based products'!$E$94</f>
        <v>1.5950244335850736E-6</v>
      </c>
      <c r="M130" s="90">
        <v>0</v>
      </c>
      <c r="N130" s="90">
        <v>0</v>
      </c>
      <c r="O130" s="90">
        <v>0</v>
      </c>
      <c r="P130" s="90">
        <v>0</v>
      </c>
      <c r="Q130" s="90">
        <v>0</v>
      </c>
      <c r="R130" s="90">
        <v>0</v>
      </c>
      <c r="S130" s="90">
        <f>F130+R130</f>
        <v>1.5824910013228247E-4</v>
      </c>
      <c r="T130" s="90">
        <v>0</v>
      </c>
      <c r="U130" s="90">
        <v>0</v>
      </c>
      <c r="V130" s="430"/>
      <c r="W130" s="243"/>
      <c r="Z130" s="64"/>
    </row>
    <row r="131" spans="1:258" s="427" customFormat="1" ht="17.399999999999999" x14ac:dyDescent="0.3">
      <c r="A131" s="426" t="s">
        <v>608</v>
      </c>
      <c r="B131" s="412"/>
      <c r="C131" s="413"/>
      <c r="D131" s="414"/>
      <c r="E131" s="767" t="s">
        <v>830</v>
      </c>
      <c r="F131" s="768" t="s">
        <v>830</v>
      </c>
      <c r="G131" s="590" t="s">
        <v>830</v>
      </c>
      <c r="H131" s="413"/>
      <c r="I131" s="413"/>
      <c r="J131" s="413"/>
      <c r="K131" s="416"/>
      <c r="L131" s="416"/>
      <c r="M131" s="417"/>
      <c r="N131" s="416"/>
      <c r="O131" s="416"/>
      <c r="P131" s="416"/>
      <c r="Q131" s="416"/>
      <c r="R131" s="416"/>
      <c r="S131" s="416"/>
      <c r="T131" s="416"/>
      <c r="U131" s="416"/>
      <c r="V131" s="430"/>
      <c r="W131" s="243"/>
      <c r="X131" s="308"/>
      <c r="Y131" s="308"/>
      <c r="Z131" s="64"/>
      <c r="AA131" s="308"/>
      <c r="AB131" s="308"/>
      <c r="AC131" s="308"/>
      <c r="AD131" s="308"/>
      <c r="AE131" s="308"/>
      <c r="AF131" s="308"/>
      <c r="AG131" s="308"/>
      <c r="AH131" s="308"/>
      <c r="AI131" s="308"/>
      <c r="AJ131" s="308"/>
      <c r="AK131" s="308"/>
      <c r="AL131" s="308"/>
      <c r="AM131" s="308"/>
      <c r="AN131" s="308"/>
      <c r="AO131" s="308"/>
      <c r="AP131" s="308"/>
      <c r="AQ131" s="308"/>
      <c r="AR131" s="308"/>
      <c r="AS131" s="308"/>
      <c r="AT131" s="308"/>
      <c r="AU131" s="308"/>
      <c r="AV131" s="308"/>
      <c r="AW131" s="308"/>
      <c r="AX131" s="308"/>
      <c r="AY131" s="308"/>
      <c r="AZ131" s="308"/>
      <c r="BA131" s="308"/>
      <c r="BB131" s="308"/>
      <c r="BC131" s="308"/>
      <c r="BD131" s="308"/>
      <c r="BE131" s="308"/>
      <c r="BF131" s="308"/>
      <c r="BG131" s="308"/>
      <c r="BH131" s="308"/>
      <c r="BI131" s="308"/>
      <c r="BJ131" s="308"/>
      <c r="BK131" s="308"/>
      <c r="BL131" s="308"/>
      <c r="BM131" s="308"/>
      <c r="BN131" s="308"/>
      <c r="BO131" s="308"/>
      <c r="BP131" s="308"/>
      <c r="BQ131" s="308"/>
      <c r="BR131" s="308"/>
      <c r="BS131" s="308"/>
      <c r="BT131" s="308"/>
      <c r="BU131" s="308"/>
      <c r="BV131" s="308"/>
      <c r="BW131" s="308"/>
      <c r="BX131" s="308"/>
      <c r="BY131" s="308"/>
      <c r="BZ131" s="308"/>
      <c r="CA131" s="308"/>
      <c r="CB131" s="308"/>
      <c r="CC131" s="308"/>
      <c r="CD131" s="308"/>
      <c r="CE131" s="308"/>
      <c r="CF131" s="308"/>
      <c r="CG131" s="308"/>
      <c r="CH131" s="308"/>
      <c r="CI131" s="308"/>
      <c r="CJ131" s="308"/>
      <c r="CK131" s="308"/>
      <c r="CL131" s="308"/>
      <c r="CM131" s="308"/>
      <c r="CN131" s="308"/>
      <c r="CO131" s="308"/>
      <c r="CP131" s="308"/>
      <c r="CQ131" s="308"/>
      <c r="CR131" s="308"/>
      <c r="CS131" s="308"/>
      <c r="CT131" s="308"/>
      <c r="CU131" s="308"/>
      <c r="CV131" s="308"/>
      <c r="CW131" s="308"/>
      <c r="CX131" s="308"/>
      <c r="CY131" s="308"/>
      <c r="CZ131" s="308"/>
      <c r="DA131" s="308"/>
      <c r="DB131" s="308"/>
      <c r="DC131" s="308"/>
      <c r="DD131" s="308"/>
      <c r="DE131" s="308"/>
      <c r="DF131" s="308"/>
      <c r="DG131" s="308"/>
      <c r="DH131" s="308"/>
      <c r="DI131" s="308"/>
      <c r="DJ131" s="308"/>
      <c r="DK131" s="308"/>
      <c r="DL131" s="308"/>
      <c r="DM131" s="308"/>
      <c r="DN131" s="308"/>
      <c r="DO131" s="308"/>
      <c r="DP131" s="308"/>
      <c r="DQ131" s="308"/>
      <c r="DR131" s="308"/>
      <c r="DS131" s="308"/>
      <c r="DT131" s="308"/>
      <c r="DU131" s="308"/>
      <c r="DV131" s="308"/>
      <c r="DW131" s="308"/>
      <c r="DX131" s="308"/>
      <c r="DY131" s="308"/>
      <c r="DZ131" s="308"/>
      <c r="EA131" s="308"/>
      <c r="EB131" s="308"/>
      <c r="EC131" s="308"/>
      <c r="ED131" s="308"/>
      <c r="EE131" s="308"/>
      <c r="EF131" s="308"/>
      <c r="EG131" s="308"/>
      <c r="EH131" s="308"/>
      <c r="EI131" s="308"/>
      <c r="EJ131" s="308"/>
      <c r="EK131" s="308"/>
      <c r="EL131" s="308"/>
      <c r="EM131" s="308"/>
      <c r="EN131" s="308"/>
      <c r="EO131" s="308"/>
      <c r="EP131" s="308"/>
      <c r="EQ131" s="308"/>
      <c r="ER131" s="308"/>
      <c r="ES131" s="308"/>
      <c r="ET131" s="308"/>
      <c r="EU131" s="308"/>
      <c r="EV131" s="308"/>
      <c r="EW131" s="308"/>
      <c r="EX131" s="308"/>
      <c r="EY131" s="308"/>
      <c r="EZ131" s="308"/>
      <c r="FA131" s="308"/>
      <c r="FB131" s="308"/>
      <c r="FC131" s="308"/>
      <c r="FD131" s="308"/>
      <c r="FE131" s="308"/>
      <c r="FF131" s="308"/>
      <c r="FG131" s="308"/>
      <c r="FH131" s="308"/>
      <c r="FI131" s="308"/>
      <c r="FJ131" s="308"/>
      <c r="FK131" s="308"/>
      <c r="FL131" s="308"/>
      <c r="FM131" s="308"/>
      <c r="FN131" s="308"/>
      <c r="FO131" s="308"/>
      <c r="FP131" s="308"/>
      <c r="FQ131" s="308"/>
      <c r="FR131" s="308"/>
      <c r="FS131" s="308"/>
      <c r="FT131" s="308"/>
      <c r="FU131" s="308"/>
      <c r="FV131" s="308"/>
      <c r="FW131" s="308"/>
      <c r="FX131" s="308"/>
      <c r="FY131" s="308"/>
      <c r="FZ131" s="308"/>
      <c r="GA131" s="308"/>
      <c r="GB131" s="308"/>
      <c r="GC131" s="308"/>
      <c r="GD131" s="308"/>
      <c r="GE131" s="308"/>
      <c r="GF131" s="308"/>
      <c r="GG131" s="308"/>
      <c r="GH131" s="308"/>
      <c r="GI131" s="308"/>
      <c r="GJ131" s="308"/>
      <c r="GK131" s="308"/>
      <c r="GL131" s="308"/>
      <c r="GM131" s="308"/>
      <c r="GN131" s="308"/>
      <c r="GO131" s="308"/>
      <c r="GP131" s="308"/>
      <c r="GQ131" s="308"/>
      <c r="GR131" s="308"/>
      <c r="GS131" s="308"/>
      <c r="GT131" s="308"/>
      <c r="GU131" s="308"/>
      <c r="GV131" s="308"/>
      <c r="GW131" s="308"/>
      <c r="GX131" s="308"/>
      <c r="GY131" s="308"/>
      <c r="GZ131" s="308"/>
      <c r="HA131" s="308"/>
      <c r="HB131" s="308"/>
      <c r="HC131" s="308"/>
      <c r="HD131" s="308"/>
      <c r="HE131" s="308"/>
      <c r="HF131" s="308"/>
      <c r="HG131" s="308"/>
      <c r="HH131" s="308"/>
      <c r="HI131" s="308"/>
      <c r="HJ131" s="308"/>
      <c r="HK131" s="308"/>
      <c r="HL131" s="308"/>
      <c r="HM131" s="308"/>
      <c r="HN131" s="308"/>
      <c r="HO131" s="308"/>
      <c r="HP131" s="308"/>
      <c r="HQ131" s="308"/>
      <c r="HR131" s="308"/>
      <c r="HS131" s="308"/>
      <c r="HT131" s="308"/>
      <c r="HU131" s="308"/>
      <c r="HV131" s="308"/>
      <c r="HW131" s="308"/>
      <c r="HX131" s="308"/>
      <c r="HY131" s="308"/>
      <c r="HZ131" s="308"/>
      <c r="IA131" s="308"/>
      <c r="IB131" s="308"/>
      <c r="IC131" s="308"/>
      <c r="ID131" s="308"/>
      <c r="IE131" s="308"/>
      <c r="IF131" s="308"/>
      <c r="IG131" s="308"/>
      <c r="IH131" s="308"/>
      <c r="II131" s="308"/>
      <c r="IJ131" s="308"/>
      <c r="IK131" s="308"/>
      <c r="IL131" s="308"/>
      <c r="IM131" s="308"/>
      <c r="IN131" s="308"/>
      <c r="IO131" s="308"/>
      <c r="IP131" s="308"/>
      <c r="IQ131" s="308"/>
      <c r="IR131" s="308"/>
      <c r="IS131" s="308"/>
      <c r="IT131" s="308"/>
      <c r="IU131" s="308"/>
      <c r="IV131" s="308"/>
      <c r="IW131" s="308"/>
      <c r="IX131" s="308"/>
    </row>
    <row r="132" spans="1:258" s="420" customFormat="1" ht="17.399999999999999" x14ac:dyDescent="0.3">
      <c r="A132" s="122" t="s">
        <v>249</v>
      </c>
      <c r="B132" s="150"/>
      <c r="C132" s="112">
        <f>SUM(C136:C151)</f>
        <v>0.99999999999999989</v>
      </c>
      <c r="D132" s="269" t="s">
        <v>473</v>
      </c>
      <c r="E132" s="769">
        <f>IF($F$1="GWP100 without fb",E133+E134*'Common input data'!$C$5+E135*'Common input data'!$D$5,IF($F$1="GWP100 with fb",E133+E134*'Common input data'!$C$6+E135*'Common input data'!$D$6,IF($F$1="GTP100 without fb",E133+E134*'Common input data'!$C$7+E135*'Common input data'!$D$7,IF($F$1="GTP100 with fb",E133+E134*'Common input data'!$C$8+E135*'Common input data'!$D$8,E133+E134*'Common input data'!$C$9+E135*'Common input data'!$D$9))))</f>
        <v>-5.9708203235717905E-2</v>
      </c>
      <c r="F132" s="326">
        <f>IF($F$1="GWP100 without fb",F133+F134*'Common input data'!$C$5+F135*'Common input data'!$D$5,IF($F$1="GWP100 with fb",F133+F134*'Common input data'!$C$6+F135*'Common input data'!$D$6,IF($F$1="GTP100 without fb",F133+F134*'Common input data'!$C$7+F135*'Common input data'!$D$7,IF($F$1="GTP100 with fb",F133+F134*'Common input data'!$C$8+F135*'Common input data'!$D$8,F133+F134*'Common input data'!$C$9+F135*'Common input data'!$D$9))))</f>
        <v>0.39086257552851394</v>
      </c>
      <c r="G132" s="770">
        <f>IF($F$1="GWP100 without fb",G133+G134*'Common input data'!$C$5+G135*'Common input data'!$D$5,IF($F$1="GWP100 with fb",G133+G134*'Common input data'!$C$6+G135*'Common input data'!$D$6,IF($F$1="GTP100 without fb",G133+G134*'Common input data'!$C$7+G135*'Common input data'!$D$7,IF($F$1="GTP100 with fb",G133+G134*'Common input data'!$C$8+G135*'Common input data'!$D$8,G133+G134*'Common input data'!$C$9+G135*'Common input data'!$D$9))))</f>
        <v>0.7385876304195178</v>
      </c>
      <c r="H132" s="302"/>
      <c r="I132" s="104"/>
      <c r="J132" s="104"/>
      <c r="K132" s="102"/>
      <c r="L132" s="102"/>
      <c r="M132" s="102"/>
      <c r="N132" s="102"/>
      <c r="O132" s="102"/>
      <c r="P132" s="102"/>
      <c r="Q132" s="102"/>
      <c r="R132" s="102"/>
      <c r="S132" s="102"/>
      <c r="T132" s="102"/>
      <c r="U132" s="102"/>
      <c r="V132" s="430"/>
      <c r="W132" s="243"/>
      <c r="X132" s="308"/>
      <c r="Y132" s="308"/>
      <c r="Z132" s="64"/>
      <c r="AA132" s="308"/>
      <c r="AB132" s="308"/>
      <c r="AC132" s="308"/>
      <c r="AD132" s="308"/>
      <c r="AE132" s="308"/>
      <c r="AF132" s="308"/>
      <c r="AG132" s="308"/>
      <c r="AH132" s="308"/>
      <c r="AI132" s="308"/>
      <c r="AJ132" s="308"/>
      <c r="AK132" s="308"/>
      <c r="AL132" s="308"/>
      <c r="AM132" s="308"/>
      <c r="AN132" s="308"/>
      <c r="AO132" s="308"/>
      <c r="AP132" s="308"/>
      <c r="AQ132" s="308"/>
      <c r="AR132" s="308"/>
      <c r="AS132" s="308"/>
      <c r="AT132" s="308"/>
      <c r="AU132" s="308"/>
      <c r="AV132" s="308"/>
      <c r="AW132" s="308"/>
      <c r="AX132" s="308"/>
      <c r="AY132" s="308"/>
      <c r="AZ132" s="308"/>
      <c r="BA132" s="308"/>
      <c r="BB132" s="308"/>
      <c r="BC132" s="308"/>
      <c r="BD132" s="308"/>
      <c r="BE132" s="308"/>
      <c r="BF132" s="308"/>
      <c r="BG132" s="308"/>
      <c r="BH132" s="308"/>
      <c r="BI132" s="308"/>
      <c r="BJ132" s="308"/>
      <c r="BK132" s="308"/>
      <c r="BL132" s="308"/>
      <c r="BM132" s="308"/>
      <c r="BN132" s="308"/>
      <c r="BO132" s="308"/>
      <c r="BP132" s="308"/>
      <c r="BQ132" s="308"/>
      <c r="BR132" s="308"/>
      <c r="BS132" s="308"/>
      <c r="BT132" s="308"/>
      <c r="BU132" s="308"/>
      <c r="BV132" s="308"/>
      <c r="BW132" s="308"/>
      <c r="BX132" s="308"/>
      <c r="BY132" s="308"/>
      <c r="BZ132" s="308"/>
      <c r="CA132" s="308"/>
      <c r="CB132" s="308"/>
      <c r="CC132" s="308"/>
      <c r="CD132" s="308"/>
      <c r="CE132" s="308"/>
      <c r="CF132" s="308"/>
      <c r="CG132" s="308"/>
      <c r="CH132" s="308"/>
      <c r="CI132" s="308"/>
      <c r="CJ132" s="308"/>
      <c r="CK132" s="308"/>
      <c r="CL132" s="308"/>
      <c r="CM132" s="308"/>
      <c r="CN132" s="308"/>
      <c r="CO132" s="308"/>
      <c r="CP132" s="308"/>
      <c r="CQ132" s="308"/>
      <c r="CR132" s="308"/>
      <c r="CS132" s="308"/>
      <c r="CT132" s="308"/>
      <c r="CU132" s="308"/>
      <c r="CV132" s="308"/>
      <c r="CW132" s="308"/>
      <c r="CX132" s="308"/>
      <c r="CY132" s="308"/>
      <c r="CZ132" s="308"/>
      <c r="DA132" s="308"/>
      <c r="DB132" s="308"/>
      <c r="DC132" s="308"/>
      <c r="DD132" s="308"/>
      <c r="DE132" s="308"/>
      <c r="DF132" s="308"/>
      <c r="DG132" s="308"/>
      <c r="DH132" s="308"/>
      <c r="DI132" s="308"/>
      <c r="DJ132" s="308"/>
      <c r="DK132" s="308"/>
      <c r="DL132" s="308"/>
      <c r="DM132" s="308"/>
      <c r="DN132" s="308"/>
      <c r="DO132" s="308"/>
      <c r="DP132" s="308"/>
      <c r="DQ132" s="308"/>
      <c r="DR132" s="308"/>
      <c r="DS132" s="308"/>
      <c r="DT132" s="308"/>
      <c r="DU132" s="308"/>
      <c r="DV132" s="308"/>
      <c r="DW132" s="308"/>
      <c r="DX132" s="308"/>
      <c r="DY132" s="308"/>
      <c r="DZ132" s="308"/>
      <c r="EA132" s="308"/>
      <c r="EB132" s="308"/>
      <c r="EC132" s="308"/>
      <c r="ED132" s="308"/>
      <c r="EE132" s="308"/>
      <c r="EF132" s="308"/>
      <c r="EG132" s="308"/>
      <c r="EH132" s="308"/>
      <c r="EI132" s="308"/>
      <c r="EJ132" s="308"/>
      <c r="EK132" s="308"/>
      <c r="EL132" s="308"/>
      <c r="EM132" s="308"/>
      <c r="EN132" s="308"/>
      <c r="EO132" s="308"/>
      <c r="EP132" s="308"/>
      <c r="EQ132" s="308"/>
      <c r="ER132" s="308"/>
      <c r="ES132" s="308"/>
      <c r="ET132" s="308"/>
      <c r="EU132" s="308"/>
      <c r="EV132" s="308"/>
      <c r="EW132" s="308"/>
      <c r="EX132" s="308"/>
      <c r="EY132" s="308"/>
      <c r="EZ132" s="308"/>
      <c r="FA132" s="308"/>
      <c r="FB132" s="308"/>
      <c r="FC132" s="308"/>
      <c r="FD132" s="308"/>
      <c r="FE132" s="308"/>
      <c r="FF132" s="308"/>
      <c r="FG132" s="308"/>
      <c r="FH132" s="308"/>
      <c r="FI132" s="308"/>
      <c r="FJ132" s="308"/>
      <c r="FK132" s="308"/>
      <c r="FL132" s="308"/>
      <c r="FM132" s="308"/>
      <c r="FN132" s="308"/>
      <c r="FO132" s="308"/>
      <c r="FP132" s="308"/>
      <c r="FQ132" s="308"/>
      <c r="FR132" s="308"/>
      <c r="FS132" s="308"/>
      <c r="FT132" s="308"/>
      <c r="FU132" s="308"/>
      <c r="FV132" s="308"/>
      <c r="FW132" s="308"/>
      <c r="FX132" s="308"/>
      <c r="FY132" s="308"/>
      <c r="FZ132" s="308"/>
      <c r="GA132" s="308"/>
      <c r="GB132" s="308"/>
      <c r="GC132" s="308"/>
      <c r="GD132" s="308"/>
      <c r="GE132" s="308"/>
      <c r="GF132" s="308"/>
      <c r="GG132" s="308"/>
      <c r="GH132" s="308"/>
      <c r="GI132" s="308"/>
      <c r="GJ132" s="308"/>
      <c r="GK132" s="308"/>
      <c r="GL132" s="308"/>
      <c r="GM132" s="308"/>
      <c r="GN132" s="308"/>
      <c r="GO132" s="308"/>
      <c r="GP132" s="308"/>
      <c r="GQ132" s="308"/>
      <c r="GR132" s="308"/>
      <c r="GS132" s="308"/>
      <c r="GT132" s="308"/>
      <c r="GU132" s="308"/>
      <c r="GV132" s="308"/>
      <c r="GW132" s="308"/>
      <c r="GX132" s="308"/>
      <c r="GY132" s="308"/>
      <c r="GZ132" s="308"/>
      <c r="HA132" s="308"/>
      <c r="HB132" s="308"/>
      <c r="HC132" s="308"/>
      <c r="HD132" s="308"/>
      <c r="HE132" s="308"/>
      <c r="HF132" s="308"/>
      <c r="HG132" s="308"/>
      <c r="HH132" s="308"/>
      <c r="HI132" s="308"/>
      <c r="HJ132" s="308"/>
      <c r="HK132" s="308"/>
      <c r="HL132" s="308"/>
      <c r="HM132" s="308"/>
      <c r="HN132" s="308"/>
      <c r="HO132" s="308"/>
      <c r="HP132" s="308"/>
      <c r="HQ132" s="308"/>
      <c r="HR132" s="308"/>
      <c r="HS132" s="308"/>
      <c r="HT132" s="308"/>
      <c r="HU132" s="308"/>
      <c r="HV132" s="308"/>
      <c r="HW132" s="308"/>
      <c r="HX132" s="308"/>
      <c r="HY132" s="308"/>
      <c r="HZ132" s="308"/>
      <c r="IA132" s="308"/>
      <c r="IB132" s="308"/>
      <c r="IC132" s="308"/>
      <c r="ID132" s="308"/>
      <c r="IE132" s="308"/>
      <c r="IF132" s="308"/>
      <c r="IG132" s="308"/>
      <c r="IH132" s="308"/>
      <c r="II132" s="308"/>
      <c r="IJ132" s="308"/>
      <c r="IK132" s="308"/>
      <c r="IL132" s="308"/>
      <c r="IM132" s="308"/>
      <c r="IN132" s="308"/>
      <c r="IO132" s="308"/>
      <c r="IP132" s="308"/>
      <c r="IQ132" s="308"/>
      <c r="IR132" s="308"/>
      <c r="IS132" s="308"/>
      <c r="IT132" s="308"/>
      <c r="IU132" s="308"/>
      <c r="IV132" s="308"/>
      <c r="IW132" s="308"/>
      <c r="IX132" s="308"/>
    </row>
    <row r="133" spans="1:258" s="308" customFormat="1" ht="17.399999999999999" x14ac:dyDescent="0.3">
      <c r="A133" s="103"/>
      <c r="B133" s="84"/>
      <c r="C133" s="64"/>
      <c r="D133" s="83" t="s">
        <v>164</v>
      </c>
      <c r="E133" s="270">
        <f t="shared" ref="E133:G135" si="20">E137*$C$136+E141*$C$140+$C$144*E145+$C$148*E149</f>
        <v>-8.3392229049363886E-2</v>
      </c>
      <c r="F133" s="90">
        <f t="shared" si="20"/>
        <v>0.3142140791763231</v>
      </c>
      <c r="G133" s="278">
        <f t="shared" si="20"/>
        <v>0.64711072822093696</v>
      </c>
      <c r="H133" s="90">
        <f t="shared" ref="H133:U135" si="21">H137*$C$136+H141*$C$140+$C$144*H145+$C$148*H149</f>
        <v>1.1819328902499315E-2</v>
      </c>
      <c r="I133" s="90">
        <f t="shared" si="21"/>
        <v>0.03</v>
      </c>
      <c r="J133" s="90">
        <f t="shared" si="21"/>
        <v>0</v>
      </c>
      <c r="K133" s="90">
        <f t="shared" si="21"/>
        <v>0</v>
      </c>
      <c r="L133" s="90">
        <f t="shared" si="21"/>
        <v>9.5552979086892476E-2</v>
      </c>
      <c r="M133" s="90">
        <f t="shared" si="21"/>
        <v>0.21448400023629516</v>
      </c>
      <c r="N133" s="90">
        <f t="shared" si="21"/>
        <v>4.5749999999999999E-2</v>
      </c>
      <c r="O133" s="90">
        <f t="shared" si="21"/>
        <v>0</v>
      </c>
      <c r="P133" s="90">
        <f t="shared" si="21"/>
        <v>-8.3392229049363886E-2</v>
      </c>
      <c r="Q133" s="90">
        <f t="shared" si="21"/>
        <v>0</v>
      </c>
      <c r="R133" s="90">
        <f t="shared" si="21"/>
        <v>0</v>
      </c>
      <c r="S133" s="90">
        <f t="shared" si="21"/>
        <v>0.3142140791763231</v>
      </c>
      <c r="T133" s="90">
        <f t="shared" si="21"/>
        <v>0.15000000000000002</v>
      </c>
      <c r="U133" s="90">
        <f t="shared" si="21"/>
        <v>7.8000000000000014E-2</v>
      </c>
      <c r="V133" s="430"/>
      <c r="W133" s="243"/>
      <c r="Z133" s="64"/>
    </row>
    <row r="134" spans="1:258" s="308" customFormat="1" ht="17.399999999999999" x14ac:dyDescent="0.3">
      <c r="A134" s="103"/>
      <c r="B134" s="84"/>
      <c r="C134" s="142"/>
      <c r="D134" s="83" t="s">
        <v>165</v>
      </c>
      <c r="E134" s="270">
        <f t="shared" si="20"/>
        <v>0</v>
      </c>
      <c r="F134" s="90">
        <f t="shared" si="20"/>
        <v>1.0107614779787707E-3</v>
      </c>
      <c r="G134" s="278">
        <f t="shared" si="20"/>
        <v>1.2063032318639108E-3</v>
      </c>
      <c r="H134" s="90">
        <f t="shared" si="21"/>
        <v>3.7176572770298678E-11</v>
      </c>
      <c r="I134" s="90">
        <f t="shared" si="21"/>
        <v>0</v>
      </c>
      <c r="J134" s="90">
        <f t="shared" si="21"/>
        <v>0</v>
      </c>
      <c r="K134" s="90">
        <f t="shared" si="21"/>
        <v>0</v>
      </c>
      <c r="L134" s="90">
        <f t="shared" si="21"/>
        <v>4.2326747717231217E-5</v>
      </c>
      <c r="M134" s="90">
        <f t="shared" si="21"/>
        <v>9.684346930849667E-4</v>
      </c>
      <c r="N134" s="90">
        <f t="shared" si="21"/>
        <v>0</v>
      </c>
      <c r="O134" s="90">
        <f t="shared" si="21"/>
        <v>0</v>
      </c>
      <c r="P134" s="90">
        <f t="shared" si="21"/>
        <v>0</v>
      </c>
      <c r="Q134" s="90">
        <f t="shared" si="21"/>
        <v>0</v>
      </c>
      <c r="R134" s="90">
        <f t="shared" si="21"/>
        <v>0</v>
      </c>
      <c r="S134" s="90">
        <f t="shared" si="21"/>
        <v>1.0107614779787707E-3</v>
      </c>
      <c r="T134" s="90">
        <f t="shared" si="21"/>
        <v>0</v>
      </c>
      <c r="U134" s="90">
        <f t="shared" si="21"/>
        <v>0</v>
      </c>
      <c r="V134" s="430"/>
      <c r="W134" s="243"/>
      <c r="Z134" s="64"/>
    </row>
    <row r="135" spans="1:258" s="308" customFormat="1" ht="17.399999999999999" x14ac:dyDescent="0.3">
      <c r="A135" s="107"/>
      <c r="B135" s="206"/>
      <c r="C135" s="85"/>
      <c r="D135" s="84" t="s">
        <v>166</v>
      </c>
      <c r="E135" s="270">
        <f t="shared" si="20"/>
        <v>7.9476596690087202E-5</v>
      </c>
      <c r="F135" s="90">
        <f t="shared" si="20"/>
        <v>1.4188793993594856E-4</v>
      </c>
      <c r="G135" s="278">
        <f t="shared" si="20"/>
        <v>1.6933755810472439E-4</v>
      </c>
      <c r="H135" s="90">
        <f t="shared" si="21"/>
        <v>5.2481313875167151E-5</v>
      </c>
      <c r="I135" s="90">
        <f t="shared" si="21"/>
        <v>0</v>
      </c>
      <c r="J135" s="90">
        <f t="shared" si="21"/>
        <v>7.2834310583336814E-5</v>
      </c>
      <c r="K135" s="90">
        <f t="shared" si="21"/>
        <v>6.64228610675039E-6</v>
      </c>
      <c r="L135" s="90">
        <f t="shared" si="21"/>
        <v>2.5675458026509574E-6</v>
      </c>
      <c r="M135" s="90">
        <f t="shared" si="21"/>
        <v>7.3624835680432672E-6</v>
      </c>
      <c r="N135" s="90">
        <f t="shared" si="21"/>
        <v>0</v>
      </c>
      <c r="O135" s="90">
        <f t="shared" si="21"/>
        <v>0</v>
      </c>
      <c r="P135" s="90">
        <f t="shared" si="21"/>
        <v>0</v>
      </c>
      <c r="Q135" s="90">
        <f t="shared" si="21"/>
        <v>0</v>
      </c>
      <c r="R135" s="90">
        <f t="shared" si="21"/>
        <v>0</v>
      </c>
      <c r="S135" s="90">
        <f t="shared" si="21"/>
        <v>1.4188793993594856E-4</v>
      </c>
      <c r="T135" s="90">
        <f t="shared" si="21"/>
        <v>0</v>
      </c>
      <c r="U135" s="90">
        <f t="shared" si="21"/>
        <v>0</v>
      </c>
      <c r="V135" s="430"/>
      <c r="W135" s="243"/>
      <c r="Z135" s="64"/>
    </row>
    <row r="136" spans="1:258" s="420" customFormat="1" ht="17.399999999999999" x14ac:dyDescent="0.3">
      <c r="A136" s="122" t="s">
        <v>1</v>
      </c>
      <c r="B136" s="150" t="s">
        <v>225</v>
      </c>
      <c r="C136" s="104">
        <f>'Input data plant-based products'!D83</f>
        <v>0.69</v>
      </c>
      <c r="D136" s="269" t="s">
        <v>473</v>
      </c>
      <c r="E136" s="320">
        <f>IF($F$1="GWP100 without fb",E137+E138*'Common input data'!$C$5+E139*'Common input data'!$D$5,IF($F$1="GWP100 with fb",E137+E138*'Common input data'!$C$6+E139*'Common input data'!$D$6,IF($F$1="GTP100 without fb",E137+E138*'Common input data'!$C$7+E139*'Common input data'!$D$7,IF($F$1="GTP100 with fb",E137+E138*'Common input data'!$C$8+E139*'Common input data'!$D$8,E137+E138*'Common input data'!$C$9+E139*'Common input data'!$D$9))))</f>
        <v>-6.5482394295227453E-2</v>
      </c>
      <c r="F136" s="302">
        <f>IF($F$1="GWP100 without fb",F137+F138*'Common input data'!$C$5+F139*'Common input data'!$D$5,IF($F$1="GWP100 with fb",F137+F138*'Common input data'!$C$6+F139*'Common input data'!$D$6,IF($F$1="GTP100 without fb",F137+F138*'Common input data'!$C$7+F139*'Common input data'!$D$7,IF($F$1="GTP100 with fb",F137+F138*'Common input data'!$C$8+F139*'Common input data'!$D$8,F137+F138*'Common input data'!$C$9+F139*'Common input data'!$D$9))))</f>
        <v>0.16596915090515518</v>
      </c>
      <c r="G136" s="321">
        <f>IF($F$1="GWP100 without fb",G137+G138*'Common input data'!$C$5+G139*'Common input data'!$D$5,IF($F$1="GWP100 with fb",G137+G138*'Common input data'!$C$6+G139*'Common input data'!$D$6,IF($F$1="GTP100 without fb",G137+G138*'Common input data'!$C$7+G139*'Common input data'!$D$7,IF($F$1="GTP100 with fb",G137+G138*'Common input data'!$C$8+G139*'Common input data'!$D$8,G137+G138*'Common input data'!$C$9+G139*'Common input data'!$D$9))))</f>
        <v>0.41290028751062807</v>
      </c>
      <c r="H136" s="102"/>
      <c r="I136" s="102"/>
      <c r="J136" s="102"/>
      <c r="K136" s="102"/>
      <c r="L136" s="102"/>
      <c r="M136" s="102"/>
      <c r="N136" s="102"/>
      <c r="O136" s="102"/>
      <c r="P136" s="102"/>
      <c r="Q136" s="102"/>
      <c r="R136" s="102"/>
      <c r="S136" s="102"/>
      <c r="T136" s="102"/>
      <c r="U136" s="102"/>
      <c r="V136" s="430"/>
      <c r="W136" s="243"/>
      <c r="X136" s="308"/>
      <c r="Y136" s="308"/>
      <c r="Z136" s="64"/>
      <c r="AA136" s="308"/>
      <c r="AB136" s="308"/>
      <c r="AC136" s="308"/>
      <c r="AD136" s="308"/>
      <c r="AE136" s="308"/>
      <c r="AF136" s="308"/>
      <c r="AG136" s="308"/>
      <c r="AH136" s="308"/>
      <c r="AI136" s="308"/>
      <c r="AJ136" s="308"/>
      <c r="AK136" s="308"/>
      <c r="AL136" s="308"/>
      <c r="AM136" s="308"/>
      <c r="AN136" s="308"/>
      <c r="AO136" s="308"/>
      <c r="AP136" s="308"/>
      <c r="AQ136" s="308"/>
      <c r="AR136" s="308"/>
      <c r="AS136" s="308"/>
      <c r="AT136" s="308"/>
      <c r="AU136" s="308"/>
      <c r="AV136" s="308"/>
      <c r="AW136" s="308"/>
      <c r="AX136" s="308"/>
      <c r="AY136" s="308"/>
      <c r="AZ136" s="308"/>
      <c r="BA136" s="308"/>
      <c r="BB136" s="308"/>
      <c r="BC136" s="308"/>
      <c r="BD136" s="308"/>
      <c r="BE136" s="308"/>
      <c r="BF136" s="308"/>
      <c r="BG136" s="308"/>
      <c r="BH136" s="308"/>
      <c r="BI136" s="308"/>
      <c r="BJ136" s="308"/>
      <c r="BK136" s="308"/>
      <c r="BL136" s="308"/>
      <c r="BM136" s="308"/>
      <c r="BN136" s="308"/>
      <c r="BO136" s="308"/>
      <c r="BP136" s="308"/>
      <c r="BQ136" s="308"/>
      <c r="BR136" s="308"/>
      <c r="BS136" s="308"/>
      <c r="BT136" s="308"/>
      <c r="BU136" s="308"/>
      <c r="BV136" s="308"/>
      <c r="BW136" s="308"/>
      <c r="BX136" s="308"/>
      <c r="BY136" s="308"/>
      <c r="BZ136" s="308"/>
      <c r="CA136" s="308"/>
      <c r="CB136" s="308"/>
      <c r="CC136" s="308"/>
      <c r="CD136" s="308"/>
      <c r="CE136" s="308"/>
      <c r="CF136" s="308"/>
      <c r="CG136" s="308"/>
      <c r="CH136" s="308"/>
      <c r="CI136" s="308"/>
      <c r="CJ136" s="308"/>
      <c r="CK136" s="308"/>
      <c r="CL136" s="308"/>
      <c r="CM136" s="308"/>
      <c r="CN136" s="308"/>
      <c r="CO136" s="308"/>
      <c r="CP136" s="308"/>
      <c r="CQ136" s="308"/>
      <c r="CR136" s="308"/>
      <c r="CS136" s="308"/>
      <c r="CT136" s="308"/>
      <c r="CU136" s="308"/>
      <c r="CV136" s="308"/>
      <c r="CW136" s="308"/>
      <c r="CX136" s="308"/>
      <c r="CY136" s="308"/>
      <c r="CZ136" s="308"/>
      <c r="DA136" s="308"/>
      <c r="DB136" s="308"/>
      <c r="DC136" s="308"/>
      <c r="DD136" s="308"/>
      <c r="DE136" s="308"/>
      <c r="DF136" s="308"/>
      <c r="DG136" s="308"/>
      <c r="DH136" s="308"/>
      <c r="DI136" s="308"/>
      <c r="DJ136" s="308"/>
      <c r="DK136" s="308"/>
      <c r="DL136" s="308"/>
      <c r="DM136" s="308"/>
      <c r="DN136" s="308"/>
      <c r="DO136" s="308"/>
      <c r="DP136" s="308"/>
      <c r="DQ136" s="308"/>
      <c r="DR136" s="308"/>
      <c r="DS136" s="308"/>
      <c r="DT136" s="308"/>
      <c r="DU136" s="308"/>
      <c r="DV136" s="308"/>
      <c r="DW136" s="308"/>
      <c r="DX136" s="308"/>
      <c r="DY136" s="308"/>
      <c r="DZ136" s="308"/>
      <c r="EA136" s="308"/>
      <c r="EB136" s="308"/>
      <c r="EC136" s="308"/>
      <c r="ED136" s="308"/>
      <c r="EE136" s="308"/>
      <c r="EF136" s="308"/>
      <c r="EG136" s="308"/>
      <c r="EH136" s="308"/>
      <c r="EI136" s="308"/>
      <c r="EJ136" s="308"/>
      <c r="EK136" s="308"/>
      <c r="EL136" s="308"/>
      <c r="EM136" s="308"/>
      <c r="EN136" s="308"/>
      <c r="EO136" s="308"/>
      <c r="EP136" s="308"/>
      <c r="EQ136" s="308"/>
      <c r="ER136" s="308"/>
      <c r="ES136" s="308"/>
      <c r="ET136" s="308"/>
      <c r="EU136" s="308"/>
      <c r="EV136" s="308"/>
      <c r="EW136" s="308"/>
      <c r="EX136" s="308"/>
      <c r="EY136" s="308"/>
      <c r="EZ136" s="308"/>
      <c r="FA136" s="308"/>
      <c r="FB136" s="308"/>
      <c r="FC136" s="308"/>
      <c r="FD136" s="308"/>
      <c r="FE136" s="308"/>
      <c r="FF136" s="308"/>
      <c r="FG136" s="308"/>
      <c r="FH136" s="308"/>
      <c r="FI136" s="308"/>
      <c r="FJ136" s="308"/>
      <c r="FK136" s="308"/>
      <c r="FL136" s="308"/>
      <c r="FM136" s="308"/>
      <c r="FN136" s="308"/>
      <c r="FO136" s="308"/>
      <c r="FP136" s="308"/>
      <c r="FQ136" s="308"/>
      <c r="FR136" s="308"/>
      <c r="FS136" s="308"/>
      <c r="FT136" s="308"/>
      <c r="FU136" s="308"/>
      <c r="FV136" s="308"/>
      <c r="FW136" s="308"/>
      <c r="FX136" s="308"/>
      <c r="FY136" s="308"/>
      <c r="FZ136" s="308"/>
      <c r="GA136" s="308"/>
      <c r="GB136" s="308"/>
      <c r="GC136" s="308"/>
      <c r="GD136" s="308"/>
      <c r="GE136" s="308"/>
      <c r="GF136" s="308"/>
      <c r="GG136" s="308"/>
      <c r="GH136" s="308"/>
      <c r="GI136" s="308"/>
      <c r="GJ136" s="308"/>
      <c r="GK136" s="308"/>
      <c r="GL136" s="308"/>
      <c r="GM136" s="308"/>
      <c r="GN136" s="308"/>
      <c r="GO136" s="308"/>
      <c r="GP136" s="308"/>
      <c r="GQ136" s="308"/>
      <c r="GR136" s="308"/>
      <c r="GS136" s="308"/>
      <c r="GT136" s="308"/>
      <c r="GU136" s="308"/>
      <c r="GV136" s="308"/>
      <c r="GW136" s="308"/>
      <c r="GX136" s="308"/>
      <c r="GY136" s="308"/>
      <c r="GZ136" s="308"/>
      <c r="HA136" s="308"/>
      <c r="HB136" s="308"/>
      <c r="HC136" s="308"/>
      <c r="HD136" s="308"/>
      <c r="HE136" s="308"/>
      <c r="HF136" s="308"/>
      <c r="HG136" s="308"/>
      <c r="HH136" s="308"/>
      <c r="HI136" s="308"/>
      <c r="HJ136" s="308"/>
      <c r="HK136" s="308"/>
      <c r="HL136" s="308"/>
      <c r="HM136" s="308"/>
      <c r="HN136" s="308"/>
      <c r="HO136" s="308"/>
      <c r="HP136" s="308"/>
      <c r="HQ136" s="308"/>
      <c r="HR136" s="308"/>
      <c r="HS136" s="308"/>
      <c r="HT136" s="308"/>
      <c r="HU136" s="308"/>
      <c r="HV136" s="308"/>
      <c r="HW136" s="308"/>
      <c r="HX136" s="308"/>
      <c r="HY136" s="308"/>
      <c r="HZ136" s="308"/>
      <c r="IA136" s="308"/>
      <c r="IB136" s="308"/>
      <c r="IC136" s="308"/>
      <c r="ID136" s="308"/>
      <c r="IE136" s="308"/>
      <c r="IF136" s="308"/>
      <c r="IG136" s="308"/>
      <c r="IH136" s="308"/>
      <c r="II136" s="308"/>
      <c r="IJ136" s="308"/>
      <c r="IK136" s="308"/>
      <c r="IL136" s="308"/>
      <c r="IM136" s="308"/>
      <c r="IN136" s="308"/>
      <c r="IO136" s="308"/>
      <c r="IP136" s="308"/>
      <c r="IQ136" s="308"/>
      <c r="IR136" s="308"/>
      <c r="IS136" s="308"/>
      <c r="IT136" s="308"/>
      <c r="IU136" s="308"/>
      <c r="IV136" s="308"/>
      <c r="IW136" s="308"/>
      <c r="IX136" s="308"/>
    </row>
    <row r="137" spans="1:258" s="308" customFormat="1" ht="17.399999999999999" x14ac:dyDescent="0.3">
      <c r="A137" s="103"/>
      <c r="B137" s="84"/>
      <c r="C137" s="64"/>
      <c r="D137" s="83" t="s">
        <v>164</v>
      </c>
      <c r="E137" s="270">
        <f>IF(AND($F$2="No",$F$3="No"),SUM(J137:K137),IF(AND($F$2="Yes", $F$3="No"), SUM(J137:K137)+Q137, IF(AND($F$2="No", $F$3="Yes"),SUM(J137:K137)+P137, SUM(J137:K137)+Q137+P137)))</f>
        <v>-9.1139048141381296E-2</v>
      </c>
      <c r="F137" s="90">
        <f>IF(AND($F$2="No",$F$3="No"),SUM(H137:O137),IF(AND($F$2="Yes", $F$3="No"), SUM(H137:O137)+Q137, IF(AND($F$2="No", $F$3="Yes"),SUM(H137:O137)+P137, SUM(H137:O137)+Q137+P137)))</f>
        <v>0.12239185717070677</v>
      </c>
      <c r="G137" s="278">
        <f>SUM(S137:U137)/(1-'Common input data'!$B$121)</f>
        <v>0.36089253749935174</v>
      </c>
      <c r="H137" s="90">
        <f>('Input data plant-based products'!$F$83*('Common input data'!$B$76*'Common input data'!B69+'Common input data'!$B$77*'Common input data'!C69))/'Input data plant-based products'!$E$83</f>
        <v>1.2499021254117081E-2</v>
      </c>
      <c r="I137" s="90">
        <f>'Common input data'!$B$81</f>
        <v>0.03</v>
      </c>
      <c r="J137" s="90">
        <v>0</v>
      </c>
      <c r="K137" s="90">
        <v>0</v>
      </c>
      <c r="L137" s="90">
        <f>('Input data plant-based products'!$I$83*'Common input data'!$C$59*'Common input data'!H49)/'Input data plant-based products'!$E$83</f>
        <v>0.12103188405797101</v>
      </c>
      <c r="M137" s="90">
        <v>0</v>
      </c>
      <c r="N137" s="90">
        <f>'Input data plant-based products'!F$152</f>
        <v>0.05</v>
      </c>
      <c r="O137" s="90">
        <v>0</v>
      </c>
      <c r="P137" s="90">
        <f>'Common input data'!$F$13</f>
        <v>-9.1139048141381296E-2</v>
      </c>
      <c r="Q137" s="90">
        <v>0</v>
      </c>
      <c r="R137" s="90">
        <v>0</v>
      </c>
      <c r="S137" s="90">
        <f>F137+R137</f>
        <v>0.12239185717070677</v>
      </c>
      <c r="T137" s="90">
        <f>'Common input data'!B$86</f>
        <v>0.15</v>
      </c>
      <c r="U137" s="90">
        <f>'Common input data'!C98</f>
        <v>0.03</v>
      </c>
      <c r="V137" s="430"/>
      <c r="W137" s="243"/>
      <c r="Z137" s="64"/>
    </row>
    <row r="138" spans="1:258" s="308" customFormat="1" ht="17.399999999999999" x14ac:dyDescent="0.3">
      <c r="A138" s="107"/>
      <c r="B138" s="84"/>
      <c r="C138" s="142"/>
      <c r="D138" s="83" t="s">
        <v>165</v>
      </c>
      <c r="E138" s="270">
        <f>SUM(J138:K138)</f>
        <v>0</v>
      </c>
      <c r="F138" s="90">
        <f>SUM(H138:O138)</f>
        <v>5.3613076941060873E-5</v>
      </c>
      <c r="G138" s="278">
        <f>SUM(S138:U138)/(1-'Common input data'!$B$121)</f>
        <v>6.3985054232081247E-5</v>
      </c>
      <c r="H138" s="90">
        <f>('Input data plant-based products'!$F$83*('Common input data'!$B$76*'Common input data'!B70+'Common input data'!$B$77*'Common input data'!C70))/'Input data plant-based products'!$E$83</f>
        <v>3.3462799999999994E-11</v>
      </c>
      <c r="I138" s="90">
        <v>0</v>
      </c>
      <c r="J138" s="90">
        <v>0</v>
      </c>
      <c r="K138" s="90">
        <v>0</v>
      </c>
      <c r="L138" s="90">
        <f>('Input data plant-based products'!$I$83*'Common input data'!$C$59*'Common input data'!H50)/'Input data plant-based products'!$E$83</f>
        <v>5.3613043478260871E-5</v>
      </c>
      <c r="M138" s="90">
        <v>0</v>
      </c>
      <c r="N138" s="90">
        <v>0</v>
      </c>
      <c r="O138" s="90">
        <v>0</v>
      </c>
      <c r="P138" s="90">
        <v>0</v>
      </c>
      <c r="Q138" s="90">
        <v>0</v>
      </c>
      <c r="R138" s="90">
        <v>0</v>
      </c>
      <c r="S138" s="90">
        <f>F138+R138</f>
        <v>5.3613076941060873E-5</v>
      </c>
      <c r="T138" s="90">
        <v>0</v>
      </c>
      <c r="U138" s="90">
        <v>0</v>
      </c>
      <c r="V138" s="430"/>
      <c r="W138" s="243"/>
      <c r="Z138" s="64"/>
    </row>
    <row r="139" spans="1:258" s="308" customFormat="1" ht="17.399999999999999" x14ac:dyDescent="0.3">
      <c r="A139" s="174"/>
      <c r="B139" s="206"/>
      <c r="C139" s="85"/>
      <c r="D139" s="84" t="s">
        <v>166</v>
      </c>
      <c r="E139" s="270">
        <f>SUM(J139:K139)</f>
        <v>8.6096153846153817E-5</v>
      </c>
      <c r="F139" s="90">
        <f>SUM(H139:O139)</f>
        <v>1.4011560106863208E-4</v>
      </c>
      <c r="G139" s="278">
        <f>SUM(S139:U139)/(1-'Common input data'!$B$121)</f>
        <v>1.6722234284357571E-4</v>
      </c>
      <c r="H139" s="90">
        <f>('Input data plant-based products'!$F$83*('Common input data'!$B$76*'Common input data'!B71+'Common input data'!$B$77*'Common input data'!C71))/'Input data plant-based products'!$E$83</f>
        <v>5.0767273309434814E-5</v>
      </c>
      <c r="I139" s="90">
        <v>0</v>
      </c>
      <c r="J139" s="90">
        <f>(SUM('Input data plant-based products'!F83:H83)*'Input data plant-based products'!$B$114*44/28)/'Input data plant-based products'!E83</f>
        <v>7.8269230769230743E-5</v>
      </c>
      <c r="K139" s="90">
        <f>J139*'Input data plant-based products'!$B$115</f>
        <v>7.8269230769230743E-6</v>
      </c>
      <c r="L139" s="90">
        <f>('Input data plant-based products'!$I$83*'Common input data'!$C$59*'Common input data'!H51)/'Input data plant-based products'!$E$83</f>
        <v>3.2521739130434783E-6</v>
      </c>
      <c r="M139" s="90">
        <v>0</v>
      </c>
      <c r="N139" s="90">
        <v>0</v>
      </c>
      <c r="O139" s="90">
        <v>0</v>
      </c>
      <c r="P139" s="90">
        <v>0</v>
      </c>
      <c r="Q139" s="90">
        <v>0</v>
      </c>
      <c r="R139" s="90">
        <v>0</v>
      </c>
      <c r="S139" s="90">
        <f>F139+R139</f>
        <v>1.4011560106863208E-4</v>
      </c>
      <c r="T139" s="90">
        <v>0</v>
      </c>
      <c r="U139" s="90">
        <v>0</v>
      </c>
      <c r="V139" s="430"/>
      <c r="W139" s="243"/>
      <c r="Z139" s="64"/>
    </row>
    <row r="140" spans="1:258" s="420" customFormat="1" ht="17.399999999999999" x14ac:dyDescent="0.3">
      <c r="A140" s="122" t="s">
        <v>93</v>
      </c>
      <c r="B140" s="150" t="s">
        <v>225</v>
      </c>
      <c r="C140" s="104">
        <f>'Input data plant-based products'!D84</f>
        <v>0.14000000000000001</v>
      </c>
      <c r="D140" s="269" t="s">
        <v>473</v>
      </c>
      <c r="E140" s="320">
        <f>IF($F$1="GWP100 without fb",E141+E142*'Common input data'!$C$5+E143*'Common input data'!$D$5,IF($F$1="GWP100 with fb",E141+E142*'Common input data'!$C$6+E143*'Common input data'!$D$6,IF($F$1="GTP100 without fb",E141+E142*'Common input data'!$C$7+E143*'Common input data'!$D$7,IF($F$1="GTP100 with fb",E141+E142*'Common input data'!$C$8+E143*'Common input data'!$D$8,E141+E142*'Common input data'!$C$9+E143*'Common input data'!$D$9))))</f>
        <v>-7.3148521857229934E-2</v>
      </c>
      <c r="F140" s="302">
        <f>IF($F$1="GWP100 without fb",F141+F142*'Common input data'!$C$5+F143*'Common input data'!$D$5,IF($F$1="GWP100 with fb",F141+F142*'Common input data'!$C$6+F143*'Common input data'!$D$6,IF($F$1="GTP100 without fb",F141+F142*'Common input data'!$C$7+F143*'Common input data'!$D$7,IF($F$1="GTP100 with fb",F141+F142*'Common input data'!$C$8+F143*'Common input data'!$D$8,F141+F142*'Common input data'!$C$9+F143*'Common input data'!$D$9))))</f>
        <v>6.5837042560203063E-2</v>
      </c>
      <c r="G140" s="321">
        <f>IF($F$1="GWP100 without fb",G141+G142*'Common input data'!$C$5+G143*'Common input data'!$D$5,IF($F$1="GWP100 with fb",G141+G142*'Common input data'!$C$6+G143*'Common input data'!$D$6,IF($F$1="GTP100 without fb",G141+G142*'Common input data'!$C$7+G143*'Common input data'!$D$7,IF($F$1="GTP100 with fb",G141+G142*'Common input data'!$C$8+G143*'Common input data'!$D$8,G141+G142*'Common input data'!$C$9+G143*'Common input data'!$D$9))))</f>
        <v>0.41274262150638868</v>
      </c>
      <c r="H140" s="102"/>
      <c r="I140" s="102"/>
      <c r="J140" s="102"/>
      <c r="K140" s="102"/>
      <c r="L140" s="102"/>
      <c r="M140" s="102"/>
      <c r="N140" s="102"/>
      <c r="O140" s="102"/>
      <c r="P140" s="102"/>
      <c r="Q140" s="102"/>
      <c r="R140" s="102"/>
      <c r="S140" s="102"/>
      <c r="T140" s="102"/>
      <c r="U140" s="102"/>
      <c r="V140" s="430"/>
      <c r="W140" s="243"/>
      <c r="X140" s="308"/>
      <c r="Y140" s="308"/>
      <c r="Z140" s="64"/>
      <c r="AA140" s="308"/>
      <c r="AB140" s="308"/>
      <c r="AC140" s="308"/>
      <c r="AD140" s="308"/>
      <c r="AE140" s="308"/>
      <c r="AF140" s="308"/>
      <c r="AG140" s="308"/>
      <c r="AH140" s="308"/>
      <c r="AI140" s="308"/>
      <c r="AJ140" s="308"/>
      <c r="AK140" s="308"/>
      <c r="AL140" s="308"/>
      <c r="AM140" s="308"/>
      <c r="AN140" s="308"/>
      <c r="AO140" s="308"/>
      <c r="AP140" s="308"/>
      <c r="AQ140" s="308"/>
      <c r="AR140" s="308"/>
      <c r="AS140" s="308"/>
      <c r="AT140" s="308"/>
      <c r="AU140" s="308"/>
      <c r="AV140" s="308"/>
      <c r="AW140" s="308"/>
      <c r="AX140" s="308"/>
      <c r="AY140" s="308"/>
      <c r="AZ140" s="308"/>
      <c r="BA140" s="308"/>
      <c r="BB140" s="308"/>
      <c r="BC140" s="308"/>
      <c r="BD140" s="308"/>
      <c r="BE140" s="308"/>
      <c r="BF140" s="308"/>
      <c r="BG140" s="308"/>
      <c r="BH140" s="308"/>
      <c r="BI140" s="308"/>
      <c r="BJ140" s="308"/>
      <c r="BK140" s="308"/>
      <c r="BL140" s="308"/>
      <c r="BM140" s="308"/>
      <c r="BN140" s="308"/>
      <c r="BO140" s="308"/>
      <c r="BP140" s="308"/>
      <c r="BQ140" s="308"/>
      <c r="BR140" s="308"/>
      <c r="BS140" s="308"/>
      <c r="BT140" s="308"/>
      <c r="BU140" s="308"/>
      <c r="BV140" s="308"/>
      <c r="BW140" s="308"/>
      <c r="BX140" s="308"/>
      <c r="BY140" s="308"/>
      <c r="BZ140" s="308"/>
      <c r="CA140" s="308"/>
      <c r="CB140" s="308"/>
      <c r="CC140" s="308"/>
      <c r="CD140" s="308"/>
      <c r="CE140" s="308"/>
      <c r="CF140" s="308"/>
      <c r="CG140" s="308"/>
      <c r="CH140" s="308"/>
      <c r="CI140" s="308"/>
      <c r="CJ140" s="308"/>
      <c r="CK140" s="308"/>
      <c r="CL140" s="308"/>
      <c r="CM140" s="308"/>
      <c r="CN140" s="308"/>
      <c r="CO140" s="308"/>
      <c r="CP140" s="308"/>
      <c r="CQ140" s="308"/>
      <c r="CR140" s="308"/>
      <c r="CS140" s="308"/>
      <c r="CT140" s="308"/>
      <c r="CU140" s="308"/>
      <c r="CV140" s="308"/>
      <c r="CW140" s="308"/>
      <c r="CX140" s="308"/>
      <c r="CY140" s="308"/>
      <c r="CZ140" s="308"/>
      <c r="DA140" s="308"/>
      <c r="DB140" s="308"/>
      <c r="DC140" s="308"/>
      <c r="DD140" s="308"/>
      <c r="DE140" s="308"/>
      <c r="DF140" s="308"/>
      <c r="DG140" s="308"/>
      <c r="DH140" s="308"/>
      <c r="DI140" s="308"/>
      <c r="DJ140" s="308"/>
      <c r="DK140" s="308"/>
      <c r="DL140" s="308"/>
      <c r="DM140" s="308"/>
      <c r="DN140" s="308"/>
      <c r="DO140" s="308"/>
      <c r="DP140" s="308"/>
      <c r="DQ140" s="308"/>
      <c r="DR140" s="308"/>
      <c r="DS140" s="308"/>
      <c r="DT140" s="308"/>
      <c r="DU140" s="308"/>
      <c r="DV140" s="308"/>
      <c r="DW140" s="308"/>
      <c r="DX140" s="308"/>
      <c r="DY140" s="308"/>
      <c r="DZ140" s="308"/>
      <c r="EA140" s="308"/>
      <c r="EB140" s="308"/>
      <c r="EC140" s="308"/>
      <c r="ED140" s="308"/>
      <c r="EE140" s="308"/>
      <c r="EF140" s="308"/>
      <c r="EG140" s="308"/>
      <c r="EH140" s="308"/>
      <c r="EI140" s="308"/>
      <c r="EJ140" s="308"/>
      <c r="EK140" s="308"/>
      <c r="EL140" s="308"/>
      <c r="EM140" s="308"/>
      <c r="EN140" s="308"/>
      <c r="EO140" s="308"/>
      <c r="EP140" s="308"/>
      <c r="EQ140" s="308"/>
      <c r="ER140" s="308"/>
      <c r="ES140" s="308"/>
      <c r="ET140" s="308"/>
      <c r="EU140" s="308"/>
      <c r="EV140" s="308"/>
      <c r="EW140" s="308"/>
      <c r="EX140" s="308"/>
      <c r="EY140" s="308"/>
      <c r="EZ140" s="308"/>
      <c r="FA140" s="308"/>
      <c r="FB140" s="308"/>
      <c r="FC140" s="308"/>
      <c r="FD140" s="308"/>
      <c r="FE140" s="308"/>
      <c r="FF140" s="308"/>
      <c r="FG140" s="308"/>
      <c r="FH140" s="308"/>
      <c r="FI140" s="308"/>
      <c r="FJ140" s="308"/>
      <c r="FK140" s="308"/>
      <c r="FL140" s="308"/>
      <c r="FM140" s="308"/>
      <c r="FN140" s="308"/>
      <c r="FO140" s="308"/>
      <c r="FP140" s="308"/>
      <c r="FQ140" s="308"/>
      <c r="FR140" s="308"/>
      <c r="FS140" s="308"/>
      <c r="FT140" s="308"/>
      <c r="FU140" s="308"/>
      <c r="FV140" s="308"/>
      <c r="FW140" s="308"/>
      <c r="FX140" s="308"/>
      <c r="FY140" s="308"/>
      <c r="FZ140" s="308"/>
      <c r="GA140" s="308"/>
      <c r="GB140" s="308"/>
      <c r="GC140" s="308"/>
      <c r="GD140" s="308"/>
      <c r="GE140" s="308"/>
      <c r="GF140" s="308"/>
      <c r="GG140" s="308"/>
      <c r="GH140" s="308"/>
      <c r="GI140" s="308"/>
      <c r="GJ140" s="308"/>
      <c r="GK140" s="308"/>
      <c r="GL140" s="308"/>
      <c r="GM140" s="308"/>
      <c r="GN140" s="308"/>
      <c r="GO140" s="308"/>
      <c r="GP140" s="308"/>
      <c r="GQ140" s="308"/>
      <c r="GR140" s="308"/>
      <c r="GS140" s="308"/>
      <c r="GT140" s="308"/>
      <c r="GU140" s="308"/>
      <c r="GV140" s="308"/>
      <c r="GW140" s="308"/>
      <c r="GX140" s="308"/>
      <c r="GY140" s="308"/>
      <c r="GZ140" s="308"/>
      <c r="HA140" s="308"/>
      <c r="HB140" s="308"/>
      <c r="HC140" s="308"/>
      <c r="HD140" s="308"/>
      <c r="HE140" s="308"/>
      <c r="HF140" s="308"/>
      <c r="HG140" s="308"/>
      <c r="HH140" s="308"/>
      <c r="HI140" s="308"/>
      <c r="HJ140" s="308"/>
      <c r="HK140" s="308"/>
      <c r="HL140" s="308"/>
      <c r="HM140" s="308"/>
      <c r="HN140" s="308"/>
      <c r="HO140" s="308"/>
      <c r="HP140" s="308"/>
      <c r="HQ140" s="308"/>
      <c r="HR140" s="308"/>
      <c r="HS140" s="308"/>
      <c r="HT140" s="308"/>
      <c r="HU140" s="308"/>
      <c r="HV140" s="308"/>
      <c r="HW140" s="308"/>
      <c r="HX140" s="308"/>
      <c r="HY140" s="308"/>
      <c r="HZ140" s="308"/>
      <c r="IA140" s="308"/>
      <c r="IB140" s="308"/>
      <c r="IC140" s="308"/>
      <c r="ID140" s="308"/>
      <c r="IE140" s="308"/>
      <c r="IF140" s="308"/>
      <c r="IG140" s="308"/>
      <c r="IH140" s="308"/>
      <c r="II140" s="308"/>
      <c r="IJ140" s="308"/>
      <c r="IK140" s="308"/>
      <c r="IL140" s="308"/>
      <c r="IM140" s="308"/>
      <c r="IN140" s="308"/>
      <c r="IO140" s="308"/>
      <c r="IP140" s="308"/>
      <c r="IQ140" s="308"/>
      <c r="IR140" s="308"/>
      <c r="IS140" s="308"/>
      <c r="IT140" s="308"/>
      <c r="IU140" s="308"/>
      <c r="IV140" s="308"/>
      <c r="IW140" s="308"/>
      <c r="IX140" s="308"/>
    </row>
    <row r="141" spans="1:258" s="308" customFormat="1" ht="17.399999999999999" x14ac:dyDescent="0.3">
      <c r="A141" s="144"/>
      <c r="B141" s="84"/>
      <c r="C141" s="64"/>
      <c r="D141" s="83" t="s">
        <v>164</v>
      </c>
      <c r="E141" s="270">
        <f>IF(AND($F$2="No",$F$3="No"),SUM(J141:K141),IF(AND($F$2="Yes", $F$3="No"), SUM(J141:K141)+Q141, IF(AND($F$2="No", $F$3="Yes"),SUM(J141:K141)+P141, SUM(J141:K141)+Q141+P141)))</f>
        <v>-9.1139048141381296E-2</v>
      </c>
      <c r="F141" s="90">
        <f>IF(AND($F$2="No",$F$3="No"),SUM(H141:O141),IF(AND($F$2="Yes", $F$3="No"), SUM(H141:O141)+Q141, IF(AND($F$2="No", $F$3="Yes"),SUM(H141:O141)+P141, SUM(H141:O141)+Q141+P141)))</f>
        <v>3.1909076608497691E-2</v>
      </c>
      <c r="G141" s="278">
        <f>SUM(S141:U141)/(1-'Common input data'!$B$121)</f>
        <v>0.37225095668754948</v>
      </c>
      <c r="H141" s="90">
        <f>('Input data plant-based products'!$F$84*('Common input data'!$C$76*'Common input data'!B69+'Common input data'!$C$77*'Common input data'!C69))/'Input data plant-based products'!$E$84</f>
        <v>9.3130016697190784E-3</v>
      </c>
      <c r="I141" s="90">
        <f>'Common input data'!$B$81</f>
        <v>0.03</v>
      </c>
      <c r="J141" s="90">
        <v>0</v>
      </c>
      <c r="K141" s="90">
        <v>0</v>
      </c>
      <c r="L141" s="90">
        <f>('Input data plant-based products'!$I$84*'Common input data'!$C$59*'Common input data'!H49)/'Input data plant-based products'!$E$84</f>
        <v>3.3735123080159898E-2</v>
      </c>
      <c r="M141" s="90">
        <v>0</v>
      </c>
      <c r="N141" s="90">
        <f>'Input data plant-based products'!F$152</f>
        <v>0.05</v>
      </c>
      <c r="O141" s="90">
        <v>0</v>
      </c>
      <c r="P141" s="90">
        <f>'Common input data'!$F$13</f>
        <v>-9.1139048141381296E-2</v>
      </c>
      <c r="Q141" s="90">
        <v>0</v>
      </c>
      <c r="R141" s="90">
        <v>0</v>
      </c>
      <c r="S141" s="90">
        <f>F141+R141</f>
        <v>3.1909076608497691E-2</v>
      </c>
      <c r="T141" s="90">
        <f>'Common input data'!B$86</f>
        <v>0.15</v>
      </c>
      <c r="U141" s="90">
        <f>'Common input data'!B99+'Common input data'!C99</f>
        <v>0.13</v>
      </c>
      <c r="V141" s="430"/>
      <c r="W141" s="243"/>
      <c r="Z141" s="64"/>
    </row>
    <row r="142" spans="1:258" s="308" customFormat="1" ht="17.399999999999999" x14ac:dyDescent="0.3">
      <c r="A142" s="107"/>
      <c r="B142" s="84"/>
      <c r="C142" s="142"/>
      <c r="D142" s="83" t="s">
        <v>165</v>
      </c>
      <c r="E142" s="270">
        <f>SUM(J142:K142)</f>
        <v>0</v>
      </c>
      <c r="F142" s="90">
        <f>SUM(H142:O142)</f>
        <v>1.4943563048499894E-5</v>
      </c>
      <c r="G142" s="278">
        <f>SUM(S142:U142)/(1-'Common input data'!$B$121)</f>
        <v>1.7834542366034007E-5</v>
      </c>
      <c r="H142" s="90">
        <f>('Input data plant-based products'!$F$84*('Common input data'!$C$76*'Common input data'!B70+'Common input data'!$C$77*'Common input data'!C70))/'Input data plant-based products'!$E$84</f>
        <v>4.1062385861561113E-11</v>
      </c>
      <c r="I142" s="90">
        <v>0</v>
      </c>
      <c r="J142" s="90">
        <v>0</v>
      </c>
      <c r="K142" s="90">
        <v>0</v>
      </c>
      <c r="L142" s="90">
        <f>('Input data plant-based products'!$I$84*'Common input data'!$C$59*'Common input data'!H50)/'Input data plant-based products'!$E$84</f>
        <v>1.4943521986114034E-5</v>
      </c>
      <c r="M142" s="90">
        <v>0</v>
      </c>
      <c r="N142" s="90">
        <v>0</v>
      </c>
      <c r="O142" s="90">
        <v>0</v>
      </c>
      <c r="P142" s="90">
        <v>0</v>
      </c>
      <c r="Q142" s="90">
        <v>0</v>
      </c>
      <c r="R142" s="90">
        <v>0</v>
      </c>
      <c r="S142" s="90">
        <f>F142+R142</f>
        <v>1.4943563048499894E-5</v>
      </c>
      <c r="T142" s="90">
        <v>0</v>
      </c>
      <c r="U142" s="90">
        <v>0</v>
      </c>
      <c r="V142" s="430"/>
      <c r="W142" s="243"/>
      <c r="Z142" s="64"/>
    </row>
    <row r="143" spans="1:258" s="308" customFormat="1" ht="17.399999999999999" x14ac:dyDescent="0.3">
      <c r="A143" s="174"/>
      <c r="B143" s="206"/>
      <c r="C143" s="85"/>
      <c r="D143" s="84" t="s">
        <v>166</v>
      </c>
      <c r="E143" s="270">
        <f>SUM(J143:K143)</f>
        <v>6.0370893570977736E-5</v>
      </c>
      <c r="F143" s="90">
        <f>SUM(H143:O143)</f>
        <v>1.12147264456565E-4</v>
      </c>
      <c r="G143" s="278">
        <f>SUM(S143:U143)/(1-'Common input data'!$B$121)</f>
        <v>1.3384325630333573E-4</v>
      </c>
      <c r="H143" s="90">
        <f>('Input data plant-based products'!$F$84*('Common input data'!$C$76*'Common input data'!B71+'Common input data'!$C$77*'Common input data'!C71))/'Input data plant-based products'!$E$84</f>
        <v>5.0869894975635658E-5</v>
      </c>
      <c r="I143" s="90">
        <v>0</v>
      </c>
      <c r="J143" s="90">
        <f>(SUM('Input data plant-based products'!F84:H84)*'Input data plant-based products'!$B$114*44/28)/'Input data plant-based products'!E84</f>
        <v>5.4882630519070671E-5</v>
      </c>
      <c r="K143" s="90">
        <f>J143*'Input data plant-based products'!$B$115</f>
        <v>5.4882630519070676E-6</v>
      </c>
      <c r="L143" s="90">
        <f>('Input data plant-based products'!$I$84*'Common input data'!$C$59*'Common input data'!H51)/'Input data plant-based products'!$E$84</f>
        <v>9.0647590995160953E-7</v>
      </c>
      <c r="M143" s="90">
        <v>0</v>
      </c>
      <c r="N143" s="90">
        <v>0</v>
      </c>
      <c r="O143" s="90">
        <v>0</v>
      </c>
      <c r="P143" s="90">
        <v>0</v>
      </c>
      <c r="Q143" s="90">
        <v>0</v>
      </c>
      <c r="R143" s="90">
        <v>0</v>
      </c>
      <c r="S143" s="90">
        <f>F143+R143</f>
        <v>1.12147264456565E-4</v>
      </c>
      <c r="T143" s="90">
        <v>0</v>
      </c>
      <c r="U143" s="90">
        <v>0</v>
      </c>
      <c r="V143" s="430"/>
      <c r="W143" s="243"/>
      <c r="Z143" s="64"/>
    </row>
    <row r="144" spans="1:258" s="420" customFormat="1" ht="17.399999999999999" x14ac:dyDescent="0.3">
      <c r="A144" s="122" t="s">
        <v>70</v>
      </c>
      <c r="B144" s="150" t="s">
        <v>102</v>
      </c>
      <c r="C144" s="104">
        <f>'Input data plant-based products'!D85</f>
        <v>8.5000000000000006E-2</v>
      </c>
      <c r="D144" s="269" t="s">
        <v>473</v>
      </c>
      <c r="E144" s="320">
        <f>IF($F$1="GWP100 without fb",E145+E146*'Common input data'!$C$5+E147*'Common input data'!$D$5,IF($F$1="GWP100 with fb",E145+E146*'Common input data'!$C$6+E147*'Common input data'!$D$6,IF($F$1="GTP100 without fb",E145+E146*'Common input data'!$C$7+E147*'Common input data'!$D$7,IF($F$1="GTP100 with fb",E145+E146*'Common input data'!$C$8+E147*'Common input data'!$D$8,E145+E146*'Common input data'!$C$9+E147*'Common input data'!$D$9))))</f>
        <v>2.2477787714331874E-2</v>
      </c>
      <c r="F144" s="302">
        <f>IF($F$1="GWP100 without fb",F145+F146*'Common input data'!$C$5+F147*'Common input data'!$D$5,IF($F$1="GWP100 with fb",F145+F146*'Common input data'!$C$6+F147*'Common input data'!$D$6,IF($F$1="GTP100 without fb",F145+F146*'Common input data'!$C$7+F147*'Common input data'!$D$7,IF($F$1="GTP100 with fb",F145+F146*'Common input data'!$C$8+F147*'Common input data'!$D$8,F145+F146*'Common input data'!$C$9+F147*'Common input data'!$D$9))))</f>
        <v>3.0226386471210587</v>
      </c>
      <c r="G144" s="321">
        <f>IF($F$1="GWP100 without fb",G145+G146*'Common input data'!$C$5+G147*'Common input data'!$D$5,IF($F$1="GWP100 with fb",G145+G146*'Common input data'!$C$6+G147*'Common input data'!$D$6,IF($F$1="GTP100 without fb",G145+G146*'Common input data'!$C$7+G147*'Common input data'!$D$7,IF($F$1="GTP100 with fb",G145+G146*'Common input data'!$C$8+G147*'Common input data'!$D$8,G145+G146*'Common input data'!$C$9+G147*'Common input data'!$D$9))))</f>
        <v>4.0609125756308133</v>
      </c>
      <c r="H144" s="102"/>
      <c r="I144" s="102"/>
      <c r="J144" s="102"/>
      <c r="K144" s="102"/>
      <c r="L144" s="102"/>
      <c r="M144" s="102"/>
      <c r="N144" s="102"/>
      <c r="O144" s="102"/>
      <c r="P144" s="102"/>
      <c r="Q144" s="102"/>
      <c r="R144" s="102"/>
      <c r="S144" s="102"/>
      <c r="T144" s="102"/>
      <c r="U144" s="102"/>
      <c r="V144" s="430"/>
      <c r="W144" s="243"/>
      <c r="X144" s="308"/>
      <c r="Y144" s="308"/>
      <c r="Z144" s="64"/>
      <c r="AA144" s="308"/>
      <c r="AB144" s="308"/>
      <c r="AC144" s="308"/>
      <c r="AD144" s="308"/>
      <c r="AE144" s="308"/>
      <c r="AF144" s="308"/>
      <c r="AG144" s="308"/>
      <c r="AH144" s="308"/>
      <c r="AI144" s="308"/>
      <c r="AJ144" s="308"/>
      <c r="AK144" s="308"/>
      <c r="AL144" s="308"/>
      <c r="AM144" s="308"/>
      <c r="AN144" s="308"/>
      <c r="AO144" s="308"/>
      <c r="AP144" s="308"/>
      <c r="AQ144" s="308"/>
      <c r="AR144" s="308"/>
      <c r="AS144" s="308"/>
      <c r="AT144" s="308"/>
      <c r="AU144" s="308"/>
      <c r="AV144" s="308"/>
      <c r="AW144" s="308"/>
      <c r="AX144" s="308"/>
      <c r="AY144" s="308"/>
      <c r="AZ144" s="308"/>
      <c r="BA144" s="308"/>
      <c r="BB144" s="308"/>
      <c r="BC144" s="308"/>
      <c r="BD144" s="308"/>
      <c r="BE144" s="308"/>
      <c r="BF144" s="308"/>
      <c r="BG144" s="308"/>
      <c r="BH144" s="308"/>
      <c r="BI144" s="308"/>
      <c r="BJ144" s="308"/>
      <c r="BK144" s="308"/>
      <c r="BL144" s="308"/>
      <c r="BM144" s="308"/>
      <c r="BN144" s="308"/>
      <c r="BO144" s="308"/>
      <c r="BP144" s="308"/>
      <c r="BQ144" s="308"/>
      <c r="BR144" s="308"/>
      <c r="BS144" s="308"/>
      <c r="BT144" s="308"/>
      <c r="BU144" s="308"/>
      <c r="BV144" s="308"/>
      <c r="BW144" s="308"/>
      <c r="BX144" s="308"/>
      <c r="BY144" s="308"/>
      <c r="BZ144" s="308"/>
      <c r="CA144" s="308"/>
      <c r="CB144" s="308"/>
      <c r="CC144" s="308"/>
      <c r="CD144" s="308"/>
      <c r="CE144" s="308"/>
      <c r="CF144" s="308"/>
      <c r="CG144" s="308"/>
      <c r="CH144" s="308"/>
      <c r="CI144" s="308"/>
      <c r="CJ144" s="308"/>
      <c r="CK144" s="308"/>
      <c r="CL144" s="308"/>
      <c r="CM144" s="308"/>
      <c r="CN144" s="308"/>
      <c r="CO144" s="308"/>
      <c r="CP144" s="308"/>
      <c r="CQ144" s="308"/>
      <c r="CR144" s="308"/>
      <c r="CS144" s="308"/>
      <c r="CT144" s="308"/>
      <c r="CU144" s="308"/>
      <c r="CV144" s="308"/>
      <c r="CW144" s="308"/>
      <c r="CX144" s="308"/>
      <c r="CY144" s="308"/>
      <c r="CZ144" s="308"/>
      <c r="DA144" s="308"/>
      <c r="DB144" s="308"/>
      <c r="DC144" s="308"/>
      <c r="DD144" s="308"/>
      <c r="DE144" s="308"/>
      <c r="DF144" s="308"/>
      <c r="DG144" s="308"/>
      <c r="DH144" s="308"/>
      <c r="DI144" s="308"/>
      <c r="DJ144" s="308"/>
      <c r="DK144" s="308"/>
      <c r="DL144" s="308"/>
      <c r="DM144" s="308"/>
      <c r="DN144" s="308"/>
      <c r="DO144" s="308"/>
      <c r="DP144" s="308"/>
      <c r="DQ144" s="308"/>
      <c r="DR144" s="308"/>
      <c r="DS144" s="308"/>
      <c r="DT144" s="308"/>
      <c r="DU144" s="308"/>
      <c r="DV144" s="308"/>
      <c r="DW144" s="308"/>
      <c r="DX144" s="308"/>
      <c r="DY144" s="308"/>
      <c r="DZ144" s="308"/>
      <c r="EA144" s="308"/>
      <c r="EB144" s="308"/>
      <c r="EC144" s="308"/>
      <c r="ED144" s="308"/>
      <c r="EE144" s="308"/>
      <c r="EF144" s="308"/>
      <c r="EG144" s="308"/>
      <c r="EH144" s="308"/>
      <c r="EI144" s="308"/>
      <c r="EJ144" s="308"/>
      <c r="EK144" s="308"/>
      <c r="EL144" s="308"/>
      <c r="EM144" s="308"/>
      <c r="EN144" s="308"/>
      <c r="EO144" s="308"/>
      <c r="EP144" s="308"/>
      <c r="EQ144" s="308"/>
      <c r="ER144" s="308"/>
      <c r="ES144" s="308"/>
      <c r="ET144" s="308"/>
      <c r="EU144" s="308"/>
      <c r="EV144" s="308"/>
      <c r="EW144" s="308"/>
      <c r="EX144" s="308"/>
      <c r="EY144" s="308"/>
      <c r="EZ144" s="308"/>
      <c r="FA144" s="308"/>
      <c r="FB144" s="308"/>
      <c r="FC144" s="308"/>
      <c r="FD144" s="308"/>
      <c r="FE144" s="308"/>
      <c r="FF144" s="308"/>
      <c r="FG144" s="308"/>
      <c r="FH144" s="308"/>
      <c r="FI144" s="308"/>
      <c r="FJ144" s="308"/>
      <c r="FK144" s="308"/>
      <c r="FL144" s="308"/>
      <c r="FM144" s="308"/>
      <c r="FN144" s="308"/>
      <c r="FO144" s="308"/>
      <c r="FP144" s="308"/>
      <c r="FQ144" s="308"/>
      <c r="FR144" s="308"/>
      <c r="FS144" s="308"/>
      <c r="FT144" s="308"/>
      <c r="FU144" s="308"/>
      <c r="FV144" s="308"/>
      <c r="FW144" s="308"/>
      <c r="FX144" s="308"/>
      <c r="FY144" s="308"/>
      <c r="FZ144" s="308"/>
      <c r="GA144" s="308"/>
      <c r="GB144" s="308"/>
      <c r="GC144" s="308"/>
      <c r="GD144" s="308"/>
      <c r="GE144" s="308"/>
      <c r="GF144" s="308"/>
      <c r="GG144" s="308"/>
      <c r="GH144" s="308"/>
      <c r="GI144" s="308"/>
      <c r="GJ144" s="308"/>
      <c r="GK144" s="308"/>
      <c r="GL144" s="308"/>
      <c r="GM144" s="308"/>
      <c r="GN144" s="308"/>
      <c r="GO144" s="308"/>
      <c r="GP144" s="308"/>
      <c r="GQ144" s="308"/>
      <c r="GR144" s="308"/>
      <c r="GS144" s="308"/>
      <c r="GT144" s="308"/>
      <c r="GU144" s="308"/>
      <c r="GV144" s="308"/>
      <c r="GW144" s="308"/>
      <c r="GX144" s="308"/>
      <c r="GY144" s="308"/>
      <c r="GZ144" s="308"/>
      <c r="HA144" s="308"/>
      <c r="HB144" s="308"/>
      <c r="HC144" s="308"/>
      <c r="HD144" s="308"/>
      <c r="HE144" s="308"/>
      <c r="HF144" s="308"/>
      <c r="HG144" s="308"/>
      <c r="HH144" s="308"/>
      <c r="HI144" s="308"/>
      <c r="HJ144" s="308"/>
      <c r="HK144" s="308"/>
      <c r="HL144" s="308"/>
      <c r="HM144" s="308"/>
      <c r="HN144" s="308"/>
      <c r="HO144" s="308"/>
      <c r="HP144" s="308"/>
      <c r="HQ144" s="308"/>
      <c r="HR144" s="308"/>
      <c r="HS144" s="308"/>
      <c r="HT144" s="308"/>
      <c r="HU144" s="308"/>
      <c r="HV144" s="308"/>
      <c r="HW144" s="308"/>
      <c r="HX144" s="308"/>
      <c r="HY144" s="308"/>
      <c r="HZ144" s="308"/>
      <c r="IA144" s="308"/>
      <c r="IB144" s="308"/>
      <c r="IC144" s="308"/>
      <c r="ID144" s="308"/>
      <c r="IE144" s="308"/>
      <c r="IF144" s="308"/>
      <c r="IG144" s="308"/>
      <c r="IH144" s="308"/>
      <c r="II144" s="308"/>
      <c r="IJ144" s="308"/>
      <c r="IK144" s="308"/>
      <c r="IL144" s="308"/>
      <c r="IM144" s="308"/>
      <c r="IN144" s="308"/>
      <c r="IO144" s="308"/>
      <c r="IP144" s="308"/>
      <c r="IQ144" s="308"/>
      <c r="IR144" s="308"/>
      <c r="IS144" s="308"/>
      <c r="IT144" s="308"/>
      <c r="IU144" s="308"/>
      <c r="IV144" s="308"/>
      <c r="IW144" s="308"/>
      <c r="IX144" s="308"/>
    </row>
    <row r="145" spans="1:258" s="308" customFormat="1" ht="17.399999999999999" x14ac:dyDescent="0.3">
      <c r="A145" s="144"/>
      <c r="B145" s="84"/>
      <c r="C145" s="64"/>
      <c r="D145" s="83" t="s">
        <v>164</v>
      </c>
      <c r="E145" s="270">
        <f>IF(AND($F$2="No",$F$3="No"),SUM(J145:K145),IF(AND($F$2="Yes", $F$3="No"), SUM(J145:K145)+Q145, IF(AND($F$2="No", $F$3="Yes"),SUM(J145:K145)+P145, SUM(J145:K145)+Q145+P145)))</f>
        <v>0</v>
      </c>
      <c r="F145" s="90">
        <f>IF(AND($F$2="No",$F$3="No"),SUM(H145:O145),IF(AND($F$2="Yes", $F$3="No"), SUM(H145:O145)+Q145, IF(AND($F$2="No", $F$3="Yes"),SUM(H145:O145)+P145, SUM(H145:O145)+Q145+P145)))</f>
        <v>2.5661406515021872</v>
      </c>
      <c r="G145" s="278">
        <f>SUM(S145:U145)/(1-'Common input data'!$B$121)</f>
        <v>3.5161005507843264</v>
      </c>
      <c r="H145" s="85">
        <f>('Input data plant-based products'!$F$85*('Common input data'!$C$76*'Common input data'!B69+'Common input data'!$C$77*'Common input data'!C69))/'Input data plant-based products'!$E$85</f>
        <v>1.2799472251655822E-2</v>
      </c>
      <c r="I145" s="90">
        <f>'Common input data'!$B$81</f>
        <v>0.03</v>
      </c>
      <c r="J145" s="85">
        <v>0</v>
      </c>
      <c r="K145" s="90">
        <v>0</v>
      </c>
      <c r="L145" s="85">
        <v>0</v>
      </c>
      <c r="M145" s="90">
        <f>'Input data plant-based products'!M145/'Input data plant-based products'!E$85*'Common input data'!D$36</f>
        <v>2.5233411792505311</v>
      </c>
      <c r="N145" s="90">
        <v>0</v>
      </c>
      <c r="O145" s="90">
        <v>0</v>
      </c>
      <c r="P145" s="90">
        <v>0</v>
      </c>
      <c r="Q145" s="90">
        <v>0</v>
      </c>
      <c r="R145" s="90">
        <v>0</v>
      </c>
      <c r="S145" s="90">
        <f>F145+R145</f>
        <v>2.5661406515021872</v>
      </c>
      <c r="T145" s="90">
        <f>'Common input data'!B$86</f>
        <v>0.15</v>
      </c>
      <c r="U145" s="90">
        <f>'Common input data'!B102+'Common input data'!C102</f>
        <v>0.23000000000000004</v>
      </c>
      <c r="V145" s="430"/>
      <c r="W145" s="243"/>
      <c r="Z145" s="64"/>
    </row>
    <row r="146" spans="1:258" s="308" customFormat="1" ht="17.399999999999999" x14ac:dyDescent="0.3">
      <c r="A146" s="107"/>
      <c r="B146" s="84"/>
      <c r="C146" s="142"/>
      <c r="D146" s="83" t="s">
        <v>165</v>
      </c>
      <c r="E146" s="270">
        <f>SUM(J146:K146)</f>
        <v>0</v>
      </c>
      <c r="F146" s="90">
        <f>SUM(H146:O146)</f>
        <v>1.1393349386846116E-2</v>
      </c>
      <c r="G146" s="278">
        <f>SUM(S146:U146)/(1-'Common input data'!$B$121)</f>
        <v>1.3597504937159706E-2</v>
      </c>
      <c r="H146" s="85">
        <f>('Input data plant-based products'!$F$85*('Common input data'!$C$76*'Common input data'!B70+'Common input data'!$C$77*'Common input data'!C70))/'Input data plant-based products'!$E$85</f>
        <v>5.6434744356455123E-11</v>
      </c>
      <c r="I146" s="90">
        <v>0</v>
      </c>
      <c r="J146" s="85">
        <v>0</v>
      </c>
      <c r="K146" s="90">
        <v>0</v>
      </c>
      <c r="L146" s="85">
        <v>0</v>
      </c>
      <c r="M146" s="90">
        <f>'Input data plant-based products'!N145/'Input data plant-based products'!E$85*'Common input data'!D$36</f>
        <v>1.1393349330411372E-2</v>
      </c>
      <c r="N146" s="90">
        <v>0</v>
      </c>
      <c r="O146" s="90">
        <v>0</v>
      </c>
      <c r="P146" s="90">
        <v>0</v>
      </c>
      <c r="Q146" s="90">
        <v>0</v>
      </c>
      <c r="R146" s="90">
        <v>0</v>
      </c>
      <c r="S146" s="90">
        <f>F146+R146</f>
        <v>1.1393349386846116E-2</v>
      </c>
      <c r="T146" s="90">
        <v>0</v>
      </c>
      <c r="U146" s="90">
        <v>0</v>
      </c>
      <c r="V146" s="430"/>
      <c r="W146" s="243"/>
      <c r="Z146" s="64"/>
    </row>
    <row r="147" spans="1:258" s="308" customFormat="1" ht="17.399999999999999" x14ac:dyDescent="0.3">
      <c r="A147" s="174"/>
      <c r="B147" s="206"/>
      <c r="C147" s="85"/>
      <c r="D147" s="84" t="s">
        <v>166</v>
      </c>
      <c r="E147" s="270">
        <f>SUM(J147:K147)</f>
        <v>7.542881783332844E-5</v>
      </c>
      <c r="F147" s="90">
        <f>SUM(H147:O147)</f>
        <v>2.3196012236947373E-4</v>
      </c>
      <c r="G147" s="278">
        <f>SUM(S147:U147)/(1-'Common input data'!$B$121)</f>
        <v>2.7683509054716998E-4</v>
      </c>
      <c r="H147" s="85">
        <f>('Input data plant-based products'!$F$85*('Common input data'!$C$76*'Common input data'!B71+'Common input data'!$C$77*'Common input data'!C71))/'Input data plant-based products'!$E$85</f>
        <v>6.9913850794459792E-5</v>
      </c>
      <c r="I147" s="85">
        <v>0</v>
      </c>
      <c r="J147" s="85">
        <f>(SUM('Input data plant-based products'!F85:H85)*'Input data plant-based products'!$B$114*44/28)/'Input data plant-based products'!E85</f>
        <v>7.542881783332844E-5</v>
      </c>
      <c r="K147" s="90">
        <f>J147*'Input data plant-based products'!$B$115*(1-'Input data plant-based products'!$L$145)</f>
        <v>0</v>
      </c>
      <c r="L147" s="85">
        <v>0</v>
      </c>
      <c r="M147" s="90">
        <f>'Input data plant-based products'!O145/'Input data plant-based products'!E$85*'Common input data'!D$36</f>
        <v>8.6617453741685488E-5</v>
      </c>
      <c r="N147" s="90">
        <v>0</v>
      </c>
      <c r="O147" s="90">
        <v>0</v>
      </c>
      <c r="P147" s="90">
        <v>0</v>
      </c>
      <c r="Q147" s="90">
        <v>0</v>
      </c>
      <c r="R147" s="90">
        <v>0</v>
      </c>
      <c r="S147" s="90">
        <f>F147+R147</f>
        <v>2.3196012236947373E-4</v>
      </c>
      <c r="T147" s="90">
        <v>0</v>
      </c>
      <c r="U147" s="90">
        <v>0</v>
      </c>
      <c r="V147" s="430"/>
      <c r="W147" s="243"/>
      <c r="Z147" s="64"/>
    </row>
    <row r="148" spans="1:258" s="420" customFormat="1" ht="17.399999999999999" x14ac:dyDescent="0.3">
      <c r="A148" s="122" t="s">
        <v>70</v>
      </c>
      <c r="B148" s="150" t="s">
        <v>225</v>
      </c>
      <c r="C148" s="104">
        <f>'Input data plant-based products'!D86</f>
        <v>8.5000000000000006E-2</v>
      </c>
      <c r="D148" s="269" t="s">
        <v>473</v>
      </c>
      <c r="E148" s="320">
        <f>IF($F$1="GWP100 without fb",E149+E150*'Common input data'!$C$5+E151*'Common input data'!$D$5,IF($F$1="GWP100 with fb",E149+E150*'Common input data'!$C$6+E151*'Common input data'!$D$6,IF($F$1="GTP100 without fb",E149+E150*'Common input data'!$C$7+E151*'Common input data'!$D$7,IF($F$1="GTP100 with fb",E149+E150*'Common input data'!$C$8+E151*'Common input data'!$D$8,E149+E150*'Common input data'!$C$9+E151*'Common input data'!$D$9))))</f>
        <v>-7.2884353737846685E-2</v>
      </c>
      <c r="F148" s="302">
        <f>IF($F$1="GWP100 without fb",F149+F150*'Common input data'!$C$5+F151*'Common input data'!$D$5,IF($F$1="GWP100 with fb",F149+F150*'Common input data'!$C$6+F151*'Common input data'!$D$6,IF($F$1="GTP100 without fb",F149+F150*'Common input data'!$C$7+F151*'Common input data'!$D$7,IF($F$1="GTP100 with fb",F149+F150*'Common input data'!$C$8+F151*'Common input data'!$D$8,F149+F150*'Common input data'!$C$9+F151*'Common input data'!$D$9))))</f>
        <v>0.12002812282633493</v>
      </c>
      <c r="G148" s="321">
        <f>IF($F$1="GWP100 without fb",G149+G150*'Common input data'!$C$5+G151*'Common input data'!$D$5,IF($F$1="GWP100 with fb",G149+G150*'Common input data'!$C$6+G151*'Common input data'!$D$6,IF($F$1="GTP100 without fb",G149+G150*'Common input data'!$C$7+G151*'Common input data'!$D$7,IF($F$1="GTP100 with fb",G149+G150*'Common input data'!$C$8+G151*'Common input data'!$D$8,G149+G150*'Common input data'!$C$9+G151*'Common input data'!$D$9))))</f>
        <v>0.59676348350201092</v>
      </c>
      <c r="H148" s="102"/>
      <c r="I148" s="102"/>
      <c r="J148" s="102"/>
      <c r="K148" s="102"/>
      <c r="L148" s="102"/>
      <c r="M148" s="102"/>
      <c r="N148" s="102"/>
      <c r="O148" s="102"/>
      <c r="P148" s="102"/>
      <c r="Q148" s="102"/>
      <c r="R148" s="102"/>
      <c r="S148" s="102"/>
      <c r="T148" s="102"/>
      <c r="U148" s="102"/>
      <c r="V148" s="430"/>
      <c r="W148" s="243"/>
      <c r="X148" s="308"/>
      <c r="Y148" s="308"/>
      <c r="Z148" s="64"/>
      <c r="AA148" s="308"/>
      <c r="AB148" s="308"/>
      <c r="AC148" s="308"/>
      <c r="AD148" s="308"/>
      <c r="AE148" s="308"/>
      <c r="AF148" s="308"/>
      <c r="AG148" s="308"/>
      <c r="AH148" s="308"/>
      <c r="AI148" s="308"/>
      <c r="AJ148" s="308"/>
      <c r="AK148" s="308"/>
      <c r="AL148" s="308"/>
      <c r="AM148" s="308"/>
      <c r="AN148" s="308"/>
      <c r="AO148" s="308"/>
      <c r="AP148" s="308"/>
      <c r="AQ148" s="308"/>
      <c r="AR148" s="308"/>
      <c r="AS148" s="308"/>
      <c r="AT148" s="308"/>
      <c r="AU148" s="308"/>
      <c r="AV148" s="308"/>
      <c r="AW148" s="308"/>
      <c r="AX148" s="308"/>
      <c r="AY148" s="308"/>
      <c r="AZ148" s="308"/>
      <c r="BA148" s="308"/>
      <c r="BB148" s="308"/>
      <c r="BC148" s="308"/>
      <c r="BD148" s="308"/>
      <c r="BE148" s="308"/>
      <c r="BF148" s="308"/>
      <c r="BG148" s="308"/>
      <c r="BH148" s="308"/>
      <c r="BI148" s="308"/>
      <c r="BJ148" s="308"/>
      <c r="BK148" s="308"/>
      <c r="BL148" s="308"/>
      <c r="BM148" s="308"/>
      <c r="BN148" s="308"/>
      <c r="BO148" s="308"/>
      <c r="BP148" s="308"/>
      <c r="BQ148" s="308"/>
      <c r="BR148" s="308"/>
      <c r="BS148" s="308"/>
      <c r="BT148" s="308"/>
      <c r="BU148" s="308"/>
      <c r="BV148" s="308"/>
      <c r="BW148" s="308"/>
      <c r="BX148" s="308"/>
      <c r="BY148" s="308"/>
      <c r="BZ148" s="308"/>
      <c r="CA148" s="308"/>
      <c r="CB148" s="308"/>
      <c r="CC148" s="308"/>
      <c r="CD148" s="308"/>
      <c r="CE148" s="308"/>
      <c r="CF148" s="308"/>
      <c r="CG148" s="308"/>
      <c r="CH148" s="308"/>
      <c r="CI148" s="308"/>
      <c r="CJ148" s="308"/>
      <c r="CK148" s="308"/>
      <c r="CL148" s="308"/>
      <c r="CM148" s="308"/>
      <c r="CN148" s="308"/>
      <c r="CO148" s="308"/>
      <c r="CP148" s="308"/>
      <c r="CQ148" s="308"/>
      <c r="CR148" s="308"/>
      <c r="CS148" s="308"/>
      <c r="CT148" s="308"/>
      <c r="CU148" s="308"/>
      <c r="CV148" s="308"/>
      <c r="CW148" s="308"/>
      <c r="CX148" s="308"/>
      <c r="CY148" s="308"/>
      <c r="CZ148" s="308"/>
      <c r="DA148" s="308"/>
      <c r="DB148" s="308"/>
      <c r="DC148" s="308"/>
      <c r="DD148" s="308"/>
      <c r="DE148" s="308"/>
      <c r="DF148" s="308"/>
      <c r="DG148" s="308"/>
      <c r="DH148" s="308"/>
      <c r="DI148" s="308"/>
      <c r="DJ148" s="308"/>
      <c r="DK148" s="308"/>
      <c r="DL148" s="308"/>
      <c r="DM148" s="308"/>
      <c r="DN148" s="308"/>
      <c r="DO148" s="308"/>
      <c r="DP148" s="308"/>
      <c r="DQ148" s="308"/>
      <c r="DR148" s="308"/>
      <c r="DS148" s="308"/>
      <c r="DT148" s="308"/>
      <c r="DU148" s="308"/>
      <c r="DV148" s="308"/>
      <c r="DW148" s="308"/>
      <c r="DX148" s="308"/>
      <c r="DY148" s="308"/>
      <c r="DZ148" s="308"/>
      <c r="EA148" s="308"/>
      <c r="EB148" s="308"/>
      <c r="EC148" s="308"/>
      <c r="ED148" s="308"/>
      <c r="EE148" s="308"/>
      <c r="EF148" s="308"/>
      <c r="EG148" s="308"/>
      <c r="EH148" s="308"/>
      <c r="EI148" s="308"/>
      <c r="EJ148" s="308"/>
      <c r="EK148" s="308"/>
      <c r="EL148" s="308"/>
      <c r="EM148" s="308"/>
      <c r="EN148" s="308"/>
      <c r="EO148" s="308"/>
      <c r="EP148" s="308"/>
      <c r="EQ148" s="308"/>
      <c r="ER148" s="308"/>
      <c r="ES148" s="308"/>
      <c r="ET148" s="308"/>
      <c r="EU148" s="308"/>
      <c r="EV148" s="308"/>
      <c r="EW148" s="308"/>
      <c r="EX148" s="308"/>
      <c r="EY148" s="308"/>
      <c r="EZ148" s="308"/>
      <c r="FA148" s="308"/>
      <c r="FB148" s="308"/>
      <c r="FC148" s="308"/>
      <c r="FD148" s="308"/>
      <c r="FE148" s="308"/>
      <c r="FF148" s="308"/>
      <c r="FG148" s="308"/>
      <c r="FH148" s="308"/>
      <c r="FI148" s="308"/>
      <c r="FJ148" s="308"/>
      <c r="FK148" s="308"/>
      <c r="FL148" s="308"/>
      <c r="FM148" s="308"/>
      <c r="FN148" s="308"/>
      <c r="FO148" s="308"/>
      <c r="FP148" s="308"/>
      <c r="FQ148" s="308"/>
      <c r="FR148" s="308"/>
      <c r="FS148" s="308"/>
      <c r="FT148" s="308"/>
      <c r="FU148" s="308"/>
      <c r="FV148" s="308"/>
      <c r="FW148" s="308"/>
      <c r="FX148" s="308"/>
      <c r="FY148" s="308"/>
      <c r="FZ148" s="308"/>
      <c r="GA148" s="308"/>
      <c r="GB148" s="308"/>
      <c r="GC148" s="308"/>
      <c r="GD148" s="308"/>
      <c r="GE148" s="308"/>
      <c r="GF148" s="308"/>
      <c r="GG148" s="308"/>
      <c r="GH148" s="308"/>
      <c r="GI148" s="308"/>
      <c r="GJ148" s="308"/>
      <c r="GK148" s="308"/>
      <c r="GL148" s="308"/>
      <c r="GM148" s="308"/>
      <c r="GN148" s="308"/>
      <c r="GO148" s="308"/>
      <c r="GP148" s="308"/>
      <c r="GQ148" s="308"/>
      <c r="GR148" s="308"/>
      <c r="GS148" s="308"/>
      <c r="GT148" s="308"/>
      <c r="GU148" s="308"/>
      <c r="GV148" s="308"/>
      <c r="GW148" s="308"/>
      <c r="GX148" s="308"/>
      <c r="GY148" s="308"/>
      <c r="GZ148" s="308"/>
      <c r="HA148" s="308"/>
      <c r="HB148" s="308"/>
      <c r="HC148" s="308"/>
      <c r="HD148" s="308"/>
      <c r="HE148" s="308"/>
      <c r="HF148" s="308"/>
      <c r="HG148" s="308"/>
      <c r="HH148" s="308"/>
      <c r="HI148" s="308"/>
      <c r="HJ148" s="308"/>
      <c r="HK148" s="308"/>
      <c r="HL148" s="308"/>
      <c r="HM148" s="308"/>
      <c r="HN148" s="308"/>
      <c r="HO148" s="308"/>
      <c r="HP148" s="308"/>
      <c r="HQ148" s="308"/>
      <c r="HR148" s="308"/>
      <c r="HS148" s="308"/>
      <c r="HT148" s="308"/>
      <c r="HU148" s="308"/>
      <c r="HV148" s="308"/>
      <c r="HW148" s="308"/>
      <c r="HX148" s="308"/>
      <c r="HY148" s="308"/>
      <c r="HZ148" s="308"/>
      <c r="IA148" s="308"/>
      <c r="IB148" s="308"/>
      <c r="IC148" s="308"/>
      <c r="ID148" s="308"/>
      <c r="IE148" s="308"/>
      <c r="IF148" s="308"/>
      <c r="IG148" s="308"/>
      <c r="IH148" s="308"/>
      <c r="II148" s="308"/>
      <c r="IJ148" s="308"/>
      <c r="IK148" s="308"/>
      <c r="IL148" s="308"/>
      <c r="IM148" s="308"/>
      <c r="IN148" s="308"/>
      <c r="IO148" s="308"/>
      <c r="IP148" s="308"/>
      <c r="IQ148" s="308"/>
      <c r="IR148" s="308"/>
      <c r="IS148" s="308"/>
      <c r="IT148" s="308"/>
      <c r="IU148" s="308"/>
      <c r="IV148" s="308"/>
      <c r="IW148" s="308"/>
      <c r="IX148" s="308"/>
    </row>
    <row r="149" spans="1:258" s="308" customFormat="1" ht="17.399999999999999" x14ac:dyDescent="0.3">
      <c r="A149" s="144"/>
      <c r="B149" s="84"/>
      <c r="C149" s="64"/>
      <c r="D149" s="83" t="s">
        <v>164</v>
      </c>
      <c r="E149" s="270">
        <f>IF(AND($F$2="No",$F$3="No"),SUM(J149:K149),IF(AND($F$2="Yes", $F$3="No"), SUM(J149:K149)+Q149, IF(AND($F$2="No", $F$3="Yes"),SUM(J149:K149)+P149, SUM(J149:K149)+Q149+P149)))</f>
        <v>-9.1139048141381296E-2</v>
      </c>
      <c r="F149" s="90">
        <f>IF(AND($F$2="No",$F$3="No"),SUM(H149:O149),IF(AND($F$2="Yes", $F$3="No"), SUM(H149:O149)+Q149, IF(AND($F$2="No", $F$3="Yes"),SUM(H149:O149)+P149, SUM(H149:O149)+Q149+P149)))</f>
        <v>8.4405548537174191E-2</v>
      </c>
      <c r="G149" s="278">
        <f>SUM(S149:U149)/(1-'Common input data'!$B$121)</f>
        <v>0.55424937168776012</v>
      </c>
      <c r="H149" s="85">
        <f>('Input data plant-based products'!$F$86*('Common input data'!$C$76*'Common input data'!B69+'Common input data'!$C$77*'Common input data'!C69))/'Input data plant-based products'!$E$86</f>
        <v>9.4497513177307681E-3</v>
      </c>
      <c r="I149" s="90">
        <f>'Common input data'!$B$81</f>
        <v>0.03</v>
      </c>
      <c r="J149" s="85">
        <v>0</v>
      </c>
      <c r="K149" s="90">
        <v>0</v>
      </c>
      <c r="L149" s="85">
        <f>('Input data plant-based products'!$I$86*'Common input data'!$C$59*'Common input data'!H49)/'Input data plant-based products'!$E$86</f>
        <v>8.6094845360824734E-2</v>
      </c>
      <c r="M149" s="90">
        <v>0</v>
      </c>
      <c r="N149" s="90">
        <f>'Input data plant-based products'!F$152</f>
        <v>0.05</v>
      </c>
      <c r="O149" s="90">
        <v>0</v>
      </c>
      <c r="P149" s="90">
        <f>'Common input data'!$F$13</f>
        <v>-9.1139048141381296E-2</v>
      </c>
      <c r="Q149" s="90">
        <v>0</v>
      </c>
      <c r="R149" s="90">
        <v>0</v>
      </c>
      <c r="S149" s="90">
        <f>F149+R149</f>
        <v>8.4405548537174191E-2</v>
      </c>
      <c r="T149" s="90">
        <f>'Common input data'!B$86</f>
        <v>0.15</v>
      </c>
      <c r="U149" s="85">
        <f>'Common input data'!B102+'Common input data'!C102</f>
        <v>0.23000000000000004</v>
      </c>
      <c r="V149" s="430"/>
      <c r="W149" s="243"/>
      <c r="Z149" s="64"/>
    </row>
    <row r="150" spans="1:258" s="308" customFormat="1" ht="17.399999999999999" x14ac:dyDescent="0.3">
      <c r="A150" s="107"/>
      <c r="B150" s="84"/>
      <c r="C150" s="142"/>
      <c r="D150" s="83" t="s">
        <v>165</v>
      </c>
      <c r="E150" s="270">
        <f>SUM(J150:K150)</f>
        <v>0</v>
      </c>
      <c r="F150" s="90">
        <f>SUM(H150:O150)</f>
        <v>3.8137155067396916E-5</v>
      </c>
      <c r="G150" s="278">
        <f>SUM(S150:U150)/(1-'Common input data'!$B$121)</f>
        <v>4.5515162987703683E-5</v>
      </c>
      <c r="H150" s="85">
        <f>('Input data plant-based products'!$F$86*('Common input data'!$C$76*'Common input data'!B70+'Common input data'!$C$77*'Common input data'!C70))/'Input data plant-based products'!$E$86</f>
        <v>4.1665335051546392E-11</v>
      </c>
      <c r="I150" s="85">
        <v>0</v>
      </c>
      <c r="J150" s="85">
        <v>0</v>
      </c>
      <c r="K150" s="85">
        <v>0</v>
      </c>
      <c r="L150" s="85">
        <f>('Input data plant-based products'!$I$86*'Common input data'!$C$59*'Common input data'!H50)/'Input data plant-based products'!$E$86</f>
        <v>3.8137113402061861E-5</v>
      </c>
      <c r="M150" s="90">
        <v>0</v>
      </c>
      <c r="N150" s="90">
        <v>0</v>
      </c>
      <c r="O150" s="90">
        <v>0</v>
      </c>
      <c r="P150" s="90">
        <v>0</v>
      </c>
      <c r="Q150" s="90">
        <v>0</v>
      </c>
      <c r="R150" s="90">
        <v>0</v>
      </c>
      <c r="S150" s="90">
        <f>F150+R150</f>
        <v>3.8137155067396916E-5</v>
      </c>
      <c r="T150" s="90">
        <v>0</v>
      </c>
      <c r="U150" s="90">
        <v>0</v>
      </c>
      <c r="V150" s="430"/>
      <c r="W150" s="243"/>
      <c r="Z150" s="64"/>
    </row>
    <row r="151" spans="1:258" s="308" customFormat="1" ht="17.399999999999999" x14ac:dyDescent="0.3">
      <c r="A151" s="174"/>
      <c r="B151" s="206"/>
      <c r="C151" s="85"/>
      <c r="D151" s="84" t="s">
        <v>166</v>
      </c>
      <c r="E151" s="780">
        <f>SUM(J151:K151)</f>
        <v>6.1257363770250372E-5</v>
      </c>
      <c r="F151" s="108">
        <f>SUM(H151:O151)</f>
        <v>1.151876208619773E-4</v>
      </c>
      <c r="G151" s="521">
        <f>SUM(S151:U151)/(1-'Common input data'!$B$121)</f>
        <v>1.3747179957271428E-4</v>
      </c>
      <c r="H151" s="85">
        <f>('Input data plant-based products'!$F$86*('Common input data'!$C$76*'Common input data'!B71+'Common input data'!$C$77*'Common input data'!C71))/'Input data plant-based products'!$E$86</f>
        <v>5.1616855029871268E-5</v>
      </c>
      <c r="I151" s="85">
        <v>0</v>
      </c>
      <c r="J151" s="85">
        <f>(SUM('Input data plant-based products'!F86:H86)*'Input data plant-based products'!$B$114*44/28)/'Input data plant-based products'!E86</f>
        <v>5.5688512518409426E-5</v>
      </c>
      <c r="K151" s="90">
        <f>J151*'Input data plant-based products'!$B$115</f>
        <v>5.5688512518409432E-6</v>
      </c>
      <c r="L151" s="85">
        <f>('Input data plant-based products'!$I$86*'Common input data'!$C$59*'Common input data'!H51)/'Input data plant-based products'!$E$86</f>
        <v>2.3134020618556701E-6</v>
      </c>
      <c r="M151" s="90">
        <v>0</v>
      </c>
      <c r="N151" s="90">
        <v>0</v>
      </c>
      <c r="O151" s="90">
        <v>0</v>
      </c>
      <c r="P151" s="90">
        <v>0</v>
      </c>
      <c r="Q151" s="90">
        <v>0</v>
      </c>
      <c r="R151" s="90">
        <v>0</v>
      </c>
      <c r="S151" s="90">
        <f>F151+R151</f>
        <v>1.151876208619773E-4</v>
      </c>
      <c r="T151" s="90">
        <v>0</v>
      </c>
      <c r="U151" s="90">
        <v>0</v>
      </c>
      <c r="V151" s="430"/>
      <c r="W151" s="243"/>
      <c r="Z151" s="64"/>
    </row>
    <row r="152" spans="1:258" s="427" customFormat="1" ht="17.399999999999999" x14ac:dyDescent="0.3">
      <c r="A152" s="426" t="s">
        <v>617</v>
      </c>
      <c r="B152" s="412"/>
      <c r="C152" s="413"/>
      <c r="D152" s="414"/>
      <c r="E152" s="767" t="s">
        <v>831</v>
      </c>
      <c r="F152" s="768" t="s">
        <v>831</v>
      </c>
      <c r="G152" s="590" t="s">
        <v>831</v>
      </c>
      <c r="H152" s="413"/>
      <c r="I152" s="413"/>
      <c r="J152" s="413"/>
      <c r="K152" s="416"/>
      <c r="L152" s="416"/>
      <c r="M152" s="417"/>
      <c r="N152" s="416"/>
      <c r="O152" s="416"/>
      <c r="P152" s="416"/>
      <c r="Q152" s="416"/>
      <c r="R152" s="416"/>
      <c r="S152" s="416"/>
      <c r="T152" s="416"/>
      <c r="U152" s="416"/>
      <c r="V152" s="430"/>
      <c r="W152" s="243"/>
      <c r="X152" s="308"/>
      <c r="Y152" s="308"/>
      <c r="Z152" s="64"/>
      <c r="AA152" s="308"/>
      <c r="AB152" s="308"/>
      <c r="AC152" s="308"/>
      <c r="AD152" s="308"/>
      <c r="AE152" s="308"/>
      <c r="AF152" s="308"/>
      <c r="AG152" s="308"/>
      <c r="AH152" s="308"/>
      <c r="AI152" s="308"/>
      <c r="AJ152" s="308"/>
      <c r="AK152" s="308"/>
      <c r="AL152" s="308"/>
      <c r="AM152" s="308"/>
      <c r="AN152" s="308"/>
      <c r="AO152" s="308"/>
      <c r="AP152" s="308"/>
      <c r="AQ152" s="308"/>
      <c r="AR152" s="308"/>
      <c r="AS152" s="308"/>
      <c r="AT152" s="308"/>
      <c r="AU152" s="308"/>
      <c r="AV152" s="308"/>
      <c r="AW152" s="308"/>
      <c r="AX152" s="308"/>
      <c r="AY152" s="308"/>
      <c r="AZ152" s="308"/>
      <c r="BA152" s="308"/>
      <c r="BB152" s="308"/>
      <c r="BC152" s="308"/>
      <c r="BD152" s="308"/>
      <c r="BE152" s="308"/>
      <c r="BF152" s="308"/>
      <c r="BG152" s="308"/>
      <c r="BH152" s="308"/>
      <c r="BI152" s="308"/>
      <c r="BJ152" s="308"/>
      <c r="BK152" s="308"/>
      <c r="BL152" s="308"/>
      <c r="BM152" s="308"/>
      <c r="BN152" s="308"/>
      <c r="BO152" s="308"/>
      <c r="BP152" s="308"/>
      <c r="BQ152" s="308"/>
      <c r="BR152" s="308"/>
      <c r="BS152" s="308"/>
      <c r="BT152" s="308"/>
      <c r="BU152" s="308"/>
      <c r="BV152" s="308"/>
      <c r="BW152" s="308"/>
      <c r="BX152" s="308"/>
      <c r="BY152" s="308"/>
      <c r="BZ152" s="308"/>
      <c r="CA152" s="308"/>
      <c r="CB152" s="308"/>
      <c r="CC152" s="308"/>
      <c r="CD152" s="308"/>
      <c r="CE152" s="308"/>
      <c r="CF152" s="308"/>
      <c r="CG152" s="308"/>
      <c r="CH152" s="308"/>
      <c r="CI152" s="308"/>
      <c r="CJ152" s="308"/>
      <c r="CK152" s="308"/>
      <c r="CL152" s="308"/>
      <c r="CM152" s="308"/>
      <c r="CN152" s="308"/>
      <c r="CO152" s="308"/>
      <c r="CP152" s="308"/>
      <c r="CQ152" s="308"/>
      <c r="CR152" s="308"/>
      <c r="CS152" s="308"/>
      <c r="CT152" s="308"/>
      <c r="CU152" s="308"/>
      <c r="CV152" s="308"/>
      <c r="CW152" s="308"/>
      <c r="CX152" s="308"/>
      <c r="CY152" s="308"/>
      <c r="CZ152" s="308"/>
      <c r="DA152" s="308"/>
      <c r="DB152" s="308"/>
      <c r="DC152" s="308"/>
      <c r="DD152" s="308"/>
      <c r="DE152" s="308"/>
      <c r="DF152" s="308"/>
      <c r="DG152" s="308"/>
      <c r="DH152" s="308"/>
      <c r="DI152" s="308"/>
      <c r="DJ152" s="308"/>
      <c r="DK152" s="308"/>
      <c r="DL152" s="308"/>
      <c r="DM152" s="308"/>
      <c r="DN152" s="308"/>
      <c r="DO152" s="308"/>
      <c r="DP152" s="308"/>
      <c r="DQ152" s="308"/>
      <c r="DR152" s="308"/>
      <c r="DS152" s="308"/>
      <c r="DT152" s="308"/>
      <c r="DU152" s="308"/>
      <c r="DV152" s="308"/>
      <c r="DW152" s="308"/>
      <c r="DX152" s="308"/>
      <c r="DY152" s="308"/>
      <c r="DZ152" s="308"/>
      <c r="EA152" s="308"/>
      <c r="EB152" s="308"/>
      <c r="EC152" s="308"/>
      <c r="ED152" s="308"/>
      <c r="EE152" s="308"/>
      <c r="EF152" s="308"/>
      <c r="EG152" s="308"/>
      <c r="EH152" s="308"/>
      <c r="EI152" s="308"/>
      <c r="EJ152" s="308"/>
      <c r="EK152" s="308"/>
      <c r="EL152" s="308"/>
      <c r="EM152" s="308"/>
      <c r="EN152" s="308"/>
      <c r="EO152" s="308"/>
      <c r="EP152" s="308"/>
      <c r="EQ152" s="308"/>
      <c r="ER152" s="308"/>
      <c r="ES152" s="308"/>
      <c r="ET152" s="308"/>
      <c r="EU152" s="308"/>
      <c r="EV152" s="308"/>
      <c r="EW152" s="308"/>
      <c r="EX152" s="308"/>
      <c r="EY152" s="308"/>
      <c r="EZ152" s="308"/>
      <c r="FA152" s="308"/>
      <c r="FB152" s="308"/>
      <c r="FC152" s="308"/>
      <c r="FD152" s="308"/>
      <c r="FE152" s="308"/>
      <c r="FF152" s="308"/>
      <c r="FG152" s="308"/>
      <c r="FH152" s="308"/>
      <c r="FI152" s="308"/>
      <c r="FJ152" s="308"/>
      <c r="FK152" s="308"/>
      <c r="FL152" s="308"/>
      <c r="FM152" s="308"/>
      <c r="FN152" s="308"/>
      <c r="FO152" s="308"/>
      <c r="FP152" s="308"/>
      <c r="FQ152" s="308"/>
      <c r="FR152" s="308"/>
      <c r="FS152" s="308"/>
      <c r="FT152" s="308"/>
      <c r="FU152" s="308"/>
      <c r="FV152" s="308"/>
      <c r="FW152" s="308"/>
      <c r="FX152" s="308"/>
      <c r="FY152" s="308"/>
      <c r="FZ152" s="308"/>
      <c r="GA152" s="308"/>
      <c r="GB152" s="308"/>
      <c r="GC152" s="308"/>
      <c r="GD152" s="308"/>
      <c r="GE152" s="308"/>
      <c r="GF152" s="308"/>
      <c r="GG152" s="308"/>
      <c r="GH152" s="308"/>
      <c r="GI152" s="308"/>
      <c r="GJ152" s="308"/>
      <c r="GK152" s="308"/>
      <c r="GL152" s="308"/>
      <c r="GM152" s="308"/>
      <c r="GN152" s="308"/>
      <c r="GO152" s="308"/>
      <c r="GP152" s="308"/>
      <c r="GQ152" s="308"/>
      <c r="GR152" s="308"/>
      <c r="GS152" s="308"/>
      <c r="GT152" s="308"/>
      <c r="GU152" s="308"/>
      <c r="GV152" s="308"/>
      <c r="GW152" s="308"/>
      <c r="GX152" s="308"/>
      <c r="GY152" s="308"/>
      <c r="GZ152" s="308"/>
      <c r="HA152" s="308"/>
      <c r="HB152" s="308"/>
      <c r="HC152" s="308"/>
      <c r="HD152" s="308"/>
      <c r="HE152" s="308"/>
      <c r="HF152" s="308"/>
      <c r="HG152" s="308"/>
      <c r="HH152" s="308"/>
      <c r="HI152" s="308"/>
      <c r="HJ152" s="308"/>
      <c r="HK152" s="308"/>
      <c r="HL152" s="308"/>
      <c r="HM152" s="308"/>
      <c r="HN152" s="308"/>
      <c r="HO152" s="308"/>
      <c r="HP152" s="308"/>
      <c r="HQ152" s="308"/>
      <c r="HR152" s="308"/>
      <c r="HS152" s="308"/>
      <c r="HT152" s="308"/>
      <c r="HU152" s="308"/>
      <c r="HV152" s="308"/>
      <c r="HW152" s="308"/>
      <c r="HX152" s="308"/>
      <c r="HY152" s="308"/>
      <c r="HZ152" s="308"/>
      <c r="IA152" s="308"/>
      <c r="IB152" s="308"/>
      <c r="IC152" s="308"/>
      <c r="ID152" s="308"/>
      <c r="IE152" s="308"/>
      <c r="IF152" s="308"/>
      <c r="IG152" s="308"/>
      <c r="IH152" s="308"/>
      <c r="II152" s="308"/>
      <c r="IJ152" s="308"/>
      <c r="IK152" s="308"/>
      <c r="IL152" s="308"/>
      <c r="IM152" s="308"/>
      <c r="IN152" s="308"/>
      <c r="IO152" s="308"/>
      <c r="IP152" s="308"/>
      <c r="IQ152" s="308"/>
      <c r="IR152" s="308"/>
      <c r="IS152" s="308"/>
      <c r="IT152" s="308"/>
      <c r="IU152" s="308"/>
      <c r="IV152" s="308"/>
      <c r="IW152" s="308"/>
      <c r="IX152" s="308"/>
    </row>
    <row r="153" spans="1:258" s="420" customFormat="1" ht="17.399999999999999" x14ac:dyDescent="0.3">
      <c r="A153" s="122" t="s">
        <v>249</v>
      </c>
      <c r="B153" s="150"/>
      <c r="C153" s="110">
        <f>SUM(C157:C172)</f>
        <v>1</v>
      </c>
      <c r="D153" s="269" t="s">
        <v>473</v>
      </c>
      <c r="E153" s="769">
        <f>IF($F$1="GWP100 without fb",E154+E155*'Common input data'!$C$5+E156*'Common input data'!$D$5,IF($F$1="GWP100 with fb",E154+E155*'Common input data'!$C$6+E156*'Common input data'!$D$6,IF($F$1="GTP100 without fb",E154+E155*'Common input data'!$C$7+E156*'Common input data'!$D$7,IF($F$1="GTP100 with fb",E154+E155*'Common input data'!$C$8+E156*'Common input data'!$D$8,E154+E155*'Common input data'!$C$9+E156*'Common input data'!$D$9))))</f>
        <v>1.3786916679794675E-2</v>
      </c>
      <c r="F153" s="326">
        <f>IF($F$1="GWP100 without fb",F154+F155*'Common input data'!$C$5+F156*'Common input data'!$D$5,IF($F$1="GWP100 with fb",F154+F155*'Common input data'!$C$6+F156*'Common input data'!$D$6,IF($F$1="GTP100 without fb",F154+F155*'Common input data'!$C$7+F156*'Common input data'!$D$7,IF($F$1="GTP100 with fb",F154+F155*'Common input data'!$C$8+F156*'Common input data'!$D$8,F154+F155*'Common input data'!$C$9+F156*'Common input data'!$D$9))))</f>
        <v>0.38436996807549906</v>
      </c>
      <c r="G153" s="770">
        <f>IF($F$1="GWP100 without fb",G154+G155*'Common input data'!$C$5+G156*'Common input data'!$D$5,IF($F$1="GWP100 with fb",G154+G155*'Common input data'!$C$6+G156*'Common input data'!$D$6,IF($F$1="GTP100 without fb",G154+G155*'Common input data'!$C$7+G156*'Common input data'!$D$7,IF($F$1="GTP100 with fb",G154+G155*'Common input data'!$C$8+G156*'Common input data'!$D$8,G154+G155*'Common input data'!$C$9+G156*'Common input data'!$D$9))))</f>
        <v>0.7594820003287972</v>
      </c>
      <c r="H153" s="302"/>
      <c r="I153" s="104"/>
      <c r="J153" s="104"/>
      <c r="K153" s="102"/>
      <c r="L153" s="102"/>
      <c r="M153" s="102"/>
      <c r="N153" s="102"/>
      <c r="O153" s="102"/>
      <c r="P153" s="102"/>
      <c r="Q153" s="102"/>
      <c r="R153" s="102"/>
      <c r="S153" s="102"/>
      <c r="T153" s="102"/>
      <c r="U153" s="102"/>
      <c r="V153" s="430"/>
      <c r="W153" s="243"/>
      <c r="X153" s="308"/>
      <c r="Y153" s="308"/>
      <c r="Z153" s="64"/>
      <c r="AA153" s="308"/>
      <c r="AB153" s="308"/>
      <c r="AC153" s="308"/>
      <c r="AD153" s="308"/>
      <c r="AE153" s="308"/>
      <c r="AF153" s="308"/>
      <c r="AG153" s="308"/>
      <c r="AH153" s="308"/>
      <c r="AI153" s="308"/>
      <c r="AJ153" s="308"/>
      <c r="AK153" s="308"/>
      <c r="AL153" s="308"/>
      <c r="AM153" s="308"/>
      <c r="AN153" s="308"/>
      <c r="AO153" s="308"/>
      <c r="AP153" s="308"/>
      <c r="AQ153" s="308"/>
      <c r="AR153" s="308"/>
      <c r="AS153" s="308"/>
      <c r="AT153" s="308"/>
      <c r="AU153" s="308"/>
      <c r="AV153" s="308"/>
      <c r="AW153" s="308"/>
      <c r="AX153" s="308"/>
      <c r="AY153" s="308"/>
      <c r="AZ153" s="308"/>
      <c r="BA153" s="308"/>
      <c r="BB153" s="308"/>
      <c r="BC153" s="308"/>
      <c r="BD153" s="308"/>
      <c r="BE153" s="308"/>
      <c r="BF153" s="308"/>
      <c r="BG153" s="308"/>
      <c r="BH153" s="308"/>
      <c r="BI153" s="308"/>
      <c r="BJ153" s="308"/>
      <c r="BK153" s="308"/>
      <c r="BL153" s="308"/>
      <c r="BM153" s="308"/>
      <c r="BN153" s="308"/>
      <c r="BO153" s="308"/>
      <c r="BP153" s="308"/>
      <c r="BQ153" s="308"/>
      <c r="BR153" s="308"/>
      <c r="BS153" s="308"/>
      <c r="BT153" s="308"/>
      <c r="BU153" s="308"/>
      <c r="BV153" s="308"/>
      <c r="BW153" s="308"/>
      <c r="BX153" s="308"/>
      <c r="BY153" s="308"/>
      <c r="BZ153" s="308"/>
      <c r="CA153" s="308"/>
      <c r="CB153" s="308"/>
      <c r="CC153" s="308"/>
      <c r="CD153" s="308"/>
      <c r="CE153" s="308"/>
      <c r="CF153" s="308"/>
      <c r="CG153" s="308"/>
      <c r="CH153" s="308"/>
      <c r="CI153" s="308"/>
      <c r="CJ153" s="308"/>
      <c r="CK153" s="308"/>
      <c r="CL153" s="308"/>
      <c r="CM153" s="308"/>
      <c r="CN153" s="308"/>
      <c r="CO153" s="308"/>
      <c r="CP153" s="308"/>
      <c r="CQ153" s="308"/>
      <c r="CR153" s="308"/>
      <c r="CS153" s="308"/>
      <c r="CT153" s="308"/>
      <c r="CU153" s="308"/>
      <c r="CV153" s="308"/>
      <c r="CW153" s="308"/>
      <c r="CX153" s="308"/>
      <c r="CY153" s="308"/>
      <c r="CZ153" s="308"/>
      <c r="DA153" s="308"/>
      <c r="DB153" s="308"/>
      <c r="DC153" s="308"/>
      <c r="DD153" s="308"/>
      <c r="DE153" s="308"/>
      <c r="DF153" s="308"/>
      <c r="DG153" s="308"/>
      <c r="DH153" s="308"/>
      <c r="DI153" s="308"/>
      <c r="DJ153" s="308"/>
      <c r="DK153" s="308"/>
      <c r="DL153" s="308"/>
      <c r="DM153" s="308"/>
      <c r="DN153" s="308"/>
      <c r="DO153" s="308"/>
      <c r="DP153" s="308"/>
      <c r="DQ153" s="308"/>
      <c r="DR153" s="308"/>
      <c r="DS153" s="308"/>
      <c r="DT153" s="308"/>
      <c r="DU153" s="308"/>
      <c r="DV153" s="308"/>
      <c r="DW153" s="308"/>
      <c r="DX153" s="308"/>
      <c r="DY153" s="308"/>
      <c r="DZ153" s="308"/>
      <c r="EA153" s="308"/>
      <c r="EB153" s="308"/>
      <c r="EC153" s="308"/>
      <c r="ED153" s="308"/>
      <c r="EE153" s="308"/>
      <c r="EF153" s="308"/>
      <c r="EG153" s="308"/>
      <c r="EH153" s="308"/>
      <c r="EI153" s="308"/>
      <c r="EJ153" s="308"/>
      <c r="EK153" s="308"/>
      <c r="EL153" s="308"/>
      <c r="EM153" s="308"/>
      <c r="EN153" s="308"/>
      <c r="EO153" s="308"/>
      <c r="EP153" s="308"/>
      <c r="EQ153" s="308"/>
      <c r="ER153" s="308"/>
      <c r="ES153" s="308"/>
      <c r="ET153" s="308"/>
      <c r="EU153" s="308"/>
      <c r="EV153" s="308"/>
      <c r="EW153" s="308"/>
      <c r="EX153" s="308"/>
      <c r="EY153" s="308"/>
      <c r="EZ153" s="308"/>
      <c r="FA153" s="308"/>
      <c r="FB153" s="308"/>
      <c r="FC153" s="308"/>
      <c r="FD153" s="308"/>
      <c r="FE153" s="308"/>
      <c r="FF153" s="308"/>
      <c r="FG153" s="308"/>
      <c r="FH153" s="308"/>
      <c r="FI153" s="308"/>
      <c r="FJ153" s="308"/>
      <c r="FK153" s="308"/>
      <c r="FL153" s="308"/>
      <c r="FM153" s="308"/>
      <c r="FN153" s="308"/>
      <c r="FO153" s="308"/>
      <c r="FP153" s="308"/>
      <c r="FQ153" s="308"/>
      <c r="FR153" s="308"/>
      <c r="FS153" s="308"/>
      <c r="FT153" s="308"/>
      <c r="FU153" s="308"/>
      <c r="FV153" s="308"/>
      <c r="FW153" s="308"/>
      <c r="FX153" s="308"/>
      <c r="FY153" s="308"/>
      <c r="FZ153" s="308"/>
      <c r="GA153" s="308"/>
      <c r="GB153" s="308"/>
      <c r="GC153" s="308"/>
      <c r="GD153" s="308"/>
      <c r="GE153" s="308"/>
      <c r="GF153" s="308"/>
      <c r="GG153" s="308"/>
      <c r="GH153" s="308"/>
      <c r="GI153" s="308"/>
      <c r="GJ153" s="308"/>
      <c r="GK153" s="308"/>
      <c r="GL153" s="308"/>
      <c r="GM153" s="308"/>
      <c r="GN153" s="308"/>
      <c r="GO153" s="308"/>
      <c r="GP153" s="308"/>
      <c r="GQ153" s="308"/>
      <c r="GR153" s="308"/>
      <c r="GS153" s="308"/>
      <c r="GT153" s="308"/>
      <c r="GU153" s="308"/>
      <c r="GV153" s="308"/>
      <c r="GW153" s="308"/>
      <c r="GX153" s="308"/>
      <c r="GY153" s="308"/>
      <c r="GZ153" s="308"/>
      <c r="HA153" s="308"/>
      <c r="HB153" s="308"/>
      <c r="HC153" s="308"/>
      <c r="HD153" s="308"/>
      <c r="HE153" s="308"/>
      <c r="HF153" s="308"/>
      <c r="HG153" s="308"/>
      <c r="HH153" s="308"/>
      <c r="HI153" s="308"/>
      <c r="HJ153" s="308"/>
      <c r="HK153" s="308"/>
      <c r="HL153" s="308"/>
      <c r="HM153" s="308"/>
      <c r="HN153" s="308"/>
      <c r="HO153" s="308"/>
      <c r="HP153" s="308"/>
      <c r="HQ153" s="308"/>
      <c r="HR153" s="308"/>
      <c r="HS153" s="308"/>
      <c r="HT153" s="308"/>
      <c r="HU153" s="308"/>
      <c r="HV153" s="308"/>
      <c r="HW153" s="308"/>
      <c r="HX153" s="308"/>
      <c r="HY153" s="308"/>
      <c r="HZ153" s="308"/>
      <c r="IA153" s="308"/>
      <c r="IB153" s="308"/>
      <c r="IC153" s="308"/>
      <c r="ID153" s="308"/>
      <c r="IE153" s="308"/>
      <c r="IF153" s="308"/>
      <c r="IG153" s="308"/>
      <c r="IH153" s="308"/>
      <c r="II153" s="308"/>
      <c r="IJ153" s="308"/>
      <c r="IK153" s="308"/>
      <c r="IL153" s="308"/>
      <c r="IM153" s="308"/>
      <c r="IN153" s="308"/>
      <c r="IO153" s="308"/>
      <c r="IP153" s="308"/>
      <c r="IQ153" s="308"/>
      <c r="IR153" s="308"/>
      <c r="IS153" s="308"/>
      <c r="IT153" s="308"/>
      <c r="IU153" s="308"/>
      <c r="IV153" s="308"/>
      <c r="IW153" s="308"/>
      <c r="IX153" s="308"/>
    </row>
    <row r="154" spans="1:258" s="308" customFormat="1" ht="17.399999999999999" x14ac:dyDescent="0.3">
      <c r="A154" s="103"/>
      <c r="B154" s="84"/>
      <c r="C154" s="64"/>
      <c r="D154" s="83" t="s">
        <v>164</v>
      </c>
      <c r="E154" s="270">
        <f t="shared" ref="E154:G156" si="22">E158*$C$157+E162*$C$161+$C$165*E166+$C$169*E170</f>
        <v>-9.1139048141381296E-2</v>
      </c>
      <c r="F154" s="90">
        <f t="shared" si="22"/>
        <v>0.20441446386610895</v>
      </c>
      <c r="G154" s="278">
        <f t="shared" si="22"/>
        <v>0.54471233305419386</v>
      </c>
      <c r="H154" s="90">
        <f t="shared" ref="H154:U156" si="23">H158*$C$157+H162*$C$161+$C$165*H166+$C$169*H170</f>
        <v>5.2248507264405705E-2</v>
      </c>
      <c r="I154" s="90">
        <f t="shared" si="23"/>
        <v>0.03</v>
      </c>
      <c r="J154" s="90">
        <f t="shared" si="23"/>
        <v>0</v>
      </c>
      <c r="K154" s="90">
        <f t="shared" si="23"/>
        <v>0</v>
      </c>
      <c r="L154" s="90">
        <f t="shared" si="23"/>
        <v>0.16330500474308454</v>
      </c>
      <c r="M154" s="90">
        <f t="shared" si="23"/>
        <v>0</v>
      </c>
      <c r="N154" s="90">
        <f t="shared" si="23"/>
        <v>0.05</v>
      </c>
      <c r="O154" s="90">
        <f t="shared" si="23"/>
        <v>0</v>
      </c>
      <c r="P154" s="90">
        <f t="shared" si="23"/>
        <v>-9.1139048141381296E-2</v>
      </c>
      <c r="Q154" s="90">
        <f t="shared" si="23"/>
        <v>0</v>
      </c>
      <c r="R154" s="90">
        <f t="shared" si="23"/>
        <v>0</v>
      </c>
      <c r="S154" s="90">
        <f t="shared" si="23"/>
        <v>0.20441446386610895</v>
      </c>
      <c r="T154" s="90">
        <f t="shared" si="23"/>
        <v>0.15</v>
      </c>
      <c r="U154" s="90">
        <f t="shared" si="23"/>
        <v>0.10200000000000001</v>
      </c>
      <c r="V154" s="430"/>
      <c r="W154" s="243"/>
      <c r="Z154" s="64"/>
    </row>
    <row r="155" spans="1:258" s="308" customFormat="1" ht="17.399999999999999" x14ac:dyDescent="0.3">
      <c r="A155" s="103"/>
      <c r="B155" s="84"/>
      <c r="C155" s="142"/>
      <c r="D155" s="83" t="s">
        <v>165</v>
      </c>
      <c r="E155" s="270">
        <f t="shared" si="22"/>
        <v>0</v>
      </c>
      <c r="F155" s="90">
        <f t="shared" si="22"/>
        <v>7.2338783672515266E-5</v>
      </c>
      <c r="G155" s="278">
        <f t="shared" si="22"/>
        <v>8.6333433193120035E-5</v>
      </c>
      <c r="H155" s="90">
        <f t="shared" si="23"/>
        <v>1.7316790602351905E-10</v>
      </c>
      <c r="I155" s="90">
        <f t="shared" si="23"/>
        <v>0</v>
      </c>
      <c r="J155" s="90">
        <f t="shared" si="23"/>
        <v>0</v>
      </c>
      <c r="K155" s="90">
        <f t="shared" si="23"/>
        <v>0</v>
      </c>
      <c r="L155" s="90">
        <f t="shared" si="23"/>
        <v>7.2338610504609239E-5</v>
      </c>
      <c r="M155" s="90">
        <f t="shared" si="23"/>
        <v>0</v>
      </c>
      <c r="N155" s="90">
        <f t="shared" si="23"/>
        <v>0</v>
      </c>
      <c r="O155" s="90">
        <f t="shared" si="23"/>
        <v>0</v>
      </c>
      <c r="P155" s="90">
        <f t="shared" si="23"/>
        <v>0</v>
      </c>
      <c r="Q155" s="90">
        <f t="shared" si="23"/>
        <v>0</v>
      </c>
      <c r="R155" s="90">
        <f t="shared" si="23"/>
        <v>0</v>
      </c>
      <c r="S155" s="90">
        <f t="shared" si="23"/>
        <v>7.2338783672515266E-5</v>
      </c>
      <c r="T155" s="90">
        <f t="shared" si="23"/>
        <v>0</v>
      </c>
      <c r="U155" s="90">
        <f t="shared" si="23"/>
        <v>0</v>
      </c>
      <c r="V155" s="430"/>
      <c r="W155" s="243"/>
      <c r="Z155" s="64"/>
    </row>
    <row r="156" spans="1:258" s="308" customFormat="1" ht="17.399999999999999" x14ac:dyDescent="0.3">
      <c r="A156" s="107"/>
      <c r="B156" s="206"/>
      <c r="C156" s="85"/>
      <c r="D156" s="84" t="s">
        <v>166</v>
      </c>
      <c r="E156" s="270">
        <f t="shared" si="22"/>
        <v>3.5210055309119453E-4</v>
      </c>
      <c r="F156" s="90">
        <f t="shared" si="22"/>
        <v>5.9562411263263293E-4</v>
      </c>
      <c r="G156" s="278">
        <f t="shared" si="22"/>
        <v>7.1085345820817865E-4</v>
      </c>
      <c r="H156" s="90">
        <f t="shared" si="23"/>
        <v>2.3913549039396889E-4</v>
      </c>
      <c r="I156" s="90">
        <f t="shared" si="23"/>
        <v>0</v>
      </c>
      <c r="J156" s="90">
        <f t="shared" si="23"/>
        <v>3.2009141190108583E-4</v>
      </c>
      <c r="K156" s="90">
        <f t="shared" si="23"/>
        <v>3.2009141190108593E-5</v>
      </c>
      <c r="L156" s="90">
        <f t="shared" si="23"/>
        <v>4.3880691474696065E-6</v>
      </c>
      <c r="M156" s="90">
        <f t="shared" si="23"/>
        <v>0</v>
      </c>
      <c r="N156" s="90">
        <f t="shared" si="23"/>
        <v>0</v>
      </c>
      <c r="O156" s="90">
        <f t="shared" si="23"/>
        <v>0</v>
      </c>
      <c r="P156" s="90">
        <f t="shared" si="23"/>
        <v>0</v>
      </c>
      <c r="Q156" s="90">
        <f t="shared" si="23"/>
        <v>0</v>
      </c>
      <c r="R156" s="90">
        <f t="shared" si="23"/>
        <v>0</v>
      </c>
      <c r="S156" s="90">
        <f t="shared" si="23"/>
        <v>5.9562411263263293E-4</v>
      </c>
      <c r="T156" s="90">
        <f t="shared" si="23"/>
        <v>0</v>
      </c>
      <c r="U156" s="90">
        <f t="shared" si="23"/>
        <v>0</v>
      </c>
      <c r="V156" s="430"/>
      <c r="W156" s="243"/>
      <c r="Z156" s="64"/>
    </row>
    <row r="157" spans="1:258" s="420" customFormat="1" ht="17.399999999999999" x14ac:dyDescent="0.3">
      <c r="A157" s="122" t="s">
        <v>1</v>
      </c>
      <c r="B157" s="150" t="s">
        <v>225</v>
      </c>
      <c r="C157" s="104">
        <f>'Input data plant-based products'!D87</f>
        <v>0.44</v>
      </c>
      <c r="D157" s="269" t="s">
        <v>473</v>
      </c>
      <c r="E157" s="320">
        <f>IF($F$1="GWP100 without fb",E158+E159*'Common input data'!$C$5+E160*'Common input data'!$D$5,IF($F$1="GWP100 with fb",E158+E159*'Common input data'!$C$6+E160*'Common input data'!$D$6,IF($F$1="GTP100 without fb",E158+E159*'Common input data'!$C$7+E160*'Common input data'!$D$7,IF($F$1="GTP100 with fb",E158+E159*'Common input data'!$C$8+E160*'Common input data'!$D$8,E158+E159*'Common input data'!$C$9+E160*'Common input data'!$D$9))))</f>
        <v>6.2948384019637454E-2</v>
      </c>
      <c r="F157" s="302">
        <f>IF($F$1="GWP100 without fb",F158+F159*'Common input data'!$C$5+F160*'Common input data'!$D$5,IF($F$1="GWP100 with fb",F158+F159*'Common input data'!$C$6+F160*'Common input data'!$D$6,IF($F$1="GTP100 without fb",F158+F159*'Common input data'!$C$7+F160*'Common input data'!$D$7,IF($F$1="GTP100 with fb",F158+F159*'Common input data'!$C$8+F160*'Common input data'!$D$8,F158+F159*'Common input data'!$C$9+F160*'Common input data'!$D$9))))</f>
        <v>0.55422453058248022</v>
      </c>
      <c r="G157" s="321">
        <f>IF($F$1="GWP100 without fb",G158+G159*'Common input data'!$C$5+G160*'Common input data'!$D$5,IF($F$1="GWP100 with fb",G158+G159*'Common input data'!$C$6+G160*'Common input data'!$D$6,IF($F$1="GTP100 without fb",G158+G159*'Common input data'!$C$7+G160*'Common input data'!$D$7,IF($F$1="GTP100 with fb",G158+G159*'Common input data'!$C$8+G160*'Common input data'!$D$8,G158+G159*'Common input data'!$C$9+G160*'Common input data'!$D$9))))</f>
        <v>0.87626749084912303</v>
      </c>
      <c r="H157" s="102"/>
      <c r="I157" s="102"/>
      <c r="J157" s="102"/>
      <c r="K157" s="102"/>
      <c r="L157" s="102"/>
      <c r="M157" s="102"/>
      <c r="N157" s="102"/>
      <c r="O157" s="102"/>
      <c r="P157" s="102"/>
      <c r="Q157" s="102"/>
      <c r="R157" s="102"/>
      <c r="S157" s="102"/>
      <c r="T157" s="102"/>
      <c r="U157" s="102"/>
      <c r="V157" s="430"/>
      <c r="W157" s="243"/>
      <c r="X157" s="308"/>
      <c r="Y157" s="308"/>
      <c r="Z157" s="64"/>
      <c r="AA157" s="308"/>
      <c r="AB157" s="308"/>
      <c r="AC157" s="308"/>
      <c r="AD157" s="308"/>
      <c r="AE157" s="308"/>
      <c r="AF157" s="308"/>
      <c r="AG157" s="308"/>
      <c r="AH157" s="308"/>
      <c r="AI157" s="308"/>
      <c r="AJ157" s="308"/>
      <c r="AK157" s="308"/>
      <c r="AL157" s="308"/>
      <c r="AM157" s="308"/>
      <c r="AN157" s="308"/>
      <c r="AO157" s="308"/>
      <c r="AP157" s="308"/>
      <c r="AQ157" s="308"/>
      <c r="AR157" s="308"/>
      <c r="AS157" s="308"/>
      <c r="AT157" s="308"/>
      <c r="AU157" s="308"/>
      <c r="AV157" s="308"/>
      <c r="AW157" s="308"/>
      <c r="AX157" s="308"/>
      <c r="AY157" s="308"/>
      <c r="AZ157" s="308"/>
      <c r="BA157" s="308"/>
      <c r="BB157" s="308"/>
      <c r="BC157" s="308"/>
      <c r="BD157" s="308"/>
      <c r="BE157" s="308"/>
      <c r="BF157" s="308"/>
      <c r="BG157" s="308"/>
      <c r="BH157" s="308"/>
      <c r="BI157" s="308"/>
      <c r="BJ157" s="308"/>
      <c r="BK157" s="308"/>
      <c r="BL157" s="308"/>
      <c r="BM157" s="308"/>
      <c r="BN157" s="308"/>
      <c r="BO157" s="308"/>
      <c r="BP157" s="308"/>
      <c r="BQ157" s="308"/>
      <c r="BR157" s="308"/>
      <c r="BS157" s="308"/>
      <c r="BT157" s="308"/>
      <c r="BU157" s="308"/>
      <c r="BV157" s="308"/>
      <c r="BW157" s="308"/>
      <c r="BX157" s="308"/>
      <c r="BY157" s="308"/>
      <c r="BZ157" s="308"/>
      <c r="CA157" s="308"/>
      <c r="CB157" s="308"/>
      <c r="CC157" s="308"/>
      <c r="CD157" s="308"/>
      <c r="CE157" s="308"/>
      <c r="CF157" s="308"/>
      <c r="CG157" s="308"/>
      <c r="CH157" s="308"/>
      <c r="CI157" s="308"/>
      <c r="CJ157" s="308"/>
      <c r="CK157" s="308"/>
      <c r="CL157" s="308"/>
      <c r="CM157" s="308"/>
      <c r="CN157" s="308"/>
      <c r="CO157" s="308"/>
      <c r="CP157" s="308"/>
      <c r="CQ157" s="308"/>
      <c r="CR157" s="308"/>
      <c r="CS157" s="308"/>
      <c r="CT157" s="308"/>
      <c r="CU157" s="308"/>
      <c r="CV157" s="308"/>
      <c r="CW157" s="308"/>
      <c r="CX157" s="308"/>
      <c r="CY157" s="308"/>
      <c r="CZ157" s="308"/>
      <c r="DA157" s="308"/>
      <c r="DB157" s="308"/>
      <c r="DC157" s="308"/>
      <c r="DD157" s="308"/>
      <c r="DE157" s="308"/>
      <c r="DF157" s="308"/>
      <c r="DG157" s="308"/>
      <c r="DH157" s="308"/>
      <c r="DI157" s="308"/>
      <c r="DJ157" s="308"/>
      <c r="DK157" s="308"/>
      <c r="DL157" s="308"/>
      <c r="DM157" s="308"/>
      <c r="DN157" s="308"/>
      <c r="DO157" s="308"/>
      <c r="DP157" s="308"/>
      <c r="DQ157" s="308"/>
      <c r="DR157" s="308"/>
      <c r="DS157" s="308"/>
      <c r="DT157" s="308"/>
      <c r="DU157" s="308"/>
      <c r="DV157" s="308"/>
      <c r="DW157" s="308"/>
      <c r="DX157" s="308"/>
      <c r="DY157" s="308"/>
      <c r="DZ157" s="308"/>
      <c r="EA157" s="308"/>
      <c r="EB157" s="308"/>
      <c r="EC157" s="308"/>
      <c r="ED157" s="308"/>
      <c r="EE157" s="308"/>
      <c r="EF157" s="308"/>
      <c r="EG157" s="308"/>
      <c r="EH157" s="308"/>
      <c r="EI157" s="308"/>
      <c r="EJ157" s="308"/>
      <c r="EK157" s="308"/>
      <c r="EL157" s="308"/>
      <c r="EM157" s="308"/>
      <c r="EN157" s="308"/>
      <c r="EO157" s="308"/>
      <c r="EP157" s="308"/>
      <c r="EQ157" s="308"/>
      <c r="ER157" s="308"/>
      <c r="ES157" s="308"/>
      <c r="ET157" s="308"/>
      <c r="EU157" s="308"/>
      <c r="EV157" s="308"/>
      <c r="EW157" s="308"/>
      <c r="EX157" s="308"/>
      <c r="EY157" s="308"/>
      <c r="EZ157" s="308"/>
      <c r="FA157" s="308"/>
      <c r="FB157" s="308"/>
      <c r="FC157" s="308"/>
      <c r="FD157" s="308"/>
      <c r="FE157" s="308"/>
      <c r="FF157" s="308"/>
      <c r="FG157" s="308"/>
      <c r="FH157" s="308"/>
      <c r="FI157" s="308"/>
      <c r="FJ157" s="308"/>
      <c r="FK157" s="308"/>
      <c r="FL157" s="308"/>
      <c r="FM157" s="308"/>
      <c r="FN157" s="308"/>
      <c r="FO157" s="308"/>
      <c r="FP157" s="308"/>
      <c r="FQ157" s="308"/>
      <c r="FR157" s="308"/>
      <c r="FS157" s="308"/>
      <c r="FT157" s="308"/>
      <c r="FU157" s="308"/>
      <c r="FV157" s="308"/>
      <c r="FW157" s="308"/>
      <c r="FX157" s="308"/>
      <c r="FY157" s="308"/>
      <c r="FZ157" s="308"/>
      <c r="GA157" s="308"/>
      <c r="GB157" s="308"/>
      <c r="GC157" s="308"/>
      <c r="GD157" s="308"/>
      <c r="GE157" s="308"/>
      <c r="GF157" s="308"/>
      <c r="GG157" s="308"/>
      <c r="GH157" s="308"/>
      <c r="GI157" s="308"/>
      <c r="GJ157" s="308"/>
      <c r="GK157" s="308"/>
      <c r="GL157" s="308"/>
      <c r="GM157" s="308"/>
      <c r="GN157" s="308"/>
      <c r="GO157" s="308"/>
      <c r="GP157" s="308"/>
      <c r="GQ157" s="308"/>
      <c r="GR157" s="308"/>
      <c r="GS157" s="308"/>
      <c r="GT157" s="308"/>
      <c r="GU157" s="308"/>
      <c r="GV157" s="308"/>
      <c r="GW157" s="308"/>
      <c r="GX157" s="308"/>
      <c r="GY157" s="308"/>
      <c r="GZ157" s="308"/>
      <c r="HA157" s="308"/>
      <c r="HB157" s="308"/>
      <c r="HC157" s="308"/>
      <c r="HD157" s="308"/>
      <c r="HE157" s="308"/>
      <c r="HF157" s="308"/>
      <c r="HG157" s="308"/>
      <c r="HH157" s="308"/>
      <c r="HI157" s="308"/>
      <c r="HJ157" s="308"/>
      <c r="HK157" s="308"/>
      <c r="HL157" s="308"/>
      <c r="HM157" s="308"/>
      <c r="HN157" s="308"/>
      <c r="HO157" s="308"/>
      <c r="HP157" s="308"/>
      <c r="HQ157" s="308"/>
      <c r="HR157" s="308"/>
      <c r="HS157" s="308"/>
      <c r="HT157" s="308"/>
      <c r="HU157" s="308"/>
      <c r="HV157" s="308"/>
      <c r="HW157" s="308"/>
      <c r="HX157" s="308"/>
      <c r="HY157" s="308"/>
      <c r="HZ157" s="308"/>
      <c r="IA157" s="308"/>
      <c r="IB157" s="308"/>
      <c r="IC157" s="308"/>
      <c r="ID157" s="308"/>
      <c r="IE157" s="308"/>
      <c r="IF157" s="308"/>
      <c r="IG157" s="308"/>
      <c r="IH157" s="308"/>
      <c r="II157" s="308"/>
      <c r="IJ157" s="308"/>
      <c r="IK157" s="308"/>
      <c r="IL157" s="308"/>
      <c r="IM157" s="308"/>
      <c r="IN157" s="308"/>
      <c r="IO157" s="308"/>
      <c r="IP157" s="308"/>
      <c r="IQ157" s="308"/>
      <c r="IR157" s="308"/>
      <c r="IS157" s="308"/>
      <c r="IT157" s="308"/>
      <c r="IU157" s="308"/>
      <c r="IV157" s="308"/>
      <c r="IW157" s="308"/>
      <c r="IX157" s="308"/>
    </row>
    <row r="158" spans="1:258" s="308" customFormat="1" ht="17.399999999999999" x14ac:dyDescent="0.3">
      <c r="A158" s="103"/>
      <c r="B158" s="84"/>
      <c r="C158" s="64"/>
      <c r="D158" s="83" t="s">
        <v>164</v>
      </c>
      <c r="E158" s="270">
        <f>IF(AND($F$2="No",$F$3="No"),SUM(J158:K158),IF(AND($F$2="Yes", $F$3="No"), SUM(J158:K158)+Q158, IF(AND($F$2="No", $F$3="Yes"),SUM(J158:K158)+P158, SUM(J158:K158)+Q158+P158)))</f>
        <v>-9.1139048141381296E-2</v>
      </c>
      <c r="F158" s="90">
        <f>IF(AND($F$2="No",$F$3="No"),SUM(H158:O158),IF(AND($F$2="Yes", $F$3="No"), SUM(H158:O158)+Q158, IF(AND($F$2="No", $F$3="Yes"),SUM(H158:O158)+P158, SUM(H158:O158)+Q158+P158)))</f>
        <v>0.3037460252863064</v>
      </c>
      <c r="G158" s="278">
        <f>SUM(S158:U158)/(1-'Common input data'!$B$121)</f>
        <v>0.57733145397578045</v>
      </c>
      <c r="H158" s="90">
        <f>('Input data plant-based products'!$F$87*('Common input data'!$B$76*'Common input data'!B69+'Common input data'!$B$77*'Common input data'!C69))/'Input data plant-based products'!$E$87</f>
        <v>7.5065988773185752E-2</v>
      </c>
      <c r="I158" s="90">
        <f>'Common input data'!$B$81</f>
        <v>0.03</v>
      </c>
      <c r="J158" s="90">
        <v>0</v>
      </c>
      <c r="K158" s="90">
        <v>0</v>
      </c>
      <c r="L158" s="90">
        <f>('Input data plant-based products'!$I$87*'Common input data'!$C$59*'Common input data'!H49)/'Input data plant-based products'!$E$87</f>
        <v>0.23981908465450194</v>
      </c>
      <c r="M158" s="90">
        <v>0</v>
      </c>
      <c r="N158" s="90">
        <f>'Input data plant-based products'!F$152</f>
        <v>0.05</v>
      </c>
      <c r="O158" s="90">
        <v>0</v>
      </c>
      <c r="P158" s="90">
        <f>'Common input data'!$F$13</f>
        <v>-9.1139048141381296E-2</v>
      </c>
      <c r="Q158" s="90">
        <v>0</v>
      </c>
      <c r="R158" s="90">
        <v>0</v>
      </c>
      <c r="S158" s="90">
        <f>F158+R158</f>
        <v>0.3037460252863064</v>
      </c>
      <c r="T158" s="90">
        <f>'Common input data'!B$86</f>
        <v>0.15</v>
      </c>
      <c r="U158" s="90">
        <f>'Common input data'!C98</f>
        <v>0.03</v>
      </c>
      <c r="V158" s="430"/>
      <c r="W158" s="243"/>
      <c r="Z158" s="64"/>
    </row>
    <row r="159" spans="1:258" s="308" customFormat="1" ht="17.399999999999999" x14ac:dyDescent="0.3">
      <c r="A159" s="103"/>
      <c r="B159" s="84"/>
      <c r="C159" s="142"/>
      <c r="D159" s="83" t="s">
        <v>165</v>
      </c>
      <c r="E159" s="270">
        <f>SUM(J159:K159)</f>
        <v>0</v>
      </c>
      <c r="F159" s="90">
        <f>SUM(H159:O159)</f>
        <v>1.0623196884235718E-4</v>
      </c>
      <c r="G159" s="278">
        <f>SUM(S159:U159)/(1-'Common input data'!$B$121)</f>
        <v>1.2678358854559873E-4</v>
      </c>
      <c r="H159" s="90">
        <f>('Input data plant-based products'!$F$87*('Common input data'!$B$76*'Common input data'!B70+'Common input data'!$B$77*'Common input data'!C70))/'Input data plant-based products'!$E$87</f>
        <v>2.0096918935088244E-10</v>
      </c>
      <c r="I159" s="90">
        <v>0</v>
      </c>
      <c r="J159" s="90">
        <v>0</v>
      </c>
      <c r="K159" s="90">
        <v>0</v>
      </c>
      <c r="L159" s="90">
        <f>('Input data plant-based products'!$I$87*'Common input data'!$C$59*'Common input data'!H50)/'Input data plant-based products'!$E$87</f>
        <v>1.0623176787316782E-4</v>
      </c>
      <c r="M159" s="90">
        <v>0</v>
      </c>
      <c r="N159" s="90">
        <v>0</v>
      </c>
      <c r="O159" s="90">
        <v>0</v>
      </c>
      <c r="P159" s="90">
        <v>0</v>
      </c>
      <c r="Q159" s="90">
        <v>0</v>
      </c>
      <c r="R159" s="90">
        <v>0</v>
      </c>
      <c r="S159" s="90">
        <f>F159+R159</f>
        <v>1.0623196884235718E-4</v>
      </c>
      <c r="T159" s="90">
        <v>0</v>
      </c>
      <c r="U159" s="90">
        <v>0</v>
      </c>
      <c r="V159" s="430"/>
      <c r="W159" s="243"/>
      <c r="Z159" s="64"/>
    </row>
    <row r="160" spans="1:258" s="308" customFormat="1" ht="17.399999999999999" x14ac:dyDescent="0.3">
      <c r="A160" s="107"/>
      <c r="B160" s="206"/>
      <c r="C160" s="85"/>
      <c r="D160" s="84" t="s">
        <v>166</v>
      </c>
      <c r="E160" s="270">
        <f>SUM(J160:K160)</f>
        <v>5.1707192000341863E-4</v>
      </c>
      <c r="F160" s="90">
        <f>SUM(H160:O160)</f>
        <v>8.2841147099172374E-4</v>
      </c>
      <c r="G160" s="278">
        <f>SUM(S160:U160)/(1-'Common input data'!$B$121)</f>
        <v>9.8867582168722244E-4</v>
      </c>
      <c r="H160" s="90">
        <f>('Input data plant-based products'!$F$87*('Common input data'!$B$76*'Common input data'!B71+'Common input data'!$B$77*'Common input data'!C71))/'Input data plant-based products'!$E$87</f>
        <v>3.0489551868199337E-4</v>
      </c>
      <c r="I160" s="90">
        <v>0</v>
      </c>
      <c r="J160" s="90">
        <f>(SUM('Input data plant-based products'!F87:H87)*'Input data plant-based products'!$B$114*44/28)/'Input data plant-based products'!E87</f>
        <v>4.7006538182128968E-4</v>
      </c>
      <c r="K160" s="90">
        <f>J160*'Input data plant-based products'!$B$115</f>
        <v>4.7006538182128972E-5</v>
      </c>
      <c r="L160" s="90">
        <f>('Input data plant-based products'!$I$87*'Common input data'!$C$59*'Common input data'!H51)/'Input data plant-based products'!$E$87</f>
        <v>6.444032306311696E-6</v>
      </c>
      <c r="M160" s="90">
        <v>0</v>
      </c>
      <c r="N160" s="90">
        <v>0</v>
      </c>
      <c r="O160" s="90">
        <v>0</v>
      </c>
      <c r="P160" s="90">
        <v>0</v>
      </c>
      <c r="Q160" s="90">
        <v>0</v>
      </c>
      <c r="R160" s="90">
        <v>0</v>
      </c>
      <c r="S160" s="90">
        <f>F160+R160</f>
        <v>8.2841147099172374E-4</v>
      </c>
      <c r="T160" s="90">
        <v>0</v>
      </c>
      <c r="U160" s="90">
        <v>0</v>
      </c>
      <c r="V160" s="430"/>
      <c r="W160" s="243"/>
      <c r="Z160" s="64"/>
    </row>
    <row r="161" spans="1:258" s="420" customFormat="1" ht="17.399999999999999" x14ac:dyDescent="0.3">
      <c r="A161" s="122" t="s">
        <v>93</v>
      </c>
      <c r="B161" s="150" t="s">
        <v>225</v>
      </c>
      <c r="C161" s="104">
        <f>'Input data plant-based products'!D88</f>
        <v>0.15</v>
      </c>
      <c r="D161" s="269" t="s">
        <v>473</v>
      </c>
      <c r="E161" s="320">
        <f>IF($F$1="GWP100 without fb",E162+E163*'Common input data'!$C$5+E164*'Common input data'!$D$5,IF($F$1="GWP100 with fb",E162+E163*'Common input data'!$C$6+E164*'Common input data'!$D$6,IF($F$1="GTP100 without fb",E162+E163*'Common input data'!$C$7+E164*'Common input data'!$D$7,IF($F$1="GTP100 with fb",E162+E163*'Common input data'!$C$8+E164*'Common input data'!$D$8,E162+E163*'Common input data'!$C$9+E164*'Common input data'!$D$9))))</f>
        <v>-4.70745241281832E-2</v>
      </c>
      <c r="F161" s="302">
        <f>IF($F$1="GWP100 without fb",F162+F163*'Common input data'!$C$5+F164*'Common input data'!$D$5,IF($F$1="GWP100 with fb",F162+F163*'Common input data'!$C$6+F164*'Common input data'!$D$6,IF($F$1="GTP100 without fb",F162+F163*'Common input data'!$C$7+F164*'Common input data'!$D$7,IF($F$1="GTP100 with fb",F162+F163*'Common input data'!$C$8+F164*'Common input data'!$D$8,F162+F163*'Common input data'!$C$9+F164*'Common input data'!$D$9))))</f>
        <v>0.16302909123787929</v>
      </c>
      <c r="G161" s="321">
        <f>IF($F$1="GWP100 without fb",G162+G163*'Common input data'!$C$5+G164*'Common input data'!$D$5,IF($F$1="GWP100 with fb",G162+G163*'Common input data'!$C$6+G164*'Common input data'!$D$6,IF($F$1="GTP100 without fb",G162+G163*'Common input data'!$C$7+G164*'Common input data'!$D$7,IF($F$1="GTP100 with fb",G162+G163*'Common input data'!$C$8+G164*'Common input data'!$D$8,G162+G163*'Common input data'!$C$9+G164*'Common input data'!$D$9))))</f>
        <v>0.52873742837794402</v>
      </c>
      <c r="H161" s="102"/>
      <c r="I161" s="102"/>
      <c r="J161" s="102"/>
      <c r="K161" s="102"/>
      <c r="L161" s="102"/>
      <c r="M161" s="102"/>
      <c r="N161" s="102"/>
      <c r="O161" s="102"/>
      <c r="P161" s="102"/>
      <c r="Q161" s="102"/>
      <c r="R161" s="102"/>
      <c r="S161" s="102"/>
      <c r="T161" s="102"/>
      <c r="U161" s="102"/>
      <c r="V161" s="430"/>
      <c r="W161" s="243"/>
      <c r="X161" s="308"/>
      <c r="Y161" s="308"/>
      <c r="Z161" s="64"/>
      <c r="AA161" s="308"/>
      <c r="AB161" s="308"/>
      <c r="AC161" s="308"/>
      <c r="AD161" s="308"/>
      <c r="AE161" s="308"/>
      <c r="AF161" s="308"/>
      <c r="AG161" s="308"/>
      <c r="AH161" s="308"/>
      <c r="AI161" s="308"/>
      <c r="AJ161" s="308"/>
      <c r="AK161" s="308"/>
      <c r="AL161" s="308"/>
      <c r="AM161" s="308"/>
      <c r="AN161" s="308"/>
      <c r="AO161" s="308"/>
      <c r="AP161" s="308"/>
      <c r="AQ161" s="308"/>
      <c r="AR161" s="308"/>
      <c r="AS161" s="308"/>
      <c r="AT161" s="308"/>
      <c r="AU161" s="308"/>
      <c r="AV161" s="308"/>
      <c r="AW161" s="308"/>
      <c r="AX161" s="308"/>
      <c r="AY161" s="308"/>
      <c r="AZ161" s="308"/>
      <c r="BA161" s="308"/>
      <c r="BB161" s="308"/>
      <c r="BC161" s="308"/>
      <c r="BD161" s="308"/>
      <c r="BE161" s="308"/>
      <c r="BF161" s="308"/>
      <c r="BG161" s="308"/>
      <c r="BH161" s="308"/>
      <c r="BI161" s="308"/>
      <c r="BJ161" s="308"/>
      <c r="BK161" s="308"/>
      <c r="BL161" s="308"/>
      <c r="BM161" s="308"/>
      <c r="BN161" s="308"/>
      <c r="BO161" s="308"/>
      <c r="BP161" s="308"/>
      <c r="BQ161" s="308"/>
      <c r="BR161" s="308"/>
      <c r="BS161" s="308"/>
      <c r="BT161" s="308"/>
      <c r="BU161" s="308"/>
      <c r="BV161" s="308"/>
      <c r="BW161" s="308"/>
      <c r="BX161" s="308"/>
      <c r="BY161" s="308"/>
      <c r="BZ161" s="308"/>
      <c r="CA161" s="308"/>
      <c r="CB161" s="308"/>
      <c r="CC161" s="308"/>
      <c r="CD161" s="308"/>
      <c r="CE161" s="308"/>
      <c r="CF161" s="308"/>
      <c r="CG161" s="308"/>
      <c r="CH161" s="308"/>
      <c r="CI161" s="308"/>
      <c r="CJ161" s="308"/>
      <c r="CK161" s="308"/>
      <c r="CL161" s="308"/>
      <c r="CM161" s="308"/>
      <c r="CN161" s="308"/>
      <c r="CO161" s="308"/>
      <c r="CP161" s="308"/>
      <c r="CQ161" s="308"/>
      <c r="CR161" s="308"/>
      <c r="CS161" s="308"/>
      <c r="CT161" s="308"/>
      <c r="CU161" s="308"/>
      <c r="CV161" s="308"/>
      <c r="CW161" s="308"/>
      <c r="CX161" s="308"/>
      <c r="CY161" s="308"/>
      <c r="CZ161" s="308"/>
      <c r="DA161" s="308"/>
      <c r="DB161" s="308"/>
      <c r="DC161" s="308"/>
      <c r="DD161" s="308"/>
      <c r="DE161" s="308"/>
      <c r="DF161" s="308"/>
      <c r="DG161" s="308"/>
      <c r="DH161" s="308"/>
      <c r="DI161" s="308"/>
      <c r="DJ161" s="308"/>
      <c r="DK161" s="308"/>
      <c r="DL161" s="308"/>
      <c r="DM161" s="308"/>
      <c r="DN161" s="308"/>
      <c r="DO161" s="308"/>
      <c r="DP161" s="308"/>
      <c r="DQ161" s="308"/>
      <c r="DR161" s="308"/>
      <c r="DS161" s="308"/>
      <c r="DT161" s="308"/>
      <c r="DU161" s="308"/>
      <c r="DV161" s="308"/>
      <c r="DW161" s="308"/>
      <c r="DX161" s="308"/>
      <c r="DY161" s="308"/>
      <c r="DZ161" s="308"/>
      <c r="EA161" s="308"/>
      <c r="EB161" s="308"/>
      <c r="EC161" s="308"/>
      <c r="ED161" s="308"/>
      <c r="EE161" s="308"/>
      <c r="EF161" s="308"/>
      <c r="EG161" s="308"/>
      <c r="EH161" s="308"/>
      <c r="EI161" s="308"/>
      <c r="EJ161" s="308"/>
      <c r="EK161" s="308"/>
      <c r="EL161" s="308"/>
      <c r="EM161" s="308"/>
      <c r="EN161" s="308"/>
      <c r="EO161" s="308"/>
      <c r="EP161" s="308"/>
      <c r="EQ161" s="308"/>
      <c r="ER161" s="308"/>
      <c r="ES161" s="308"/>
      <c r="ET161" s="308"/>
      <c r="EU161" s="308"/>
      <c r="EV161" s="308"/>
      <c r="EW161" s="308"/>
      <c r="EX161" s="308"/>
      <c r="EY161" s="308"/>
      <c r="EZ161" s="308"/>
      <c r="FA161" s="308"/>
      <c r="FB161" s="308"/>
      <c r="FC161" s="308"/>
      <c r="FD161" s="308"/>
      <c r="FE161" s="308"/>
      <c r="FF161" s="308"/>
      <c r="FG161" s="308"/>
      <c r="FH161" s="308"/>
      <c r="FI161" s="308"/>
      <c r="FJ161" s="308"/>
      <c r="FK161" s="308"/>
      <c r="FL161" s="308"/>
      <c r="FM161" s="308"/>
      <c r="FN161" s="308"/>
      <c r="FO161" s="308"/>
      <c r="FP161" s="308"/>
      <c r="FQ161" s="308"/>
      <c r="FR161" s="308"/>
      <c r="FS161" s="308"/>
      <c r="FT161" s="308"/>
      <c r="FU161" s="308"/>
      <c r="FV161" s="308"/>
      <c r="FW161" s="308"/>
      <c r="FX161" s="308"/>
      <c r="FY161" s="308"/>
      <c r="FZ161" s="308"/>
      <c r="GA161" s="308"/>
      <c r="GB161" s="308"/>
      <c r="GC161" s="308"/>
      <c r="GD161" s="308"/>
      <c r="GE161" s="308"/>
      <c r="GF161" s="308"/>
      <c r="GG161" s="308"/>
      <c r="GH161" s="308"/>
      <c r="GI161" s="308"/>
      <c r="GJ161" s="308"/>
      <c r="GK161" s="308"/>
      <c r="GL161" s="308"/>
      <c r="GM161" s="308"/>
      <c r="GN161" s="308"/>
      <c r="GO161" s="308"/>
      <c r="GP161" s="308"/>
      <c r="GQ161" s="308"/>
      <c r="GR161" s="308"/>
      <c r="GS161" s="308"/>
      <c r="GT161" s="308"/>
      <c r="GU161" s="308"/>
      <c r="GV161" s="308"/>
      <c r="GW161" s="308"/>
      <c r="GX161" s="308"/>
      <c r="GY161" s="308"/>
      <c r="GZ161" s="308"/>
      <c r="HA161" s="308"/>
      <c r="HB161" s="308"/>
      <c r="HC161" s="308"/>
      <c r="HD161" s="308"/>
      <c r="HE161" s="308"/>
      <c r="HF161" s="308"/>
      <c r="HG161" s="308"/>
      <c r="HH161" s="308"/>
      <c r="HI161" s="308"/>
      <c r="HJ161" s="308"/>
      <c r="HK161" s="308"/>
      <c r="HL161" s="308"/>
      <c r="HM161" s="308"/>
      <c r="HN161" s="308"/>
      <c r="HO161" s="308"/>
      <c r="HP161" s="308"/>
      <c r="HQ161" s="308"/>
      <c r="HR161" s="308"/>
      <c r="HS161" s="308"/>
      <c r="HT161" s="308"/>
      <c r="HU161" s="308"/>
      <c r="HV161" s="308"/>
      <c r="HW161" s="308"/>
      <c r="HX161" s="308"/>
      <c r="HY161" s="308"/>
      <c r="HZ161" s="308"/>
      <c r="IA161" s="308"/>
      <c r="IB161" s="308"/>
      <c r="IC161" s="308"/>
      <c r="ID161" s="308"/>
      <c r="IE161" s="308"/>
      <c r="IF161" s="308"/>
      <c r="IG161" s="308"/>
      <c r="IH161" s="308"/>
      <c r="II161" s="308"/>
      <c r="IJ161" s="308"/>
      <c r="IK161" s="308"/>
      <c r="IL161" s="308"/>
      <c r="IM161" s="308"/>
      <c r="IN161" s="308"/>
      <c r="IO161" s="308"/>
      <c r="IP161" s="308"/>
      <c r="IQ161" s="308"/>
      <c r="IR161" s="308"/>
      <c r="IS161" s="308"/>
      <c r="IT161" s="308"/>
      <c r="IU161" s="308"/>
      <c r="IV161" s="308"/>
      <c r="IW161" s="308"/>
      <c r="IX161" s="308"/>
    </row>
    <row r="162" spans="1:258" s="308" customFormat="1" ht="17.399999999999999" x14ac:dyDescent="0.3">
      <c r="A162" s="103"/>
      <c r="B162" s="84"/>
      <c r="C162" s="64"/>
      <c r="D162" s="83" t="s">
        <v>164</v>
      </c>
      <c r="E162" s="270">
        <f>IF(AND($F$2="No",$F$3="No"),SUM(J162:K162),IF(AND($F$2="Yes", $F$3="No"), SUM(J162:K162)+Q162, IF(AND($F$2="No", $F$3="Yes"),SUM(J162:K162)+P162, SUM(J162:K162)+Q162+P162)))</f>
        <v>-9.1139048141381296E-2</v>
      </c>
      <c r="F162" s="90">
        <f>IF(AND($F$2="No",$F$3="No"),SUM(H162:O162),IF(AND($F$2="Yes", $F$3="No"), SUM(H162:O162)+Q162, IF(AND($F$2="No", $F$3="Yes"),SUM(H162:O162)+P162, SUM(H162:O162)+Q162+P162)))</f>
        <v>8.0252739781658061E-2</v>
      </c>
      <c r="G162" s="278">
        <f>SUM(S162:U162)/(1-'Common input data'!$B$121)</f>
        <v>0.4299471772068959</v>
      </c>
      <c r="H162" s="90">
        <f>('Input data plant-based products'!$F$88*('Common input data'!$C$76*'Common input data'!B69+'Common input data'!$C$77*'Common input data'!C69))/'Input data plant-based products'!$E$88</f>
        <v>2.2810504775049617E-2</v>
      </c>
      <c r="I162" s="90">
        <f>'Common input data'!$B$81</f>
        <v>0.03</v>
      </c>
      <c r="J162" s="90">
        <v>0</v>
      </c>
      <c r="K162" s="90">
        <v>0</v>
      </c>
      <c r="L162" s="90">
        <f>('Input data plant-based products'!$I$88*'Common input data'!$C$59*'Common input data'!H49)/'Input data plant-based products'!$E$88</f>
        <v>6.8581283147989738E-2</v>
      </c>
      <c r="M162" s="90">
        <v>0</v>
      </c>
      <c r="N162" s="90">
        <f>'Input data plant-based products'!F$152</f>
        <v>0.05</v>
      </c>
      <c r="O162" s="90">
        <v>0</v>
      </c>
      <c r="P162" s="90">
        <f>'Common input data'!$F$13</f>
        <v>-9.1139048141381296E-2</v>
      </c>
      <c r="Q162" s="90">
        <v>0</v>
      </c>
      <c r="R162" s="90">
        <v>0</v>
      </c>
      <c r="S162" s="90">
        <f>F162+R162</f>
        <v>8.0252739781658061E-2</v>
      </c>
      <c r="T162" s="90">
        <f>'Common input data'!B$86</f>
        <v>0.15</v>
      </c>
      <c r="U162" s="90">
        <f>'Common input data'!B99+'Common input data'!C99</f>
        <v>0.13</v>
      </c>
      <c r="V162" s="430"/>
      <c r="W162" s="243"/>
      <c r="Z162" s="64"/>
    </row>
    <row r="163" spans="1:258" s="308" customFormat="1" ht="17.399999999999999" x14ac:dyDescent="0.3">
      <c r="A163" s="103"/>
      <c r="B163" s="84"/>
      <c r="C163" s="142"/>
      <c r="D163" s="83" t="s">
        <v>165</v>
      </c>
      <c r="E163" s="270">
        <f>SUM(J163:K163)</f>
        <v>0</v>
      </c>
      <c r="F163" s="90">
        <f>SUM(H163:O163)</f>
        <v>3.0379296468776735E-5</v>
      </c>
      <c r="G163" s="278">
        <f>SUM(S163:U163)/(1-'Common input data'!$B$121)</f>
        <v>3.6256470305259262E-5</v>
      </c>
      <c r="H163" s="90">
        <f>('Input data plant-based products'!$F$88*('Common input data'!$C$76*'Common input data'!B70+'Common input data'!$C$77*'Common input data'!C70))/'Input data plant-based products'!$E$88</f>
        <v>1.0057485029940119E-10</v>
      </c>
      <c r="I163" s="90">
        <v>0</v>
      </c>
      <c r="J163" s="90">
        <v>0</v>
      </c>
      <c r="K163" s="90">
        <v>0</v>
      </c>
      <c r="L163" s="90">
        <f>('Input data plant-based products'!$I$88*'Common input data'!$C$59*'Common input data'!H50)/'Input data plant-based products'!$E$88</f>
        <v>3.0379195893926435E-5</v>
      </c>
      <c r="M163" s="90">
        <v>0</v>
      </c>
      <c r="N163" s="90">
        <v>0</v>
      </c>
      <c r="O163" s="90">
        <v>0</v>
      </c>
      <c r="P163" s="90">
        <v>0</v>
      </c>
      <c r="Q163" s="90">
        <v>0</v>
      </c>
      <c r="R163" s="90">
        <v>0</v>
      </c>
      <c r="S163" s="90">
        <f>F163+R163</f>
        <v>3.0379296468776735E-5</v>
      </c>
      <c r="T163" s="90">
        <v>0</v>
      </c>
      <c r="U163" s="90">
        <v>0</v>
      </c>
      <c r="V163" s="430"/>
      <c r="W163" s="243"/>
      <c r="Z163" s="64"/>
    </row>
    <row r="164" spans="1:258" s="308" customFormat="1" ht="17.399999999999999" x14ac:dyDescent="0.3">
      <c r="A164" s="107"/>
      <c r="B164" s="206"/>
      <c r="C164" s="85"/>
      <c r="D164" s="84" t="s">
        <v>166</v>
      </c>
      <c r="E164" s="270">
        <f>SUM(J164:K164)</f>
        <v>1.4786753024563119E-4</v>
      </c>
      <c r="F164" s="90">
        <f>SUM(H164:O164)</f>
        <v>2.7430689723584843E-4</v>
      </c>
      <c r="G164" s="278">
        <f>SUM(S164:U164)/(1-'Common input data'!$B$121)</f>
        <v>3.2737426570694409E-4</v>
      </c>
      <c r="H164" s="90">
        <f>('Input data plant-based products'!$F$88*('Common input data'!$C$76*'Common input data'!B71+'Common input data'!$C$77*'Common input data'!C71))/'Input data plant-based products'!$E$88</f>
        <v>1.2459656117327976E-4</v>
      </c>
      <c r="I164" s="90">
        <v>0</v>
      </c>
      <c r="J164" s="90">
        <f>(SUM('Input data plant-based products'!F88:H88)*'Input data plant-based products'!$B$114*44/28)/'Input data plant-based products'!E88</f>
        <v>1.3442502749602835E-4</v>
      </c>
      <c r="K164" s="90">
        <f>J164*'Input data plant-based products'!$B$115</f>
        <v>1.3442502749602836E-5</v>
      </c>
      <c r="L164" s="90">
        <f>('Input data plant-based products'!$I$88*'Common input data'!$C$59*'Common input data'!H51)/'Input data plant-based products'!$E$88</f>
        <v>1.8428058169375535E-6</v>
      </c>
      <c r="M164" s="90">
        <v>0</v>
      </c>
      <c r="N164" s="90">
        <v>0</v>
      </c>
      <c r="O164" s="90">
        <v>0</v>
      </c>
      <c r="P164" s="90">
        <v>0</v>
      </c>
      <c r="Q164" s="90">
        <v>0</v>
      </c>
      <c r="R164" s="90">
        <v>0</v>
      </c>
      <c r="S164" s="90">
        <f>F164+R164</f>
        <v>2.7430689723584843E-4</v>
      </c>
      <c r="T164" s="90">
        <v>0</v>
      </c>
      <c r="U164" s="90">
        <v>0</v>
      </c>
      <c r="V164" s="430"/>
      <c r="W164" s="243"/>
      <c r="Z164" s="64"/>
    </row>
    <row r="165" spans="1:258" s="420" customFormat="1" ht="17.399999999999999" x14ac:dyDescent="0.3">
      <c r="A165" s="122" t="s">
        <v>79</v>
      </c>
      <c r="B165" s="150" t="s">
        <v>225</v>
      </c>
      <c r="C165" s="104">
        <f>'Input data plant-based products'!D89</f>
        <v>0.25</v>
      </c>
      <c r="D165" s="269" t="s">
        <v>473</v>
      </c>
      <c r="E165" s="320">
        <f>IF($F$1="GWP100 without fb",E166+E167*'Common input data'!$C$5+E168*'Common input data'!$D$5,IF($F$1="GWP100 with fb",E166+E167*'Common input data'!$C$6+E168*'Common input data'!$D$6,IF($F$1="GTP100 without fb",E166+E167*'Common input data'!$C$7+E168*'Common input data'!$D$7,IF($F$1="GTP100 with fb",E166+E167*'Common input data'!$C$8+E168*'Common input data'!$D$8,E166+E167*'Common input data'!$C$9+E168*'Common input data'!$D$9))))</f>
        <v>-2.8867011667217161E-2</v>
      </c>
      <c r="F165" s="302">
        <f>IF($F$1="GWP100 without fb",F166+F167*'Common input data'!$C$5+F168*'Common input data'!$D$5,IF($F$1="GWP100 with fb",F166+F167*'Common input data'!$C$6+F168*'Common input data'!$D$6,IF($F$1="GTP100 without fb",F166+F167*'Common input data'!$C$7+F168*'Common input data'!$D$7,IF($F$1="GTP100 with fb",F166+F167*'Common input data'!$C$8+F168*'Common input data'!$D$8,F166+F167*'Common input data'!$C$9+F168*'Common input data'!$D$9))))</f>
        <v>0.2349955685587585</v>
      </c>
      <c r="G165" s="321">
        <f>IF($F$1="GWP100 without fb",G166+G167*'Common input data'!$C$5+G168*'Common input data'!$D$5,IF($F$1="GWP100 with fb",G166+G167*'Common input data'!$C$6+G168*'Common input data'!$D$6,IF($F$1="GTP100 without fb",G166+G167*'Common input data'!$C$7+G168*'Common input data'!$D$7,IF($F$1="GTP100 with fb",G166+G167*'Common input data'!$C$8+G168*'Common input data'!$D$8,G166+G167*'Common input data'!$C$9+G168*'Common input data'!$D$9))))</f>
        <v>0.61462652889218106</v>
      </c>
      <c r="H165" s="102"/>
      <c r="I165" s="102"/>
      <c r="J165" s="102"/>
      <c r="K165" s="102"/>
      <c r="L165" s="102"/>
      <c r="M165" s="102"/>
      <c r="N165" s="102"/>
      <c r="O165" s="102"/>
      <c r="P165" s="102"/>
      <c r="Q165" s="102"/>
      <c r="R165" s="102"/>
      <c r="S165" s="102"/>
      <c r="T165" s="102"/>
      <c r="U165" s="102"/>
      <c r="V165" s="430"/>
      <c r="W165" s="243"/>
      <c r="X165" s="308"/>
      <c r="Y165" s="308"/>
      <c r="Z165" s="64"/>
      <c r="AA165" s="308"/>
      <c r="AB165" s="308"/>
      <c r="AC165" s="308"/>
      <c r="AD165" s="308"/>
      <c r="AE165" s="308"/>
      <c r="AF165" s="308"/>
      <c r="AG165" s="308"/>
      <c r="AH165" s="308"/>
      <c r="AI165" s="308"/>
      <c r="AJ165" s="308"/>
      <c r="AK165" s="308"/>
      <c r="AL165" s="308"/>
      <c r="AM165" s="308"/>
      <c r="AN165" s="308"/>
      <c r="AO165" s="308"/>
      <c r="AP165" s="308"/>
      <c r="AQ165" s="308"/>
      <c r="AR165" s="308"/>
      <c r="AS165" s="308"/>
      <c r="AT165" s="308"/>
      <c r="AU165" s="308"/>
      <c r="AV165" s="308"/>
      <c r="AW165" s="308"/>
      <c r="AX165" s="308"/>
      <c r="AY165" s="308"/>
      <c r="AZ165" s="308"/>
      <c r="BA165" s="308"/>
      <c r="BB165" s="308"/>
      <c r="BC165" s="308"/>
      <c r="BD165" s="308"/>
      <c r="BE165" s="308"/>
      <c r="BF165" s="308"/>
      <c r="BG165" s="308"/>
      <c r="BH165" s="308"/>
      <c r="BI165" s="308"/>
      <c r="BJ165" s="308"/>
      <c r="BK165" s="308"/>
      <c r="BL165" s="308"/>
      <c r="BM165" s="308"/>
      <c r="BN165" s="308"/>
      <c r="BO165" s="308"/>
      <c r="BP165" s="308"/>
      <c r="BQ165" s="308"/>
      <c r="BR165" s="308"/>
      <c r="BS165" s="308"/>
      <c r="BT165" s="308"/>
      <c r="BU165" s="308"/>
      <c r="BV165" s="308"/>
      <c r="BW165" s="308"/>
      <c r="BX165" s="308"/>
      <c r="BY165" s="308"/>
      <c r="BZ165" s="308"/>
      <c r="CA165" s="308"/>
      <c r="CB165" s="308"/>
      <c r="CC165" s="308"/>
      <c r="CD165" s="308"/>
      <c r="CE165" s="308"/>
      <c r="CF165" s="308"/>
      <c r="CG165" s="308"/>
      <c r="CH165" s="308"/>
      <c r="CI165" s="308"/>
      <c r="CJ165" s="308"/>
      <c r="CK165" s="308"/>
      <c r="CL165" s="308"/>
      <c r="CM165" s="308"/>
      <c r="CN165" s="308"/>
      <c r="CO165" s="308"/>
      <c r="CP165" s="308"/>
      <c r="CQ165" s="308"/>
      <c r="CR165" s="308"/>
      <c r="CS165" s="308"/>
      <c r="CT165" s="308"/>
      <c r="CU165" s="308"/>
      <c r="CV165" s="308"/>
      <c r="CW165" s="308"/>
      <c r="CX165" s="308"/>
      <c r="CY165" s="308"/>
      <c r="CZ165" s="308"/>
      <c r="DA165" s="308"/>
      <c r="DB165" s="308"/>
      <c r="DC165" s="308"/>
      <c r="DD165" s="308"/>
      <c r="DE165" s="308"/>
      <c r="DF165" s="308"/>
      <c r="DG165" s="308"/>
      <c r="DH165" s="308"/>
      <c r="DI165" s="308"/>
      <c r="DJ165" s="308"/>
      <c r="DK165" s="308"/>
      <c r="DL165" s="308"/>
      <c r="DM165" s="308"/>
      <c r="DN165" s="308"/>
      <c r="DO165" s="308"/>
      <c r="DP165" s="308"/>
      <c r="DQ165" s="308"/>
      <c r="DR165" s="308"/>
      <c r="DS165" s="308"/>
      <c r="DT165" s="308"/>
      <c r="DU165" s="308"/>
      <c r="DV165" s="308"/>
      <c r="DW165" s="308"/>
      <c r="DX165" s="308"/>
      <c r="DY165" s="308"/>
      <c r="DZ165" s="308"/>
      <c r="EA165" s="308"/>
      <c r="EB165" s="308"/>
      <c r="EC165" s="308"/>
      <c r="ED165" s="308"/>
      <c r="EE165" s="308"/>
      <c r="EF165" s="308"/>
      <c r="EG165" s="308"/>
      <c r="EH165" s="308"/>
      <c r="EI165" s="308"/>
      <c r="EJ165" s="308"/>
      <c r="EK165" s="308"/>
      <c r="EL165" s="308"/>
      <c r="EM165" s="308"/>
      <c r="EN165" s="308"/>
      <c r="EO165" s="308"/>
      <c r="EP165" s="308"/>
      <c r="EQ165" s="308"/>
      <c r="ER165" s="308"/>
      <c r="ES165" s="308"/>
      <c r="ET165" s="308"/>
      <c r="EU165" s="308"/>
      <c r="EV165" s="308"/>
      <c r="EW165" s="308"/>
      <c r="EX165" s="308"/>
      <c r="EY165" s="308"/>
      <c r="EZ165" s="308"/>
      <c r="FA165" s="308"/>
      <c r="FB165" s="308"/>
      <c r="FC165" s="308"/>
      <c r="FD165" s="308"/>
      <c r="FE165" s="308"/>
      <c r="FF165" s="308"/>
      <c r="FG165" s="308"/>
      <c r="FH165" s="308"/>
      <c r="FI165" s="308"/>
      <c r="FJ165" s="308"/>
      <c r="FK165" s="308"/>
      <c r="FL165" s="308"/>
      <c r="FM165" s="308"/>
      <c r="FN165" s="308"/>
      <c r="FO165" s="308"/>
      <c r="FP165" s="308"/>
      <c r="FQ165" s="308"/>
      <c r="FR165" s="308"/>
      <c r="FS165" s="308"/>
      <c r="FT165" s="308"/>
      <c r="FU165" s="308"/>
      <c r="FV165" s="308"/>
      <c r="FW165" s="308"/>
      <c r="FX165" s="308"/>
      <c r="FY165" s="308"/>
      <c r="FZ165" s="308"/>
      <c r="GA165" s="308"/>
      <c r="GB165" s="308"/>
      <c r="GC165" s="308"/>
      <c r="GD165" s="308"/>
      <c r="GE165" s="308"/>
      <c r="GF165" s="308"/>
      <c r="GG165" s="308"/>
      <c r="GH165" s="308"/>
      <c r="GI165" s="308"/>
      <c r="GJ165" s="308"/>
      <c r="GK165" s="308"/>
      <c r="GL165" s="308"/>
      <c r="GM165" s="308"/>
      <c r="GN165" s="308"/>
      <c r="GO165" s="308"/>
      <c r="GP165" s="308"/>
      <c r="GQ165" s="308"/>
      <c r="GR165" s="308"/>
      <c r="GS165" s="308"/>
      <c r="GT165" s="308"/>
      <c r="GU165" s="308"/>
      <c r="GV165" s="308"/>
      <c r="GW165" s="308"/>
      <c r="GX165" s="308"/>
      <c r="GY165" s="308"/>
      <c r="GZ165" s="308"/>
      <c r="HA165" s="308"/>
      <c r="HB165" s="308"/>
      <c r="HC165" s="308"/>
      <c r="HD165" s="308"/>
      <c r="HE165" s="308"/>
      <c r="HF165" s="308"/>
      <c r="HG165" s="308"/>
      <c r="HH165" s="308"/>
      <c r="HI165" s="308"/>
      <c r="HJ165" s="308"/>
      <c r="HK165" s="308"/>
      <c r="HL165" s="308"/>
      <c r="HM165" s="308"/>
      <c r="HN165" s="308"/>
      <c r="HO165" s="308"/>
      <c r="HP165" s="308"/>
      <c r="HQ165" s="308"/>
      <c r="HR165" s="308"/>
      <c r="HS165" s="308"/>
      <c r="HT165" s="308"/>
      <c r="HU165" s="308"/>
      <c r="HV165" s="308"/>
      <c r="HW165" s="308"/>
      <c r="HX165" s="308"/>
      <c r="HY165" s="308"/>
      <c r="HZ165" s="308"/>
      <c r="IA165" s="308"/>
      <c r="IB165" s="308"/>
      <c r="IC165" s="308"/>
      <c r="ID165" s="308"/>
      <c r="IE165" s="308"/>
      <c r="IF165" s="308"/>
      <c r="IG165" s="308"/>
      <c r="IH165" s="308"/>
      <c r="II165" s="308"/>
      <c r="IJ165" s="308"/>
      <c r="IK165" s="308"/>
      <c r="IL165" s="308"/>
      <c r="IM165" s="308"/>
      <c r="IN165" s="308"/>
      <c r="IO165" s="308"/>
      <c r="IP165" s="308"/>
      <c r="IQ165" s="308"/>
      <c r="IR165" s="308"/>
      <c r="IS165" s="308"/>
      <c r="IT165" s="308"/>
      <c r="IU165" s="308"/>
      <c r="IV165" s="308"/>
      <c r="IW165" s="308"/>
      <c r="IX165" s="308"/>
    </row>
    <row r="166" spans="1:258" s="308" customFormat="1" ht="17.399999999999999" x14ac:dyDescent="0.3">
      <c r="A166" s="107"/>
      <c r="B166" s="84"/>
      <c r="C166" s="64"/>
      <c r="D166" s="83" t="s">
        <v>164</v>
      </c>
      <c r="E166" s="270">
        <f>IF(AND($F$2="No",$F$3="No"),SUM(J166:K166),IF(AND($F$2="Yes", $F$3="No"), SUM(J166:K166)+Q166, IF(AND($F$2="No", $F$3="Yes"),SUM(J166:K166)+P166, SUM(J166:K166)+Q166+P166)))</f>
        <v>-9.1139048141381296E-2</v>
      </c>
      <c r="F166" s="90">
        <f>IF(AND($F$2="No",$F$3="No"),SUM(H166:O166),IF(AND($F$2="Yes", $F$3="No"), SUM(H166:O166)+Q166, IF(AND($F$2="No", $F$3="Yes"),SUM(H166:O166)+P166, SUM(H166:O166)+Q166+P166)))</f>
        <v>0.11801593261542842</v>
      </c>
      <c r="G166" s="278">
        <f>SUM(S166:U166)/(1-'Common input data'!$B$121)</f>
        <v>0.47501603128706105</v>
      </c>
      <c r="H166" s="85">
        <f>('Input data plant-based products'!$F$89*('Common input data'!$C$76*'Common input data'!B69+'Common input data'!$C$77*'Common input data'!C69))/'Input data plant-based products'!$E$89</f>
        <v>3.2235831820639507E-2</v>
      </c>
      <c r="I166" s="90">
        <f>'Common input data'!$B$81</f>
        <v>0.03</v>
      </c>
      <c r="J166" s="85">
        <v>0</v>
      </c>
      <c r="K166" s="90">
        <v>0</v>
      </c>
      <c r="L166" s="85">
        <f>('Input data plant-based products'!$I$89*'Common input data'!$C$59*'Common input data'!H49)/'Input data plant-based products'!$E$89</f>
        <v>9.6919148936170207E-2</v>
      </c>
      <c r="M166" s="90">
        <v>0</v>
      </c>
      <c r="N166" s="90">
        <f>'Input data plant-based products'!F$152</f>
        <v>0.05</v>
      </c>
      <c r="O166" s="90">
        <v>0</v>
      </c>
      <c r="P166" s="90">
        <f>'Common input data'!$F$13</f>
        <v>-9.1139048141381296E-2</v>
      </c>
      <c r="Q166" s="90">
        <v>0</v>
      </c>
      <c r="R166" s="90">
        <v>0</v>
      </c>
      <c r="S166" s="90">
        <f>F166+R166</f>
        <v>0.11801593261542842</v>
      </c>
      <c r="T166" s="90">
        <f>'Common input data'!B$86</f>
        <v>0.15</v>
      </c>
      <c r="U166" s="90">
        <f>'Common input data'!B99+'Common input data'!C99</f>
        <v>0.13</v>
      </c>
      <c r="V166" s="430"/>
      <c r="W166" s="243"/>
      <c r="Z166" s="64"/>
    </row>
    <row r="167" spans="1:258" s="308" customFormat="1" ht="17.399999999999999" x14ac:dyDescent="0.3">
      <c r="A167" s="107"/>
      <c r="B167" s="84"/>
      <c r="C167" s="142"/>
      <c r="D167" s="83" t="s">
        <v>165</v>
      </c>
      <c r="E167" s="270">
        <f>SUM(J167:K167)</f>
        <v>0</v>
      </c>
      <c r="F167" s="90">
        <f>SUM(H167:O167)</f>
        <v>4.2932057026112187E-5</v>
      </c>
      <c r="G167" s="278">
        <f>SUM(S167:U167)/(1-'Common input data'!$B$121)</f>
        <v>5.1237685912533942E-5</v>
      </c>
      <c r="H167" s="85">
        <f>('Input data plant-based products'!$F$89*('Common input data'!$C$76*'Common input data'!B70+'Common input data'!$C$77*'Common input data'!C70))/'Input data plant-based products'!$E$89</f>
        <v>1.4213249516441006E-10</v>
      </c>
      <c r="I167" s="90">
        <v>0</v>
      </c>
      <c r="J167" s="85">
        <v>0</v>
      </c>
      <c r="K167" s="90">
        <v>0</v>
      </c>
      <c r="L167" s="85">
        <f>('Input data plant-based products'!$I$89*'Common input data'!$C$59*'Common input data'!H50)/'Input data plant-based products'!$E$89</f>
        <v>4.2931914893617021E-5</v>
      </c>
      <c r="M167" s="90">
        <v>0</v>
      </c>
      <c r="N167" s="90">
        <v>0</v>
      </c>
      <c r="O167" s="90">
        <v>0</v>
      </c>
      <c r="P167" s="90">
        <v>0</v>
      </c>
      <c r="Q167" s="90">
        <v>0</v>
      </c>
      <c r="R167" s="90">
        <v>0</v>
      </c>
      <c r="S167" s="90">
        <f>F167+R167</f>
        <v>4.2932057026112187E-5</v>
      </c>
      <c r="T167" s="90">
        <v>0</v>
      </c>
      <c r="U167" s="90">
        <v>0</v>
      </c>
      <c r="V167" s="430"/>
      <c r="W167" s="243"/>
      <c r="Z167" s="64"/>
    </row>
    <row r="168" spans="1:258" s="308" customFormat="1" ht="17.399999999999999" x14ac:dyDescent="0.3">
      <c r="A168" s="107"/>
      <c r="B168" s="206"/>
      <c r="C168" s="85"/>
      <c r="D168" s="84" t="s">
        <v>166</v>
      </c>
      <c r="E168" s="270">
        <f>SUM(J168:K168)</f>
        <v>2.0896656534954408E-4</v>
      </c>
      <c r="F168" s="90">
        <f>SUM(H168:O168)</f>
        <v>3.8765082551826265E-4</v>
      </c>
      <c r="G168" s="278">
        <f>SUM(S168:U168)/(1-'Common input data'!$B$121)</f>
        <v>4.6264569222850301E-4</v>
      </c>
      <c r="H168" s="85">
        <f>('Input data plant-based products'!$F$89*('Common input data'!$C$76*'Common input data'!B71+'Common input data'!$C$77*'Common input data'!C71))/'Input data plant-based products'!$E$89</f>
        <v>1.7608000484956967E-4</v>
      </c>
      <c r="I168" s="85">
        <v>0</v>
      </c>
      <c r="J168" s="85">
        <f>(SUM('Input data plant-based products'!F89:H89)*'Input data plant-based products'!$B$114*44/28)/'Input data plant-based products'!E89</f>
        <v>1.8996960486322188E-4</v>
      </c>
      <c r="K168" s="90">
        <f>J168*'Input data plant-based products'!$B$115</f>
        <v>1.899696048632219E-5</v>
      </c>
      <c r="L168" s="85">
        <f>('Input data plant-based products'!$I$89*'Common input data'!$C$59*'Common input data'!H51)/'Input data plant-based products'!$E$89</f>
        <v>2.6042553191489359E-6</v>
      </c>
      <c r="M168" s="90">
        <v>0</v>
      </c>
      <c r="N168" s="90">
        <v>0</v>
      </c>
      <c r="O168" s="90">
        <v>0</v>
      </c>
      <c r="P168" s="90">
        <v>0</v>
      </c>
      <c r="Q168" s="90">
        <v>0</v>
      </c>
      <c r="R168" s="90">
        <v>0</v>
      </c>
      <c r="S168" s="90">
        <f>F168+R168</f>
        <v>3.8765082551826265E-4</v>
      </c>
      <c r="T168" s="90">
        <v>0</v>
      </c>
      <c r="U168" s="90">
        <v>0</v>
      </c>
      <c r="V168" s="430"/>
      <c r="W168" s="243"/>
      <c r="Z168" s="64"/>
    </row>
    <row r="169" spans="1:258" s="420" customFormat="1" ht="17.399999999999999" x14ac:dyDescent="0.3">
      <c r="A169" s="122" t="s">
        <v>70</v>
      </c>
      <c r="B169" s="150" t="s">
        <v>225</v>
      </c>
      <c r="C169" s="104">
        <f>'Input data plant-based products'!D90</f>
        <v>0.16</v>
      </c>
      <c r="D169" s="269" t="s">
        <v>473</v>
      </c>
      <c r="E169" s="320">
        <f>IF($F$1="GWP100 without fb",E170+E171*'Common input data'!$C$5+E172*'Common input data'!$D$5,IF($F$1="GWP100 with fb",E170+E171*'Common input data'!$C$6+E172*'Common input data'!$D$6,IF($F$1="GTP100 without fb",E170+E171*'Common input data'!$C$7+E172*'Common input data'!$D$7,IF($F$1="GTP100 with fb",E170+E171*'Common input data'!$C$8+E172*'Common input data'!$D$8,E170+E171*'Common input data'!$C$9+E172*'Common input data'!$D$9))))</f>
        <v>2.2972452949121397E-3</v>
      </c>
      <c r="F169" s="302">
        <f>IF($F$1="GWP100 without fb",F170+F171*'Common input data'!$C$5+F172*'Common input data'!$D$5,IF($F$1="GWP100 with fb",F170+F171*'Common input data'!$C$6+F172*'Common input data'!$D$6,IF($F$1="GTP100 without fb",F170+F171*'Common input data'!$C$7+F172*'Common input data'!$D$7,IF($F$1="GTP100 with fb",F170+F171*'Common input data'!$C$8+F172*'Common input data'!$D$8,F170+F171*'Common input data'!$C$9+F172*'Common input data'!$D$9))))</f>
        <v>0.35817449246147681</v>
      </c>
      <c r="G169" s="321">
        <f>IF($F$1="GWP100 without fb",G170+G171*'Common input data'!$C$5+G172*'Common input data'!$D$5,IF($F$1="GWP100 with fb",G170+G171*'Common input data'!$C$6+G172*'Common input data'!$D$6,IF($F$1="GTP100 without fb",G170+G171*'Common input data'!$C$7+G172*'Common input data'!$D$7,IF($F$1="GTP100 with fb",G170+G171*'Common input data'!$C$8+G172*'Common input data'!$D$8,G170+G171*'Common input data'!$C$9+G172*'Common input data'!$D$9))))</f>
        <v>0.88098161172153833</v>
      </c>
      <c r="H169" s="102"/>
      <c r="I169" s="102"/>
      <c r="J169" s="102"/>
      <c r="K169" s="102"/>
      <c r="L169" s="102"/>
      <c r="M169" s="102"/>
      <c r="N169" s="102"/>
      <c r="O169" s="102"/>
      <c r="P169" s="102"/>
      <c r="Q169" s="102"/>
      <c r="R169" s="102"/>
      <c r="S169" s="102"/>
      <c r="T169" s="102"/>
      <c r="U169" s="102"/>
      <c r="V169" s="430"/>
      <c r="W169" s="243"/>
      <c r="X169" s="308"/>
      <c r="Y169" s="308"/>
      <c r="Z169" s="64"/>
      <c r="AA169" s="308"/>
      <c r="AB169" s="308"/>
      <c r="AC169" s="308"/>
      <c r="AD169" s="308"/>
      <c r="AE169" s="308"/>
      <c r="AF169" s="308"/>
      <c r="AG169" s="308"/>
      <c r="AH169" s="308"/>
      <c r="AI169" s="308"/>
      <c r="AJ169" s="308"/>
      <c r="AK169" s="308"/>
      <c r="AL169" s="308"/>
      <c r="AM169" s="308"/>
      <c r="AN169" s="308"/>
      <c r="AO169" s="308"/>
      <c r="AP169" s="308"/>
      <c r="AQ169" s="308"/>
      <c r="AR169" s="308"/>
      <c r="AS169" s="308"/>
      <c r="AT169" s="308"/>
      <c r="AU169" s="308"/>
      <c r="AV169" s="308"/>
      <c r="AW169" s="308"/>
      <c r="AX169" s="308"/>
      <c r="AY169" s="308"/>
      <c r="AZ169" s="308"/>
      <c r="BA169" s="308"/>
      <c r="BB169" s="308"/>
      <c r="BC169" s="308"/>
      <c r="BD169" s="308"/>
      <c r="BE169" s="308"/>
      <c r="BF169" s="308"/>
      <c r="BG169" s="308"/>
      <c r="BH169" s="308"/>
      <c r="BI169" s="308"/>
      <c r="BJ169" s="308"/>
      <c r="BK169" s="308"/>
      <c r="BL169" s="308"/>
      <c r="BM169" s="308"/>
      <c r="BN169" s="308"/>
      <c r="BO169" s="308"/>
      <c r="BP169" s="308"/>
      <c r="BQ169" s="308"/>
      <c r="BR169" s="308"/>
      <c r="BS169" s="308"/>
      <c r="BT169" s="308"/>
      <c r="BU169" s="308"/>
      <c r="BV169" s="308"/>
      <c r="BW169" s="308"/>
      <c r="BX169" s="308"/>
      <c r="BY169" s="308"/>
      <c r="BZ169" s="308"/>
      <c r="CA169" s="308"/>
      <c r="CB169" s="308"/>
      <c r="CC169" s="308"/>
      <c r="CD169" s="308"/>
      <c r="CE169" s="308"/>
      <c r="CF169" s="308"/>
      <c r="CG169" s="308"/>
      <c r="CH169" s="308"/>
      <c r="CI169" s="308"/>
      <c r="CJ169" s="308"/>
      <c r="CK169" s="308"/>
      <c r="CL169" s="308"/>
      <c r="CM169" s="308"/>
      <c r="CN169" s="308"/>
      <c r="CO169" s="308"/>
      <c r="CP169" s="308"/>
      <c r="CQ169" s="308"/>
      <c r="CR169" s="308"/>
      <c r="CS169" s="308"/>
      <c r="CT169" s="308"/>
      <c r="CU169" s="308"/>
      <c r="CV169" s="308"/>
      <c r="CW169" s="308"/>
      <c r="CX169" s="308"/>
      <c r="CY169" s="308"/>
      <c r="CZ169" s="308"/>
      <c r="DA169" s="308"/>
      <c r="DB169" s="308"/>
      <c r="DC169" s="308"/>
      <c r="DD169" s="308"/>
      <c r="DE169" s="308"/>
      <c r="DF169" s="308"/>
      <c r="DG169" s="308"/>
      <c r="DH169" s="308"/>
      <c r="DI169" s="308"/>
      <c r="DJ169" s="308"/>
      <c r="DK169" s="308"/>
      <c r="DL169" s="308"/>
      <c r="DM169" s="308"/>
      <c r="DN169" s="308"/>
      <c r="DO169" s="308"/>
      <c r="DP169" s="308"/>
      <c r="DQ169" s="308"/>
      <c r="DR169" s="308"/>
      <c r="DS169" s="308"/>
      <c r="DT169" s="308"/>
      <c r="DU169" s="308"/>
      <c r="DV169" s="308"/>
      <c r="DW169" s="308"/>
      <c r="DX169" s="308"/>
      <c r="DY169" s="308"/>
      <c r="DZ169" s="308"/>
      <c r="EA169" s="308"/>
      <c r="EB169" s="308"/>
      <c r="EC169" s="308"/>
      <c r="ED169" s="308"/>
      <c r="EE169" s="308"/>
      <c r="EF169" s="308"/>
      <c r="EG169" s="308"/>
      <c r="EH169" s="308"/>
      <c r="EI169" s="308"/>
      <c r="EJ169" s="308"/>
      <c r="EK169" s="308"/>
      <c r="EL169" s="308"/>
      <c r="EM169" s="308"/>
      <c r="EN169" s="308"/>
      <c r="EO169" s="308"/>
      <c r="EP169" s="308"/>
      <c r="EQ169" s="308"/>
      <c r="ER169" s="308"/>
      <c r="ES169" s="308"/>
      <c r="ET169" s="308"/>
      <c r="EU169" s="308"/>
      <c r="EV169" s="308"/>
      <c r="EW169" s="308"/>
      <c r="EX169" s="308"/>
      <c r="EY169" s="308"/>
      <c r="EZ169" s="308"/>
      <c r="FA169" s="308"/>
      <c r="FB169" s="308"/>
      <c r="FC169" s="308"/>
      <c r="FD169" s="308"/>
      <c r="FE169" s="308"/>
      <c r="FF169" s="308"/>
      <c r="FG169" s="308"/>
      <c r="FH169" s="308"/>
      <c r="FI169" s="308"/>
      <c r="FJ169" s="308"/>
      <c r="FK169" s="308"/>
      <c r="FL169" s="308"/>
      <c r="FM169" s="308"/>
      <c r="FN169" s="308"/>
      <c r="FO169" s="308"/>
      <c r="FP169" s="308"/>
      <c r="FQ169" s="308"/>
      <c r="FR169" s="308"/>
      <c r="FS169" s="308"/>
      <c r="FT169" s="308"/>
      <c r="FU169" s="308"/>
      <c r="FV169" s="308"/>
      <c r="FW169" s="308"/>
      <c r="FX169" s="308"/>
      <c r="FY169" s="308"/>
      <c r="FZ169" s="308"/>
      <c r="GA169" s="308"/>
      <c r="GB169" s="308"/>
      <c r="GC169" s="308"/>
      <c r="GD169" s="308"/>
      <c r="GE169" s="308"/>
      <c r="GF169" s="308"/>
      <c r="GG169" s="308"/>
      <c r="GH169" s="308"/>
      <c r="GI169" s="308"/>
      <c r="GJ169" s="308"/>
      <c r="GK169" s="308"/>
      <c r="GL169" s="308"/>
      <c r="GM169" s="308"/>
      <c r="GN169" s="308"/>
      <c r="GO169" s="308"/>
      <c r="GP169" s="308"/>
      <c r="GQ169" s="308"/>
      <c r="GR169" s="308"/>
      <c r="GS169" s="308"/>
      <c r="GT169" s="308"/>
      <c r="GU169" s="308"/>
      <c r="GV169" s="308"/>
      <c r="GW169" s="308"/>
      <c r="GX169" s="308"/>
      <c r="GY169" s="308"/>
      <c r="GZ169" s="308"/>
      <c r="HA169" s="308"/>
      <c r="HB169" s="308"/>
      <c r="HC169" s="308"/>
      <c r="HD169" s="308"/>
      <c r="HE169" s="308"/>
      <c r="HF169" s="308"/>
      <c r="HG169" s="308"/>
      <c r="HH169" s="308"/>
      <c r="HI169" s="308"/>
      <c r="HJ169" s="308"/>
      <c r="HK169" s="308"/>
      <c r="HL169" s="308"/>
      <c r="HM169" s="308"/>
      <c r="HN169" s="308"/>
      <c r="HO169" s="308"/>
      <c r="HP169" s="308"/>
      <c r="HQ169" s="308"/>
      <c r="HR169" s="308"/>
      <c r="HS169" s="308"/>
      <c r="HT169" s="308"/>
      <c r="HU169" s="308"/>
      <c r="HV169" s="308"/>
      <c r="HW169" s="308"/>
      <c r="HX169" s="308"/>
      <c r="HY169" s="308"/>
      <c r="HZ169" s="308"/>
      <c r="IA169" s="308"/>
      <c r="IB169" s="308"/>
      <c r="IC169" s="308"/>
      <c r="ID169" s="308"/>
      <c r="IE169" s="308"/>
      <c r="IF169" s="308"/>
      <c r="IG169" s="308"/>
      <c r="IH169" s="308"/>
      <c r="II169" s="308"/>
      <c r="IJ169" s="308"/>
      <c r="IK169" s="308"/>
      <c r="IL169" s="308"/>
      <c r="IM169" s="308"/>
      <c r="IN169" s="308"/>
      <c r="IO169" s="308"/>
      <c r="IP169" s="308"/>
      <c r="IQ169" s="308"/>
      <c r="IR169" s="308"/>
      <c r="IS169" s="308"/>
      <c r="IT169" s="308"/>
      <c r="IU169" s="308"/>
      <c r="IV169" s="308"/>
      <c r="IW169" s="308"/>
      <c r="IX169" s="308"/>
    </row>
    <row r="170" spans="1:258" s="308" customFormat="1" ht="17.399999999999999" x14ac:dyDescent="0.3">
      <c r="A170" s="144"/>
      <c r="B170" s="84"/>
      <c r="C170" s="64"/>
      <c r="D170" s="83" t="s">
        <v>164</v>
      </c>
      <c r="E170" s="270">
        <f>IF(AND($F$2="No",$F$3="No"),SUM(J170:K170),IF(AND($F$2="Yes", $F$3="No"), SUM(J170:K170)+Q170, IF(AND($F$2="No", $F$3="Yes"),SUM(J170:K170)+P170, SUM(J170:K170)+Q170+P170)))</f>
        <v>-9.1139048141381296E-2</v>
      </c>
      <c r="F170" s="90">
        <f>IF(AND($F$2="No",$F$3="No"),SUM(H170:O170),IF(AND($F$2="Yes", $F$3="No"), SUM(H170:O170)+Q170, IF(AND($F$2="No", $F$3="Yes"),SUM(H170:O170)+P170, SUM(H170:O170)+Q170+P170)))</f>
        <v>0.18265199136892707</v>
      </c>
      <c r="G170" s="278">
        <f>SUM(S170:U170)/(1-'Common input data'!$B$121)</f>
        <v>0.67150255563781736</v>
      </c>
      <c r="H170" s="85">
        <f>('Input data plant-based products'!$F$90*('Common input data'!$C$76*'Common input data'!B69+'Common input data'!$C$77*'Common input data'!C69))/'Input data plant-based products'!$E$90</f>
        <v>4.8368365829916563E-2</v>
      </c>
      <c r="I170" s="90">
        <f>'Common input data'!$B$81</f>
        <v>0.03</v>
      </c>
      <c r="J170" s="85">
        <v>0</v>
      </c>
      <c r="K170" s="90">
        <v>0</v>
      </c>
      <c r="L170" s="85">
        <f>('Input data plant-based products'!$I$90*'Common input data'!$C$59*'Common input data'!H49)/'Input data plant-based products'!$E$90</f>
        <v>0.1454226736803918</v>
      </c>
      <c r="M170" s="90">
        <v>0</v>
      </c>
      <c r="N170" s="90">
        <f>'Input data plant-based products'!F$152</f>
        <v>0.05</v>
      </c>
      <c r="O170" s="90">
        <v>0</v>
      </c>
      <c r="P170" s="90">
        <f>'Common input data'!$F$13</f>
        <v>-9.1139048141381296E-2</v>
      </c>
      <c r="Q170" s="90">
        <v>0</v>
      </c>
      <c r="R170" s="90">
        <v>0</v>
      </c>
      <c r="S170" s="90">
        <f>F170+R170</f>
        <v>0.18265199136892707</v>
      </c>
      <c r="T170" s="90">
        <f>'Common input data'!B$86</f>
        <v>0.15</v>
      </c>
      <c r="U170" s="85">
        <f>'Common input data'!B102+'Common input data'!C102</f>
        <v>0.23000000000000004</v>
      </c>
      <c r="V170" s="430"/>
      <c r="W170" s="243"/>
      <c r="Z170" s="64"/>
    </row>
    <row r="171" spans="1:258" s="308" customFormat="1" ht="17.399999999999999" x14ac:dyDescent="0.3">
      <c r="A171" s="107"/>
      <c r="B171" s="84"/>
      <c r="C171" s="142"/>
      <c r="D171" s="83" t="s">
        <v>165</v>
      </c>
      <c r="E171" s="270">
        <f>SUM(J171:K171)</f>
        <v>0</v>
      </c>
      <c r="F171" s="90">
        <f>SUM(H171:O171)</f>
        <v>6.4417554093959737E-5</v>
      </c>
      <c r="G171" s="278">
        <f>SUM(S171:U171)/(1-'Common input data'!$B$121)</f>
        <v>7.6879763807088846E-5</v>
      </c>
      <c r="H171" s="85">
        <f>('Input data plant-based products'!$F$90*('Common input data'!$C$76*'Common input data'!B70+'Common input data'!$C$77*'Common input data'!C70))/'Input data plant-based products'!$E$90</f>
        <v>2.1326319608198803E-10</v>
      </c>
      <c r="I171" s="85">
        <v>0</v>
      </c>
      <c r="J171" s="85">
        <v>0</v>
      </c>
      <c r="K171" s="85">
        <v>0</v>
      </c>
      <c r="L171" s="85">
        <f>('Input data plant-based products'!$I$90*'Common input data'!$C$59*'Common input data'!H50)/'Input data plant-based products'!$E$90</f>
        <v>6.4417340830763654E-5</v>
      </c>
      <c r="M171" s="90">
        <v>0</v>
      </c>
      <c r="N171" s="90">
        <v>0</v>
      </c>
      <c r="O171" s="90">
        <v>0</v>
      </c>
      <c r="P171" s="90">
        <v>0</v>
      </c>
      <c r="Q171" s="90">
        <v>0</v>
      </c>
      <c r="R171" s="90">
        <v>0</v>
      </c>
      <c r="S171" s="90">
        <f>F171+R171</f>
        <v>6.4417554093959737E-5</v>
      </c>
      <c r="T171" s="90">
        <v>0</v>
      </c>
      <c r="U171" s="90">
        <v>0</v>
      </c>
      <c r="V171" s="430"/>
      <c r="W171" s="243"/>
      <c r="Z171" s="64"/>
    </row>
    <row r="172" spans="1:258" s="308" customFormat="1" ht="17.399999999999999" x14ac:dyDescent="0.3">
      <c r="A172" s="174"/>
      <c r="B172" s="206"/>
      <c r="C172" s="85"/>
      <c r="D172" s="84" t="s">
        <v>166</v>
      </c>
      <c r="E172" s="780">
        <f>SUM(J172:K172)</f>
        <v>3.1354460884662228E-4</v>
      </c>
      <c r="F172" s="108">
        <f>SUM(H172:O172)</f>
        <v>5.8165202769582241E-4</v>
      </c>
      <c r="G172" s="521">
        <f>SUM(S172:U172)/(1-'Common input data'!$B$121)</f>
        <v>6.9417833595395925E-4</v>
      </c>
      <c r="H172" s="85">
        <f>('Input data plant-based products'!$F$90*('Common input data'!$C$76*'Common input data'!B71+'Common input data'!$C$77*'Common input data'!C71))/'Input data plant-based products'!$E$90</f>
        <v>2.6419985490942142E-4</v>
      </c>
      <c r="I172" s="85">
        <v>0</v>
      </c>
      <c r="J172" s="85">
        <f>(SUM('Input data plant-based products'!F90:H90)*'Input data plant-based products'!$B$114*44/28)/'Input data plant-based products'!E90</f>
        <v>2.8504055349692936E-4</v>
      </c>
      <c r="K172" s="90">
        <f>J172*'Input data plant-based products'!$B$115</f>
        <v>2.8504055349692938E-5</v>
      </c>
      <c r="L172" s="85">
        <f>('Input data plant-based products'!$I$90*'Common input data'!$C$59*'Common input data'!H51)/'Input data plant-based products'!$E$90</f>
        <v>3.9075639397787047E-6</v>
      </c>
      <c r="M172" s="90">
        <v>0</v>
      </c>
      <c r="N172" s="90">
        <v>0</v>
      </c>
      <c r="O172" s="90">
        <v>0</v>
      </c>
      <c r="P172" s="90">
        <v>0</v>
      </c>
      <c r="Q172" s="90">
        <v>0</v>
      </c>
      <c r="R172" s="90">
        <v>0</v>
      </c>
      <c r="S172" s="90">
        <f>F172+R172</f>
        <v>5.8165202769582241E-4</v>
      </c>
      <c r="T172" s="90">
        <v>0</v>
      </c>
      <c r="U172" s="90">
        <v>0</v>
      </c>
      <c r="V172" s="430"/>
      <c r="W172" s="243"/>
      <c r="Z172" s="64"/>
    </row>
    <row r="173" spans="1:258" s="427" customFormat="1" ht="17.399999999999999" x14ac:dyDescent="0.3">
      <c r="A173" s="426" t="s">
        <v>597</v>
      </c>
      <c r="B173" s="412"/>
      <c r="C173" s="413"/>
      <c r="D173" s="414"/>
      <c r="E173" s="767" t="s">
        <v>832</v>
      </c>
      <c r="F173" s="768" t="s">
        <v>832</v>
      </c>
      <c r="G173" s="590"/>
      <c r="H173" s="413"/>
      <c r="I173" s="413"/>
      <c r="J173" s="413"/>
      <c r="K173" s="416"/>
      <c r="L173" s="416"/>
      <c r="M173" s="417"/>
      <c r="N173" s="416"/>
      <c r="O173" s="416"/>
      <c r="P173" s="416"/>
      <c r="Q173" s="416"/>
      <c r="R173" s="416"/>
      <c r="S173" s="416"/>
      <c r="T173" s="416"/>
      <c r="U173" s="416"/>
      <c r="V173" s="107"/>
      <c r="W173" s="243"/>
      <c r="X173" s="308"/>
      <c r="Y173" s="308"/>
      <c r="Z173" s="64"/>
      <c r="AA173" s="308"/>
      <c r="AB173" s="308"/>
      <c r="AC173" s="308"/>
      <c r="AD173" s="308"/>
      <c r="AE173" s="308"/>
      <c r="AF173" s="308"/>
      <c r="AG173" s="308"/>
      <c r="AH173" s="308"/>
      <c r="AI173" s="308"/>
      <c r="AJ173" s="308"/>
      <c r="AK173" s="308"/>
      <c r="AL173" s="308"/>
      <c r="AM173" s="308"/>
      <c r="AN173" s="308"/>
      <c r="AO173" s="308"/>
      <c r="AP173" s="308"/>
      <c r="AQ173" s="308"/>
      <c r="AR173" s="308"/>
      <c r="AS173" s="308"/>
      <c r="AT173" s="308"/>
      <c r="AU173" s="308"/>
      <c r="AV173" s="308"/>
      <c r="AW173" s="308"/>
      <c r="AX173" s="308"/>
      <c r="AY173" s="308"/>
      <c r="AZ173" s="308"/>
      <c r="BA173" s="308"/>
      <c r="BB173" s="308"/>
      <c r="BC173" s="308"/>
      <c r="BD173" s="308"/>
      <c r="BE173" s="308"/>
      <c r="BF173" s="308"/>
      <c r="BG173" s="308"/>
      <c r="BH173" s="308"/>
      <c r="BI173" s="308"/>
      <c r="BJ173" s="308"/>
      <c r="BK173" s="308"/>
      <c r="BL173" s="308"/>
      <c r="BM173" s="308"/>
      <c r="BN173" s="308"/>
      <c r="BO173" s="308"/>
      <c r="BP173" s="308"/>
      <c r="BQ173" s="308"/>
      <c r="BR173" s="308"/>
      <c r="BS173" s="308"/>
      <c r="BT173" s="308"/>
      <c r="BU173" s="308"/>
      <c r="BV173" s="308"/>
      <c r="BW173" s="308"/>
      <c r="BX173" s="308"/>
      <c r="BY173" s="308"/>
      <c r="BZ173" s="308"/>
      <c r="CA173" s="308"/>
      <c r="CB173" s="308"/>
      <c r="CC173" s="308"/>
      <c r="CD173" s="308"/>
      <c r="CE173" s="308"/>
      <c r="CF173" s="308"/>
      <c r="CG173" s="308"/>
      <c r="CH173" s="308"/>
      <c r="CI173" s="308"/>
      <c r="CJ173" s="308"/>
      <c r="CK173" s="308"/>
      <c r="CL173" s="308"/>
      <c r="CM173" s="308"/>
      <c r="CN173" s="308"/>
      <c r="CO173" s="308"/>
      <c r="CP173" s="308"/>
      <c r="CQ173" s="308"/>
      <c r="CR173" s="308"/>
      <c r="CS173" s="308"/>
      <c r="CT173" s="308"/>
      <c r="CU173" s="308"/>
      <c r="CV173" s="308"/>
      <c r="CW173" s="308"/>
      <c r="CX173" s="308"/>
      <c r="CY173" s="308"/>
      <c r="CZ173" s="308"/>
      <c r="DA173" s="308"/>
      <c r="DB173" s="308"/>
      <c r="DC173" s="308"/>
      <c r="DD173" s="308"/>
      <c r="DE173" s="308"/>
      <c r="DF173" s="308"/>
      <c r="DG173" s="308"/>
      <c r="DH173" s="308"/>
      <c r="DI173" s="308"/>
      <c r="DJ173" s="308"/>
      <c r="DK173" s="308"/>
      <c r="DL173" s="308"/>
      <c r="DM173" s="308"/>
      <c r="DN173" s="308"/>
      <c r="DO173" s="308"/>
      <c r="DP173" s="308"/>
      <c r="DQ173" s="308"/>
      <c r="DR173" s="308"/>
      <c r="DS173" s="308"/>
      <c r="DT173" s="308"/>
      <c r="DU173" s="308"/>
      <c r="DV173" s="308"/>
      <c r="DW173" s="308"/>
      <c r="DX173" s="308"/>
      <c r="DY173" s="308"/>
      <c r="DZ173" s="308"/>
      <c r="EA173" s="308"/>
      <c r="EB173" s="308"/>
      <c r="EC173" s="308"/>
      <c r="ED173" s="308"/>
      <c r="EE173" s="308"/>
      <c r="EF173" s="308"/>
      <c r="EG173" s="308"/>
      <c r="EH173" s="308"/>
      <c r="EI173" s="308"/>
      <c r="EJ173" s="308"/>
      <c r="EK173" s="308"/>
      <c r="EL173" s="308"/>
      <c r="EM173" s="308"/>
      <c r="EN173" s="308"/>
      <c r="EO173" s="308"/>
      <c r="EP173" s="308"/>
      <c r="EQ173" s="308"/>
      <c r="ER173" s="308"/>
      <c r="ES173" s="308"/>
      <c r="ET173" s="308"/>
      <c r="EU173" s="308"/>
      <c r="EV173" s="308"/>
      <c r="EW173" s="308"/>
      <c r="EX173" s="308"/>
      <c r="EY173" s="308"/>
      <c r="EZ173" s="308"/>
      <c r="FA173" s="308"/>
      <c r="FB173" s="308"/>
      <c r="FC173" s="308"/>
      <c r="FD173" s="308"/>
      <c r="FE173" s="308"/>
      <c r="FF173" s="308"/>
      <c r="FG173" s="308"/>
      <c r="FH173" s="308"/>
      <c r="FI173" s="308"/>
      <c r="FJ173" s="308"/>
      <c r="FK173" s="308"/>
      <c r="FL173" s="308"/>
      <c r="FM173" s="308"/>
      <c r="FN173" s="308"/>
      <c r="FO173" s="308"/>
      <c r="FP173" s="308"/>
      <c r="FQ173" s="308"/>
      <c r="FR173" s="308"/>
      <c r="FS173" s="308"/>
      <c r="FT173" s="308"/>
      <c r="FU173" s="308"/>
      <c r="FV173" s="308"/>
      <c r="FW173" s="308"/>
      <c r="FX173" s="308"/>
      <c r="FY173" s="308"/>
      <c r="FZ173" s="308"/>
      <c r="GA173" s="308"/>
      <c r="GB173" s="308"/>
      <c r="GC173" s="308"/>
      <c r="GD173" s="308"/>
      <c r="GE173" s="308"/>
      <c r="GF173" s="308"/>
      <c r="GG173" s="308"/>
      <c r="GH173" s="308"/>
      <c r="GI173" s="308"/>
      <c r="GJ173" s="308"/>
      <c r="GK173" s="308"/>
      <c r="GL173" s="308"/>
      <c r="GM173" s="308"/>
      <c r="GN173" s="308"/>
      <c r="GO173" s="308"/>
      <c r="GP173" s="308"/>
      <c r="GQ173" s="308"/>
      <c r="GR173" s="308"/>
      <c r="GS173" s="308"/>
      <c r="GT173" s="308"/>
      <c r="GU173" s="308"/>
      <c r="GV173" s="308"/>
      <c r="GW173" s="308"/>
      <c r="GX173" s="308"/>
      <c r="GY173" s="308"/>
      <c r="GZ173" s="308"/>
      <c r="HA173" s="308"/>
      <c r="HB173" s="308"/>
      <c r="HC173" s="308"/>
      <c r="HD173" s="308"/>
      <c r="HE173" s="308"/>
      <c r="HF173" s="308"/>
      <c r="HG173" s="308"/>
      <c r="HH173" s="308"/>
      <c r="HI173" s="308"/>
      <c r="HJ173" s="308"/>
      <c r="HK173" s="308"/>
      <c r="HL173" s="308"/>
      <c r="HM173" s="308"/>
      <c r="HN173" s="308"/>
      <c r="HO173" s="308"/>
      <c r="HP173" s="308"/>
      <c r="HQ173" s="308"/>
      <c r="HR173" s="308"/>
      <c r="HS173" s="308"/>
      <c r="HT173" s="308"/>
      <c r="HU173" s="308"/>
      <c r="HV173" s="308"/>
      <c r="HW173" s="308"/>
      <c r="HX173" s="308"/>
      <c r="HY173" s="308"/>
      <c r="HZ173" s="308"/>
      <c r="IA173" s="308"/>
      <c r="IB173" s="308"/>
      <c r="IC173" s="308"/>
      <c r="ID173" s="308"/>
      <c r="IE173" s="308"/>
      <c r="IF173" s="308"/>
      <c r="IG173" s="308"/>
      <c r="IH173" s="308"/>
      <c r="II173" s="308"/>
      <c r="IJ173" s="308"/>
      <c r="IK173" s="308"/>
      <c r="IL173" s="308"/>
      <c r="IM173" s="308"/>
      <c r="IN173" s="308"/>
      <c r="IO173" s="308"/>
      <c r="IP173" s="308"/>
      <c r="IQ173" s="308"/>
      <c r="IR173" s="308"/>
      <c r="IS173" s="308"/>
      <c r="IT173" s="308"/>
      <c r="IU173" s="308"/>
      <c r="IV173" s="308"/>
      <c r="IW173" s="308"/>
      <c r="IX173" s="308"/>
    </row>
    <row r="174" spans="1:258" s="420" customFormat="1" ht="17.399999999999999" x14ac:dyDescent="0.3">
      <c r="A174" s="122" t="s">
        <v>486</v>
      </c>
      <c r="B174" s="150" t="s">
        <v>225</v>
      </c>
      <c r="C174" s="112">
        <f>'Input data plant-based products'!D38</f>
        <v>1</v>
      </c>
      <c r="D174" s="269" t="s">
        <v>473</v>
      </c>
      <c r="E174" s="769">
        <f>IF($F$1="GWP100 without fb",E175+E176*'Common input data'!$C$5+E177*'Common input data'!$D$5,IF($F$1="GWP100 with fb",E175+E176*'Common input data'!$C$6+E177*'Common input data'!$D$6,IF($F$1="GTP100 without fb",E175+E176*'Common input data'!$C$7+E177*'Common input data'!$D$7,IF($F$1="GTP100 with fb",E175+E176*'Common input data'!$C$8+E177*'Common input data'!$D$8,E175+E176*'Common input data'!$C$9+E177*'Common input data'!$D$9))))</f>
        <v>0.43893770494107681</v>
      </c>
      <c r="F174" s="326">
        <f>IF($F$1="GWP100 without fb",F175+F176*'Common input data'!$C$5+F177*'Common input data'!$D$5,IF($F$1="GWP100 with fb",F175+F176*'Common input data'!$C$6+F177*'Common input data'!$D$6,IF($F$1="GTP100 without fb",F175+F176*'Common input data'!$C$7+F177*'Common input data'!$D$7,IF($F$1="GTP100 with fb",F175+F176*'Common input data'!$C$8+F177*'Common input data'!$D$8,F175+F176*'Common input data'!$C$9+F177*'Common input data'!$D$9))))</f>
        <v>2.81008709908334</v>
      </c>
      <c r="G174" s="770"/>
      <c r="H174" s="302"/>
      <c r="I174" s="104"/>
      <c r="J174" s="104"/>
      <c r="K174" s="102"/>
      <c r="L174" s="102"/>
      <c r="M174" s="102"/>
      <c r="N174" s="102"/>
      <c r="O174" s="102"/>
      <c r="P174" s="102"/>
      <c r="Q174" s="102"/>
      <c r="R174" s="102"/>
      <c r="S174" s="102"/>
      <c r="T174" s="102"/>
      <c r="U174" s="102"/>
      <c r="V174" s="107"/>
      <c r="W174" s="243"/>
      <c r="X174" s="308"/>
      <c r="Y174" s="308"/>
      <c r="Z174" s="64"/>
      <c r="AA174" s="308"/>
      <c r="AB174" s="308"/>
      <c r="AC174" s="308"/>
      <c r="AD174" s="308"/>
      <c r="AE174" s="308"/>
      <c r="AF174" s="308"/>
      <c r="AG174" s="308"/>
      <c r="AH174" s="308"/>
      <c r="AI174" s="308"/>
      <c r="AJ174" s="308"/>
      <c r="AK174" s="308"/>
      <c r="AL174" s="308"/>
      <c r="AM174" s="308"/>
      <c r="AN174" s="308"/>
      <c r="AO174" s="308"/>
      <c r="AP174" s="308"/>
      <c r="AQ174" s="308"/>
      <c r="AR174" s="308"/>
      <c r="AS174" s="308"/>
      <c r="AT174" s="308"/>
      <c r="AU174" s="308"/>
      <c r="AV174" s="308"/>
      <c r="AW174" s="308"/>
      <c r="AX174" s="308"/>
      <c r="AY174" s="308"/>
      <c r="AZ174" s="308"/>
      <c r="BA174" s="308"/>
      <c r="BB174" s="308"/>
      <c r="BC174" s="308"/>
      <c r="BD174" s="308"/>
      <c r="BE174" s="308"/>
      <c r="BF174" s="308"/>
      <c r="BG174" s="308"/>
      <c r="BH174" s="308"/>
      <c r="BI174" s="308"/>
      <c r="BJ174" s="308"/>
      <c r="BK174" s="308"/>
      <c r="BL174" s="308"/>
      <c r="BM174" s="308"/>
      <c r="BN174" s="308"/>
      <c r="BO174" s="308"/>
      <c r="BP174" s="308"/>
      <c r="BQ174" s="308"/>
      <c r="BR174" s="308"/>
      <c r="BS174" s="308"/>
      <c r="BT174" s="308"/>
      <c r="BU174" s="308"/>
      <c r="BV174" s="308"/>
      <c r="BW174" s="308"/>
      <c r="BX174" s="308"/>
      <c r="BY174" s="308"/>
      <c r="BZ174" s="308"/>
      <c r="CA174" s="308"/>
      <c r="CB174" s="308"/>
      <c r="CC174" s="308"/>
      <c r="CD174" s="308"/>
      <c r="CE174" s="308"/>
      <c r="CF174" s="308"/>
      <c r="CG174" s="308"/>
      <c r="CH174" s="308"/>
      <c r="CI174" s="308"/>
      <c r="CJ174" s="308"/>
      <c r="CK174" s="308"/>
      <c r="CL174" s="308"/>
      <c r="CM174" s="308"/>
      <c r="CN174" s="308"/>
      <c r="CO174" s="308"/>
      <c r="CP174" s="308"/>
      <c r="CQ174" s="308"/>
      <c r="CR174" s="308"/>
      <c r="CS174" s="308"/>
      <c r="CT174" s="308"/>
      <c r="CU174" s="308"/>
      <c r="CV174" s="308"/>
      <c r="CW174" s="308"/>
      <c r="CX174" s="308"/>
      <c r="CY174" s="308"/>
      <c r="CZ174" s="308"/>
      <c r="DA174" s="308"/>
      <c r="DB174" s="308"/>
      <c r="DC174" s="308"/>
      <c r="DD174" s="308"/>
      <c r="DE174" s="308"/>
      <c r="DF174" s="308"/>
      <c r="DG174" s="308"/>
      <c r="DH174" s="308"/>
      <c r="DI174" s="308"/>
      <c r="DJ174" s="308"/>
      <c r="DK174" s="308"/>
      <c r="DL174" s="308"/>
      <c r="DM174" s="308"/>
      <c r="DN174" s="308"/>
      <c r="DO174" s="308"/>
      <c r="DP174" s="308"/>
      <c r="DQ174" s="308"/>
      <c r="DR174" s="308"/>
      <c r="DS174" s="308"/>
      <c r="DT174" s="308"/>
      <c r="DU174" s="308"/>
      <c r="DV174" s="308"/>
      <c r="DW174" s="308"/>
      <c r="DX174" s="308"/>
      <c r="DY174" s="308"/>
      <c r="DZ174" s="308"/>
      <c r="EA174" s="308"/>
      <c r="EB174" s="308"/>
      <c r="EC174" s="308"/>
      <c r="ED174" s="308"/>
      <c r="EE174" s="308"/>
      <c r="EF174" s="308"/>
      <c r="EG174" s="308"/>
      <c r="EH174" s="308"/>
      <c r="EI174" s="308"/>
      <c r="EJ174" s="308"/>
      <c r="EK174" s="308"/>
      <c r="EL174" s="308"/>
      <c r="EM174" s="308"/>
      <c r="EN174" s="308"/>
      <c r="EO174" s="308"/>
      <c r="EP174" s="308"/>
      <c r="EQ174" s="308"/>
      <c r="ER174" s="308"/>
      <c r="ES174" s="308"/>
      <c r="ET174" s="308"/>
      <c r="EU174" s="308"/>
      <c r="EV174" s="308"/>
      <c r="EW174" s="308"/>
      <c r="EX174" s="308"/>
      <c r="EY174" s="308"/>
      <c r="EZ174" s="308"/>
      <c r="FA174" s="308"/>
      <c r="FB174" s="308"/>
      <c r="FC174" s="308"/>
      <c r="FD174" s="308"/>
      <c r="FE174" s="308"/>
      <c r="FF174" s="308"/>
      <c r="FG174" s="308"/>
      <c r="FH174" s="308"/>
      <c r="FI174" s="308"/>
      <c r="FJ174" s="308"/>
      <c r="FK174" s="308"/>
      <c r="FL174" s="308"/>
      <c r="FM174" s="308"/>
      <c r="FN174" s="308"/>
      <c r="FO174" s="308"/>
      <c r="FP174" s="308"/>
      <c r="FQ174" s="308"/>
      <c r="FR174" s="308"/>
      <c r="FS174" s="308"/>
      <c r="FT174" s="308"/>
      <c r="FU174" s="308"/>
      <c r="FV174" s="308"/>
      <c r="FW174" s="308"/>
      <c r="FX174" s="308"/>
      <c r="FY174" s="308"/>
      <c r="FZ174" s="308"/>
      <c r="GA174" s="308"/>
      <c r="GB174" s="308"/>
      <c r="GC174" s="308"/>
      <c r="GD174" s="308"/>
      <c r="GE174" s="308"/>
      <c r="GF174" s="308"/>
      <c r="GG174" s="308"/>
      <c r="GH174" s="308"/>
      <c r="GI174" s="308"/>
      <c r="GJ174" s="308"/>
      <c r="GK174" s="308"/>
      <c r="GL174" s="308"/>
      <c r="GM174" s="308"/>
      <c r="GN174" s="308"/>
      <c r="GO174" s="308"/>
      <c r="GP174" s="308"/>
      <c r="GQ174" s="308"/>
      <c r="GR174" s="308"/>
      <c r="GS174" s="308"/>
      <c r="GT174" s="308"/>
      <c r="GU174" s="308"/>
      <c r="GV174" s="308"/>
      <c r="GW174" s="308"/>
      <c r="GX174" s="308"/>
      <c r="GY174" s="308"/>
      <c r="GZ174" s="308"/>
      <c r="HA174" s="308"/>
      <c r="HB174" s="308"/>
      <c r="HC174" s="308"/>
      <c r="HD174" s="308"/>
      <c r="HE174" s="308"/>
      <c r="HF174" s="308"/>
      <c r="HG174" s="308"/>
      <c r="HH174" s="308"/>
      <c r="HI174" s="308"/>
      <c r="HJ174" s="308"/>
      <c r="HK174" s="308"/>
      <c r="HL174" s="308"/>
      <c r="HM174" s="308"/>
      <c r="HN174" s="308"/>
      <c r="HO174" s="308"/>
      <c r="HP174" s="308"/>
      <c r="HQ174" s="308"/>
      <c r="HR174" s="308"/>
      <c r="HS174" s="308"/>
      <c r="HT174" s="308"/>
      <c r="HU174" s="308"/>
      <c r="HV174" s="308"/>
      <c r="HW174" s="308"/>
      <c r="HX174" s="308"/>
      <c r="HY174" s="308"/>
      <c r="HZ174" s="308"/>
      <c r="IA174" s="308"/>
      <c r="IB174" s="308"/>
      <c r="IC174" s="308"/>
      <c r="ID174" s="308"/>
      <c r="IE174" s="308"/>
      <c r="IF174" s="308"/>
      <c r="IG174" s="308"/>
      <c r="IH174" s="308"/>
      <c r="II174" s="308"/>
      <c r="IJ174" s="308"/>
      <c r="IK174" s="308"/>
      <c r="IL174" s="308"/>
      <c r="IM174" s="308"/>
      <c r="IN174" s="308"/>
      <c r="IO174" s="308"/>
      <c r="IP174" s="308"/>
      <c r="IQ174" s="308"/>
      <c r="IR174" s="308"/>
      <c r="IS174" s="308"/>
      <c r="IT174" s="308"/>
      <c r="IU174" s="308"/>
      <c r="IV174" s="308"/>
      <c r="IW174" s="308"/>
      <c r="IX174" s="308"/>
    </row>
    <row r="175" spans="1:258" s="308" customFormat="1" ht="17.399999999999999" x14ac:dyDescent="0.3">
      <c r="A175" s="144"/>
      <c r="B175" s="84"/>
      <c r="C175" s="64"/>
      <c r="D175" s="83" t="s">
        <v>164</v>
      </c>
      <c r="E175" s="258">
        <f>IF(AND($F$2="No",$F$3="No"),SUM(J175:K175)*'Input data plant-based products'!O$127,IF(AND($F$2="Yes", $F$3="No"), (SUM(J175:K175)+Q175)*'Input data plant-based products'!O$127, IF(AND($F$2="No", $F$3="Yes"),(SUM(J175:K175)+P175)*'Input data plant-based products'!O$127, (SUM(J175:K175)+Q175+P175)*'Input data plant-based products'!O$127)))</f>
        <v>-0.21075904882694424</v>
      </c>
      <c r="F175" s="85">
        <f>IF(AND($F$2="No",$F$3="No"),SUM(H175:O175)*'Input data plant-based products'!O$127,IF(AND($F$2="Yes", $F$3="No"), (SUM(H175:O175)+Q175)*'Input data plant-based products'!O$127, IF(AND($F$2="No", $F$3="Yes"),(SUM(H175:O175)+P175)*'Input data plant-based products'!O$127, (SUM(H175:O175)+Q175+P175)*'Input data plant-based products'!O$127)))</f>
        <v>1.5636050262345871</v>
      </c>
      <c r="G175" s="480"/>
      <c r="H175" s="85">
        <f>('Input data plant-based products'!$F$97*('Common input data'!$D$76*'Common input data'!B69+'Common input data'!$D$77*'Common input data'!C69))/'Input data plant-based products'!$E$97</f>
        <v>0.13729257299958111</v>
      </c>
      <c r="I175" s="85">
        <f>'Common input data'!B81</f>
        <v>0.03</v>
      </c>
      <c r="J175" s="85">
        <v>0</v>
      </c>
      <c r="K175" s="85">
        <v>0</v>
      </c>
      <c r="L175" s="85">
        <f>('Input data plant-based products'!$I$97*'Common input data'!$C$59*'Common input data'!H49)/'Input data plant-based products'!$E$97</f>
        <v>0</v>
      </c>
      <c r="M175" s="85">
        <v>0</v>
      </c>
      <c r="N175" s="85">
        <f>'Input data plant-based products'!$D$152</f>
        <v>0.6</v>
      </c>
      <c r="O175" s="85">
        <v>0</v>
      </c>
      <c r="P175" s="85">
        <f>'Common input data'!F13</f>
        <v>-9.1139048141381296E-2</v>
      </c>
      <c r="Q175" s="85">
        <v>0</v>
      </c>
      <c r="R175" s="85">
        <f>'Input data plant-based products'!B134</f>
        <v>0.2</v>
      </c>
      <c r="S175" s="64"/>
      <c r="T175" s="64"/>
      <c r="U175" s="64"/>
      <c r="V175" s="107"/>
      <c r="W175" s="243"/>
      <c r="Z175" s="64"/>
    </row>
    <row r="176" spans="1:258" s="308" customFormat="1" ht="17.399999999999999" x14ac:dyDescent="0.3">
      <c r="A176" s="144"/>
      <c r="B176" s="84"/>
      <c r="C176" s="142"/>
      <c r="D176" s="83" t="s">
        <v>165</v>
      </c>
      <c r="E176" s="258">
        <f>SUM(J176:K176)*'Input data plant-based products'!O$127</f>
        <v>0</v>
      </c>
      <c r="F176" s="85">
        <f>SUM(H176:O176)*'Input data plant-based products'!O$127</f>
        <v>1.7317985779816514E-9</v>
      </c>
      <c r="G176" s="480"/>
      <c r="H176" s="85">
        <f>('Input data plant-based products'!$F$97*('Common input data'!$D$76*'Common input data'!B70+'Common input data'!$D$77*'Common input data'!C70))/'Input data plant-based products'!$E$97</f>
        <v>7.4888587155963301E-10</v>
      </c>
      <c r="I176" s="85">
        <v>0</v>
      </c>
      <c r="J176" s="85">
        <v>0</v>
      </c>
      <c r="K176" s="85">
        <v>0</v>
      </c>
      <c r="L176" s="85">
        <f>('Input data plant-based products'!$I$97*'Common input data'!$C$59*'Common input data'!H50)/'Input data plant-based products'!$E$97</f>
        <v>0</v>
      </c>
      <c r="M176" s="85">
        <v>0</v>
      </c>
      <c r="N176" s="85">
        <v>0</v>
      </c>
      <c r="O176" s="85">
        <v>0</v>
      </c>
      <c r="P176" s="85">
        <v>0</v>
      </c>
      <c r="Q176" s="85">
        <v>0</v>
      </c>
      <c r="R176" s="85">
        <v>0</v>
      </c>
      <c r="S176" s="64"/>
      <c r="T176" s="64"/>
      <c r="U176" s="64"/>
      <c r="V176" s="107"/>
      <c r="W176" s="243"/>
      <c r="Z176" s="64"/>
    </row>
    <row r="177" spans="1:258" s="308" customFormat="1" ht="17.399999999999999" x14ac:dyDescent="0.3">
      <c r="A177" s="174"/>
      <c r="B177" s="206"/>
      <c r="C177" s="85"/>
      <c r="D177" s="84" t="s">
        <v>166</v>
      </c>
      <c r="E177" s="771">
        <f>SUM(J177:K177)*'Input data plant-based products'!O$127</f>
        <v>2.1801904488859768E-3</v>
      </c>
      <c r="F177" s="101">
        <f>SUM(H177:O177)*'Input data plant-based products'!O$127</f>
        <v>4.1828255502268496E-3</v>
      </c>
      <c r="G177" s="781"/>
      <c r="H177" s="85">
        <f>('Input data plant-based products'!$F$97*('Common input data'!$D$76*'Common input data'!B71+'Common input data'!$D$77*'Common input data'!C71))/'Input data plant-based products'!$E$97</f>
        <v>8.6600436814740457E-4</v>
      </c>
      <c r="I177" s="85">
        <v>0</v>
      </c>
      <c r="J177" s="85">
        <f>(SUM('Input data plant-based products'!F97:H97)*'Input data plant-based products'!$B$114*44/28)/'Input data plant-based products'!E97</f>
        <v>8.570773263433815E-4</v>
      </c>
      <c r="K177" s="85">
        <f>J177*'Input data plant-based products'!$B$115</f>
        <v>8.570773263433815E-5</v>
      </c>
      <c r="L177" s="85">
        <f>('Input data plant-based products'!$I$97*'Common input data'!$C$59*'Common input data'!H51)/'Input data plant-based products'!$E$97</f>
        <v>0</v>
      </c>
      <c r="M177" s="85">
        <v>0</v>
      </c>
      <c r="N177" s="85">
        <v>0</v>
      </c>
      <c r="O177" s="85">
        <v>0</v>
      </c>
      <c r="P177" s="85">
        <v>0</v>
      </c>
      <c r="Q177" s="85">
        <v>0</v>
      </c>
      <c r="R177" s="85">
        <v>0</v>
      </c>
      <c r="S177" s="64"/>
      <c r="T177" s="64"/>
      <c r="U177" s="64"/>
      <c r="V177" s="107"/>
      <c r="W177" s="243"/>
      <c r="Z177" s="64"/>
    </row>
    <row r="178" spans="1:258" s="427" customFormat="1" ht="17.399999999999999" x14ac:dyDescent="0.3">
      <c r="A178" s="426" t="s">
        <v>598</v>
      </c>
      <c r="B178" s="412"/>
      <c r="C178" s="413"/>
      <c r="D178" s="414"/>
      <c r="E178" s="767" t="s">
        <v>832</v>
      </c>
      <c r="F178" s="768" t="s">
        <v>832</v>
      </c>
      <c r="G178" s="590" t="s">
        <v>594</v>
      </c>
      <c r="H178" s="413"/>
      <c r="I178" s="413"/>
      <c r="J178" s="413"/>
      <c r="K178" s="416"/>
      <c r="L178" s="416"/>
      <c r="M178" s="417"/>
      <c r="N178" s="416"/>
      <c r="O178" s="416"/>
      <c r="P178" s="416"/>
      <c r="Q178" s="416"/>
      <c r="R178" s="416"/>
      <c r="S178" s="416"/>
      <c r="T178" s="416"/>
      <c r="U178" s="416"/>
      <c r="V178" s="107"/>
      <c r="W178" s="243"/>
      <c r="X178" s="308"/>
      <c r="Y178" s="308"/>
      <c r="Z178" s="64"/>
      <c r="AA178" s="308"/>
      <c r="AB178" s="308"/>
      <c r="AC178" s="308"/>
      <c r="AD178" s="308"/>
      <c r="AE178" s="308"/>
      <c r="AF178" s="308"/>
      <c r="AG178" s="308"/>
      <c r="AH178" s="308"/>
      <c r="AI178" s="308"/>
      <c r="AJ178" s="308"/>
      <c r="AK178" s="308"/>
      <c r="AL178" s="308"/>
      <c r="AM178" s="308"/>
      <c r="AN178" s="308"/>
      <c r="AO178" s="308"/>
      <c r="AP178" s="308"/>
      <c r="AQ178" s="308"/>
      <c r="AR178" s="308"/>
      <c r="AS178" s="308"/>
      <c r="AT178" s="308"/>
      <c r="AU178" s="308"/>
      <c r="AV178" s="308"/>
      <c r="AW178" s="308"/>
      <c r="AX178" s="308"/>
      <c r="AY178" s="308"/>
      <c r="AZ178" s="308"/>
      <c r="BA178" s="308"/>
      <c r="BB178" s="308"/>
      <c r="BC178" s="308"/>
      <c r="BD178" s="308"/>
      <c r="BE178" s="308"/>
      <c r="BF178" s="308"/>
      <c r="BG178" s="308"/>
      <c r="BH178" s="308"/>
      <c r="BI178" s="308"/>
      <c r="BJ178" s="308"/>
      <c r="BK178" s="308"/>
      <c r="BL178" s="308"/>
      <c r="BM178" s="308"/>
      <c r="BN178" s="308"/>
      <c r="BO178" s="308"/>
      <c r="BP178" s="308"/>
      <c r="BQ178" s="308"/>
      <c r="BR178" s="308"/>
      <c r="BS178" s="308"/>
      <c r="BT178" s="308"/>
      <c r="BU178" s="308"/>
      <c r="BV178" s="308"/>
      <c r="BW178" s="308"/>
      <c r="BX178" s="308"/>
      <c r="BY178" s="308"/>
      <c r="BZ178" s="308"/>
      <c r="CA178" s="308"/>
      <c r="CB178" s="308"/>
      <c r="CC178" s="308"/>
      <c r="CD178" s="308"/>
      <c r="CE178" s="308"/>
      <c r="CF178" s="308"/>
      <c r="CG178" s="308"/>
      <c r="CH178" s="308"/>
      <c r="CI178" s="308"/>
      <c r="CJ178" s="308"/>
      <c r="CK178" s="308"/>
      <c r="CL178" s="308"/>
      <c r="CM178" s="308"/>
      <c r="CN178" s="308"/>
      <c r="CO178" s="308"/>
      <c r="CP178" s="308"/>
      <c r="CQ178" s="308"/>
      <c r="CR178" s="308"/>
      <c r="CS178" s="308"/>
      <c r="CT178" s="308"/>
      <c r="CU178" s="308"/>
      <c r="CV178" s="308"/>
      <c r="CW178" s="308"/>
      <c r="CX178" s="308"/>
      <c r="CY178" s="308"/>
      <c r="CZ178" s="308"/>
      <c r="DA178" s="308"/>
      <c r="DB178" s="308"/>
      <c r="DC178" s="308"/>
      <c r="DD178" s="308"/>
      <c r="DE178" s="308"/>
      <c r="DF178" s="308"/>
      <c r="DG178" s="308"/>
      <c r="DH178" s="308"/>
      <c r="DI178" s="308"/>
      <c r="DJ178" s="308"/>
      <c r="DK178" s="308"/>
      <c r="DL178" s="308"/>
      <c r="DM178" s="308"/>
      <c r="DN178" s="308"/>
      <c r="DO178" s="308"/>
      <c r="DP178" s="308"/>
      <c r="DQ178" s="308"/>
      <c r="DR178" s="308"/>
      <c r="DS178" s="308"/>
      <c r="DT178" s="308"/>
      <c r="DU178" s="308"/>
      <c r="DV178" s="308"/>
      <c r="DW178" s="308"/>
      <c r="DX178" s="308"/>
      <c r="DY178" s="308"/>
      <c r="DZ178" s="308"/>
      <c r="EA178" s="308"/>
      <c r="EB178" s="308"/>
      <c r="EC178" s="308"/>
      <c r="ED178" s="308"/>
      <c r="EE178" s="308"/>
      <c r="EF178" s="308"/>
      <c r="EG178" s="308"/>
      <c r="EH178" s="308"/>
      <c r="EI178" s="308"/>
      <c r="EJ178" s="308"/>
      <c r="EK178" s="308"/>
      <c r="EL178" s="308"/>
      <c r="EM178" s="308"/>
      <c r="EN178" s="308"/>
      <c r="EO178" s="308"/>
      <c r="EP178" s="308"/>
      <c r="EQ178" s="308"/>
      <c r="ER178" s="308"/>
      <c r="ES178" s="308"/>
      <c r="ET178" s="308"/>
      <c r="EU178" s="308"/>
      <c r="EV178" s="308"/>
      <c r="EW178" s="308"/>
      <c r="EX178" s="308"/>
      <c r="EY178" s="308"/>
      <c r="EZ178" s="308"/>
      <c r="FA178" s="308"/>
      <c r="FB178" s="308"/>
      <c r="FC178" s="308"/>
      <c r="FD178" s="308"/>
      <c r="FE178" s="308"/>
      <c r="FF178" s="308"/>
      <c r="FG178" s="308"/>
      <c r="FH178" s="308"/>
      <c r="FI178" s="308"/>
      <c r="FJ178" s="308"/>
      <c r="FK178" s="308"/>
      <c r="FL178" s="308"/>
      <c r="FM178" s="308"/>
      <c r="FN178" s="308"/>
      <c r="FO178" s="308"/>
      <c r="FP178" s="308"/>
      <c r="FQ178" s="308"/>
      <c r="FR178" s="308"/>
      <c r="FS178" s="308"/>
      <c r="FT178" s="308"/>
      <c r="FU178" s="308"/>
      <c r="FV178" s="308"/>
      <c r="FW178" s="308"/>
      <c r="FX178" s="308"/>
      <c r="FY178" s="308"/>
      <c r="FZ178" s="308"/>
      <c r="GA178" s="308"/>
      <c r="GB178" s="308"/>
      <c r="GC178" s="308"/>
      <c r="GD178" s="308"/>
      <c r="GE178" s="308"/>
      <c r="GF178" s="308"/>
      <c r="GG178" s="308"/>
      <c r="GH178" s="308"/>
      <c r="GI178" s="308"/>
      <c r="GJ178" s="308"/>
      <c r="GK178" s="308"/>
      <c r="GL178" s="308"/>
      <c r="GM178" s="308"/>
      <c r="GN178" s="308"/>
      <c r="GO178" s="308"/>
      <c r="GP178" s="308"/>
      <c r="GQ178" s="308"/>
      <c r="GR178" s="308"/>
      <c r="GS178" s="308"/>
      <c r="GT178" s="308"/>
      <c r="GU178" s="308"/>
      <c r="GV178" s="308"/>
      <c r="GW178" s="308"/>
      <c r="GX178" s="308"/>
      <c r="GY178" s="308"/>
      <c r="GZ178" s="308"/>
      <c r="HA178" s="308"/>
      <c r="HB178" s="308"/>
      <c r="HC178" s="308"/>
      <c r="HD178" s="308"/>
      <c r="HE178" s="308"/>
      <c r="HF178" s="308"/>
      <c r="HG178" s="308"/>
      <c r="HH178" s="308"/>
      <c r="HI178" s="308"/>
      <c r="HJ178" s="308"/>
      <c r="HK178" s="308"/>
      <c r="HL178" s="308"/>
      <c r="HM178" s="308"/>
      <c r="HN178" s="308"/>
      <c r="HO178" s="308"/>
      <c r="HP178" s="308"/>
      <c r="HQ178" s="308"/>
      <c r="HR178" s="308"/>
      <c r="HS178" s="308"/>
      <c r="HT178" s="308"/>
      <c r="HU178" s="308"/>
      <c r="HV178" s="308"/>
      <c r="HW178" s="308"/>
      <c r="HX178" s="308"/>
      <c r="HY178" s="308"/>
      <c r="HZ178" s="308"/>
      <c r="IA178" s="308"/>
      <c r="IB178" s="308"/>
      <c r="IC178" s="308"/>
      <c r="ID178" s="308"/>
      <c r="IE178" s="308"/>
      <c r="IF178" s="308"/>
      <c r="IG178" s="308"/>
      <c r="IH178" s="308"/>
      <c r="II178" s="308"/>
      <c r="IJ178" s="308"/>
      <c r="IK178" s="308"/>
      <c r="IL178" s="308"/>
      <c r="IM178" s="308"/>
      <c r="IN178" s="308"/>
      <c r="IO178" s="308"/>
      <c r="IP178" s="308"/>
      <c r="IQ178" s="308"/>
      <c r="IR178" s="308"/>
      <c r="IS178" s="308"/>
      <c r="IT178" s="308"/>
      <c r="IU178" s="308"/>
      <c r="IV178" s="308"/>
      <c r="IW178" s="308"/>
      <c r="IX178" s="308"/>
    </row>
    <row r="179" spans="1:258" s="420" customFormat="1" ht="17.399999999999999" x14ac:dyDescent="0.3">
      <c r="A179" s="122" t="s">
        <v>486</v>
      </c>
      <c r="B179" s="150" t="s">
        <v>225</v>
      </c>
      <c r="C179" s="112">
        <f>'Input data plant-based products'!D38</f>
        <v>1</v>
      </c>
      <c r="D179" s="269" t="s">
        <v>473</v>
      </c>
      <c r="E179" s="769">
        <f>IF($F$1="GWP100 without fb",E180+E181*'Common input data'!$C$5+E182*'Common input data'!$D$5,IF($F$1="GWP100 with fb",E180+E181*'Common input data'!$C$6+E182*'Common input data'!$D$6,IF($F$1="GTP100 without fb",E180+E181*'Common input data'!$C$7+E182*'Common input data'!$D$7,IF($F$1="GTP100 with fb",E180+E181*'Common input data'!$C$8+E182*'Common input data'!$D$8,E180+E181*'Common input data'!$C$9+E182*'Common input data'!$D$9))))</f>
        <v>0.43893770494107681</v>
      </c>
      <c r="F179" s="326">
        <f>IF($F$1="GWP100 without fb",F180+F181*'Common input data'!$C$5+F182*'Common input data'!$D$5,IF($F$1="GWP100 with fb",F180+F181*'Common input data'!$C$6+F182*'Common input data'!$D$6,IF($F$1="GTP100 without fb",F180+F181*'Common input data'!$C$7+F182*'Common input data'!$D$7,IF($F$1="GTP100 with fb",F180+F181*'Common input data'!$C$8+F182*'Common input data'!$D$8,F180+F181*'Common input data'!$C$9+F182*'Common input data'!$D$9))))</f>
        <v>2.81008709908334</v>
      </c>
      <c r="G179" s="770">
        <f>IF($F$1="GWP100 without fb",G180+G181*'Common input data'!$C$5+G182*'Common input data'!$D$5,IF($F$1="GWP100 with fb",G180+G181*'Common input data'!$C$6+G182*'Common input data'!$D$6,IF($F$1="GTP100 without fb",G180+G181*'Common input data'!$C$7+G182*'Common input data'!$D$7,IF($F$1="GTP100 with fb",G180+G181*'Common input data'!$C$8+G182*'Common input data'!$D$8,G180+G181*'Common input data'!$C$9+G182*'Common input data'!$D$9))))</f>
        <v>4.4371549285635083</v>
      </c>
      <c r="H179" s="104"/>
      <c r="I179" s="104"/>
      <c r="J179" s="104"/>
      <c r="K179" s="104"/>
      <c r="L179" s="104"/>
      <c r="M179" s="104"/>
      <c r="N179" s="104"/>
      <c r="O179" s="104"/>
      <c r="P179" s="104"/>
      <c r="Q179" s="104"/>
      <c r="R179" s="104"/>
      <c r="S179" s="269" t="s">
        <v>594</v>
      </c>
      <c r="T179" s="102"/>
      <c r="U179" s="102"/>
      <c r="V179" s="107"/>
      <c r="W179" s="243"/>
      <c r="X179" s="308"/>
      <c r="Y179" s="308"/>
      <c r="Z179" s="64"/>
      <c r="AA179" s="308"/>
      <c r="AB179" s="308"/>
      <c r="AC179" s="308"/>
      <c r="AD179" s="308"/>
      <c r="AE179" s="308"/>
      <c r="AF179" s="308"/>
      <c r="AG179" s="308"/>
      <c r="AH179" s="308"/>
      <c r="AI179" s="308"/>
      <c r="AJ179" s="308"/>
      <c r="AK179" s="308"/>
      <c r="AL179" s="308"/>
      <c r="AM179" s="308"/>
      <c r="AN179" s="308"/>
      <c r="AO179" s="308"/>
      <c r="AP179" s="308"/>
      <c r="AQ179" s="308"/>
      <c r="AR179" s="308"/>
      <c r="AS179" s="308"/>
      <c r="AT179" s="308"/>
      <c r="AU179" s="308"/>
      <c r="AV179" s="308"/>
      <c r="AW179" s="308"/>
      <c r="AX179" s="308"/>
      <c r="AY179" s="308"/>
      <c r="AZ179" s="308"/>
      <c r="BA179" s="308"/>
      <c r="BB179" s="308"/>
      <c r="BC179" s="308"/>
      <c r="BD179" s="308"/>
      <c r="BE179" s="308"/>
      <c r="BF179" s="308"/>
      <c r="BG179" s="308"/>
      <c r="BH179" s="308"/>
      <c r="BI179" s="308"/>
      <c r="BJ179" s="308"/>
      <c r="BK179" s="308"/>
      <c r="BL179" s="308"/>
      <c r="BM179" s="308"/>
      <c r="BN179" s="308"/>
      <c r="BO179" s="308"/>
      <c r="BP179" s="308"/>
      <c r="BQ179" s="308"/>
      <c r="BR179" s="308"/>
      <c r="BS179" s="308"/>
      <c r="BT179" s="308"/>
      <c r="BU179" s="308"/>
      <c r="BV179" s="308"/>
      <c r="BW179" s="308"/>
      <c r="BX179" s="308"/>
      <c r="BY179" s="308"/>
      <c r="BZ179" s="308"/>
      <c r="CA179" s="308"/>
      <c r="CB179" s="308"/>
      <c r="CC179" s="308"/>
      <c r="CD179" s="308"/>
      <c r="CE179" s="308"/>
      <c r="CF179" s="308"/>
      <c r="CG179" s="308"/>
      <c r="CH179" s="308"/>
      <c r="CI179" s="308"/>
      <c r="CJ179" s="308"/>
      <c r="CK179" s="308"/>
      <c r="CL179" s="308"/>
      <c r="CM179" s="308"/>
      <c r="CN179" s="308"/>
      <c r="CO179" s="308"/>
      <c r="CP179" s="308"/>
      <c r="CQ179" s="308"/>
      <c r="CR179" s="308"/>
      <c r="CS179" s="308"/>
      <c r="CT179" s="308"/>
      <c r="CU179" s="308"/>
      <c r="CV179" s="308"/>
      <c r="CW179" s="308"/>
      <c r="CX179" s="308"/>
      <c r="CY179" s="308"/>
      <c r="CZ179" s="308"/>
      <c r="DA179" s="308"/>
      <c r="DB179" s="308"/>
      <c r="DC179" s="308"/>
      <c r="DD179" s="308"/>
      <c r="DE179" s="308"/>
      <c r="DF179" s="308"/>
      <c r="DG179" s="308"/>
      <c r="DH179" s="308"/>
      <c r="DI179" s="308"/>
      <c r="DJ179" s="308"/>
      <c r="DK179" s="308"/>
      <c r="DL179" s="308"/>
      <c r="DM179" s="308"/>
      <c r="DN179" s="308"/>
      <c r="DO179" s="308"/>
      <c r="DP179" s="308"/>
      <c r="DQ179" s="308"/>
      <c r="DR179" s="308"/>
      <c r="DS179" s="308"/>
      <c r="DT179" s="308"/>
      <c r="DU179" s="308"/>
      <c r="DV179" s="308"/>
      <c r="DW179" s="308"/>
      <c r="DX179" s="308"/>
      <c r="DY179" s="308"/>
      <c r="DZ179" s="308"/>
      <c r="EA179" s="308"/>
      <c r="EB179" s="308"/>
      <c r="EC179" s="308"/>
      <c r="ED179" s="308"/>
      <c r="EE179" s="308"/>
      <c r="EF179" s="308"/>
      <c r="EG179" s="308"/>
      <c r="EH179" s="308"/>
      <c r="EI179" s="308"/>
      <c r="EJ179" s="308"/>
      <c r="EK179" s="308"/>
      <c r="EL179" s="308"/>
      <c r="EM179" s="308"/>
      <c r="EN179" s="308"/>
      <c r="EO179" s="308"/>
      <c r="EP179" s="308"/>
      <c r="EQ179" s="308"/>
      <c r="ER179" s="308"/>
      <c r="ES179" s="308"/>
      <c r="ET179" s="308"/>
      <c r="EU179" s="308"/>
      <c r="EV179" s="308"/>
      <c r="EW179" s="308"/>
      <c r="EX179" s="308"/>
      <c r="EY179" s="308"/>
      <c r="EZ179" s="308"/>
      <c r="FA179" s="308"/>
      <c r="FB179" s="308"/>
      <c r="FC179" s="308"/>
      <c r="FD179" s="308"/>
      <c r="FE179" s="308"/>
      <c r="FF179" s="308"/>
      <c r="FG179" s="308"/>
      <c r="FH179" s="308"/>
      <c r="FI179" s="308"/>
      <c r="FJ179" s="308"/>
      <c r="FK179" s="308"/>
      <c r="FL179" s="308"/>
      <c r="FM179" s="308"/>
      <c r="FN179" s="308"/>
      <c r="FO179" s="308"/>
      <c r="FP179" s="308"/>
      <c r="FQ179" s="308"/>
      <c r="FR179" s="308"/>
      <c r="FS179" s="308"/>
      <c r="FT179" s="308"/>
      <c r="FU179" s="308"/>
      <c r="FV179" s="308"/>
      <c r="FW179" s="308"/>
      <c r="FX179" s="308"/>
      <c r="FY179" s="308"/>
      <c r="FZ179" s="308"/>
      <c r="GA179" s="308"/>
      <c r="GB179" s="308"/>
      <c r="GC179" s="308"/>
      <c r="GD179" s="308"/>
      <c r="GE179" s="308"/>
      <c r="GF179" s="308"/>
      <c r="GG179" s="308"/>
      <c r="GH179" s="308"/>
      <c r="GI179" s="308"/>
      <c r="GJ179" s="308"/>
      <c r="GK179" s="308"/>
      <c r="GL179" s="308"/>
      <c r="GM179" s="308"/>
      <c r="GN179" s="308"/>
      <c r="GO179" s="308"/>
      <c r="GP179" s="308"/>
      <c r="GQ179" s="308"/>
      <c r="GR179" s="308"/>
      <c r="GS179" s="308"/>
      <c r="GT179" s="308"/>
      <c r="GU179" s="308"/>
      <c r="GV179" s="308"/>
      <c r="GW179" s="308"/>
      <c r="GX179" s="308"/>
      <c r="GY179" s="308"/>
      <c r="GZ179" s="308"/>
      <c r="HA179" s="308"/>
      <c r="HB179" s="308"/>
      <c r="HC179" s="308"/>
      <c r="HD179" s="308"/>
      <c r="HE179" s="308"/>
      <c r="HF179" s="308"/>
      <c r="HG179" s="308"/>
      <c r="HH179" s="308"/>
      <c r="HI179" s="308"/>
      <c r="HJ179" s="308"/>
      <c r="HK179" s="308"/>
      <c r="HL179" s="308"/>
      <c r="HM179" s="308"/>
      <c r="HN179" s="308"/>
      <c r="HO179" s="308"/>
      <c r="HP179" s="308"/>
      <c r="HQ179" s="308"/>
      <c r="HR179" s="308"/>
      <c r="HS179" s="308"/>
      <c r="HT179" s="308"/>
      <c r="HU179" s="308"/>
      <c r="HV179" s="308"/>
      <c r="HW179" s="308"/>
      <c r="HX179" s="308"/>
      <c r="HY179" s="308"/>
      <c r="HZ179" s="308"/>
      <c r="IA179" s="308"/>
      <c r="IB179" s="308"/>
      <c r="IC179" s="308"/>
      <c r="ID179" s="308"/>
      <c r="IE179" s="308"/>
      <c r="IF179" s="308"/>
      <c r="IG179" s="308"/>
      <c r="IH179" s="308"/>
      <c r="II179" s="308"/>
      <c r="IJ179" s="308"/>
      <c r="IK179" s="308"/>
      <c r="IL179" s="308"/>
      <c r="IM179" s="308"/>
      <c r="IN179" s="308"/>
      <c r="IO179" s="308"/>
      <c r="IP179" s="308"/>
      <c r="IQ179" s="308"/>
      <c r="IR179" s="308"/>
      <c r="IS179" s="308"/>
      <c r="IT179" s="308"/>
      <c r="IU179" s="308"/>
      <c r="IV179" s="308"/>
      <c r="IW179" s="308"/>
      <c r="IX179" s="308"/>
    </row>
    <row r="180" spans="1:258" s="308" customFormat="1" ht="17.399999999999999" x14ac:dyDescent="0.3">
      <c r="A180" s="174"/>
      <c r="B180" s="206"/>
      <c r="C180" s="85"/>
      <c r="D180" s="83" t="s">
        <v>164</v>
      </c>
      <c r="E180" s="270">
        <f>E175</f>
        <v>-0.21075904882694424</v>
      </c>
      <c r="F180" s="90">
        <f t="shared" ref="F180:F182" si="24">F175</f>
        <v>1.5636050262345871</v>
      </c>
      <c r="G180" s="278">
        <f>SUM(S180:U180)/(1-'Common input data'!$G$121)</f>
        <v>2.8559018034679653</v>
      </c>
      <c r="H180" s="85"/>
      <c r="I180" s="85"/>
      <c r="J180" s="85"/>
      <c r="K180" s="85"/>
      <c r="L180" s="85"/>
      <c r="M180" s="85"/>
      <c r="N180" s="85"/>
      <c r="O180" s="85"/>
      <c r="P180" s="85"/>
      <c r="Q180" s="85"/>
      <c r="R180" s="85"/>
      <c r="S180" s="85">
        <f>(F180+R175)*'Common input data'!D$32/'Common input data'!C$32</f>
        <v>1.3742376827801976</v>
      </c>
      <c r="T180" s="90">
        <f>'Common input data'!B$88</f>
        <v>0.05</v>
      </c>
      <c r="U180" s="90">
        <f>'Common input data'!B$103+'Common input data'!C$103</f>
        <v>0.32999999999999996</v>
      </c>
      <c r="V180" s="107"/>
      <c r="W180" s="243"/>
      <c r="Z180" s="64"/>
    </row>
    <row r="181" spans="1:258" s="308" customFormat="1" ht="17.399999999999999" x14ac:dyDescent="0.3">
      <c r="A181" s="174"/>
      <c r="B181" s="206"/>
      <c r="C181" s="85"/>
      <c r="D181" s="83" t="s">
        <v>165</v>
      </c>
      <c r="E181" s="270">
        <f>E176</f>
        <v>0</v>
      </c>
      <c r="F181" s="90">
        <f t="shared" si="24"/>
        <v>1.7317985779816514E-9</v>
      </c>
      <c r="G181" s="278">
        <f>SUM(S181:U181)/(1-'Common input data'!$G$121)</f>
        <v>2.1969123929805453E-9</v>
      </c>
      <c r="H181" s="85"/>
      <c r="I181" s="85"/>
      <c r="J181" s="85"/>
      <c r="K181" s="85"/>
      <c r="L181" s="85"/>
      <c r="M181" s="85"/>
      <c r="N181" s="85"/>
      <c r="O181" s="85"/>
      <c r="P181" s="85"/>
      <c r="Q181" s="85"/>
      <c r="R181" s="85"/>
      <c r="S181" s="85">
        <f>(F181+R176)*'Common input data'!D$32/'Common input data'!C$32</f>
        <v>1.3494534373882998E-9</v>
      </c>
      <c r="T181" s="90">
        <v>0</v>
      </c>
      <c r="U181" s="90">
        <v>0</v>
      </c>
      <c r="V181" s="107"/>
      <c r="W181" s="243"/>
      <c r="Z181" s="64"/>
    </row>
    <row r="182" spans="1:258" s="308" customFormat="1" ht="17.399999999999999" x14ac:dyDescent="0.3">
      <c r="A182" s="174"/>
      <c r="B182" s="206"/>
      <c r="C182" s="85"/>
      <c r="D182" s="84" t="s">
        <v>166</v>
      </c>
      <c r="E182" s="780">
        <f>E177</f>
        <v>2.1801904488859768E-3</v>
      </c>
      <c r="F182" s="108">
        <f t="shared" si="24"/>
        <v>4.1828255502268496E-3</v>
      </c>
      <c r="G182" s="521">
        <f>SUM(S182:U182)/(1-'Common input data'!$G$121)</f>
        <v>5.3062182899346368E-3</v>
      </c>
      <c r="H182" s="85"/>
      <c r="I182" s="85"/>
      <c r="J182" s="85"/>
      <c r="K182" s="85"/>
      <c r="L182" s="85"/>
      <c r="M182" s="85"/>
      <c r="N182" s="85"/>
      <c r="O182" s="85"/>
      <c r="P182" s="85"/>
      <c r="Q182" s="85"/>
      <c r="R182" s="85"/>
      <c r="S182" s="85">
        <f>(F182+R177)*'Common input data'!D$32/'Common input data'!C$32</f>
        <v>3.2593445845923506E-3</v>
      </c>
      <c r="T182" s="90">
        <v>0</v>
      </c>
      <c r="U182" s="90">
        <v>0</v>
      </c>
      <c r="V182" s="107"/>
      <c r="W182" s="243"/>
      <c r="Z182" s="64"/>
    </row>
    <row r="183" spans="1:258" s="427" customFormat="1" ht="17.399999999999999" x14ac:dyDescent="0.3">
      <c r="A183" s="426" t="s">
        <v>599</v>
      </c>
      <c r="B183" s="412"/>
      <c r="C183" s="413"/>
      <c r="D183" s="414"/>
      <c r="E183" s="767" t="s">
        <v>832</v>
      </c>
      <c r="F183" s="768" t="s">
        <v>832</v>
      </c>
      <c r="G183" s="590" t="s">
        <v>595</v>
      </c>
      <c r="H183" s="413"/>
      <c r="I183" s="413"/>
      <c r="J183" s="413"/>
      <c r="K183" s="416"/>
      <c r="L183" s="416"/>
      <c r="M183" s="417"/>
      <c r="N183" s="416"/>
      <c r="O183" s="416"/>
      <c r="P183" s="416"/>
      <c r="Q183" s="416"/>
      <c r="R183" s="416"/>
      <c r="S183" s="414"/>
      <c r="T183" s="416"/>
      <c r="U183" s="416"/>
      <c r="V183" s="107"/>
      <c r="W183" s="243"/>
      <c r="X183" s="308"/>
      <c r="Y183" s="308"/>
      <c r="Z183" s="64"/>
      <c r="AA183" s="308"/>
      <c r="AB183" s="308"/>
      <c r="AC183" s="308"/>
      <c r="AD183" s="308"/>
      <c r="AE183" s="308"/>
      <c r="AF183" s="308"/>
      <c r="AG183" s="308"/>
      <c r="AH183" s="308"/>
      <c r="AI183" s="308"/>
      <c r="AJ183" s="308"/>
      <c r="AK183" s="308"/>
      <c r="AL183" s="308"/>
      <c r="AM183" s="308"/>
      <c r="AN183" s="308"/>
      <c r="AO183" s="308"/>
      <c r="AP183" s="308"/>
      <c r="AQ183" s="308"/>
      <c r="AR183" s="308"/>
      <c r="AS183" s="308"/>
      <c r="AT183" s="308"/>
      <c r="AU183" s="308"/>
      <c r="AV183" s="308"/>
      <c r="AW183" s="308"/>
      <c r="AX183" s="308"/>
      <c r="AY183" s="308"/>
      <c r="AZ183" s="308"/>
      <c r="BA183" s="308"/>
      <c r="BB183" s="308"/>
      <c r="BC183" s="308"/>
      <c r="BD183" s="308"/>
      <c r="BE183" s="308"/>
      <c r="BF183" s="308"/>
      <c r="BG183" s="308"/>
      <c r="BH183" s="308"/>
      <c r="BI183" s="308"/>
      <c r="BJ183" s="308"/>
      <c r="BK183" s="308"/>
      <c r="BL183" s="308"/>
      <c r="BM183" s="308"/>
      <c r="BN183" s="308"/>
      <c r="BO183" s="308"/>
      <c r="BP183" s="308"/>
      <c r="BQ183" s="308"/>
      <c r="BR183" s="308"/>
      <c r="BS183" s="308"/>
      <c r="BT183" s="308"/>
      <c r="BU183" s="308"/>
      <c r="BV183" s="308"/>
      <c r="BW183" s="308"/>
      <c r="BX183" s="308"/>
      <c r="BY183" s="308"/>
      <c r="BZ183" s="308"/>
      <c r="CA183" s="308"/>
      <c r="CB183" s="308"/>
      <c r="CC183" s="308"/>
      <c r="CD183" s="308"/>
      <c r="CE183" s="308"/>
      <c r="CF183" s="308"/>
      <c r="CG183" s="308"/>
      <c r="CH183" s="308"/>
      <c r="CI183" s="308"/>
      <c r="CJ183" s="308"/>
      <c r="CK183" s="308"/>
      <c r="CL183" s="308"/>
      <c r="CM183" s="308"/>
      <c r="CN183" s="308"/>
      <c r="CO183" s="308"/>
      <c r="CP183" s="308"/>
      <c r="CQ183" s="308"/>
      <c r="CR183" s="308"/>
      <c r="CS183" s="308"/>
      <c r="CT183" s="308"/>
      <c r="CU183" s="308"/>
      <c r="CV183" s="308"/>
      <c r="CW183" s="308"/>
      <c r="CX183" s="308"/>
      <c r="CY183" s="308"/>
      <c r="CZ183" s="308"/>
      <c r="DA183" s="308"/>
      <c r="DB183" s="308"/>
      <c r="DC183" s="308"/>
      <c r="DD183" s="308"/>
      <c r="DE183" s="308"/>
      <c r="DF183" s="308"/>
      <c r="DG183" s="308"/>
      <c r="DH183" s="308"/>
      <c r="DI183" s="308"/>
      <c r="DJ183" s="308"/>
      <c r="DK183" s="308"/>
      <c r="DL183" s="308"/>
      <c r="DM183" s="308"/>
      <c r="DN183" s="308"/>
      <c r="DO183" s="308"/>
      <c r="DP183" s="308"/>
      <c r="DQ183" s="308"/>
      <c r="DR183" s="308"/>
      <c r="DS183" s="308"/>
      <c r="DT183" s="308"/>
      <c r="DU183" s="308"/>
      <c r="DV183" s="308"/>
      <c r="DW183" s="308"/>
      <c r="DX183" s="308"/>
      <c r="DY183" s="308"/>
      <c r="DZ183" s="308"/>
      <c r="EA183" s="308"/>
      <c r="EB183" s="308"/>
      <c r="EC183" s="308"/>
      <c r="ED183" s="308"/>
      <c r="EE183" s="308"/>
      <c r="EF183" s="308"/>
      <c r="EG183" s="308"/>
      <c r="EH183" s="308"/>
      <c r="EI183" s="308"/>
      <c r="EJ183" s="308"/>
      <c r="EK183" s="308"/>
      <c r="EL183" s="308"/>
      <c r="EM183" s="308"/>
      <c r="EN183" s="308"/>
      <c r="EO183" s="308"/>
      <c r="EP183" s="308"/>
      <c r="EQ183" s="308"/>
      <c r="ER183" s="308"/>
      <c r="ES183" s="308"/>
      <c r="ET183" s="308"/>
      <c r="EU183" s="308"/>
      <c r="EV183" s="308"/>
      <c r="EW183" s="308"/>
      <c r="EX183" s="308"/>
      <c r="EY183" s="308"/>
      <c r="EZ183" s="308"/>
      <c r="FA183" s="308"/>
      <c r="FB183" s="308"/>
      <c r="FC183" s="308"/>
      <c r="FD183" s="308"/>
      <c r="FE183" s="308"/>
      <c r="FF183" s="308"/>
      <c r="FG183" s="308"/>
      <c r="FH183" s="308"/>
      <c r="FI183" s="308"/>
      <c r="FJ183" s="308"/>
      <c r="FK183" s="308"/>
      <c r="FL183" s="308"/>
      <c r="FM183" s="308"/>
      <c r="FN183" s="308"/>
      <c r="FO183" s="308"/>
      <c r="FP183" s="308"/>
      <c r="FQ183" s="308"/>
      <c r="FR183" s="308"/>
      <c r="FS183" s="308"/>
      <c r="FT183" s="308"/>
      <c r="FU183" s="308"/>
      <c r="FV183" s="308"/>
      <c r="FW183" s="308"/>
      <c r="FX183" s="308"/>
      <c r="FY183" s="308"/>
      <c r="FZ183" s="308"/>
      <c r="GA183" s="308"/>
      <c r="GB183" s="308"/>
      <c r="GC183" s="308"/>
      <c r="GD183" s="308"/>
      <c r="GE183" s="308"/>
      <c r="GF183" s="308"/>
      <c r="GG183" s="308"/>
      <c r="GH183" s="308"/>
      <c r="GI183" s="308"/>
      <c r="GJ183" s="308"/>
      <c r="GK183" s="308"/>
      <c r="GL183" s="308"/>
      <c r="GM183" s="308"/>
      <c r="GN183" s="308"/>
      <c r="GO183" s="308"/>
      <c r="GP183" s="308"/>
      <c r="GQ183" s="308"/>
      <c r="GR183" s="308"/>
      <c r="GS183" s="308"/>
      <c r="GT183" s="308"/>
      <c r="GU183" s="308"/>
      <c r="GV183" s="308"/>
      <c r="GW183" s="308"/>
      <c r="GX183" s="308"/>
      <c r="GY183" s="308"/>
      <c r="GZ183" s="308"/>
      <c r="HA183" s="308"/>
      <c r="HB183" s="308"/>
      <c r="HC183" s="308"/>
      <c r="HD183" s="308"/>
      <c r="HE183" s="308"/>
      <c r="HF183" s="308"/>
      <c r="HG183" s="308"/>
      <c r="HH183" s="308"/>
      <c r="HI183" s="308"/>
      <c r="HJ183" s="308"/>
      <c r="HK183" s="308"/>
      <c r="HL183" s="308"/>
      <c r="HM183" s="308"/>
      <c r="HN183" s="308"/>
      <c r="HO183" s="308"/>
      <c r="HP183" s="308"/>
      <c r="HQ183" s="308"/>
      <c r="HR183" s="308"/>
      <c r="HS183" s="308"/>
      <c r="HT183" s="308"/>
      <c r="HU183" s="308"/>
      <c r="HV183" s="308"/>
      <c r="HW183" s="308"/>
      <c r="HX183" s="308"/>
      <c r="HY183" s="308"/>
      <c r="HZ183" s="308"/>
      <c r="IA183" s="308"/>
      <c r="IB183" s="308"/>
      <c r="IC183" s="308"/>
      <c r="ID183" s="308"/>
      <c r="IE183" s="308"/>
      <c r="IF183" s="308"/>
      <c r="IG183" s="308"/>
      <c r="IH183" s="308"/>
      <c r="II183" s="308"/>
      <c r="IJ183" s="308"/>
      <c r="IK183" s="308"/>
      <c r="IL183" s="308"/>
      <c r="IM183" s="308"/>
      <c r="IN183" s="308"/>
      <c r="IO183" s="308"/>
      <c r="IP183" s="308"/>
      <c r="IQ183" s="308"/>
      <c r="IR183" s="308"/>
      <c r="IS183" s="308"/>
      <c r="IT183" s="308"/>
      <c r="IU183" s="308"/>
      <c r="IV183" s="308"/>
      <c r="IW183" s="308"/>
      <c r="IX183" s="308"/>
    </row>
    <row r="184" spans="1:258" s="420" customFormat="1" ht="17.399999999999999" x14ac:dyDescent="0.3">
      <c r="A184" s="122" t="s">
        <v>486</v>
      </c>
      <c r="B184" s="150" t="s">
        <v>225</v>
      </c>
      <c r="C184" s="112">
        <f>'Input data plant-based products'!D38</f>
        <v>1</v>
      </c>
      <c r="D184" s="269" t="s">
        <v>473</v>
      </c>
      <c r="E184" s="769">
        <f>IF($F$1="GWP100 without fb",E185+E186*'Common input data'!$C$5+E187*'Common input data'!$D$5,IF($F$1="GWP100 with fb",E185+E186*'Common input data'!$C$6+E187*'Common input data'!$D$6,IF($F$1="GTP100 without fb",E185+E186*'Common input data'!$C$7+E187*'Common input data'!$D$7,IF($F$1="GTP100 with fb",E185+E186*'Common input data'!$C$8+E187*'Common input data'!$D$8,E185+E186*'Common input data'!$C$9+E187*'Common input data'!$D$9))))</f>
        <v>0.43893770494107681</v>
      </c>
      <c r="F184" s="326">
        <f>IF($F$1="GWP100 without fb",F185+F186*'Common input data'!$C$5+F187*'Common input data'!$D$5,IF($F$1="GWP100 with fb",F185+F186*'Common input data'!$C$6+F187*'Common input data'!$D$6,IF($F$1="GTP100 without fb",F185+F186*'Common input data'!$C$7+F187*'Common input data'!$D$7,IF($F$1="GTP100 with fb",F185+F186*'Common input data'!$C$8+F187*'Common input data'!$D$8,F185+F186*'Common input data'!$C$9+F187*'Common input data'!$D$9))))</f>
        <v>2.81008709908334</v>
      </c>
      <c r="G184" s="770">
        <f>IF($F$1="GWP100 without fb",G185+G186*'Common input data'!$C$5+G187*'Common input data'!$D$5,IF($F$1="GWP100 with fb",G185+G186*'Common input data'!$C$6+G187*'Common input data'!$D$6,IF($F$1="GTP100 without fb",G185+G186*'Common input data'!$C$7+G187*'Common input data'!$D$7,IF($F$1="GTP100 with fb",G185+G186*'Common input data'!$C$8+G187*'Common input data'!$D$8,G185+G186*'Common input data'!$C$9+G187*'Common input data'!$D$9))))</f>
        <v>8.7860184481979111</v>
      </c>
      <c r="H184" s="302"/>
      <c r="I184" s="104"/>
      <c r="J184" s="104"/>
      <c r="K184" s="102"/>
      <c r="L184" s="102"/>
      <c r="M184" s="102"/>
      <c r="N184" s="102"/>
      <c r="O184" s="102"/>
      <c r="P184" s="102"/>
      <c r="Q184" s="102"/>
      <c r="R184" s="102"/>
      <c r="S184" s="269" t="s">
        <v>595</v>
      </c>
      <c r="T184" s="102"/>
      <c r="U184" s="102"/>
      <c r="V184" s="107"/>
      <c r="W184" s="243"/>
      <c r="X184" s="308"/>
      <c r="Y184" s="308"/>
      <c r="Z184" s="64"/>
      <c r="AA184" s="308"/>
      <c r="AB184" s="308"/>
      <c r="AC184" s="308"/>
      <c r="AD184" s="308"/>
      <c r="AE184" s="308"/>
      <c r="AF184" s="308"/>
      <c r="AG184" s="308"/>
      <c r="AH184" s="308"/>
      <c r="AI184" s="308"/>
      <c r="AJ184" s="308"/>
      <c r="AK184" s="308"/>
      <c r="AL184" s="308"/>
      <c r="AM184" s="308"/>
      <c r="AN184" s="308"/>
      <c r="AO184" s="308"/>
      <c r="AP184" s="308"/>
      <c r="AQ184" s="308"/>
      <c r="AR184" s="308"/>
      <c r="AS184" s="308"/>
      <c r="AT184" s="308"/>
      <c r="AU184" s="308"/>
      <c r="AV184" s="308"/>
      <c r="AW184" s="308"/>
      <c r="AX184" s="308"/>
      <c r="AY184" s="308"/>
      <c r="AZ184" s="308"/>
      <c r="BA184" s="308"/>
      <c r="BB184" s="308"/>
      <c r="BC184" s="308"/>
      <c r="BD184" s="308"/>
      <c r="BE184" s="308"/>
      <c r="BF184" s="308"/>
      <c r="BG184" s="308"/>
      <c r="BH184" s="308"/>
      <c r="BI184" s="308"/>
      <c r="BJ184" s="308"/>
      <c r="BK184" s="308"/>
      <c r="BL184" s="308"/>
      <c r="BM184" s="308"/>
      <c r="BN184" s="308"/>
      <c r="BO184" s="308"/>
      <c r="BP184" s="308"/>
      <c r="BQ184" s="308"/>
      <c r="BR184" s="308"/>
      <c r="BS184" s="308"/>
      <c r="BT184" s="308"/>
      <c r="BU184" s="308"/>
      <c r="BV184" s="308"/>
      <c r="BW184" s="308"/>
      <c r="BX184" s="308"/>
      <c r="BY184" s="308"/>
      <c r="BZ184" s="308"/>
      <c r="CA184" s="308"/>
      <c r="CB184" s="308"/>
      <c r="CC184" s="308"/>
      <c r="CD184" s="308"/>
      <c r="CE184" s="308"/>
      <c r="CF184" s="308"/>
      <c r="CG184" s="308"/>
      <c r="CH184" s="308"/>
      <c r="CI184" s="308"/>
      <c r="CJ184" s="308"/>
      <c r="CK184" s="308"/>
      <c r="CL184" s="308"/>
      <c r="CM184" s="308"/>
      <c r="CN184" s="308"/>
      <c r="CO184" s="308"/>
      <c r="CP184" s="308"/>
      <c r="CQ184" s="308"/>
      <c r="CR184" s="308"/>
      <c r="CS184" s="308"/>
      <c r="CT184" s="308"/>
      <c r="CU184" s="308"/>
      <c r="CV184" s="308"/>
      <c r="CW184" s="308"/>
      <c r="CX184" s="308"/>
      <c r="CY184" s="308"/>
      <c r="CZ184" s="308"/>
      <c r="DA184" s="308"/>
      <c r="DB184" s="308"/>
      <c r="DC184" s="308"/>
      <c r="DD184" s="308"/>
      <c r="DE184" s="308"/>
      <c r="DF184" s="308"/>
      <c r="DG184" s="308"/>
      <c r="DH184" s="308"/>
      <c r="DI184" s="308"/>
      <c r="DJ184" s="308"/>
      <c r="DK184" s="308"/>
      <c r="DL184" s="308"/>
      <c r="DM184" s="308"/>
      <c r="DN184" s="308"/>
      <c r="DO184" s="308"/>
      <c r="DP184" s="308"/>
      <c r="DQ184" s="308"/>
      <c r="DR184" s="308"/>
      <c r="DS184" s="308"/>
      <c r="DT184" s="308"/>
      <c r="DU184" s="308"/>
      <c r="DV184" s="308"/>
      <c r="DW184" s="308"/>
      <c r="DX184" s="308"/>
      <c r="DY184" s="308"/>
      <c r="DZ184" s="308"/>
      <c r="EA184" s="308"/>
      <c r="EB184" s="308"/>
      <c r="EC184" s="308"/>
      <c r="ED184" s="308"/>
      <c r="EE184" s="308"/>
      <c r="EF184" s="308"/>
      <c r="EG184" s="308"/>
      <c r="EH184" s="308"/>
      <c r="EI184" s="308"/>
      <c r="EJ184" s="308"/>
      <c r="EK184" s="308"/>
      <c r="EL184" s="308"/>
      <c r="EM184" s="308"/>
      <c r="EN184" s="308"/>
      <c r="EO184" s="308"/>
      <c r="EP184" s="308"/>
      <c r="EQ184" s="308"/>
      <c r="ER184" s="308"/>
      <c r="ES184" s="308"/>
      <c r="ET184" s="308"/>
      <c r="EU184" s="308"/>
      <c r="EV184" s="308"/>
      <c r="EW184" s="308"/>
      <c r="EX184" s="308"/>
      <c r="EY184" s="308"/>
      <c r="EZ184" s="308"/>
      <c r="FA184" s="308"/>
      <c r="FB184" s="308"/>
      <c r="FC184" s="308"/>
      <c r="FD184" s="308"/>
      <c r="FE184" s="308"/>
      <c r="FF184" s="308"/>
      <c r="FG184" s="308"/>
      <c r="FH184" s="308"/>
      <c r="FI184" s="308"/>
      <c r="FJ184" s="308"/>
      <c r="FK184" s="308"/>
      <c r="FL184" s="308"/>
      <c r="FM184" s="308"/>
      <c r="FN184" s="308"/>
      <c r="FO184" s="308"/>
      <c r="FP184" s="308"/>
      <c r="FQ184" s="308"/>
      <c r="FR184" s="308"/>
      <c r="FS184" s="308"/>
      <c r="FT184" s="308"/>
      <c r="FU184" s="308"/>
      <c r="FV184" s="308"/>
      <c r="FW184" s="308"/>
      <c r="FX184" s="308"/>
      <c r="FY184" s="308"/>
      <c r="FZ184" s="308"/>
      <c r="GA184" s="308"/>
      <c r="GB184" s="308"/>
      <c r="GC184" s="308"/>
      <c r="GD184" s="308"/>
      <c r="GE184" s="308"/>
      <c r="GF184" s="308"/>
      <c r="GG184" s="308"/>
      <c r="GH184" s="308"/>
      <c r="GI184" s="308"/>
      <c r="GJ184" s="308"/>
      <c r="GK184" s="308"/>
      <c r="GL184" s="308"/>
      <c r="GM184" s="308"/>
      <c r="GN184" s="308"/>
      <c r="GO184" s="308"/>
      <c r="GP184" s="308"/>
      <c r="GQ184" s="308"/>
      <c r="GR184" s="308"/>
      <c r="GS184" s="308"/>
      <c r="GT184" s="308"/>
      <c r="GU184" s="308"/>
      <c r="GV184" s="308"/>
      <c r="GW184" s="308"/>
      <c r="GX184" s="308"/>
      <c r="GY184" s="308"/>
      <c r="GZ184" s="308"/>
      <c r="HA184" s="308"/>
      <c r="HB184" s="308"/>
      <c r="HC184" s="308"/>
      <c r="HD184" s="308"/>
      <c r="HE184" s="308"/>
      <c r="HF184" s="308"/>
      <c r="HG184" s="308"/>
      <c r="HH184" s="308"/>
      <c r="HI184" s="308"/>
      <c r="HJ184" s="308"/>
      <c r="HK184" s="308"/>
      <c r="HL184" s="308"/>
      <c r="HM184" s="308"/>
      <c r="HN184" s="308"/>
      <c r="HO184" s="308"/>
      <c r="HP184" s="308"/>
      <c r="HQ184" s="308"/>
      <c r="HR184" s="308"/>
      <c r="HS184" s="308"/>
      <c r="HT184" s="308"/>
      <c r="HU184" s="308"/>
      <c r="HV184" s="308"/>
      <c r="HW184" s="308"/>
      <c r="HX184" s="308"/>
      <c r="HY184" s="308"/>
      <c r="HZ184" s="308"/>
      <c r="IA184" s="308"/>
      <c r="IB184" s="308"/>
      <c r="IC184" s="308"/>
      <c r="ID184" s="308"/>
      <c r="IE184" s="308"/>
      <c r="IF184" s="308"/>
      <c r="IG184" s="308"/>
      <c r="IH184" s="308"/>
      <c r="II184" s="308"/>
      <c r="IJ184" s="308"/>
      <c r="IK184" s="308"/>
      <c r="IL184" s="308"/>
      <c r="IM184" s="308"/>
      <c r="IN184" s="308"/>
      <c r="IO184" s="308"/>
      <c r="IP184" s="308"/>
      <c r="IQ184" s="308"/>
      <c r="IR184" s="308"/>
      <c r="IS184" s="308"/>
      <c r="IT184" s="308"/>
      <c r="IU184" s="308"/>
      <c r="IV184" s="308"/>
      <c r="IW184" s="308"/>
      <c r="IX184" s="308"/>
    </row>
    <row r="185" spans="1:258" s="308" customFormat="1" ht="17.399999999999999" x14ac:dyDescent="0.3">
      <c r="A185" s="174"/>
      <c r="B185" s="206"/>
      <c r="C185" s="85"/>
      <c r="D185" s="83" t="s">
        <v>164</v>
      </c>
      <c r="E185" s="270">
        <f>E175</f>
        <v>-0.21075904882694424</v>
      </c>
      <c r="F185" s="90">
        <f t="shared" ref="F185:F187" si="25">F175</f>
        <v>1.5636050262345871</v>
      </c>
      <c r="G185" s="278">
        <f>SUM(S185:U185)/(1-'Common input data'!$G$121)</f>
        <v>5.4038937084102212</v>
      </c>
      <c r="H185" s="85"/>
      <c r="I185" s="85"/>
      <c r="J185" s="85"/>
      <c r="K185" s="85"/>
      <c r="L185" s="85"/>
      <c r="M185" s="85"/>
      <c r="N185" s="85"/>
      <c r="O185" s="85"/>
      <c r="P185" s="85"/>
      <c r="Q185" s="85"/>
      <c r="R185" s="85"/>
      <c r="S185" s="85">
        <f>(F180+R175)*'Common input data'!G$32/'Common input data'!F$32</f>
        <v>2.9393417103909782</v>
      </c>
      <c r="T185" s="90">
        <f>'Common input data'!B$88</f>
        <v>0.05</v>
      </c>
      <c r="U185" s="90">
        <f>'Common input data'!B$103+'Common input data'!C$103</f>
        <v>0.32999999999999996</v>
      </c>
      <c r="V185" s="107"/>
      <c r="W185" s="243"/>
      <c r="Z185" s="64"/>
    </row>
    <row r="186" spans="1:258" s="308" customFormat="1" ht="17.399999999999999" x14ac:dyDescent="0.3">
      <c r="A186" s="174"/>
      <c r="B186" s="206"/>
      <c r="C186" s="85"/>
      <c r="D186" s="83" t="s">
        <v>165</v>
      </c>
      <c r="E186" s="270">
        <f>E176</f>
        <v>0</v>
      </c>
      <c r="F186" s="90">
        <f t="shared" si="25"/>
        <v>1.7317985779816514E-9</v>
      </c>
      <c r="G186" s="278">
        <f>SUM(S186:U186)/(1-'Common input data'!$G$121)</f>
        <v>4.6989515072083884E-9</v>
      </c>
      <c r="H186" s="85"/>
      <c r="I186" s="85"/>
      <c r="J186" s="85"/>
      <c r="K186" s="85"/>
      <c r="L186" s="85"/>
      <c r="M186" s="85"/>
      <c r="N186" s="85"/>
      <c r="O186" s="85"/>
      <c r="P186" s="85"/>
      <c r="Q186" s="85"/>
      <c r="R186" s="85"/>
      <c r="S186" s="85">
        <f>(F181+R176)*'Common input data'!G$32/'Common input data'!F$32</f>
        <v>2.8863309633027523E-9</v>
      </c>
      <c r="T186" s="90">
        <v>0</v>
      </c>
      <c r="U186" s="90">
        <v>0</v>
      </c>
      <c r="V186" s="107"/>
      <c r="W186" s="243"/>
      <c r="Z186" s="64"/>
    </row>
    <row r="187" spans="1:258" s="308" customFormat="1" ht="17.399999999999999" x14ac:dyDescent="0.3">
      <c r="A187" s="174"/>
      <c r="B187" s="206"/>
      <c r="C187" s="85"/>
      <c r="D187" s="84" t="s">
        <v>166</v>
      </c>
      <c r="E187" s="780">
        <f>E177</f>
        <v>2.1801904488859768E-3</v>
      </c>
      <c r="F187" s="108">
        <f t="shared" si="25"/>
        <v>4.1828255502268496E-3</v>
      </c>
      <c r="G187" s="521">
        <f>SUM(S187:U187)/(1-'Common input data'!$G$121)</f>
        <v>1.1349411342360194E-2</v>
      </c>
      <c r="H187" s="85"/>
      <c r="I187" s="85"/>
      <c r="J187" s="85"/>
      <c r="K187" s="85"/>
      <c r="L187" s="85"/>
      <c r="M187" s="85"/>
      <c r="N187" s="85"/>
      <c r="O187" s="85"/>
      <c r="P187" s="85"/>
      <c r="Q187" s="85"/>
      <c r="R187" s="85"/>
      <c r="S187" s="85">
        <f>(F182+R177)*'Common input data'!G$32/'Common input data'!F$32</f>
        <v>6.9713759170447493E-3</v>
      </c>
      <c r="T187" s="90">
        <v>0</v>
      </c>
      <c r="U187" s="90">
        <v>0</v>
      </c>
      <c r="V187" s="107"/>
      <c r="W187" s="243"/>
      <c r="Z187" s="64"/>
    </row>
    <row r="188" spans="1:258" s="427" customFormat="1" ht="17.399999999999999" x14ac:dyDescent="0.3">
      <c r="A188" s="426" t="s">
        <v>600</v>
      </c>
      <c r="B188" s="412"/>
      <c r="C188" s="413"/>
      <c r="D188" s="414"/>
      <c r="E188" s="767" t="s">
        <v>833</v>
      </c>
      <c r="F188" s="768" t="s">
        <v>833</v>
      </c>
      <c r="G188" s="590" t="s">
        <v>834</v>
      </c>
      <c r="H188" s="413"/>
      <c r="I188" s="413"/>
      <c r="J188" s="413"/>
      <c r="K188" s="416"/>
      <c r="L188" s="416"/>
      <c r="M188" s="417"/>
      <c r="N188" s="416"/>
      <c r="O188" s="416"/>
      <c r="P188" s="416"/>
      <c r="Q188" s="416"/>
      <c r="R188" s="416"/>
      <c r="S188" s="416"/>
      <c r="T188" s="416"/>
      <c r="U188" s="416"/>
      <c r="V188" s="107"/>
      <c r="W188" s="243"/>
      <c r="X188" s="308"/>
      <c r="Y188" s="308"/>
      <c r="Z188" s="64"/>
      <c r="AA188" s="308"/>
      <c r="AB188" s="308"/>
      <c r="AC188" s="308"/>
      <c r="AD188" s="308"/>
      <c r="AE188" s="308"/>
      <c r="AF188" s="308"/>
      <c r="AG188" s="308"/>
      <c r="AH188" s="308"/>
      <c r="AI188" s="308"/>
      <c r="AJ188" s="308"/>
      <c r="AK188" s="308"/>
      <c r="AL188" s="308"/>
      <c r="AM188" s="308"/>
      <c r="AN188" s="308"/>
      <c r="AO188" s="308"/>
      <c r="AP188" s="308"/>
      <c r="AQ188" s="308"/>
      <c r="AR188" s="308"/>
      <c r="AS188" s="308"/>
      <c r="AT188" s="308"/>
      <c r="AU188" s="308"/>
      <c r="AV188" s="308"/>
      <c r="AW188" s="308"/>
      <c r="AX188" s="308"/>
      <c r="AY188" s="308"/>
      <c r="AZ188" s="308"/>
      <c r="BA188" s="308"/>
      <c r="BB188" s="308"/>
      <c r="BC188" s="308"/>
      <c r="BD188" s="308"/>
      <c r="BE188" s="308"/>
      <c r="BF188" s="308"/>
      <c r="BG188" s="308"/>
      <c r="BH188" s="308"/>
      <c r="BI188" s="308"/>
      <c r="BJ188" s="308"/>
      <c r="BK188" s="308"/>
      <c r="BL188" s="308"/>
      <c r="BM188" s="308"/>
      <c r="BN188" s="308"/>
      <c r="BO188" s="308"/>
      <c r="BP188" s="308"/>
      <c r="BQ188" s="308"/>
      <c r="BR188" s="308"/>
      <c r="BS188" s="308"/>
      <c r="BT188" s="308"/>
      <c r="BU188" s="308"/>
      <c r="BV188" s="308"/>
      <c r="BW188" s="308"/>
      <c r="BX188" s="308"/>
      <c r="BY188" s="308"/>
      <c r="BZ188" s="308"/>
      <c r="CA188" s="308"/>
      <c r="CB188" s="308"/>
      <c r="CC188" s="308"/>
      <c r="CD188" s="308"/>
      <c r="CE188" s="308"/>
      <c r="CF188" s="308"/>
      <c r="CG188" s="308"/>
      <c r="CH188" s="308"/>
      <c r="CI188" s="308"/>
      <c r="CJ188" s="308"/>
      <c r="CK188" s="308"/>
      <c r="CL188" s="308"/>
      <c r="CM188" s="308"/>
      <c r="CN188" s="308"/>
      <c r="CO188" s="308"/>
      <c r="CP188" s="308"/>
      <c r="CQ188" s="308"/>
      <c r="CR188" s="308"/>
      <c r="CS188" s="308"/>
      <c r="CT188" s="308"/>
      <c r="CU188" s="308"/>
      <c r="CV188" s="308"/>
      <c r="CW188" s="308"/>
      <c r="CX188" s="308"/>
      <c r="CY188" s="308"/>
      <c r="CZ188" s="308"/>
      <c r="DA188" s="308"/>
      <c r="DB188" s="308"/>
      <c r="DC188" s="308"/>
      <c r="DD188" s="308"/>
      <c r="DE188" s="308"/>
      <c r="DF188" s="308"/>
      <c r="DG188" s="308"/>
      <c r="DH188" s="308"/>
      <c r="DI188" s="308"/>
      <c r="DJ188" s="308"/>
      <c r="DK188" s="308"/>
      <c r="DL188" s="308"/>
      <c r="DM188" s="308"/>
      <c r="DN188" s="308"/>
      <c r="DO188" s="308"/>
      <c r="DP188" s="308"/>
      <c r="DQ188" s="308"/>
      <c r="DR188" s="308"/>
      <c r="DS188" s="308"/>
      <c r="DT188" s="308"/>
      <c r="DU188" s="308"/>
      <c r="DV188" s="308"/>
      <c r="DW188" s="308"/>
      <c r="DX188" s="308"/>
      <c r="DY188" s="308"/>
      <c r="DZ188" s="308"/>
      <c r="EA188" s="308"/>
      <c r="EB188" s="308"/>
      <c r="EC188" s="308"/>
      <c r="ED188" s="308"/>
      <c r="EE188" s="308"/>
      <c r="EF188" s="308"/>
      <c r="EG188" s="308"/>
      <c r="EH188" s="308"/>
      <c r="EI188" s="308"/>
      <c r="EJ188" s="308"/>
      <c r="EK188" s="308"/>
      <c r="EL188" s="308"/>
      <c r="EM188" s="308"/>
      <c r="EN188" s="308"/>
      <c r="EO188" s="308"/>
      <c r="EP188" s="308"/>
      <c r="EQ188" s="308"/>
      <c r="ER188" s="308"/>
      <c r="ES188" s="308"/>
      <c r="ET188" s="308"/>
      <c r="EU188" s="308"/>
      <c r="EV188" s="308"/>
      <c r="EW188" s="308"/>
      <c r="EX188" s="308"/>
      <c r="EY188" s="308"/>
      <c r="EZ188" s="308"/>
      <c r="FA188" s="308"/>
      <c r="FB188" s="308"/>
      <c r="FC188" s="308"/>
      <c r="FD188" s="308"/>
      <c r="FE188" s="308"/>
      <c r="FF188" s="308"/>
      <c r="FG188" s="308"/>
      <c r="FH188" s="308"/>
      <c r="FI188" s="308"/>
      <c r="FJ188" s="308"/>
      <c r="FK188" s="308"/>
      <c r="FL188" s="308"/>
      <c r="FM188" s="308"/>
      <c r="FN188" s="308"/>
      <c r="FO188" s="308"/>
      <c r="FP188" s="308"/>
      <c r="FQ188" s="308"/>
      <c r="FR188" s="308"/>
      <c r="FS188" s="308"/>
      <c r="FT188" s="308"/>
      <c r="FU188" s="308"/>
      <c r="FV188" s="308"/>
      <c r="FW188" s="308"/>
      <c r="FX188" s="308"/>
      <c r="FY188" s="308"/>
      <c r="FZ188" s="308"/>
      <c r="GA188" s="308"/>
      <c r="GB188" s="308"/>
      <c r="GC188" s="308"/>
      <c r="GD188" s="308"/>
      <c r="GE188" s="308"/>
      <c r="GF188" s="308"/>
      <c r="GG188" s="308"/>
      <c r="GH188" s="308"/>
      <c r="GI188" s="308"/>
      <c r="GJ188" s="308"/>
      <c r="GK188" s="308"/>
      <c r="GL188" s="308"/>
      <c r="GM188" s="308"/>
      <c r="GN188" s="308"/>
      <c r="GO188" s="308"/>
      <c r="GP188" s="308"/>
      <c r="GQ188" s="308"/>
      <c r="GR188" s="308"/>
      <c r="GS188" s="308"/>
      <c r="GT188" s="308"/>
      <c r="GU188" s="308"/>
      <c r="GV188" s="308"/>
      <c r="GW188" s="308"/>
      <c r="GX188" s="308"/>
      <c r="GY188" s="308"/>
      <c r="GZ188" s="308"/>
      <c r="HA188" s="308"/>
      <c r="HB188" s="308"/>
      <c r="HC188" s="308"/>
      <c r="HD188" s="308"/>
      <c r="HE188" s="308"/>
      <c r="HF188" s="308"/>
      <c r="HG188" s="308"/>
      <c r="HH188" s="308"/>
      <c r="HI188" s="308"/>
      <c r="HJ188" s="308"/>
      <c r="HK188" s="308"/>
      <c r="HL188" s="308"/>
      <c r="HM188" s="308"/>
      <c r="HN188" s="308"/>
      <c r="HO188" s="308"/>
      <c r="HP188" s="308"/>
      <c r="HQ188" s="308"/>
      <c r="HR188" s="308"/>
      <c r="HS188" s="308"/>
      <c r="HT188" s="308"/>
      <c r="HU188" s="308"/>
      <c r="HV188" s="308"/>
      <c r="HW188" s="308"/>
      <c r="HX188" s="308"/>
      <c r="HY188" s="308"/>
      <c r="HZ188" s="308"/>
      <c r="IA188" s="308"/>
      <c r="IB188" s="308"/>
      <c r="IC188" s="308"/>
      <c r="ID188" s="308"/>
      <c r="IE188" s="308"/>
      <c r="IF188" s="308"/>
      <c r="IG188" s="308"/>
      <c r="IH188" s="308"/>
      <c r="II188" s="308"/>
      <c r="IJ188" s="308"/>
      <c r="IK188" s="308"/>
      <c r="IL188" s="308"/>
      <c r="IM188" s="308"/>
      <c r="IN188" s="308"/>
      <c r="IO188" s="308"/>
      <c r="IP188" s="308"/>
      <c r="IQ188" s="308"/>
      <c r="IR188" s="308"/>
      <c r="IS188" s="308"/>
      <c r="IT188" s="308"/>
      <c r="IU188" s="308"/>
      <c r="IV188" s="308"/>
      <c r="IW188" s="308"/>
      <c r="IX188" s="308"/>
    </row>
    <row r="189" spans="1:258" s="420" customFormat="1" ht="17.399999999999999" x14ac:dyDescent="0.3">
      <c r="A189" s="122" t="s">
        <v>249</v>
      </c>
      <c r="B189" s="150"/>
      <c r="C189" s="112">
        <f>SUM(C193:C200)</f>
        <v>1</v>
      </c>
      <c r="D189" s="269" t="s">
        <v>473</v>
      </c>
      <c r="E189" s="769">
        <f>IF($F$1="GWP100 without fb",E190+E191*'Common input data'!$C$5+E192*'Common input data'!$D$5,IF($F$1="GWP100 with fb",E190+E191*'Common input data'!$C$6+E192*'Common input data'!$D$6,IF($F$1="GTP100 without fb",E190+E191*'Common input data'!$C$7+E192*'Common input data'!$D$7,IF($F$1="GTP100 with fb",E190+E191*'Common input data'!$C$8+E192*'Common input data'!$D$8,E190+E191*'Common input data'!$C$9+E192*'Common input data'!$D$9))))</f>
        <v>0.8774545346962791</v>
      </c>
      <c r="F189" s="326">
        <f>IF($F$1="GWP100 without fb",F190+F191*'Common input data'!$C$5+F192*'Common input data'!$D$5,IF($F$1="GWP100 with fb",F190+F191*'Common input data'!$C$6+F192*'Common input data'!$D$6,IF($F$1="GTP100 without fb",F190+F191*'Common input data'!$C$7+F192*'Common input data'!$D$7,IF($F$1="GTP100 with fb",F190+F191*'Common input data'!$C$8+F192*'Common input data'!$D$8,F190+F191*'Common input data'!$C$9+F192*'Common input data'!$D$9))))</f>
        <v>3.9488074773203303</v>
      </c>
      <c r="G189" s="770">
        <f>IF($F$1="GWP100 without fb",G190+G191*'Common input data'!$C$5+G192*'Common input data'!$D$5,IF($F$1="GWP100 with fb",G190+G191*'Common input data'!$C$6+G192*'Common input data'!$D$6,IF($F$1="GTP100 without fb",G190+G191*'Common input data'!$C$7+G192*'Common input data'!$D$7,IF($F$1="GTP100 with fb",G190+G191*'Common input data'!$C$8+G192*'Common input data'!$D$8,G190+G191*'Common input data'!$C$9+G192*'Common input data'!$D$9))))</f>
        <v>6.4062297641876409</v>
      </c>
      <c r="H189" s="302"/>
      <c r="I189" s="104"/>
      <c r="J189" s="104"/>
      <c r="K189" s="102"/>
      <c r="L189" s="102"/>
      <c r="M189" s="102"/>
      <c r="N189" s="102"/>
      <c r="O189" s="102"/>
      <c r="P189" s="102"/>
      <c r="Q189" s="102"/>
      <c r="R189" s="102"/>
      <c r="S189" s="102"/>
      <c r="T189" s="102"/>
      <c r="U189" s="102"/>
      <c r="V189" s="107"/>
      <c r="W189" s="243"/>
      <c r="X189" s="308"/>
      <c r="Y189" s="308"/>
      <c r="Z189" s="64"/>
      <c r="AA189" s="308"/>
      <c r="AB189" s="308"/>
      <c r="AC189" s="308"/>
      <c r="AD189" s="308"/>
      <c r="AE189" s="308"/>
      <c r="AF189" s="308"/>
      <c r="AG189" s="308"/>
      <c r="AH189" s="308"/>
      <c r="AI189" s="308"/>
      <c r="AJ189" s="308"/>
      <c r="AK189" s="308"/>
      <c r="AL189" s="308"/>
      <c r="AM189" s="308"/>
      <c r="AN189" s="308"/>
      <c r="AO189" s="308"/>
      <c r="AP189" s="308"/>
      <c r="AQ189" s="308"/>
      <c r="AR189" s="308"/>
      <c r="AS189" s="308"/>
      <c r="AT189" s="308"/>
      <c r="AU189" s="308"/>
      <c r="AV189" s="308"/>
      <c r="AW189" s="308"/>
      <c r="AX189" s="308"/>
      <c r="AY189" s="308"/>
      <c r="AZ189" s="308"/>
      <c r="BA189" s="308"/>
      <c r="BB189" s="308"/>
      <c r="BC189" s="308"/>
      <c r="BD189" s="308"/>
      <c r="BE189" s="308"/>
      <c r="BF189" s="308"/>
      <c r="BG189" s="308"/>
      <c r="BH189" s="308"/>
      <c r="BI189" s="308"/>
      <c r="BJ189" s="308"/>
      <c r="BK189" s="308"/>
      <c r="BL189" s="308"/>
      <c r="BM189" s="308"/>
      <c r="BN189" s="308"/>
      <c r="BO189" s="308"/>
      <c r="BP189" s="308"/>
      <c r="BQ189" s="308"/>
      <c r="BR189" s="308"/>
      <c r="BS189" s="308"/>
      <c r="BT189" s="308"/>
      <c r="BU189" s="308"/>
      <c r="BV189" s="308"/>
      <c r="BW189" s="308"/>
      <c r="BX189" s="308"/>
      <c r="BY189" s="308"/>
      <c r="BZ189" s="308"/>
      <c r="CA189" s="308"/>
      <c r="CB189" s="308"/>
      <c r="CC189" s="308"/>
      <c r="CD189" s="308"/>
      <c r="CE189" s="308"/>
      <c r="CF189" s="308"/>
      <c r="CG189" s="308"/>
      <c r="CH189" s="308"/>
      <c r="CI189" s="308"/>
      <c r="CJ189" s="308"/>
      <c r="CK189" s="308"/>
      <c r="CL189" s="308"/>
      <c r="CM189" s="308"/>
      <c r="CN189" s="308"/>
      <c r="CO189" s="308"/>
      <c r="CP189" s="308"/>
      <c r="CQ189" s="308"/>
      <c r="CR189" s="308"/>
      <c r="CS189" s="308"/>
      <c r="CT189" s="308"/>
      <c r="CU189" s="308"/>
      <c r="CV189" s="308"/>
      <c r="CW189" s="308"/>
      <c r="CX189" s="308"/>
      <c r="CY189" s="308"/>
      <c r="CZ189" s="308"/>
      <c r="DA189" s="308"/>
      <c r="DB189" s="308"/>
      <c r="DC189" s="308"/>
      <c r="DD189" s="308"/>
      <c r="DE189" s="308"/>
      <c r="DF189" s="308"/>
      <c r="DG189" s="308"/>
      <c r="DH189" s="308"/>
      <c r="DI189" s="308"/>
      <c r="DJ189" s="308"/>
      <c r="DK189" s="308"/>
      <c r="DL189" s="308"/>
      <c r="DM189" s="308"/>
      <c r="DN189" s="308"/>
      <c r="DO189" s="308"/>
      <c r="DP189" s="308"/>
      <c r="DQ189" s="308"/>
      <c r="DR189" s="308"/>
      <c r="DS189" s="308"/>
      <c r="DT189" s="308"/>
      <c r="DU189" s="308"/>
      <c r="DV189" s="308"/>
      <c r="DW189" s="308"/>
      <c r="DX189" s="308"/>
      <c r="DY189" s="308"/>
      <c r="DZ189" s="308"/>
      <c r="EA189" s="308"/>
      <c r="EB189" s="308"/>
      <c r="EC189" s="308"/>
      <c r="ED189" s="308"/>
      <c r="EE189" s="308"/>
      <c r="EF189" s="308"/>
      <c r="EG189" s="308"/>
      <c r="EH189" s="308"/>
      <c r="EI189" s="308"/>
      <c r="EJ189" s="308"/>
      <c r="EK189" s="308"/>
      <c r="EL189" s="308"/>
      <c r="EM189" s="308"/>
      <c r="EN189" s="308"/>
      <c r="EO189" s="308"/>
      <c r="EP189" s="308"/>
      <c r="EQ189" s="308"/>
      <c r="ER189" s="308"/>
      <c r="ES189" s="308"/>
      <c r="ET189" s="308"/>
      <c r="EU189" s="308"/>
      <c r="EV189" s="308"/>
      <c r="EW189" s="308"/>
      <c r="EX189" s="308"/>
      <c r="EY189" s="308"/>
      <c r="EZ189" s="308"/>
      <c r="FA189" s="308"/>
      <c r="FB189" s="308"/>
      <c r="FC189" s="308"/>
      <c r="FD189" s="308"/>
      <c r="FE189" s="308"/>
      <c r="FF189" s="308"/>
      <c r="FG189" s="308"/>
      <c r="FH189" s="308"/>
      <c r="FI189" s="308"/>
      <c r="FJ189" s="308"/>
      <c r="FK189" s="308"/>
      <c r="FL189" s="308"/>
      <c r="FM189" s="308"/>
      <c r="FN189" s="308"/>
      <c r="FO189" s="308"/>
      <c r="FP189" s="308"/>
      <c r="FQ189" s="308"/>
      <c r="FR189" s="308"/>
      <c r="FS189" s="308"/>
      <c r="FT189" s="308"/>
      <c r="FU189" s="308"/>
      <c r="FV189" s="308"/>
      <c r="FW189" s="308"/>
      <c r="FX189" s="308"/>
      <c r="FY189" s="308"/>
      <c r="FZ189" s="308"/>
      <c r="GA189" s="308"/>
      <c r="GB189" s="308"/>
      <c r="GC189" s="308"/>
      <c r="GD189" s="308"/>
      <c r="GE189" s="308"/>
      <c r="GF189" s="308"/>
      <c r="GG189" s="308"/>
      <c r="GH189" s="308"/>
      <c r="GI189" s="308"/>
      <c r="GJ189" s="308"/>
      <c r="GK189" s="308"/>
      <c r="GL189" s="308"/>
      <c r="GM189" s="308"/>
      <c r="GN189" s="308"/>
      <c r="GO189" s="308"/>
      <c r="GP189" s="308"/>
      <c r="GQ189" s="308"/>
      <c r="GR189" s="308"/>
      <c r="GS189" s="308"/>
      <c r="GT189" s="308"/>
      <c r="GU189" s="308"/>
      <c r="GV189" s="308"/>
      <c r="GW189" s="308"/>
      <c r="GX189" s="308"/>
      <c r="GY189" s="308"/>
      <c r="GZ189" s="308"/>
      <c r="HA189" s="308"/>
      <c r="HB189" s="308"/>
      <c r="HC189" s="308"/>
      <c r="HD189" s="308"/>
      <c r="HE189" s="308"/>
      <c r="HF189" s="308"/>
      <c r="HG189" s="308"/>
      <c r="HH189" s="308"/>
      <c r="HI189" s="308"/>
      <c r="HJ189" s="308"/>
      <c r="HK189" s="308"/>
      <c r="HL189" s="308"/>
      <c r="HM189" s="308"/>
      <c r="HN189" s="308"/>
      <c r="HO189" s="308"/>
      <c r="HP189" s="308"/>
      <c r="HQ189" s="308"/>
      <c r="HR189" s="308"/>
      <c r="HS189" s="308"/>
      <c r="HT189" s="308"/>
      <c r="HU189" s="308"/>
      <c r="HV189" s="308"/>
      <c r="HW189" s="308"/>
      <c r="HX189" s="308"/>
      <c r="HY189" s="308"/>
      <c r="HZ189" s="308"/>
      <c r="IA189" s="308"/>
      <c r="IB189" s="308"/>
      <c r="IC189" s="308"/>
      <c r="ID189" s="308"/>
      <c r="IE189" s="308"/>
      <c r="IF189" s="308"/>
      <c r="IG189" s="308"/>
      <c r="IH189" s="308"/>
      <c r="II189" s="308"/>
      <c r="IJ189" s="308"/>
      <c r="IK189" s="308"/>
      <c r="IL189" s="308"/>
      <c r="IM189" s="308"/>
      <c r="IN189" s="308"/>
      <c r="IO189" s="308"/>
      <c r="IP189" s="308"/>
      <c r="IQ189" s="308"/>
      <c r="IR189" s="308"/>
      <c r="IS189" s="308"/>
      <c r="IT189" s="308"/>
      <c r="IU189" s="308"/>
      <c r="IV189" s="308"/>
      <c r="IW189" s="308"/>
      <c r="IX189" s="308"/>
    </row>
    <row r="190" spans="1:258" s="308" customFormat="1" ht="17.399999999999999" x14ac:dyDescent="0.3">
      <c r="A190" s="103"/>
      <c r="B190" s="84"/>
      <c r="C190" s="64"/>
      <c r="D190" s="83" t="s">
        <v>164</v>
      </c>
      <c r="E190" s="270">
        <f>E194*$C$193+E198*$C$197</f>
        <v>-0.16313889617307253</v>
      </c>
      <c r="F190" s="90">
        <f>F194*$C$193+F198*$C$197</f>
        <v>1.9818080662876871</v>
      </c>
      <c r="G190" s="278">
        <f>G194*$C$193+G198*$C$197</f>
        <v>3.5937339526001759</v>
      </c>
      <c r="H190" s="90">
        <f>H194*$C$193+H198*$C$197</f>
        <v>0.26661323672800957</v>
      </c>
      <c r="I190" s="90">
        <f t="shared" ref="H190:U192" si="26">I194*$C$193+I198*$C$197</f>
        <v>3.0000000000000002E-2</v>
      </c>
      <c r="J190" s="90">
        <f t="shared" si="26"/>
        <v>0</v>
      </c>
      <c r="K190" s="90">
        <f t="shared" si="26"/>
        <v>0</v>
      </c>
      <c r="L190" s="90">
        <f t="shared" si="26"/>
        <v>0.38709560150816902</v>
      </c>
      <c r="M190" s="90">
        <f t="shared" si="26"/>
        <v>0</v>
      </c>
      <c r="N190" s="90">
        <f t="shared" si="26"/>
        <v>0.4</v>
      </c>
      <c r="O190" s="90">
        <f t="shared" si="26"/>
        <v>0.11458555419999999</v>
      </c>
      <c r="P190" s="90">
        <f t="shared" si="26"/>
        <v>-9.1139048141381296E-2</v>
      </c>
      <c r="Q190" s="90">
        <f t="shared" si="26"/>
        <v>0</v>
      </c>
      <c r="R190" s="90">
        <f t="shared" si="26"/>
        <v>0.1</v>
      </c>
      <c r="S190" s="90">
        <f t="shared" si="26"/>
        <v>2.081808066287687</v>
      </c>
      <c r="T190" s="90">
        <f t="shared" si="26"/>
        <v>0.05</v>
      </c>
      <c r="U190" s="90">
        <f>U194*$C$193+U198*$C$197</f>
        <v>0.39600000000000002</v>
      </c>
      <c r="V190" s="107"/>
      <c r="W190" s="243"/>
      <c r="Z190" s="64"/>
    </row>
    <row r="191" spans="1:258" s="308" customFormat="1" ht="17.399999999999999" x14ac:dyDescent="0.3">
      <c r="A191" s="103"/>
      <c r="B191" s="84"/>
      <c r="C191" s="142"/>
      <c r="D191" s="83" t="s">
        <v>165</v>
      </c>
      <c r="E191" s="270">
        <f t="shared" ref="E191:G192" si="27">E195*$C$193+E199*$C$197</f>
        <v>0</v>
      </c>
      <c r="F191" s="90">
        <f t="shared" si="27"/>
        <v>3.9145480108117862E-4</v>
      </c>
      <c r="G191" s="278">
        <f t="shared" si="27"/>
        <v>5.5464789645569409E-4</v>
      </c>
      <c r="H191" s="90">
        <f t="shared" si="26"/>
        <v>1.4542875976036909E-9</v>
      </c>
      <c r="I191" s="90">
        <f t="shared" si="26"/>
        <v>0</v>
      </c>
      <c r="J191" s="90">
        <f t="shared" si="26"/>
        <v>0</v>
      </c>
      <c r="K191" s="90">
        <f t="shared" si="26"/>
        <v>0</v>
      </c>
      <c r="L191" s="90">
        <f t="shared" si="26"/>
        <v>1.7147029871864757E-4</v>
      </c>
      <c r="M191" s="90">
        <f t="shared" si="26"/>
        <v>0</v>
      </c>
      <c r="N191" s="90">
        <f t="shared" si="26"/>
        <v>0</v>
      </c>
      <c r="O191" s="90">
        <f t="shared" si="26"/>
        <v>4.7218079999999851E-5</v>
      </c>
      <c r="P191" s="90">
        <f t="shared" si="26"/>
        <v>0</v>
      </c>
      <c r="Q191" s="90">
        <f t="shared" si="26"/>
        <v>0</v>
      </c>
      <c r="R191" s="90">
        <f t="shared" si="26"/>
        <v>0</v>
      </c>
      <c r="S191" s="90">
        <f t="shared" si="26"/>
        <v>3.9145480108117862E-4</v>
      </c>
      <c r="T191" s="90">
        <f t="shared" si="26"/>
        <v>0</v>
      </c>
      <c r="U191" s="90">
        <f t="shared" si="26"/>
        <v>0</v>
      </c>
      <c r="V191" s="107"/>
      <c r="W191" s="243"/>
      <c r="Z191" s="64"/>
    </row>
    <row r="192" spans="1:258" s="308" customFormat="1" ht="17.399999999999999" x14ac:dyDescent="0.3">
      <c r="A192" s="107"/>
      <c r="B192" s="206"/>
      <c r="C192" s="85"/>
      <c r="D192" s="84" t="s">
        <v>166</v>
      </c>
      <c r="E192" s="270">
        <f t="shared" si="27"/>
        <v>3.4919242646622539E-3</v>
      </c>
      <c r="F192" s="90">
        <f t="shared" si="27"/>
        <v>6.5560065362277953E-3</v>
      </c>
      <c r="G192" s="278">
        <f t="shared" si="27"/>
        <v>9.3746234332482241E-3</v>
      </c>
      <c r="H192" s="90">
        <f t="shared" si="26"/>
        <v>1.6817240916089378E-3</v>
      </c>
      <c r="I192" s="90">
        <f t="shared" si="26"/>
        <v>0</v>
      </c>
      <c r="J192" s="90">
        <f t="shared" si="26"/>
        <v>1.7734506168929679E-3</v>
      </c>
      <c r="K192" s="90">
        <f t="shared" si="26"/>
        <v>1.773450616892968E-4</v>
      </c>
      <c r="L192" s="90">
        <f t="shared" si="26"/>
        <v>1.0401409734940262E-5</v>
      </c>
      <c r="M192" s="90">
        <f t="shared" si="26"/>
        <v>0</v>
      </c>
      <c r="N192" s="90">
        <f t="shared" si="26"/>
        <v>0</v>
      </c>
      <c r="O192" s="90">
        <f t="shared" si="26"/>
        <v>1.9652303999999986E-5</v>
      </c>
      <c r="P192" s="90">
        <f t="shared" si="26"/>
        <v>0</v>
      </c>
      <c r="Q192" s="90">
        <f t="shared" si="26"/>
        <v>0</v>
      </c>
      <c r="R192" s="90">
        <f t="shared" si="26"/>
        <v>0</v>
      </c>
      <c r="S192" s="90">
        <f t="shared" si="26"/>
        <v>6.5560065362277953E-3</v>
      </c>
      <c r="T192" s="90">
        <f t="shared" si="26"/>
        <v>0</v>
      </c>
      <c r="U192" s="90">
        <f t="shared" si="26"/>
        <v>0</v>
      </c>
      <c r="V192" s="107"/>
      <c r="W192" s="243"/>
      <c r="Z192" s="64"/>
    </row>
    <row r="193" spans="1:258" s="420" customFormat="1" ht="17.399999999999999" x14ac:dyDescent="0.3">
      <c r="A193" s="122" t="s">
        <v>47</v>
      </c>
      <c r="B193" s="150" t="s">
        <v>225</v>
      </c>
      <c r="C193" s="111">
        <f>'Input data plant-based products'!D99</f>
        <v>0.34</v>
      </c>
      <c r="D193" s="269" t="s">
        <v>473</v>
      </c>
      <c r="E193" s="320">
        <f>IF($F$1="GWP100 without fb",E194+E195*'Common input data'!$C$5+E196*'Common input data'!$D$5,IF($F$1="GWP100 with fb",E194+E195*'Common input data'!$C$6+E196*'Common input data'!$D$6,IF($F$1="GTP100 without fb",E194+E195*'Common input data'!$C$7+E196*'Common input data'!$D$7,IF($F$1="GTP100 with fb",E194+E195*'Common input data'!$C$8+E196*'Common input data'!$D$8,E194+E195*'Common input data'!$C$9+E196*'Common input data'!$D$9))))</f>
        <v>0.87141272211524667</v>
      </c>
      <c r="F193" s="302">
        <f>IF($F$1="GWP100 without fb",F194+F195*'Common input data'!$C$5+F196*'Common input data'!$D$5,IF($F$1="GWP100 with fb",F194+F195*'Common input data'!$C$6+F196*'Common input data'!$D$6,IF($F$1="GTP100 without fb",F194+F195*'Common input data'!$C$7+F196*'Common input data'!$D$7,IF($F$1="GTP100 with fb",F194+F195*'Common input data'!$C$8+F196*'Common input data'!$D$8,F194+F195*'Common input data'!$C$9+F196*'Common input data'!$D$9))))</f>
        <v>3.62148255570709</v>
      </c>
      <c r="G193" s="321">
        <f>IF($F$1="GWP100 without fb",G194+G195*'Common input data'!$C$5+G196*'Common input data'!$D$5,IF($F$1="GWP100 with fb",G194+G195*'Common input data'!$C$6+G196*'Common input data'!$D$6,IF($F$1="GTP100 without fb",G194+G195*'Common input data'!$C$7+G196*'Common input data'!$D$7,IF($F$1="GTP100 with fb",G194+G195*'Common input data'!$C$8+G196*'Common input data'!$D$8,G194+G195*'Common input data'!$C$9+G196*'Common input data'!$D$9))))</f>
        <v>6.329448388436866</v>
      </c>
      <c r="H193" s="302"/>
      <c r="I193" s="104"/>
      <c r="J193" s="104"/>
      <c r="K193" s="102"/>
      <c r="L193" s="102"/>
      <c r="M193" s="102"/>
      <c r="N193" s="102"/>
      <c r="O193" s="102"/>
      <c r="P193" s="102"/>
      <c r="Q193" s="102"/>
      <c r="R193" s="102"/>
      <c r="S193" s="102"/>
      <c r="T193" s="102"/>
      <c r="U193" s="102"/>
      <c r="V193" s="107"/>
      <c r="W193" s="243"/>
      <c r="X193" s="308"/>
      <c r="Y193" s="308"/>
      <c r="Z193" s="64"/>
      <c r="AA193" s="308"/>
      <c r="AB193" s="308"/>
      <c r="AC193" s="308"/>
      <c r="AD193" s="308"/>
      <c r="AE193" s="308"/>
      <c r="AF193" s="308"/>
      <c r="AG193" s="308"/>
      <c r="AH193" s="308"/>
      <c r="AI193" s="308"/>
      <c r="AJ193" s="308"/>
      <c r="AK193" s="308"/>
      <c r="AL193" s="308"/>
      <c r="AM193" s="308"/>
      <c r="AN193" s="308"/>
      <c r="AO193" s="308"/>
      <c r="AP193" s="308"/>
      <c r="AQ193" s="308"/>
      <c r="AR193" s="308"/>
      <c r="AS193" s="308"/>
      <c r="AT193" s="308"/>
      <c r="AU193" s="308"/>
      <c r="AV193" s="308"/>
      <c r="AW193" s="308"/>
      <c r="AX193" s="308"/>
      <c r="AY193" s="308"/>
      <c r="AZ193" s="308"/>
      <c r="BA193" s="308"/>
      <c r="BB193" s="308"/>
      <c r="BC193" s="308"/>
      <c r="BD193" s="308"/>
      <c r="BE193" s="308"/>
      <c r="BF193" s="308"/>
      <c r="BG193" s="308"/>
      <c r="BH193" s="308"/>
      <c r="BI193" s="308"/>
      <c r="BJ193" s="308"/>
      <c r="BK193" s="308"/>
      <c r="BL193" s="308"/>
      <c r="BM193" s="308"/>
      <c r="BN193" s="308"/>
      <c r="BO193" s="308"/>
      <c r="BP193" s="308"/>
      <c r="BQ193" s="308"/>
      <c r="BR193" s="308"/>
      <c r="BS193" s="308"/>
      <c r="BT193" s="308"/>
      <c r="BU193" s="308"/>
      <c r="BV193" s="308"/>
      <c r="BW193" s="308"/>
      <c r="BX193" s="308"/>
      <c r="BY193" s="308"/>
      <c r="BZ193" s="308"/>
      <c r="CA193" s="308"/>
      <c r="CB193" s="308"/>
      <c r="CC193" s="308"/>
      <c r="CD193" s="308"/>
      <c r="CE193" s="308"/>
      <c r="CF193" s="308"/>
      <c r="CG193" s="308"/>
      <c r="CH193" s="308"/>
      <c r="CI193" s="308"/>
      <c r="CJ193" s="308"/>
      <c r="CK193" s="308"/>
      <c r="CL193" s="308"/>
      <c r="CM193" s="308"/>
      <c r="CN193" s="308"/>
      <c r="CO193" s="308"/>
      <c r="CP193" s="308"/>
      <c r="CQ193" s="308"/>
      <c r="CR193" s="308"/>
      <c r="CS193" s="308"/>
      <c r="CT193" s="308"/>
      <c r="CU193" s="308"/>
      <c r="CV193" s="308"/>
      <c r="CW193" s="308"/>
      <c r="CX193" s="308"/>
      <c r="CY193" s="308"/>
      <c r="CZ193" s="308"/>
      <c r="DA193" s="308"/>
      <c r="DB193" s="308"/>
      <c r="DC193" s="308"/>
      <c r="DD193" s="308"/>
      <c r="DE193" s="308"/>
      <c r="DF193" s="308"/>
      <c r="DG193" s="308"/>
      <c r="DH193" s="308"/>
      <c r="DI193" s="308"/>
      <c r="DJ193" s="308"/>
      <c r="DK193" s="308"/>
      <c r="DL193" s="308"/>
      <c r="DM193" s="308"/>
      <c r="DN193" s="308"/>
      <c r="DO193" s="308"/>
      <c r="DP193" s="308"/>
      <c r="DQ193" s="308"/>
      <c r="DR193" s="308"/>
      <c r="DS193" s="308"/>
      <c r="DT193" s="308"/>
      <c r="DU193" s="308"/>
      <c r="DV193" s="308"/>
      <c r="DW193" s="308"/>
      <c r="DX193" s="308"/>
      <c r="DY193" s="308"/>
      <c r="DZ193" s="308"/>
      <c r="EA193" s="308"/>
      <c r="EB193" s="308"/>
      <c r="EC193" s="308"/>
      <c r="ED193" s="308"/>
      <c r="EE193" s="308"/>
      <c r="EF193" s="308"/>
      <c r="EG193" s="308"/>
      <c r="EH193" s="308"/>
      <c r="EI193" s="308"/>
      <c r="EJ193" s="308"/>
      <c r="EK193" s="308"/>
      <c r="EL193" s="308"/>
      <c r="EM193" s="308"/>
      <c r="EN193" s="308"/>
      <c r="EO193" s="308"/>
      <c r="EP193" s="308"/>
      <c r="EQ193" s="308"/>
      <c r="ER193" s="308"/>
      <c r="ES193" s="308"/>
      <c r="ET193" s="308"/>
      <c r="EU193" s="308"/>
      <c r="EV193" s="308"/>
      <c r="EW193" s="308"/>
      <c r="EX193" s="308"/>
      <c r="EY193" s="308"/>
      <c r="EZ193" s="308"/>
      <c r="FA193" s="308"/>
      <c r="FB193" s="308"/>
      <c r="FC193" s="308"/>
      <c r="FD193" s="308"/>
      <c r="FE193" s="308"/>
      <c r="FF193" s="308"/>
      <c r="FG193" s="308"/>
      <c r="FH193" s="308"/>
      <c r="FI193" s="308"/>
      <c r="FJ193" s="308"/>
      <c r="FK193" s="308"/>
      <c r="FL193" s="308"/>
      <c r="FM193" s="308"/>
      <c r="FN193" s="308"/>
      <c r="FO193" s="308"/>
      <c r="FP193" s="308"/>
      <c r="FQ193" s="308"/>
      <c r="FR193" s="308"/>
      <c r="FS193" s="308"/>
      <c r="FT193" s="308"/>
      <c r="FU193" s="308"/>
      <c r="FV193" s="308"/>
      <c r="FW193" s="308"/>
      <c r="FX193" s="308"/>
      <c r="FY193" s="308"/>
      <c r="FZ193" s="308"/>
      <c r="GA193" s="308"/>
      <c r="GB193" s="308"/>
      <c r="GC193" s="308"/>
      <c r="GD193" s="308"/>
      <c r="GE193" s="308"/>
      <c r="GF193" s="308"/>
      <c r="GG193" s="308"/>
      <c r="GH193" s="308"/>
      <c r="GI193" s="308"/>
      <c r="GJ193" s="308"/>
      <c r="GK193" s="308"/>
      <c r="GL193" s="308"/>
      <c r="GM193" s="308"/>
      <c r="GN193" s="308"/>
      <c r="GO193" s="308"/>
      <c r="GP193" s="308"/>
      <c r="GQ193" s="308"/>
      <c r="GR193" s="308"/>
      <c r="GS193" s="308"/>
      <c r="GT193" s="308"/>
      <c r="GU193" s="308"/>
      <c r="GV193" s="308"/>
      <c r="GW193" s="308"/>
      <c r="GX193" s="308"/>
      <c r="GY193" s="308"/>
      <c r="GZ193" s="308"/>
      <c r="HA193" s="308"/>
      <c r="HB193" s="308"/>
      <c r="HC193" s="308"/>
      <c r="HD193" s="308"/>
      <c r="HE193" s="308"/>
      <c r="HF193" s="308"/>
      <c r="HG193" s="308"/>
      <c r="HH193" s="308"/>
      <c r="HI193" s="308"/>
      <c r="HJ193" s="308"/>
      <c r="HK193" s="308"/>
      <c r="HL193" s="308"/>
      <c r="HM193" s="308"/>
      <c r="HN193" s="308"/>
      <c r="HO193" s="308"/>
      <c r="HP193" s="308"/>
      <c r="HQ193" s="308"/>
      <c r="HR193" s="308"/>
      <c r="HS193" s="308"/>
      <c r="HT193" s="308"/>
      <c r="HU193" s="308"/>
      <c r="HV193" s="308"/>
      <c r="HW193" s="308"/>
      <c r="HX193" s="308"/>
      <c r="HY193" s="308"/>
      <c r="HZ193" s="308"/>
      <c r="IA193" s="308"/>
      <c r="IB193" s="308"/>
      <c r="IC193" s="308"/>
      <c r="ID193" s="308"/>
      <c r="IE193" s="308"/>
      <c r="IF193" s="308"/>
      <c r="IG193" s="308"/>
      <c r="IH193" s="308"/>
      <c r="II193" s="308"/>
      <c r="IJ193" s="308"/>
      <c r="IK193" s="308"/>
      <c r="IL193" s="308"/>
      <c r="IM193" s="308"/>
      <c r="IN193" s="308"/>
      <c r="IO193" s="308"/>
      <c r="IP193" s="308"/>
      <c r="IQ193" s="308"/>
      <c r="IR193" s="308"/>
      <c r="IS193" s="308"/>
      <c r="IT193" s="308"/>
      <c r="IU193" s="308"/>
      <c r="IV193" s="308"/>
      <c r="IW193" s="308"/>
      <c r="IX193" s="308"/>
    </row>
    <row r="194" spans="1:258" s="308" customFormat="1" ht="17.399999999999999" x14ac:dyDescent="0.3">
      <c r="A194" s="103"/>
      <c r="B194" s="84"/>
      <c r="C194" s="64"/>
      <c r="D194" s="83" t="s">
        <v>164</v>
      </c>
      <c r="E194" s="270">
        <f>IF(AND($F$2="No",$F$3="No"),SUM(J194:K194)*'Input data plant-based products'!O$124,IF(AND($F$2="Yes", $F$3="No"), (SUM(J194:K194)+Q194)*'Input data plant-based products'!O$124, IF(AND($F$2="No", $F$3="Yes"),(SUM(J194:K194)+P194)*'Input data plant-based products'!O$124, (SUM(J194:K194)+Q194+P194)*'Input data plant-based products'!O$124)))</f>
        <v>-0.16313889617307253</v>
      </c>
      <c r="F194" s="90">
        <f>IF(AND($F$2="No",$F$3="No"),SUM(H194:O194)*'Input data plant-based products'!O$124,IF(AND($F$2="Yes", $F$3="No"), (SUM(H194:O194)+Q194)*'Input data plant-based products'!O$124, IF(AND($F$2="No", $F$3="Yes"),(SUM(H194:O194)+P194)*'Input data plant-based products'!O$124, (SUM(H194:O194)+Q194+P194)*'Input data plant-based products'!O$124)))</f>
        <v>1.6713505840825726</v>
      </c>
      <c r="G194" s="278">
        <f>SUM(S194:U194)/(1-'Common input data'!$F$121)</f>
        <v>3.3199854692632291</v>
      </c>
      <c r="H194" s="90">
        <f>('Input data plant-based products'!$F$99*('Common input data'!$D$76*'Common input data'!B69+'Common input data'!$D$77*'Common input data'!C69))/'Input data plant-based products'!$E$99</f>
        <v>0.26479734309385133</v>
      </c>
      <c r="I194" s="90">
        <f>'Common input data'!$B$81</f>
        <v>0.03</v>
      </c>
      <c r="J194" s="90">
        <v>0</v>
      </c>
      <c r="K194" s="90">
        <v>0</v>
      </c>
      <c r="L194" s="90">
        <f>('Input data plant-based products'!$I$99*'Common input data'!$C$59*'Common input data'!H49)/'Input data plant-based products'!$E$99</f>
        <v>0.27289114514952589</v>
      </c>
      <c r="M194" s="90">
        <v>0</v>
      </c>
      <c r="N194" s="90">
        <f>'Input data plant-based products'!$C$152</f>
        <v>0.4</v>
      </c>
      <c r="O194" s="90">
        <f>'Input data plant-based products'!C124*'Common input data'!D63+'Input data plant-based products'!D$124*3.6*'Common input data'!G49</f>
        <v>5.7165970000000003E-2</v>
      </c>
      <c r="P194" s="90">
        <f>'Common input data'!$F$13</f>
        <v>-9.1139048141381296E-2</v>
      </c>
      <c r="Q194" s="90">
        <v>0</v>
      </c>
      <c r="R194" s="90">
        <f>'Input data plant-based products'!C$134</f>
        <v>0.1</v>
      </c>
      <c r="S194" s="90">
        <f>F194+R194</f>
        <v>1.7713505840825727</v>
      </c>
      <c r="T194" s="90">
        <f>'Common input data'!$B$88</f>
        <v>0.05</v>
      </c>
      <c r="U194" s="90">
        <f>'Common input data'!B104+'Common input data'!C104</f>
        <v>0.32999999999999996</v>
      </c>
      <c r="V194" s="107"/>
      <c r="W194" s="243"/>
      <c r="Z194" s="64"/>
    </row>
    <row r="195" spans="1:258" s="308" customFormat="1" ht="17.399999999999999" x14ac:dyDescent="0.3">
      <c r="A195" s="107"/>
      <c r="B195" s="84"/>
      <c r="C195" s="142"/>
      <c r="D195" s="83" t="s">
        <v>165</v>
      </c>
      <c r="E195" s="270">
        <f>SUM(J195:K195)*'Input data plant-based products'!O$124</f>
        <v>0</v>
      </c>
      <c r="F195" s="90">
        <f>SUM(H195:O195)*'Input data plant-based products'!O$124</f>
        <v>3.0090096877595599E-4</v>
      </c>
      <c r="G195" s="278">
        <f>SUM(S195:U195)/(1-'Common input data'!$F$121)</f>
        <v>4.6435334687647522E-4</v>
      </c>
      <c r="H195" s="90">
        <f>('Input data plant-based products'!$F$99*('Common input data'!$D$76*'Common input data'!B70+'Common input data'!$D$77*'Common input data'!C70))/'Input data plant-based products'!$E$99</f>
        <v>1.4443824945295404E-9</v>
      </c>
      <c r="I195" s="90">
        <v>0</v>
      </c>
      <c r="J195" s="90">
        <v>0</v>
      </c>
      <c r="K195" s="90">
        <v>0</v>
      </c>
      <c r="L195" s="90">
        <f>('Input data plant-based products'!$I$99*'Common input data'!$C$59*'Common input data'!H50)/'Input data plant-based products'!$E$99</f>
        <v>1.2088157549234136E-4</v>
      </c>
      <c r="M195" s="90">
        <v>0</v>
      </c>
      <c r="N195" s="90">
        <v>0</v>
      </c>
      <c r="O195" s="90">
        <f>'Input data plant-based products'!D$124*3.6*'Common input data'!G50</f>
        <v>4.7218079999999844E-5</v>
      </c>
      <c r="P195" s="90">
        <v>0</v>
      </c>
      <c r="Q195" s="90">
        <v>0</v>
      </c>
      <c r="R195" s="90">
        <v>0</v>
      </c>
      <c r="S195" s="90">
        <f>F195+R195</f>
        <v>3.0090096877595599E-4</v>
      </c>
      <c r="T195" s="90">
        <v>0</v>
      </c>
      <c r="U195" s="90">
        <v>0</v>
      </c>
      <c r="V195" s="107"/>
      <c r="W195" s="243"/>
      <c r="Z195" s="64"/>
    </row>
    <row r="196" spans="1:258" s="308" customFormat="1" ht="17.399999999999999" x14ac:dyDescent="0.3">
      <c r="A196" s="174"/>
      <c r="B196" s="206"/>
      <c r="C196" s="85"/>
      <c r="D196" s="84" t="s">
        <v>166</v>
      </c>
      <c r="E196" s="270">
        <f>SUM(J196:K196)*'Input data plant-based products'!O$124</f>
        <v>3.4716497257997292E-3</v>
      </c>
      <c r="F196" s="90">
        <f>SUM(H196:O196)*'Input data plant-based products'!O$124</f>
        <v>6.5097360358595127E-3</v>
      </c>
      <c r="G196" s="278">
        <f>SUM(S196:U196)/(1-'Common input data'!$F$121)</f>
        <v>1.0045888944227642E-2</v>
      </c>
      <c r="H196" s="90">
        <f>('Input data plant-based products'!$F$99*('Common input data'!$D$76*'Common input data'!B71+'Common input data'!$D$77*'Common input data'!C71))/'Input data plant-based products'!$E$99</f>
        <v>1.6702699263550246E-3</v>
      </c>
      <c r="I196" s="90">
        <v>0</v>
      </c>
      <c r="J196" s="90">
        <f>(SUM('Input data plant-based products'!F99:H99)*'Input data plant-based products'!$B$114*44/28)/'Input data plant-based products'!E99</f>
        <v>1.76315374596228E-3</v>
      </c>
      <c r="K196" s="90">
        <f>J196*'Input data plant-based products'!$B$115</f>
        <v>1.76315374596228E-4</v>
      </c>
      <c r="L196" s="90">
        <f>('Input data plant-based products'!$I$99*'Common input data'!$C$59*'Common input data'!H51)/'Input data plant-based products'!$E$99</f>
        <v>7.332691466083151E-6</v>
      </c>
      <c r="M196" s="90">
        <v>0</v>
      </c>
      <c r="N196" s="90">
        <v>0</v>
      </c>
      <c r="O196" s="90">
        <f>'Input data plant-based products'!D$124*3.6*'Common input data'!G51</f>
        <v>1.9652303999999982E-5</v>
      </c>
      <c r="P196" s="90">
        <v>0</v>
      </c>
      <c r="Q196" s="90">
        <v>0</v>
      </c>
      <c r="R196" s="90">
        <v>0</v>
      </c>
      <c r="S196" s="90">
        <f>F196+R196</f>
        <v>6.5097360358595127E-3</v>
      </c>
      <c r="T196" s="90">
        <v>0</v>
      </c>
      <c r="U196" s="90">
        <v>0</v>
      </c>
      <c r="V196" s="107"/>
      <c r="W196" s="243"/>
      <c r="Z196" s="64"/>
    </row>
    <row r="197" spans="1:258" s="420" customFormat="1" ht="17.399999999999999" x14ac:dyDescent="0.3">
      <c r="A197" s="122" t="s">
        <v>67</v>
      </c>
      <c r="B197" s="150" t="s">
        <v>225</v>
      </c>
      <c r="C197" s="111">
        <f>'Input data plant-based products'!D100</f>
        <v>0.66</v>
      </c>
      <c r="D197" s="269" t="s">
        <v>473</v>
      </c>
      <c r="E197" s="320">
        <f>IF($F$1="GWP100 without fb",E198+E199*'Common input data'!$C$5+E200*'Common input data'!$D$5,IF($F$1="GWP100 with fb",E198+E199*'Common input data'!$C$6+E200*'Common input data'!$D$6,IF($F$1="GTP100 without fb",E198+E199*'Common input data'!$C$7+E200*'Common input data'!$D$7,IF($F$1="GTP100 with fb",E198+E199*'Common input data'!$C$8+E200*'Common input data'!$D$8,E198+E199*'Common input data'!$C$9+E200*'Common input data'!$D$9))))</f>
        <v>0.8805669836016593</v>
      </c>
      <c r="F197" s="302">
        <f>IF($F$1="GWP100 without fb",F198+F199*'Common input data'!$C$5+F200*'Common input data'!$D$5,IF($F$1="GWP100 with fb",F198+F199*'Common input data'!$C$6+F200*'Common input data'!$D$6,IF($F$1="GTP100 without fb",F198+F199*'Common input data'!$C$7+F200*'Common input data'!$D$7,IF($F$1="GTP100 with fb",F198+F199*'Common input data'!$C$8+F200*'Common input data'!$D$8,F198+F199*'Common input data'!$C$9+F200*'Common input data'!$D$9))))</f>
        <v>4.1174294066362416</v>
      </c>
      <c r="G197" s="321">
        <f>IF($F$1="GWP100 without fb",G198+G199*'Common input data'!$C$5+G200*'Common input data'!$D$5,IF($F$1="GWP100 with fb",G198+G199*'Common input data'!$C$6+G200*'Common input data'!$D$6,IF($F$1="GTP100 without fb",G198+G199*'Common input data'!$C$7+G200*'Common input data'!$D$7,IF($F$1="GTP100 with fb",G198+G199*'Common input data'!$C$8+G200*'Common input data'!$D$8,G198+G199*'Common input data'!$C$9+G200*'Common input data'!$D$9))))</f>
        <v>6.4457838062410682</v>
      </c>
      <c r="H197" s="102"/>
      <c r="I197" s="102"/>
      <c r="J197" s="102"/>
      <c r="K197" s="102"/>
      <c r="L197" s="102"/>
      <c r="M197" s="102"/>
      <c r="N197" s="102"/>
      <c r="O197" s="102"/>
      <c r="P197" s="102"/>
      <c r="Q197" s="102"/>
      <c r="R197" s="102"/>
      <c r="S197" s="102"/>
      <c r="T197" s="102"/>
      <c r="U197" s="102"/>
      <c r="V197" s="107"/>
      <c r="W197" s="243"/>
      <c r="X197" s="308"/>
      <c r="Y197" s="308"/>
      <c r="Z197" s="64"/>
      <c r="AA197" s="308"/>
      <c r="AB197" s="308"/>
      <c r="AC197" s="308"/>
      <c r="AD197" s="308"/>
      <c r="AE197" s="308"/>
      <c r="AF197" s="308"/>
      <c r="AG197" s="308"/>
      <c r="AH197" s="308"/>
      <c r="AI197" s="308"/>
      <c r="AJ197" s="308"/>
      <c r="AK197" s="308"/>
      <c r="AL197" s="308"/>
      <c r="AM197" s="308"/>
      <c r="AN197" s="308"/>
      <c r="AO197" s="308"/>
      <c r="AP197" s="308"/>
      <c r="AQ197" s="308"/>
      <c r="AR197" s="308"/>
      <c r="AS197" s="308"/>
      <c r="AT197" s="308"/>
      <c r="AU197" s="308"/>
      <c r="AV197" s="308"/>
      <c r="AW197" s="308"/>
      <c r="AX197" s="308"/>
      <c r="AY197" s="308"/>
      <c r="AZ197" s="308"/>
      <c r="BA197" s="308"/>
      <c r="BB197" s="308"/>
      <c r="BC197" s="308"/>
      <c r="BD197" s="308"/>
      <c r="BE197" s="308"/>
      <c r="BF197" s="308"/>
      <c r="BG197" s="308"/>
      <c r="BH197" s="308"/>
      <c r="BI197" s="308"/>
      <c r="BJ197" s="308"/>
      <c r="BK197" s="308"/>
      <c r="BL197" s="308"/>
      <c r="BM197" s="308"/>
      <c r="BN197" s="308"/>
      <c r="BO197" s="308"/>
      <c r="BP197" s="308"/>
      <c r="BQ197" s="308"/>
      <c r="BR197" s="308"/>
      <c r="BS197" s="308"/>
      <c r="BT197" s="308"/>
      <c r="BU197" s="308"/>
      <c r="BV197" s="308"/>
      <c r="BW197" s="308"/>
      <c r="BX197" s="308"/>
      <c r="BY197" s="308"/>
      <c r="BZ197" s="308"/>
      <c r="CA197" s="308"/>
      <c r="CB197" s="308"/>
      <c r="CC197" s="308"/>
      <c r="CD197" s="308"/>
      <c r="CE197" s="308"/>
      <c r="CF197" s="308"/>
      <c r="CG197" s="308"/>
      <c r="CH197" s="308"/>
      <c r="CI197" s="308"/>
      <c r="CJ197" s="308"/>
      <c r="CK197" s="308"/>
      <c r="CL197" s="308"/>
      <c r="CM197" s="308"/>
      <c r="CN197" s="308"/>
      <c r="CO197" s="308"/>
      <c r="CP197" s="308"/>
      <c r="CQ197" s="308"/>
      <c r="CR197" s="308"/>
      <c r="CS197" s="308"/>
      <c r="CT197" s="308"/>
      <c r="CU197" s="308"/>
      <c r="CV197" s="308"/>
      <c r="CW197" s="308"/>
      <c r="CX197" s="308"/>
      <c r="CY197" s="308"/>
      <c r="CZ197" s="308"/>
      <c r="DA197" s="308"/>
      <c r="DB197" s="308"/>
      <c r="DC197" s="308"/>
      <c r="DD197" s="308"/>
      <c r="DE197" s="308"/>
      <c r="DF197" s="308"/>
      <c r="DG197" s="308"/>
      <c r="DH197" s="308"/>
      <c r="DI197" s="308"/>
      <c r="DJ197" s="308"/>
      <c r="DK197" s="308"/>
      <c r="DL197" s="308"/>
      <c r="DM197" s="308"/>
      <c r="DN197" s="308"/>
      <c r="DO197" s="308"/>
      <c r="DP197" s="308"/>
      <c r="DQ197" s="308"/>
      <c r="DR197" s="308"/>
      <c r="DS197" s="308"/>
      <c r="DT197" s="308"/>
      <c r="DU197" s="308"/>
      <c r="DV197" s="308"/>
      <c r="DW197" s="308"/>
      <c r="DX197" s="308"/>
      <c r="DY197" s="308"/>
      <c r="DZ197" s="308"/>
      <c r="EA197" s="308"/>
      <c r="EB197" s="308"/>
      <c r="EC197" s="308"/>
      <c r="ED197" s="308"/>
      <c r="EE197" s="308"/>
      <c r="EF197" s="308"/>
      <c r="EG197" s="308"/>
      <c r="EH197" s="308"/>
      <c r="EI197" s="308"/>
      <c r="EJ197" s="308"/>
      <c r="EK197" s="308"/>
      <c r="EL197" s="308"/>
      <c r="EM197" s="308"/>
      <c r="EN197" s="308"/>
      <c r="EO197" s="308"/>
      <c r="EP197" s="308"/>
      <c r="EQ197" s="308"/>
      <c r="ER197" s="308"/>
      <c r="ES197" s="308"/>
      <c r="ET197" s="308"/>
      <c r="EU197" s="308"/>
      <c r="EV197" s="308"/>
      <c r="EW197" s="308"/>
      <c r="EX197" s="308"/>
      <c r="EY197" s="308"/>
      <c r="EZ197" s="308"/>
      <c r="FA197" s="308"/>
      <c r="FB197" s="308"/>
      <c r="FC197" s="308"/>
      <c r="FD197" s="308"/>
      <c r="FE197" s="308"/>
      <c r="FF197" s="308"/>
      <c r="FG197" s="308"/>
      <c r="FH197" s="308"/>
      <c r="FI197" s="308"/>
      <c r="FJ197" s="308"/>
      <c r="FK197" s="308"/>
      <c r="FL197" s="308"/>
      <c r="FM197" s="308"/>
      <c r="FN197" s="308"/>
      <c r="FO197" s="308"/>
      <c r="FP197" s="308"/>
      <c r="FQ197" s="308"/>
      <c r="FR197" s="308"/>
      <c r="FS197" s="308"/>
      <c r="FT197" s="308"/>
      <c r="FU197" s="308"/>
      <c r="FV197" s="308"/>
      <c r="FW197" s="308"/>
      <c r="FX197" s="308"/>
      <c r="FY197" s="308"/>
      <c r="FZ197" s="308"/>
      <c r="GA197" s="308"/>
      <c r="GB197" s="308"/>
      <c r="GC197" s="308"/>
      <c r="GD197" s="308"/>
      <c r="GE197" s="308"/>
      <c r="GF197" s="308"/>
      <c r="GG197" s="308"/>
      <c r="GH197" s="308"/>
      <c r="GI197" s="308"/>
      <c r="GJ197" s="308"/>
      <c r="GK197" s="308"/>
      <c r="GL197" s="308"/>
      <c r="GM197" s="308"/>
      <c r="GN197" s="308"/>
      <c r="GO197" s="308"/>
      <c r="GP197" s="308"/>
      <c r="GQ197" s="308"/>
      <c r="GR197" s="308"/>
      <c r="GS197" s="308"/>
      <c r="GT197" s="308"/>
      <c r="GU197" s="308"/>
      <c r="GV197" s="308"/>
      <c r="GW197" s="308"/>
      <c r="GX197" s="308"/>
      <c r="GY197" s="308"/>
      <c r="GZ197" s="308"/>
      <c r="HA197" s="308"/>
      <c r="HB197" s="308"/>
      <c r="HC197" s="308"/>
      <c r="HD197" s="308"/>
      <c r="HE197" s="308"/>
      <c r="HF197" s="308"/>
      <c r="HG197" s="308"/>
      <c r="HH197" s="308"/>
      <c r="HI197" s="308"/>
      <c r="HJ197" s="308"/>
      <c r="HK197" s="308"/>
      <c r="HL197" s="308"/>
      <c r="HM197" s="308"/>
      <c r="HN197" s="308"/>
      <c r="HO197" s="308"/>
      <c r="HP197" s="308"/>
      <c r="HQ197" s="308"/>
      <c r="HR197" s="308"/>
      <c r="HS197" s="308"/>
      <c r="HT197" s="308"/>
      <c r="HU197" s="308"/>
      <c r="HV197" s="308"/>
      <c r="HW197" s="308"/>
      <c r="HX197" s="308"/>
      <c r="HY197" s="308"/>
      <c r="HZ197" s="308"/>
      <c r="IA197" s="308"/>
      <c r="IB197" s="308"/>
      <c r="IC197" s="308"/>
      <c r="ID197" s="308"/>
      <c r="IE197" s="308"/>
      <c r="IF197" s="308"/>
      <c r="IG197" s="308"/>
      <c r="IH197" s="308"/>
      <c r="II197" s="308"/>
      <c r="IJ197" s="308"/>
      <c r="IK197" s="308"/>
      <c r="IL197" s="308"/>
      <c r="IM197" s="308"/>
      <c r="IN197" s="308"/>
      <c r="IO197" s="308"/>
      <c r="IP197" s="308"/>
      <c r="IQ197" s="308"/>
      <c r="IR197" s="308"/>
      <c r="IS197" s="308"/>
      <c r="IT197" s="308"/>
      <c r="IU197" s="308"/>
      <c r="IV197" s="308"/>
      <c r="IW197" s="308"/>
      <c r="IX197" s="308"/>
    </row>
    <row r="198" spans="1:258" s="308" customFormat="1" ht="17.399999999999999" x14ac:dyDescent="0.3">
      <c r="A198" s="144"/>
      <c r="B198" s="84"/>
      <c r="C198" s="64"/>
      <c r="D198" s="83" t="s">
        <v>164</v>
      </c>
      <c r="E198" s="270">
        <f>IF(AND($F$2="No",$F$3="No"),SUM(J198:K198)*'Input data plant-based products'!O$124,IF(AND($F$2="Yes", $F$3="No"), (SUM(J198:K198)+Q198)*'Input data plant-based products'!O$124, IF(AND($F$2="No", $F$3="Yes"),(SUM(J198:K198)+P198)*'Input data plant-based products'!O$124, (SUM(J198:K198)+Q198+P198)*'Input data plant-based products'!O$124)))</f>
        <v>-0.16313889617307253</v>
      </c>
      <c r="F198" s="90">
        <f>IF(AND($F$2="No",$F$3="No"),SUM(H198:O198)*'Input data plant-based products'!O$124,IF(AND($F$2="Yes", $F$3="No"), (SUM(H198:O198)+Q198)*'Input data plant-based products'!O$124, IF(AND($F$2="No", $F$3="Yes"),(SUM(H198:O198)+P198)*'Input data plant-based products'!O$124, (SUM(H198:O198)+Q198+P198)*'Input data plant-based products'!O$124)))</f>
        <v>2.1417407086357763</v>
      </c>
      <c r="G198" s="278">
        <f>SUM(S198:U198)/(1-'Common input data'!$H$121)</f>
        <v>3.7347558985616334</v>
      </c>
      <c r="H198" s="90">
        <f>('Input data plant-based products'!$F$100*('Common input data'!$D$76*'Common input data'!B69+'Common input data'!$D$77*'Common input data'!C69))/'Input data plant-based products'!$E$100</f>
        <v>0.26754869708500018</v>
      </c>
      <c r="I198" s="90">
        <f>'Common input data'!$B$81</f>
        <v>0.03</v>
      </c>
      <c r="J198" s="90">
        <v>0</v>
      </c>
      <c r="K198" s="90">
        <v>0</v>
      </c>
      <c r="L198" s="90">
        <f>('Input data plant-based products'!$I$100*'Common input data'!$C$59*'Common input data'!H49)/'Input data plant-based products'!$E$100</f>
        <v>0.44592820023837904</v>
      </c>
      <c r="M198" s="90">
        <v>0</v>
      </c>
      <c r="N198" s="90">
        <f>'Input data plant-based products'!$C$152</f>
        <v>0.4</v>
      </c>
      <c r="O198" s="90">
        <f>'Input data plant-based products'!C124*'Common input data'!K63+'Input data plant-based products'!D$124*3.6*'Common input data'!G49</f>
        <v>0.14416533999999998</v>
      </c>
      <c r="P198" s="90">
        <f>'Common input data'!$F$13</f>
        <v>-9.1139048141381296E-2</v>
      </c>
      <c r="Q198" s="90">
        <v>0</v>
      </c>
      <c r="R198" s="90">
        <f>'Input data plant-based products'!C$134</f>
        <v>0.1</v>
      </c>
      <c r="S198" s="90">
        <f>F198+R198</f>
        <v>2.2417407086357763</v>
      </c>
      <c r="T198" s="90">
        <f>'Common input data'!$B$88</f>
        <v>0.05</v>
      </c>
      <c r="U198" s="90">
        <f>'Common input data'!B108+'Common input data'!C108</f>
        <v>0.43000000000000005</v>
      </c>
      <c r="V198" s="107"/>
      <c r="W198" s="243"/>
      <c r="Z198" s="64"/>
    </row>
    <row r="199" spans="1:258" s="308" customFormat="1" ht="17.399999999999999" x14ac:dyDescent="0.3">
      <c r="A199" s="144"/>
      <c r="B199" s="84"/>
      <c r="C199" s="142"/>
      <c r="D199" s="83" t="s">
        <v>165</v>
      </c>
      <c r="E199" s="270">
        <f>SUM(J199:K199)*'Input data plant-based products'!O$124</f>
        <v>0</v>
      </c>
      <c r="F199" s="90">
        <f>SUM(H199:O199)*'Input data plant-based products'!O$124</f>
        <v>4.3810374499599026E-4</v>
      </c>
      <c r="G199" s="278">
        <f>SUM(S199:U199)/(1-'Common input data'!$H$121)</f>
        <v>6.011632704813522E-4</v>
      </c>
      <c r="H199" s="90">
        <f>('Input data plant-based products'!$F$100*('Common input data'!$D$76*'Common input data'!B70+'Common input data'!$D$77*'Common input data'!C70))/'Input data plant-based products'!$E$100</f>
        <v>1.4593902264600715E-9</v>
      </c>
      <c r="I199" s="90">
        <v>0</v>
      </c>
      <c r="J199" s="90">
        <v>0</v>
      </c>
      <c r="K199" s="90">
        <v>0</v>
      </c>
      <c r="L199" s="90">
        <f>('Input data plant-based products'!$I$100*'Common input data'!$C$59*'Common input data'!H50)/'Input data plant-based products'!$E$100</f>
        <v>1.9753115613825985E-4</v>
      </c>
      <c r="M199" s="90">
        <v>0</v>
      </c>
      <c r="N199" s="90">
        <v>0</v>
      </c>
      <c r="O199" s="90">
        <f>'Input data plant-based products'!D$124*3.6*'Common input data'!G50</f>
        <v>4.7218079999999844E-5</v>
      </c>
      <c r="P199" s="90">
        <v>0</v>
      </c>
      <c r="Q199" s="90">
        <v>0</v>
      </c>
      <c r="R199" s="90">
        <v>0</v>
      </c>
      <c r="S199" s="90">
        <f>F199+R199</f>
        <v>4.3810374499599026E-4</v>
      </c>
      <c r="T199" s="90">
        <v>0</v>
      </c>
      <c r="U199" s="90">
        <v>0</v>
      </c>
      <c r="V199" s="107"/>
      <c r="W199" s="243"/>
      <c r="Z199" s="64"/>
    </row>
    <row r="200" spans="1:258" s="308" customFormat="1" ht="18" thickBot="1" x14ac:dyDescent="0.35">
      <c r="A200" s="172"/>
      <c r="B200" s="333"/>
      <c r="C200" s="101"/>
      <c r="D200" s="100" t="s">
        <v>166</v>
      </c>
      <c r="E200" s="271">
        <f>SUM(J200:K200)*'Input data plant-based products'!O$124</f>
        <v>3.5023687240762812E-3</v>
      </c>
      <c r="F200" s="265">
        <f>SUM(H200:O200)*'Input data plant-based products'!O$124</f>
        <v>6.5798428545993347E-3</v>
      </c>
      <c r="G200" s="478">
        <f>SUM(S200:U200)/(1-'Common input data'!$H$121)</f>
        <v>9.0288199881982181E-3</v>
      </c>
      <c r="H200" s="108">
        <f>('Input data plant-based products'!$F$100*('Common input data'!$D$76*'Common input data'!B71+'Common input data'!$D$77*'Common input data'!C71))/'Input data plant-based products'!$E$100</f>
        <v>1.6876247221942866E-3</v>
      </c>
      <c r="I200" s="108">
        <v>0</v>
      </c>
      <c r="J200" s="108">
        <f>(SUM('Input data plant-based products'!F100:H100)*'Input data plant-based products'!$B$114*44/28)/'Input data plant-based products'!E100</f>
        <v>1.7787550655542312E-3</v>
      </c>
      <c r="K200" s="108">
        <f>J200*'Input data plant-based products'!$B$115</f>
        <v>1.7787550655542312E-4</v>
      </c>
      <c r="L200" s="108">
        <f>('Input data plant-based products'!$I$100*'Common input data'!$C$59*'Common input data'!H51)/'Input data plant-based products'!$E$100</f>
        <v>1.1982264600715138E-5</v>
      </c>
      <c r="M200" s="108">
        <v>0</v>
      </c>
      <c r="N200" s="108">
        <v>0</v>
      </c>
      <c r="O200" s="108">
        <f>'Input data plant-based products'!D$124*3.6*'Common input data'!G51</f>
        <v>1.9652303999999982E-5</v>
      </c>
      <c r="P200" s="108">
        <v>0</v>
      </c>
      <c r="Q200" s="108">
        <v>0</v>
      </c>
      <c r="R200" s="108">
        <v>0</v>
      </c>
      <c r="S200" s="108">
        <f>F200+R200</f>
        <v>6.5798428545993347E-3</v>
      </c>
      <c r="T200" s="108">
        <v>0</v>
      </c>
      <c r="U200" s="108">
        <v>0</v>
      </c>
      <c r="V200" s="107"/>
      <c r="W200" s="243"/>
      <c r="Z200" s="64"/>
    </row>
    <row r="202" spans="1:258" x14ac:dyDescent="0.3">
      <c r="G202" s="76"/>
    </row>
  </sheetData>
  <dataValidations count="2">
    <dataValidation type="list" allowBlank="1" showInputMessage="1" showErrorMessage="1" sqref="F2:F3">
      <formula1>"Yes, No"</formula1>
    </dataValidation>
    <dataValidation type="list" allowBlank="1" showInputMessage="1" showErrorMessage="1" sqref="F1">
      <formula1>"GWP100 without fb, GWP100 with fb, GTP100 without fb, GTP100 with fb, GTP climate goal"</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MT167"/>
  <sheetViews>
    <sheetView zoomScale="60" zoomScaleNormal="60" workbookViewId="0"/>
  </sheetViews>
  <sheetFormatPr defaultColWidth="8.88671875" defaultRowHeight="14.4" x14ac:dyDescent="0.3"/>
  <cols>
    <col min="1" max="1" width="37.6640625" style="64" bestFit="1" customWidth="1"/>
    <col min="2" max="2" width="21.5546875" style="64" bestFit="1" customWidth="1"/>
    <col min="3" max="3" width="17.33203125" style="64" bestFit="1" customWidth="1"/>
    <col min="4" max="4" width="30.5546875" style="64" bestFit="1" customWidth="1"/>
    <col min="5" max="5" width="17.44140625" style="64" customWidth="1"/>
    <col min="6" max="6" width="30.5546875" style="64" bestFit="1" customWidth="1"/>
    <col min="7" max="7" width="28.33203125" style="64" bestFit="1" customWidth="1"/>
    <col min="8" max="8" width="35.44140625" style="64" bestFit="1" customWidth="1"/>
    <col min="9" max="9" width="17.33203125" style="64" bestFit="1" customWidth="1"/>
    <col min="10" max="10" width="24" style="64" bestFit="1" customWidth="1"/>
    <col min="11" max="16384" width="8.88671875" style="64"/>
  </cols>
  <sheetData>
    <row r="1" spans="1:358" ht="31.2" x14ac:dyDescent="0.6">
      <c r="A1" s="362" t="s">
        <v>629</v>
      </c>
      <c r="D1" s="291" t="s">
        <v>550</v>
      </c>
      <c r="E1" s="292" t="s">
        <v>1243</v>
      </c>
    </row>
    <row r="2" spans="1:358" ht="17.399999999999999" x14ac:dyDescent="0.35">
      <c r="D2" s="291" t="s">
        <v>551</v>
      </c>
      <c r="E2" s="292" t="s">
        <v>1339</v>
      </c>
    </row>
    <row r="3" spans="1:358" ht="69.599999999999994" x14ac:dyDescent="0.35">
      <c r="D3" s="763" t="s">
        <v>1251</v>
      </c>
      <c r="E3" s="292" t="s">
        <v>1339</v>
      </c>
    </row>
    <row r="4" spans="1:358" ht="15" thickBot="1" x14ac:dyDescent="0.35">
      <c r="G4" s="879"/>
      <c r="H4" s="881"/>
    </row>
    <row r="5" spans="1:358" ht="17.399999999999999" x14ac:dyDescent="0.3">
      <c r="A5" s="275"/>
      <c r="B5" s="297"/>
      <c r="C5" s="297"/>
      <c r="D5" s="298" t="s">
        <v>531</v>
      </c>
      <c r="E5" s="352"/>
      <c r="F5" s="475"/>
      <c r="G5" s="299"/>
      <c r="H5" s="332"/>
      <c r="I5" s="297"/>
      <c r="J5" s="297"/>
      <c r="K5" s="107"/>
    </row>
    <row r="6" spans="1:358" s="84" customFormat="1" ht="61.2" customHeight="1" x14ac:dyDescent="0.3">
      <c r="A6" s="273"/>
      <c r="B6" s="310" t="s">
        <v>262</v>
      </c>
      <c r="C6" s="310" t="s">
        <v>178</v>
      </c>
      <c r="D6" s="309" t="s">
        <v>554</v>
      </c>
      <c r="E6" s="310" t="s">
        <v>532</v>
      </c>
      <c r="F6" s="342" t="s">
        <v>533</v>
      </c>
      <c r="G6" s="343" t="s">
        <v>487</v>
      </c>
      <c r="H6" s="343" t="s">
        <v>488</v>
      </c>
      <c r="I6" s="310" t="s">
        <v>3</v>
      </c>
      <c r="J6" s="310" t="s">
        <v>4</v>
      </c>
      <c r="K6" s="144"/>
    </row>
    <row r="7" spans="1:358" s="281" customFormat="1" ht="23.25" customHeight="1" x14ac:dyDescent="0.3">
      <c r="A7" s="255" t="s">
        <v>443</v>
      </c>
      <c r="B7" s="256"/>
      <c r="D7" s="356"/>
      <c r="F7" s="589" t="s">
        <v>800</v>
      </c>
      <c r="G7" s="257"/>
      <c r="H7" s="257"/>
      <c r="I7" s="256"/>
      <c r="J7" s="256"/>
      <c r="K7" s="14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4"/>
      <c r="HS7" s="84"/>
      <c r="HT7" s="84"/>
      <c r="HU7" s="84"/>
      <c r="HV7" s="84"/>
      <c r="HW7" s="84"/>
      <c r="HX7" s="84"/>
      <c r="HY7" s="84"/>
      <c r="HZ7" s="84"/>
      <c r="IA7" s="84"/>
      <c r="IB7" s="84"/>
      <c r="IC7" s="84"/>
      <c r="ID7" s="84"/>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4"/>
      <c r="JW7" s="84"/>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4"/>
      <c r="LP7" s="84"/>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row>
    <row r="8" spans="1:358" s="329" customFormat="1" ht="23.25" customHeight="1" x14ac:dyDescent="0.3">
      <c r="A8" s="139" t="s">
        <v>260</v>
      </c>
      <c r="B8" s="140">
        <f>SUM(B12:B23)</f>
        <v>1</v>
      </c>
      <c r="C8" s="325" t="s">
        <v>473</v>
      </c>
      <c r="D8" s="407"/>
      <c r="E8" s="325"/>
      <c r="F8" s="770">
        <f>IF($E$1="GWP100 without fb",F9+F10*'Common input data'!$C$5+F11*'Common input data'!$D$5,IF($E$1="GWP100 with fb",F9+F10*'Common input data'!$C$6+F11*'Common input data'!$D$6,IF($E$1="GTP100 without fb",F9+F10*'Common input data'!$C$7+F11*'Common input data'!$D$7,IF($E$1="GTP100 with fb",F9+F10*'Common input data'!$C$8+F11*'Common input data'!$D$8,F9+F10*'Common input data'!$C$9+F11*'Common input data'!$D$9))))</f>
        <v>1.7657193202976473</v>
      </c>
      <c r="G8" s="327"/>
      <c r="H8" s="327"/>
      <c r="I8" s="325"/>
      <c r="J8" s="325"/>
      <c r="K8" s="14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4"/>
      <c r="FZ8" s="84"/>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c r="HL8" s="84"/>
      <c r="HM8" s="84"/>
      <c r="HN8" s="84"/>
      <c r="HO8" s="84"/>
      <c r="HP8" s="84"/>
      <c r="HQ8" s="84"/>
      <c r="HR8" s="84"/>
      <c r="HS8" s="84"/>
      <c r="HT8" s="84"/>
      <c r="HU8" s="84"/>
      <c r="HV8" s="84"/>
      <c r="HW8" s="84"/>
      <c r="HX8" s="84"/>
      <c r="HY8" s="84"/>
      <c r="HZ8" s="84"/>
      <c r="IA8" s="84"/>
      <c r="IB8" s="84"/>
      <c r="IC8" s="84"/>
      <c r="ID8" s="84"/>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4"/>
      <c r="JW8" s="84"/>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4"/>
      <c r="LP8" s="84"/>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row>
    <row r="9" spans="1:358" x14ac:dyDescent="0.3">
      <c r="C9" s="83" t="s">
        <v>164</v>
      </c>
      <c r="D9" s="354"/>
      <c r="E9" s="83"/>
      <c r="F9" s="509">
        <f t="shared" ref="F9:J11" si="0">$B$12*F13+$B$16*F17+$B$20*F21</f>
        <v>1.2032441935234623</v>
      </c>
      <c r="G9" s="90">
        <f t="shared" si="0"/>
        <v>0.742289309652993</v>
      </c>
      <c r="H9" s="90">
        <f t="shared" si="0"/>
        <v>0.17748999999999998</v>
      </c>
      <c r="I9" s="90">
        <f t="shared" si="0"/>
        <v>0.05</v>
      </c>
      <c r="J9" s="90">
        <f t="shared" si="0"/>
        <v>0.2094</v>
      </c>
      <c r="K9" s="107"/>
    </row>
    <row r="10" spans="1:358" x14ac:dyDescent="0.3">
      <c r="A10" s="141"/>
      <c r="B10" s="142"/>
      <c r="C10" s="83" t="s">
        <v>165</v>
      </c>
      <c r="D10" s="354"/>
      <c r="E10" s="83"/>
      <c r="F10" s="509">
        <f t="shared" si="0"/>
        <v>6.1985765233600008E-5</v>
      </c>
      <c r="G10" s="90">
        <f t="shared" si="0"/>
        <v>6.0746049928928001E-5</v>
      </c>
      <c r="H10" s="90">
        <f t="shared" si="0"/>
        <v>0</v>
      </c>
      <c r="I10" s="90">
        <f t="shared" si="0"/>
        <v>0</v>
      </c>
      <c r="J10" s="90">
        <f t="shared" si="0"/>
        <v>0</v>
      </c>
      <c r="K10" s="107"/>
    </row>
    <row r="11" spans="1:358" x14ac:dyDescent="0.3">
      <c r="A11" s="141"/>
      <c r="B11" s="85"/>
      <c r="C11" s="84" t="s">
        <v>166</v>
      </c>
      <c r="D11" s="355"/>
      <c r="E11" s="84"/>
      <c r="F11" s="509">
        <f t="shared" si="0"/>
        <v>1.8804282240142364E-3</v>
      </c>
      <c r="G11" s="90">
        <f t="shared" si="0"/>
        <v>1.8428196595339514E-3</v>
      </c>
      <c r="H11" s="90">
        <f t="shared" si="0"/>
        <v>0</v>
      </c>
      <c r="I11" s="90">
        <f t="shared" si="0"/>
        <v>0</v>
      </c>
      <c r="J11" s="90">
        <f t="shared" si="0"/>
        <v>0</v>
      </c>
      <c r="K11" s="107"/>
    </row>
    <row r="12" spans="1:358" s="102" customFormat="1" x14ac:dyDescent="0.3">
      <c r="A12" s="284" t="s">
        <v>1</v>
      </c>
      <c r="B12" s="110">
        <f>'Input data processed products'!C5</f>
        <v>0.3</v>
      </c>
      <c r="C12" s="269" t="s">
        <v>473</v>
      </c>
      <c r="D12" s="353"/>
      <c r="E12" s="269"/>
      <c r="F12" s="321">
        <f>IF($E$1="GWP100 without fb",F13+F14*'Common input data'!$C$5+F15*'Common input data'!$D$5,IF($E$1="GWP100 with fb",F13+F14*'Common input data'!$C$6+F15*'Common input data'!$D$6,IF($E$1="GTP100 without fb",F13+F14*'Common input data'!$C$7+F15*'Common input data'!$D$7,IF($E$1="GTP100 with fb",F13+F14*'Common input data'!$C$8+F15*'Common input data'!$D$8,F13+F14*'Common input data'!$C$9+F15*'Common input data'!$D$9))))</f>
        <v>1.4627703407058106</v>
      </c>
      <c r="G12" s="104"/>
      <c r="H12" s="104"/>
      <c r="I12" s="106"/>
      <c r="J12" s="106"/>
      <c r="K12" s="107"/>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row>
    <row r="13" spans="1:358" x14ac:dyDescent="0.3">
      <c r="C13" s="83" t="s">
        <v>164</v>
      </c>
      <c r="D13" s="354"/>
      <c r="E13" s="83"/>
      <c r="F13" s="509">
        <f>SUM(G13:J13)/(1-'Common input data'!$B$137)</f>
        <v>0.9002952139316257</v>
      </c>
      <c r="G13" s="85">
        <f>SUMPRODUCT('Input data processed products'!D$5:AB$5,'Input data processed products'!D$55:AB$55)</f>
        <v>0.742289309652993</v>
      </c>
      <c r="H13" s="85">
        <f>'Input data processed products'!C67</f>
        <v>0.06</v>
      </c>
      <c r="I13" s="90">
        <f>'Common input data'!B$90</f>
        <v>0.05</v>
      </c>
      <c r="J13" s="90">
        <f>'Common input data'!C$98</f>
        <v>0.03</v>
      </c>
      <c r="K13" s="107"/>
    </row>
    <row r="14" spans="1:358" x14ac:dyDescent="0.3">
      <c r="A14" s="144"/>
      <c r="B14" s="142"/>
      <c r="C14" s="83" t="s">
        <v>165</v>
      </c>
      <c r="D14" s="354"/>
      <c r="E14" s="83"/>
      <c r="F14" s="509">
        <f>SUM(G14:J14)/(1-'Common input data'!$B$137)</f>
        <v>6.1985765233600008E-5</v>
      </c>
      <c r="G14" s="85">
        <f>SUMPRODUCT('Input data processed products'!D$5:AB$5,'Input data processed products'!D$56:AB$56)</f>
        <v>6.0746049928928001E-5</v>
      </c>
      <c r="H14" s="85">
        <v>0</v>
      </c>
      <c r="I14" s="90">
        <v>0</v>
      </c>
      <c r="J14" s="90">
        <v>0</v>
      </c>
      <c r="K14" s="107"/>
    </row>
    <row r="15" spans="1:358" x14ac:dyDescent="0.3">
      <c r="A15" s="174"/>
      <c r="B15" s="85"/>
      <c r="C15" s="84" t="s">
        <v>166</v>
      </c>
      <c r="D15" s="355"/>
      <c r="E15" s="84"/>
      <c r="F15" s="509">
        <f>SUM(G15:J15)/(1-'Common input data'!$B$137)</f>
        <v>1.8804282240142364E-3</v>
      </c>
      <c r="G15" s="85">
        <f>SUMPRODUCT('Input data processed products'!D$5:AB$5,'Input data processed products'!D$57:AB$57)</f>
        <v>1.8428196595339516E-3</v>
      </c>
      <c r="H15" s="85">
        <v>0</v>
      </c>
      <c r="I15" s="90">
        <v>0</v>
      </c>
      <c r="J15" s="90">
        <v>0</v>
      </c>
      <c r="K15" s="107"/>
    </row>
    <row r="16" spans="1:358" s="102" customFormat="1" x14ac:dyDescent="0.3">
      <c r="A16" s="284" t="s">
        <v>66</v>
      </c>
      <c r="B16" s="110">
        <f>'Input data processed products'!C6</f>
        <v>0.503</v>
      </c>
      <c r="C16" s="269" t="s">
        <v>473</v>
      </c>
      <c r="D16" s="353"/>
      <c r="E16" s="269"/>
      <c r="F16" s="321">
        <f>IF($E$1="GWP100 without fb",F17+F18*'Common input data'!$C$5+F19*'Common input data'!$D$5,IF($E$1="GWP100 with fb",F17+F18*'Common input data'!$C$6+F19*'Common input data'!$D$6,IF($E$1="GTP100 without fb",F17+F18*'Common input data'!$C$7+F19*'Common input data'!$D$7,IF($E$1="GTP100 with fb",F17+F18*'Common input data'!$C$8+F19*'Common input data'!$D$8,F17+F18*'Common input data'!$C$9+F19*'Common input data'!$D$9))))</f>
        <v>1.7893009529507085</v>
      </c>
      <c r="G16" s="104"/>
      <c r="H16" s="104"/>
      <c r="I16" s="106"/>
      <c r="J16" s="106"/>
      <c r="K16" s="107"/>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c r="IW16" s="64"/>
      <c r="IX16" s="64"/>
      <c r="IY16" s="64"/>
      <c r="IZ16" s="64"/>
      <c r="JA16" s="64"/>
      <c r="JB16" s="64"/>
      <c r="JC16" s="64"/>
      <c r="JD16" s="64"/>
      <c r="JE16" s="64"/>
      <c r="JF16" s="64"/>
      <c r="JG16" s="64"/>
      <c r="JH16" s="64"/>
      <c r="JI16" s="64"/>
      <c r="JJ16" s="64"/>
      <c r="JK16" s="64"/>
      <c r="JL16" s="64"/>
      <c r="JM16" s="64"/>
      <c r="JN16" s="64"/>
      <c r="JO16" s="64"/>
      <c r="JP16" s="64"/>
      <c r="JQ16" s="64"/>
      <c r="JR16" s="64"/>
      <c r="JS16" s="64"/>
      <c r="JT16" s="64"/>
      <c r="JU16" s="64"/>
      <c r="JV16" s="64"/>
      <c r="JW16" s="64"/>
      <c r="JX16" s="64"/>
      <c r="JY16" s="64"/>
      <c r="JZ16" s="64"/>
      <c r="KA16" s="64"/>
      <c r="KB16" s="64"/>
      <c r="KC16" s="64"/>
      <c r="KD16" s="64"/>
      <c r="KE16" s="64"/>
      <c r="KF16" s="64"/>
      <c r="KG16" s="64"/>
      <c r="KH16" s="64"/>
      <c r="KI16" s="64"/>
      <c r="KJ16" s="64"/>
      <c r="KK16" s="64"/>
      <c r="KL16" s="64"/>
      <c r="KM16" s="64"/>
      <c r="KN16" s="64"/>
      <c r="KO16" s="64"/>
      <c r="KP16" s="64"/>
      <c r="KQ16" s="64"/>
      <c r="KR16" s="64"/>
      <c r="KS16" s="64"/>
      <c r="KT16" s="64"/>
      <c r="KU16" s="64"/>
      <c r="KV16" s="64"/>
      <c r="KW16" s="64"/>
      <c r="KX16" s="64"/>
      <c r="KY16" s="64"/>
      <c r="KZ16" s="64"/>
      <c r="LA16" s="64"/>
      <c r="LB16" s="64"/>
      <c r="LC16" s="64"/>
      <c r="LD16" s="64"/>
      <c r="LE16" s="64"/>
      <c r="LF16" s="64"/>
      <c r="LG16" s="64"/>
      <c r="LH16" s="64"/>
      <c r="LI16" s="64"/>
      <c r="LJ16" s="64"/>
      <c r="LK16" s="64"/>
      <c r="LL16" s="64"/>
      <c r="LM16" s="64"/>
      <c r="LN16" s="64"/>
      <c r="LO16" s="64"/>
      <c r="LP16" s="64"/>
      <c r="LQ16" s="64"/>
      <c r="LR16" s="64"/>
      <c r="LS16" s="64"/>
      <c r="LT16" s="64"/>
      <c r="LU16" s="64"/>
      <c r="LV16" s="64"/>
      <c r="LW16" s="64"/>
      <c r="LX16" s="64"/>
      <c r="LY16" s="64"/>
      <c r="LZ16" s="64"/>
      <c r="MA16" s="64"/>
      <c r="MB16" s="64"/>
      <c r="MC16" s="64"/>
      <c r="MD16" s="64"/>
      <c r="ME16" s="64"/>
      <c r="MF16" s="64"/>
      <c r="MG16" s="64"/>
      <c r="MH16" s="64"/>
      <c r="MI16" s="64"/>
      <c r="MJ16" s="64"/>
      <c r="MK16" s="64"/>
      <c r="ML16" s="64"/>
      <c r="MM16" s="64"/>
      <c r="MN16" s="64"/>
      <c r="MO16" s="64"/>
      <c r="MP16" s="64"/>
      <c r="MQ16" s="64"/>
      <c r="MR16" s="64"/>
      <c r="MS16" s="64"/>
      <c r="MT16" s="64"/>
    </row>
    <row r="17" spans="1:358" x14ac:dyDescent="0.3">
      <c r="C17" s="83" t="s">
        <v>164</v>
      </c>
      <c r="D17" s="354"/>
      <c r="E17" s="83"/>
      <c r="F17" s="509">
        <f>SUM(G17:J17)/(1-'Common input data'!$B$137)</f>
        <v>1.2268258261765235</v>
      </c>
      <c r="G17" s="85">
        <f>SUMPRODUCT('Input data processed products'!D$6:AB$6,'Input data processed products'!D$55:AB$55)</f>
        <v>0.742289309652993</v>
      </c>
      <c r="H17" s="85">
        <f>'Input data processed products'!C68</f>
        <v>0.18</v>
      </c>
      <c r="I17" s="90">
        <f>'Common input data'!B$90</f>
        <v>0.05</v>
      </c>
      <c r="J17" s="90">
        <f>'Common input data'!B100+'Common input data'!C100</f>
        <v>0.23</v>
      </c>
      <c r="K17" s="107"/>
    </row>
    <row r="18" spans="1:358" x14ac:dyDescent="0.3">
      <c r="A18" s="144"/>
      <c r="B18" s="84"/>
      <c r="C18" s="83" t="s">
        <v>165</v>
      </c>
      <c r="D18" s="354"/>
      <c r="E18" s="83"/>
      <c r="F18" s="509">
        <f>SUM(G18:J18)/(1-'Common input data'!$B$137)</f>
        <v>6.1985765233600008E-5</v>
      </c>
      <c r="G18" s="85">
        <f>SUMPRODUCT('Input data processed products'!D$5:AB$5,'Input data processed products'!D$56:AB$56)</f>
        <v>6.0746049928928001E-5</v>
      </c>
      <c r="H18" s="85">
        <v>0</v>
      </c>
      <c r="I18" s="90">
        <v>0</v>
      </c>
      <c r="J18" s="90">
        <v>0</v>
      </c>
      <c r="K18" s="107"/>
    </row>
    <row r="19" spans="1:358" x14ac:dyDescent="0.3">
      <c r="A19" s="144"/>
      <c r="B19" s="85"/>
      <c r="C19" s="84" t="s">
        <v>166</v>
      </c>
      <c r="D19" s="355"/>
      <c r="E19" s="84"/>
      <c r="F19" s="509">
        <f>SUM(G19:J19)/(1-'Common input data'!$B$137)</f>
        <v>1.8804282240142364E-3</v>
      </c>
      <c r="G19" s="85">
        <f>SUMPRODUCT('Input data processed products'!D$5:AB$5,'Input data processed products'!D$57:AB$57)</f>
        <v>1.8428196595339516E-3</v>
      </c>
      <c r="H19" s="85">
        <v>0</v>
      </c>
      <c r="I19" s="94">
        <v>0</v>
      </c>
      <c r="J19" s="90">
        <v>0</v>
      </c>
      <c r="K19" s="107"/>
    </row>
    <row r="20" spans="1:358" s="102" customFormat="1" x14ac:dyDescent="0.3">
      <c r="A20" s="284" t="s">
        <v>67</v>
      </c>
      <c r="B20" s="110">
        <f>'Input data processed products'!C7</f>
        <v>0.19700000000000001</v>
      </c>
      <c r="C20" s="269" t="s">
        <v>473</v>
      </c>
      <c r="D20" s="353"/>
      <c r="E20" s="269"/>
      <c r="F20" s="321">
        <f>IF($E$1="GWP100 without fb",F21+F22*'Common input data'!$C$5+F23*'Common input data'!$D$5,IF($E$1="GWP100 with fb",F21+F22*'Common input data'!$C$6+F23*'Common input data'!$D$6,IF($E$1="GTP100 without fb",F21+F22*'Common input data'!$C$7+F23*'Common input data'!$D$7,IF($E$1="GTP100 with fb",F21+F22*'Common input data'!$C$8+F23*'Common input data'!$D$8,F21+F22*'Common input data'!$C$9+F23*'Common input data'!$D$9))))</f>
        <v>2.1668519733588716</v>
      </c>
      <c r="G20" s="104"/>
      <c r="H20" s="104"/>
      <c r="I20" s="106"/>
      <c r="J20" s="106"/>
      <c r="K20" s="107"/>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c r="IW20" s="64"/>
      <c r="IX20" s="64"/>
      <c r="IY20" s="64"/>
      <c r="IZ20" s="64"/>
      <c r="JA20" s="64"/>
      <c r="JB20" s="64"/>
      <c r="JC20" s="64"/>
      <c r="JD20" s="64"/>
      <c r="JE20" s="64"/>
      <c r="JF20" s="64"/>
      <c r="JG20" s="64"/>
      <c r="JH20" s="64"/>
      <c r="JI20" s="64"/>
      <c r="JJ20" s="64"/>
      <c r="JK20" s="64"/>
      <c r="JL20" s="64"/>
      <c r="JM20" s="64"/>
      <c r="JN20" s="64"/>
      <c r="JO20" s="64"/>
      <c r="JP20" s="64"/>
      <c r="JQ20" s="64"/>
      <c r="JR20" s="64"/>
      <c r="JS20" s="64"/>
      <c r="JT20" s="64"/>
      <c r="JU20" s="64"/>
      <c r="JV20" s="64"/>
      <c r="JW20" s="64"/>
      <c r="JX20" s="64"/>
      <c r="JY20" s="64"/>
      <c r="JZ20" s="64"/>
      <c r="KA20" s="64"/>
      <c r="KB20" s="64"/>
      <c r="KC20" s="64"/>
      <c r="KD20" s="64"/>
      <c r="KE20" s="64"/>
      <c r="KF20" s="64"/>
      <c r="KG20" s="64"/>
      <c r="KH20" s="64"/>
      <c r="KI20" s="64"/>
      <c r="KJ20" s="64"/>
      <c r="KK20" s="64"/>
      <c r="KL20" s="64"/>
      <c r="KM20" s="64"/>
      <c r="KN20" s="64"/>
      <c r="KO20" s="64"/>
      <c r="KP20" s="64"/>
      <c r="KQ20" s="64"/>
      <c r="KR20" s="64"/>
      <c r="KS20" s="64"/>
      <c r="KT20" s="64"/>
      <c r="KU20" s="64"/>
      <c r="KV20" s="64"/>
      <c r="KW20" s="64"/>
      <c r="KX20" s="64"/>
      <c r="KY20" s="64"/>
      <c r="KZ20" s="64"/>
      <c r="LA20" s="64"/>
      <c r="LB20" s="64"/>
      <c r="LC20" s="64"/>
      <c r="LD20" s="64"/>
      <c r="LE20" s="64"/>
      <c r="LF20" s="64"/>
      <c r="LG20" s="64"/>
      <c r="LH20" s="64"/>
      <c r="LI20" s="64"/>
      <c r="LJ20" s="64"/>
      <c r="LK20" s="64"/>
      <c r="LL20" s="64"/>
      <c r="LM20" s="64"/>
      <c r="LN20" s="64"/>
      <c r="LO20" s="64"/>
      <c r="LP20" s="64"/>
      <c r="LQ20" s="64"/>
      <c r="LR20" s="64"/>
      <c r="LS20" s="64"/>
      <c r="LT20" s="64"/>
      <c r="LU20" s="64"/>
      <c r="LV20" s="64"/>
      <c r="LW20" s="64"/>
      <c r="LX20" s="64"/>
      <c r="LY20" s="64"/>
      <c r="LZ20" s="64"/>
      <c r="MA20" s="64"/>
      <c r="MB20" s="64"/>
      <c r="MC20" s="64"/>
      <c r="MD20" s="64"/>
      <c r="ME20" s="64"/>
      <c r="MF20" s="64"/>
      <c r="MG20" s="64"/>
      <c r="MH20" s="64"/>
      <c r="MI20" s="64"/>
      <c r="MJ20" s="64"/>
      <c r="MK20" s="64"/>
      <c r="ML20" s="64"/>
      <c r="MM20" s="64"/>
      <c r="MN20" s="64"/>
      <c r="MO20" s="64"/>
      <c r="MP20" s="64"/>
      <c r="MQ20" s="64"/>
      <c r="MR20" s="64"/>
      <c r="MS20" s="64"/>
      <c r="MT20" s="64"/>
    </row>
    <row r="21" spans="1:358" x14ac:dyDescent="0.3">
      <c r="C21" s="83" t="s">
        <v>164</v>
      </c>
      <c r="D21" s="354"/>
      <c r="E21" s="83"/>
      <c r="F21" s="509">
        <f>SUM(G21:J21)/(1-'Common input data'!$B$137)</f>
        <v>1.6043768465846868</v>
      </c>
      <c r="G21" s="85">
        <f>SUMPRODUCT('Input data processed products'!D$7:AB$7,'Input data processed products'!D$55:AB$55)</f>
        <v>0.742289309652993</v>
      </c>
      <c r="H21" s="85">
        <f>'Input data processed products'!C70</f>
        <v>0.35</v>
      </c>
      <c r="I21" s="90">
        <f>'Common input data'!B$90</f>
        <v>0.05</v>
      </c>
      <c r="J21" s="90">
        <f>'Common input data'!B108+'Common input data'!C108</f>
        <v>0.43000000000000005</v>
      </c>
      <c r="K21" s="107"/>
    </row>
    <row r="22" spans="1:358" x14ac:dyDescent="0.3">
      <c r="A22" s="144"/>
      <c r="B22" s="85"/>
      <c r="C22" s="83" t="s">
        <v>165</v>
      </c>
      <c r="D22" s="354"/>
      <c r="E22" s="83"/>
      <c r="F22" s="509">
        <f>SUM(G22:J22)/(1-'Common input data'!$B$137)</f>
        <v>6.1985765233600008E-5</v>
      </c>
      <c r="G22" s="85">
        <f>SUMPRODUCT('Input data processed products'!D$5:AB$5,'Input data processed products'!D$56:AB$56)</f>
        <v>6.0746049928928001E-5</v>
      </c>
      <c r="H22" s="85">
        <v>0</v>
      </c>
      <c r="I22" s="90">
        <v>0</v>
      </c>
      <c r="J22" s="90">
        <v>0</v>
      </c>
      <c r="K22" s="107"/>
    </row>
    <row r="23" spans="1:358" x14ac:dyDescent="0.3">
      <c r="A23" s="144"/>
      <c r="B23" s="84"/>
      <c r="C23" s="84" t="s">
        <v>166</v>
      </c>
      <c r="D23" s="592"/>
      <c r="E23" s="100"/>
      <c r="F23" s="593">
        <f>SUM(G23:J23)/(1-'Common input data'!$B$137)</f>
        <v>1.8804282240142364E-3</v>
      </c>
      <c r="G23" s="85">
        <f>SUMPRODUCT('Input data processed products'!D$5:AB$5,'Input data processed products'!D$57:AB$57)</f>
        <v>1.8428196595339516E-3</v>
      </c>
      <c r="H23" s="85">
        <v>0</v>
      </c>
      <c r="I23" s="90">
        <v>0</v>
      </c>
      <c r="J23" s="90">
        <v>0</v>
      </c>
      <c r="K23" s="107"/>
    </row>
    <row r="24" spans="1:358" s="316" customFormat="1" x14ac:dyDescent="0.3">
      <c r="A24" s="311" t="s">
        <v>489</v>
      </c>
      <c r="B24" s="313"/>
      <c r="C24" s="314"/>
      <c r="D24" s="356"/>
      <c r="E24" s="281"/>
      <c r="F24" s="591" t="s">
        <v>835</v>
      </c>
      <c r="G24" s="313"/>
      <c r="H24" s="313"/>
      <c r="I24" s="315"/>
      <c r="J24" s="315"/>
      <c r="K24" s="107"/>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c r="IW24" s="64"/>
      <c r="IX24" s="64"/>
      <c r="IY24" s="64"/>
      <c r="IZ24" s="64"/>
      <c r="JA24" s="64"/>
      <c r="JB24" s="64"/>
      <c r="JC24" s="64"/>
      <c r="JD24" s="64"/>
      <c r="JE24" s="64"/>
      <c r="JF24" s="64"/>
      <c r="JG24" s="64"/>
      <c r="JH24" s="64"/>
      <c r="JI24" s="64"/>
      <c r="JJ24" s="64"/>
      <c r="JK24" s="64"/>
      <c r="JL24" s="64"/>
      <c r="JM24" s="64"/>
      <c r="JN24" s="64"/>
      <c r="JO24" s="64"/>
      <c r="JP24" s="64"/>
      <c r="JQ24" s="64"/>
      <c r="JR24" s="64"/>
      <c r="JS24" s="64"/>
      <c r="JT24" s="64"/>
      <c r="JU24" s="64"/>
      <c r="JV24" s="64"/>
      <c r="JW24" s="64"/>
      <c r="JX24" s="64"/>
      <c r="JY24" s="64"/>
      <c r="JZ24" s="64"/>
      <c r="KA24" s="64"/>
      <c r="KB24" s="64"/>
      <c r="KC24" s="64"/>
      <c r="KD24" s="64"/>
      <c r="KE24" s="64"/>
      <c r="KF24" s="64"/>
      <c r="KG24" s="64"/>
      <c r="KH24" s="64"/>
      <c r="KI24" s="64"/>
      <c r="KJ24" s="64"/>
      <c r="KK24" s="64"/>
      <c r="KL24" s="64"/>
      <c r="KM24" s="64"/>
      <c r="KN24" s="64"/>
      <c r="KO24" s="64"/>
      <c r="KP24" s="64"/>
      <c r="KQ24" s="64"/>
      <c r="KR24" s="64"/>
      <c r="KS24" s="64"/>
      <c r="KT24" s="64"/>
      <c r="KU24" s="64"/>
      <c r="KV24" s="64"/>
      <c r="KW24" s="64"/>
      <c r="KX24" s="64"/>
      <c r="KY24" s="64"/>
      <c r="KZ24" s="64"/>
      <c r="LA24" s="64"/>
      <c r="LB24" s="64"/>
      <c r="LC24" s="64"/>
      <c r="LD24" s="64"/>
      <c r="LE24" s="64"/>
      <c r="LF24" s="64"/>
      <c r="LG24" s="64"/>
      <c r="LH24" s="64"/>
      <c r="LI24" s="64"/>
      <c r="LJ24" s="64"/>
      <c r="LK24" s="64"/>
      <c r="LL24" s="64"/>
      <c r="LM24" s="64"/>
      <c r="LN24" s="64"/>
      <c r="LO24" s="64"/>
      <c r="LP24" s="64"/>
      <c r="LQ24" s="64"/>
      <c r="LR24" s="64"/>
      <c r="LS24" s="64"/>
      <c r="LT24" s="64"/>
      <c r="LU24" s="64"/>
      <c r="LV24" s="64"/>
      <c r="LW24" s="64"/>
      <c r="LX24" s="64"/>
      <c r="LY24" s="64"/>
      <c r="LZ24" s="64"/>
      <c r="MA24" s="64"/>
      <c r="MB24" s="64"/>
      <c r="MC24" s="64"/>
      <c r="MD24" s="64"/>
      <c r="ME24" s="64"/>
      <c r="MF24" s="64"/>
      <c r="MG24" s="64"/>
      <c r="MH24" s="64"/>
      <c r="MI24" s="64"/>
      <c r="MJ24" s="64"/>
      <c r="MK24" s="64"/>
      <c r="ML24" s="64"/>
      <c r="MM24" s="64"/>
      <c r="MN24" s="64"/>
      <c r="MO24" s="64"/>
      <c r="MP24" s="64"/>
      <c r="MQ24" s="64"/>
      <c r="MR24" s="64"/>
      <c r="MS24" s="64"/>
      <c r="MT24" s="64"/>
    </row>
    <row r="25" spans="1:358" s="408" customFormat="1" x14ac:dyDescent="0.3">
      <c r="A25" s="419" t="s">
        <v>1</v>
      </c>
      <c r="B25" s="140">
        <f>'Input data processed products'!C8</f>
        <v>1</v>
      </c>
      <c r="C25" s="325" t="s">
        <v>473</v>
      </c>
      <c r="D25" s="407"/>
      <c r="E25" s="325"/>
      <c r="F25" s="770">
        <f>IF($E$1="GWP100 without fb",F26+F27*'Common input data'!$C$5+F28*'Common input data'!$D$5,IF($E$1="GWP100 with fb",F26+F27*'Common input data'!$C$6+F28*'Common input data'!$D$6,IF($E$1="GTP100 without fb",F26+F27*'Common input data'!$C$7+F28*'Common input data'!$D$7,IF($E$1="GTP100 with fb",F26+F27*'Common input data'!$C$8+F28*'Common input data'!$D$8,F26+F27*'Common input data'!$C$9+F28*'Common input data'!$D$9))))</f>
        <v>1.4477645167641884</v>
      </c>
      <c r="G25" s="137"/>
      <c r="H25" s="137"/>
      <c r="I25" s="138"/>
      <c r="J25" s="138"/>
      <c r="K25" s="107"/>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c r="IW25" s="64"/>
      <c r="IX25" s="64"/>
      <c r="IY25" s="64"/>
      <c r="IZ25" s="64"/>
      <c r="JA25" s="64"/>
      <c r="JB25" s="64"/>
      <c r="JC25" s="64"/>
      <c r="JD25" s="64"/>
      <c r="JE25" s="64"/>
      <c r="JF25" s="64"/>
      <c r="JG25" s="64"/>
      <c r="JH25" s="64"/>
      <c r="JI25" s="64"/>
      <c r="JJ25" s="64"/>
      <c r="JK25" s="64"/>
      <c r="JL25" s="64"/>
      <c r="JM25" s="64"/>
      <c r="JN25" s="64"/>
      <c r="JO25" s="64"/>
      <c r="JP25" s="64"/>
      <c r="JQ25" s="64"/>
      <c r="JR25" s="64"/>
      <c r="JS25" s="64"/>
      <c r="JT25" s="64"/>
      <c r="JU25" s="64"/>
      <c r="JV25" s="64"/>
      <c r="JW25" s="64"/>
      <c r="JX25" s="64"/>
      <c r="JY25" s="64"/>
      <c r="JZ25" s="64"/>
      <c r="KA25" s="64"/>
      <c r="KB25" s="64"/>
      <c r="KC25" s="64"/>
      <c r="KD25" s="64"/>
      <c r="KE25" s="64"/>
      <c r="KF25" s="64"/>
      <c r="KG25" s="64"/>
      <c r="KH25" s="64"/>
      <c r="KI25" s="64"/>
      <c r="KJ25" s="64"/>
      <c r="KK25" s="64"/>
      <c r="KL25" s="64"/>
      <c r="KM25" s="64"/>
      <c r="KN25" s="64"/>
      <c r="KO25" s="64"/>
      <c r="KP25" s="64"/>
      <c r="KQ25" s="64"/>
      <c r="KR25" s="64"/>
      <c r="KS25" s="64"/>
      <c r="KT25" s="64"/>
      <c r="KU25" s="64"/>
      <c r="KV25" s="64"/>
      <c r="KW25" s="64"/>
      <c r="KX25" s="64"/>
      <c r="KY25" s="64"/>
      <c r="KZ25" s="64"/>
      <c r="LA25" s="64"/>
      <c r="LB25" s="64"/>
      <c r="LC25" s="64"/>
      <c r="LD25" s="64"/>
      <c r="LE25" s="64"/>
      <c r="LF25" s="64"/>
      <c r="LG25" s="64"/>
      <c r="LH25" s="64"/>
      <c r="LI25" s="64"/>
      <c r="LJ25" s="64"/>
      <c r="LK25" s="64"/>
      <c r="LL25" s="64"/>
      <c r="LM25" s="64"/>
      <c r="LN25" s="64"/>
      <c r="LO25" s="64"/>
      <c r="LP25" s="64"/>
      <c r="LQ25" s="64"/>
      <c r="LR25" s="64"/>
      <c r="LS25" s="64"/>
      <c r="LT25" s="64"/>
      <c r="LU25" s="64"/>
      <c r="LV25" s="64"/>
      <c r="LW25" s="64"/>
      <c r="LX25" s="64"/>
      <c r="LY25" s="64"/>
      <c r="LZ25" s="64"/>
      <c r="MA25" s="64"/>
      <c r="MB25" s="64"/>
      <c r="MC25" s="64"/>
      <c r="MD25" s="64"/>
      <c r="ME25" s="64"/>
      <c r="MF25" s="64"/>
      <c r="MG25" s="64"/>
      <c r="MH25" s="64"/>
      <c r="MI25" s="64"/>
      <c r="MJ25" s="64"/>
      <c r="MK25" s="64"/>
      <c r="ML25" s="64"/>
      <c r="MM25" s="64"/>
      <c r="MN25" s="64"/>
      <c r="MO25" s="64"/>
      <c r="MP25" s="64"/>
      <c r="MQ25" s="64"/>
      <c r="MR25" s="64"/>
      <c r="MS25" s="64"/>
      <c r="MT25" s="64"/>
    </row>
    <row r="26" spans="1:358" x14ac:dyDescent="0.3">
      <c r="C26" s="83" t="s">
        <v>164</v>
      </c>
      <c r="D26" s="354"/>
      <c r="E26" s="83"/>
      <c r="F26" s="509">
        <f>SUM(G26:J26)/(1-'Common input data'!$B$137)</f>
        <v>0.76901769214281013</v>
      </c>
      <c r="G26" s="85">
        <f>SUMPRODUCT('Input data processed products'!D$8:AB$8,'Input data processed products'!D$55:AB$55)</f>
        <v>0.37363733829995394</v>
      </c>
      <c r="H26" s="85">
        <f>'Input data processed products'!D$67</f>
        <v>0.3</v>
      </c>
      <c r="I26" s="90">
        <f>'Common input data'!B$90</f>
        <v>0.05</v>
      </c>
      <c r="J26" s="90">
        <f>'Common input data'!C$98</f>
        <v>0.03</v>
      </c>
      <c r="K26" s="107"/>
    </row>
    <row r="27" spans="1:358" x14ac:dyDescent="0.3">
      <c r="A27" s="144"/>
      <c r="B27" s="142"/>
      <c r="C27" s="83" t="s">
        <v>165</v>
      </c>
      <c r="D27" s="354"/>
      <c r="E27" s="83"/>
      <c r="F27" s="509">
        <f>SUM(G27:J27)/(1-'Common input data'!$B$137)</f>
        <v>9.8840465897888467E-3</v>
      </c>
      <c r="G27" s="85">
        <f>SUMPRODUCT('Input data processed products'!D$8:AB$8,'Input data processed products'!D$56:AB$56)</f>
        <v>9.6863656579930704E-3</v>
      </c>
      <c r="H27" s="85">
        <v>0</v>
      </c>
      <c r="I27" s="90">
        <v>0</v>
      </c>
      <c r="J27" s="90">
        <v>0</v>
      </c>
      <c r="K27" s="107"/>
    </row>
    <row r="28" spans="1:358" x14ac:dyDescent="0.3">
      <c r="A28" s="174"/>
      <c r="B28" s="85"/>
      <c r="C28" s="84" t="s">
        <v>166</v>
      </c>
      <c r="D28" s="592"/>
      <c r="E28" s="100"/>
      <c r="F28" s="593">
        <f>SUM(G28:J28)/(1-'Common input data'!$B$137)</f>
        <v>1.1499638945253606E-3</v>
      </c>
      <c r="G28" s="85">
        <f>SUMPRODUCT('Input data processed products'!D$8:AB$8,'Input data processed products'!D$57:AB$57)</f>
        <v>1.1269646166348535E-3</v>
      </c>
      <c r="H28" s="85">
        <v>0</v>
      </c>
      <c r="I28" s="90">
        <v>0</v>
      </c>
      <c r="J28" s="90">
        <v>0</v>
      </c>
      <c r="K28" s="107"/>
    </row>
    <row r="29" spans="1:358" s="316" customFormat="1" x14ac:dyDescent="0.3">
      <c r="A29" s="311" t="s">
        <v>494</v>
      </c>
      <c r="B29" s="313"/>
      <c r="C29" s="314"/>
      <c r="D29" s="356"/>
      <c r="E29" s="281"/>
      <c r="F29" s="591" t="s">
        <v>836</v>
      </c>
      <c r="G29" s="313"/>
      <c r="H29" s="313"/>
      <c r="I29" s="315"/>
      <c r="J29" s="315"/>
      <c r="K29" s="107"/>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c r="IW29" s="64"/>
      <c r="IX29" s="64"/>
      <c r="IY29" s="64"/>
      <c r="IZ29" s="64"/>
      <c r="JA29" s="64"/>
      <c r="JB29" s="64"/>
      <c r="JC29" s="64"/>
      <c r="JD29" s="64"/>
      <c r="JE29" s="64"/>
      <c r="JF29" s="64"/>
      <c r="JG29" s="64"/>
      <c r="JH29" s="64"/>
      <c r="JI29" s="64"/>
      <c r="JJ29" s="64"/>
      <c r="JK29" s="64"/>
      <c r="JL29" s="64"/>
      <c r="JM29" s="64"/>
      <c r="JN29" s="64"/>
      <c r="JO29" s="64"/>
      <c r="JP29" s="64"/>
      <c r="JQ29" s="64"/>
      <c r="JR29" s="64"/>
      <c r="JS29" s="64"/>
      <c r="JT29" s="64"/>
      <c r="JU29" s="64"/>
      <c r="JV29" s="64"/>
      <c r="JW29" s="64"/>
      <c r="JX29" s="64"/>
      <c r="JY29" s="64"/>
      <c r="JZ29" s="64"/>
      <c r="KA29" s="64"/>
      <c r="KB29" s="64"/>
      <c r="KC29" s="64"/>
      <c r="KD29" s="64"/>
      <c r="KE29" s="64"/>
      <c r="KF29" s="64"/>
      <c r="KG29" s="64"/>
      <c r="KH29" s="64"/>
      <c r="KI29" s="64"/>
      <c r="KJ29" s="64"/>
      <c r="KK29" s="64"/>
      <c r="KL29" s="64"/>
      <c r="KM29" s="64"/>
      <c r="KN29" s="64"/>
      <c r="KO29" s="64"/>
      <c r="KP29" s="64"/>
      <c r="KQ29" s="64"/>
      <c r="KR29" s="64"/>
      <c r="KS29" s="64"/>
      <c r="KT29" s="64"/>
      <c r="KU29" s="64"/>
      <c r="KV29" s="64"/>
      <c r="KW29" s="64"/>
      <c r="KX29" s="64"/>
      <c r="KY29" s="64"/>
      <c r="KZ29" s="64"/>
      <c r="LA29" s="64"/>
      <c r="LB29" s="64"/>
      <c r="LC29" s="64"/>
      <c r="LD29" s="64"/>
      <c r="LE29" s="64"/>
      <c r="LF29" s="64"/>
      <c r="LG29" s="64"/>
      <c r="LH29" s="64"/>
      <c r="LI29" s="64"/>
      <c r="LJ29" s="64"/>
      <c r="LK29" s="64"/>
      <c r="LL29" s="64"/>
      <c r="LM29" s="64"/>
      <c r="LN29" s="64"/>
      <c r="LO29" s="64"/>
      <c r="LP29" s="64"/>
      <c r="LQ29" s="64"/>
      <c r="LR29" s="64"/>
      <c r="LS29" s="64"/>
      <c r="LT29" s="64"/>
      <c r="LU29" s="64"/>
      <c r="LV29" s="64"/>
      <c r="LW29" s="64"/>
      <c r="LX29" s="64"/>
      <c r="LY29" s="64"/>
      <c r="LZ29" s="64"/>
      <c r="MA29" s="64"/>
      <c r="MB29" s="64"/>
      <c r="MC29" s="64"/>
      <c r="MD29" s="64"/>
      <c r="ME29" s="64"/>
      <c r="MF29" s="64"/>
      <c r="MG29" s="64"/>
      <c r="MH29" s="64"/>
      <c r="MI29" s="64"/>
      <c r="MJ29" s="64"/>
      <c r="MK29" s="64"/>
      <c r="ML29" s="64"/>
      <c r="MM29" s="64"/>
      <c r="MN29" s="64"/>
      <c r="MO29" s="64"/>
      <c r="MP29" s="64"/>
      <c r="MQ29" s="64"/>
      <c r="MR29" s="64"/>
      <c r="MS29" s="64"/>
      <c r="MT29" s="64"/>
    </row>
    <row r="30" spans="1:358" s="408" customFormat="1" x14ac:dyDescent="0.3">
      <c r="A30" s="419" t="s">
        <v>1</v>
      </c>
      <c r="B30" s="140">
        <f>'Input data processed products'!C10</f>
        <v>1</v>
      </c>
      <c r="C30" s="325" t="s">
        <v>473</v>
      </c>
      <c r="D30" s="407"/>
      <c r="E30" s="325"/>
      <c r="F30" s="770">
        <f>IF($E$1="GWP100 without fb",F31+F32*'Common input data'!$C$5+F33*'Common input data'!$D$5,IF($E$1="GWP100 with fb",F31+F32*'Common input data'!$C$6+F33*'Common input data'!$D$6,IF($E$1="GTP100 without fb",F31+F32*'Common input data'!$C$7+F33*'Common input data'!$D$7,IF($E$1="GTP100 with fb",F31+F32*'Common input data'!$C$8+F33*'Common input data'!$D$8,F31+F32*'Common input data'!$C$9+F33*'Common input data'!$D$9))))</f>
        <v>1.1042750240173422</v>
      </c>
      <c r="G30" s="137"/>
      <c r="H30" s="137"/>
      <c r="I30" s="138"/>
      <c r="J30" s="138"/>
      <c r="K30" s="107"/>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c r="IW30" s="64"/>
      <c r="IX30" s="64"/>
      <c r="IY30" s="64"/>
      <c r="IZ30" s="64"/>
      <c r="JA30" s="64"/>
      <c r="JB30" s="64"/>
      <c r="JC30" s="64"/>
      <c r="JD30" s="64"/>
      <c r="JE30" s="64"/>
      <c r="JF30" s="64"/>
      <c r="JG30" s="64"/>
      <c r="JH30" s="64"/>
      <c r="JI30" s="64"/>
      <c r="JJ30" s="64"/>
      <c r="JK30" s="64"/>
      <c r="JL30" s="64"/>
      <c r="JM30" s="64"/>
      <c r="JN30" s="64"/>
      <c r="JO30" s="64"/>
      <c r="JP30" s="64"/>
      <c r="JQ30" s="64"/>
      <c r="JR30" s="64"/>
      <c r="JS30" s="64"/>
      <c r="JT30" s="64"/>
      <c r="JU30" s="64"/>
      <c r="JV30" s="64"/>
      <c r="JW30" s="64"/>
      <c r="JX30" s="64"/>
      <c r="JY30" s="64"/>
      <c r="JZ30" s="64"/>
      <c r="KA30" s="64"/>
      <c r="KB30" s="64"/>
      <c r="KC30" s="64"/>
      <c r="KD30" s="64"/>
      <c r="KE30" s="64"/>
      <c r="KF30" s="64"/>
      <c r="KG30" s="64"/>
      <c r="KH30" s="64"/>
      <c r="KI30" s="64"/>
      <c r="KJ30" s="64"/>
      <c r="KK30" s="64"/>
      <c r="KL30" s="64"/>
      <c r="KM30" s="64"/>
      <c r="KN30" s="64"/>
      <c r="KO30" s="64"/>
      <c r="KP30" s="64"/>
      <c r="KQ30" s="64"/>
      <c r="KR30" s="64"/>
      <c r="KS30" s="64"/>
      <c r="KT30" s="64"/>
      <c r="KU30" s="64"/>
      <c r="KV30" s="64"/>
      <c r="KW30" s="64"/>
      <c r="KX30" s="64"/>
      <c r="KY30" s="64"/>
      <c r="KZ30" s="64"/>
      <c r="LA30" s="64"/>
      <c r="LB30" s="64"/>
      <c r="LC30" s="64"/>
      <c r="LD30" s="64"/>
      <c r="LE30" s="64"/>
      <c r="LF30" s="64"/>
      <c r="LG30" s="64"/>
      <c r="LH30" s="64"/>
      <c r="LI30" s="64"/>
      <c r="LJ30" s="64"/>
      <c r="LK30" s="64"/>
      <c r="LL30" s="64"/>
      <c r="LM30" s="64"/>
      <c r="LN30" s="64"/>
      <c r="LO30" s="64"/>
      <c r="LP30" s="64"/>
      <c r="LQ30" s="64"/>
      <c r="LR30" s="64"/>
      <c r="LS30" s="64"/>
      <c r="LT30" s="64"/>
      <c r="LU30" s="64"/>
      <c r="LV30" s="64"/>
      <c r="LW30" s="64"/>
      <c r="LX30" s="64"/>
      <c r="LY30" s="64"/>
      <c r="LZ30" s="64"/>
      <c r="MA30" s="64"/>
      <c r="MB30" s="64"/>
      <c r="MC30" s="64"/>
      <c r="MD30" s="64"/>
      <c r="ME30" s="64"/>
      <c r="MF30" s="64"/>
      <c r="MG30" s="64"/>
      <c r="MH30" s="64"/>
      <c r="MI30" s="64"/>
      <c r="MJ30" s="64"/>
      <c r="MK30" s="64"/>
      <c r="ML30" s="64"/>
      <c r="MM30" s="64"/>
      <c r="MN30" s="64"/>
      <c r="MO30" s="64"/>
      <c r="MP30" s="64"/>
      <c r="MQ30" s="64"/>
      <c r="MR30" s="64"/>
      <c r="MS30" s="64"/>
      <c r="MT30" s="64"/>
    </row>
    <row r="31" spans="1:358" x14ac:dyDescent="0.3">
      <c r="C31" s="83" t="s">
        <v>164</v>
      </c>
      <c r="D31" s="354"/>
      <c r="E31" s="83"/>
      <c r="F31" s="509">
        <f>SUM(G31:J31)/(1-'Common input data'!$B$137)</f>
        <v>0.77621419976180595</v>
      </c>
      <c r="G31" s="85">
        <f>SUMPRODUCT('Input data processed products'!D$10:AB$10,'Input data processed products'!D$55:AB$55)</f>
        <v>0.3806899157665698</v>
      </c>
      <c r="H31" s="85">
        <f>'Input data processed products'!D$67</f>
        <v>0.3</v>
      </c>
      <c r="I31" s="90">
        <f>'Common input data'!B$90</f>
        <v>0.05</v>
      </c>
      <c r="J31" s="90">
        <f>'Common input data'!C$98</f>
        <v>0.03</v>
      </c>
      <c r="K31" s="107"/>
    </row>
    <row r="32" spans="1:358" x14ac:dyDescent="0.3">
      <c r="A32" s="144"/>
      <c r="B32" s="142"/>
      <c r="C32" s="83" t="s">
        <v>165</v>
      </c>
      <c r="D32" s="354"/>
      <c r="E32" s="83"/>
      <c r="F32" s="509">
        <f>SUM(G32:J32)/(1-'Common input data'!$B$137)</f>
        <v>7.5799602464165128E-4</v>
      </c>
      <c r="G32" s="85">
        <f>SUMPRODUCT('Input data processed products'!D$10:AB$10,'Input data processed products'!D$56:AB$56)</f>
        <v>7.4283610414881823E-4</v>
      </c>
      <c r="H32" s="85">
        <v>0</v>
      </c>
      <c r="I32" s="90">
        <v>0</v>
      </c>
      <c r="J32" s="90">
        <v>0</v>
      </c>
      <c r="K32" s="107"/>
    </row>
    <row r="33" spans="1:358" x14ac:dyDescent="0.3">
      <c r="A33" s="174"/>
      <c r="B33" s="85"/>
      <c r="C33" s="84" t="s">
        <v>166</v>
      </c>
      <c r="D33" s="592"/>
      <c r="E33" s="100"/>
      <c r="F33" s="593">
        <f>SUM(G33:J33)/(1-'Common input data'!$B$137)</f>
        <v>1.0143924812675174E-3</v>
      </c>
      <c r="G33" s="85">
        <f>SUMPRODUCT('Input data processed products'!D$10:AB$10,'Input data processed products'!D$57:AB$57)</f>
        <v>9.9410463164216695E-4</v>
      </c>
      <c r="H33" s="85">
        <v>0</v>
      </c>
      <c r="I33" s="90">
        <v>0</v>
      </c>
      <c r="J33" s="90">
        <v>0</v>
      </c>
      <c r="K33" s="107"/>
    </row>
    <row r="34" spans="1:358" s="316" customFormat="1" x14ac:dyDescent="0.3">
      <c r="A34" s="311" t="s">
        <v>703</v>
      </c>
      <c r="B34" s="313"/>
      <c r="C34" s="314"/>
      <c r="D34" s="356"/>
      <c r="E34" s="281"/>
      <c r="F34" s="591" t="s">
        <v>837</v>
      </c>
      <c r="G34" s="313"/>
      <c r="H34" s="313"/>
      <c r="I34" s="315"/>
      <c r="J34" s="315"/>
      <c r="K34" s="107"/>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c r="GH34" s="64"/>
      <c r="GI34" s="64"/>
      <c r="GJ34" s="64"/>
      <c r="GK34" s="64"/>
      <c r="GL34" s="64"/>
      <c r="GM34" s="64"/>
      <c r="GN34" s="64"/>
      <c r="GO34" s="64"/>
      <c r="GP34" s="64"/>
      <c r="GQ34" s="64"/>
      <c r="GR34" s="64"/>
      <c r="GS34" s="64"/>
      <c r="GT34" s="64"/>
      <c r="GU34" s="64"/>
      <c r="GV34" s="64"/>
      <c r="GW34" s="64"/>
      <c r="GX34" s="64"/>
      <c r="GY34" s="64"/>
      <c r="GZ34" s="64"/>
      <c r="HA34" s="64"/>
      <c r="HB34" s="64"/>
      <c r="HC34" s="64"/>
      <c r="HD34" s="64"/>
      <c r="HE34" s="64"/>
      <c r="HF34" s="64"/>
      <c r="HG34" s="64"/>
      <c r="HH34" s="64"/>
      <c r="HI34" s="64"/>
      <c r="HJ34" s="64"/>
      <c r="HK34" s="64"/>
      <c r="HL34" s="64"/>
      <c r="HM34" s="64"/>
      <c r="HN34" s="64"/>
      <c r="HO34" s="64"/>
      <c r="HP34" s="64"/>
      <c r="HQ34" s="64"/>
      <c r="HR34" s="64"/>
      <c r="HS34" s="64"/>
      <c r="HT34" s="64"/>
      <c r="HU34" s="64"/>
      <c r="HV34" s="64"/>
      <c r="HW34" s="64"/>
      <c r="HX34" s="64"/>
      <c r="HY34" s="64"/>
      <c r="HZ34" s="64"/>
      <c r="IA34" s="64"/>
      <c r="IB34" s="64"/>
      <c r="IC34" s="64"/>
      <c r="ID34" s="64"/>
      <c r="IE34" s="64"/>
      <c r="IF34" s="64"/>
      <c r="IG34" s="64"/>
      <c r="IH34" s="64"/>
      <c r="II34" s="64"/>
      <c r="IJ34" s="64"/>
      <c r="IK34" s="64"/>
      <c r="IL34" s="64"/>
      <c r="IM34" s="64"/>
      <c r="IN34" s="64"/>
      <c r="IO34" s="64"/>
      <c r="IP34" s="64"/>
      <c r="IQ34" s="64"/>
      <c r="IR34" s="64"/>
      <c r="IS34" s="64"/>
      <c r="IT34" s="64"/>
      <c r="IU34" s="64"/>
      <c r="IV34" s="64"/>
      <c r="IW34" s="64"/>
      <c r="IX34" s="64"/>
      <c r="IY34" s="64"/>
      <c r="IZ34" s="64"/>
      <c r="JA34" s="64"/>
      <c r="JB34" s="64"/>
      <c r="JC34" s="64"/>
      <c r="JD34" s="64"/>
      <c r="JE34" s="64"/>
      <c r="JF34" s="64"/>
      <c r="JG34" s="64"/>
      <c r="JH34" s="64"/>
      <c r="JI34" s="64"/>
      <c r="JJ34" s="64"/>
      <c r="JK34" s="64"/>
      <c r="JL34" s="64"/>
      <c r="JM34" s="64"/>
      <c r="JN34" s="64"/>
      <c r="JO34" s="64"/>
      <c r="JP34" s="64"/>
      <c r="JQ34" s="64"/>
      <c r="JR34" s="64"/>
      <c r="JS34" s="64"/>
      <c r="JT34" s="64"/>
      <c r="JU34" s="64"/>
      <c r="JV34" s="64"/>
      <c r="JW34" s="64"/>
      <c r="JX34" s="64"/>
      <c r="JY34" s="64"/>
      <c r="JZ34" s="64"/>
      <c r="KA34" s="64"/>
      <c r="KB34" s="64"/>
      <c r="KC34" s="64"/>
      <c r="KD34" s="64"/>
      <c r="KE34" s="64"/>
      <c r="KF34" s="64"/>
      <c r="KG34" s="64"/>
      <c r="KH34" s="64"/>
      <c r="KI34" s="64"/>
      <c r="KJ34" s="64"/>
      <c r="KK34" s="64"/>
      <c r="KL34" s="64"/>
      <c r="KM34" s="64"/>
      <c r="KN34" s="64"/>
      <c r="KO34" s="64"/>
      <c r="KP34" s="64"/>
      <c r="KQ34" s="64"/>
      <c r="KR34" s="64"/>
      <c r="KS34" s="64"/>
      <c r="KT34" s="64"/>
      <c r="KU34" s="64"/>
      <c r="KV34" s="64"/>
      <c r="KW34" s="64"/>
      <c r="KX34" s="64"/>
      <c r="KY34" s="64"/>
      <c r="KZ34" s="64"/>
      <c r="LA34" s="64"/>
      <c r="LB34" s="64"/>
      <c r="LC34" s="64"/>
      <c r="LD34" s="64"/>
      <c r="LE34" s="64"/>
      <c r="LF34" s="64"/>
      <c r="LG34" s="64"/>
      <c r="LH34" s="64"/>
      <c r="LI34" s="64"/>
      <c r="LJ34" s="64"/>
      <c r="LK34" s="64"/>
      <c r="LL34" s="64"/>
      <c r="LM34" s="64"/>
      <c r="LN34" s="64"/>
      <c r="LO34" s="64"/>
      <c r="LP34" s="64"/>
      <c r="LQ34" s="64"/>
      <c r="LR34" s="64"/>
      <c r="LS34" s="64"/>
      <c r="LT34" s="64"/>
      <c r="LU34" s="64"/>
      <c r="LV34" s="64"/>
      <c r="LW34" s="64"/>
      <c r="LX34" s="64"/>
      <c r="LY34" s="64"/>
      <c r="LZ34" s="64"/>
      <c r="MA34" s="64"/>
      <c r="MB34" s="64"/>
      <c r="MC34" s="64"/>
      <c r="MD34" s="64"/>
      <c r="ME34" s="64"/>
      <c r="MF34" s="64"/>
      <c r="MG34" s="64"/>
      <c r="MH34" s="64"/>
      <c r="MI34" s="64"/>
      <c r="MJ34" s="64"/>
      <c r="MK34" s="64"/>
      <c r="ML34" s="64"/>
      <c r="MM34" s="64"/>
      <c r="MN34" s="64"/>
      <c r="MO34" s="64"/>
      <c r="MP34" s="64"/>
      <c r="MQ34" s="64"/>
      <c r="MR34" s="64"/>
      <c r="MS34" s="64"/>
      <c r="MT34" s="64"/>
    </row>
    <row r="35" spans="1:358" s="408" customFormat="1" x14ac:dyDescent="0.3">
      <c r="A35" s="419" t="s">
        <v>1</v>
      </c>
      <c r="B35" s="140">
        <f>'Input data processed products'!C12</f>
        <v>1</v>
      </c>
      <c r="C35" s="325" t="s">
        <v>473</v>
      </c>
      <c r="D35" s="407"/>
      <c r="E35" s="325"/>
      <c r="F35" s="770">
        <f>IF($E$1="GWP100 without fb",F36+F37*'Common input data'!$C$5+F38*'Common input data'!$D$5,IF($E$1="GWP100 with fb",F36+F37*'Common input data'!$C$6+F38*'Common input data'!$D$6,IF($E$1="GTP100 without fb",F36+F37*'Common input data'!$C$7+F38*'Common input data'!$D$7,IF($E$1="GTP100 with fb",F36+F37*'Common input data'!$C$8+F38*'Common input data'!$D$8,F36+F37*'Common input data'!$C$9+F38*'Common input data'!$D$9))))</f>
        <v>1.4098576609640461</v>
      </c>
      <c r="G35" s="137"/>
      <c r="H35" s="137"/>
      <c r="I35" s="138"/>
      <c r="J35" s="138"/>
      <c r="K35" s="107"/>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c r="IW35" s="64"/>
      <c r="IX35" s="64"/>
      <c r="IY35" s="64"/>
      <c r="IZ35" s="64"/>
      <c r="JA35" s="64"/>
      <c r="JB35" s="64"/>
      <c r="JC35" s="64"/>
      <c r="JD35" s="64"/>
      <c r="JE35" s="64"/>
      <c r="JF35" s="64"/>
      <c r="JG35" s="64"/>
      <c r="JH35" s="64"/>
      <c r="JI35" s="64"/>
      <c r="JJ35" s="64"/>
      <c r="JK35" s="64"/>
      <c r="JL35" s="64"/>
      <c r="JM35" s="64"/>
      <c r="JN35" s="64"/>
      <c r="JO35" s="64"/>
      <c r="JP35" s="64"/>
      <c r="JQ35" s="64"/>
      <c r="JR35" s="64"/>
      <c r="JS35" s="64"/>
      <c r="JT35" s="64"/>
      <c r="JU35" s="64"/>
      <c r="JV35" s="64"/>
      <c r="JW35" s="64"/>
      <c r="JX35" s="64"/>
      <c r="JY35" s="64"/>
      <c r="JZ35" s="64"/>
      <c r="KA35" s="64"/>
      <c r="KB35" s="64"/>
      <c r="KC35" s="64"/>
      <c r="KD35" s="64"/>
      <c r="KE35" s="64"/>
      <c r="KF35" s="64"/>
      <c r="KG35" s="64"/>
      <c r="KH35" s="64"/>
      <c r="KI35" s="64"/>
      <c r="KJ35" s="64"/>
      <c r="KK35" s="64"/>
      <c r="KL35" s="64"/>
      <c r="KM35" s="64"/>
      <c r="KN35" s="64"/>
      <c r="KO35" s="64"/>
      <c r="KP35" s="64"/>
      <c r="KQ35" s="64"/>
      <c r="KR35" s="64"/>
      <c r="KS35" s="64"/>
      <c r="KT35" s="64"/>
      <c r="KU35" s="64"/>
      <c r="KV35" s="64"/>
      <c r="KW35" s="64"/>
      <c r="KX35" s="64"/>
      <c r="KY35" s="64"/>
      <c r="KZ35" s="64"/>
      <c r="LA35" s="64"/>
      <c r="LB35" s="64"/>
      <c r="LC35" s="64"/>
      <c r="LD35" s="64"/>
      <c r="LE35" s="64"/>
      <c r="LF35" s="64"/>
      <c r="LG35" s="64"/>
      <c r="LH35" s="64"/>
      <c r="LI35" s="64"/>
      <c r="LJ35" s="64"/>
      <c r="LK35" s="64"/>
      <c r="LL35" s="64"/>
      <c r="LM35" s="64"/>
      <c r="LN35" s="64"/>
      <c r="LO35" s="64"/>
      <c r="LP35" s="64"/>
      <c r="LQ35" s="64"/>
      <c r="LR35" s="64"/>
      <c r="LS35" s="64"/>
      <c r="LT35" s="64"/>
      <c r="LU35" s="64"/>
      <c r="LV35" s="64"/>
      <c r="LW35" s="64"/>
      <c r="LX35" s="64"/>
      <c r="LY35" s="64"/>
      <c r="LZ35" s="64"/>
      <c r="MA35" s="64"/>
      <c r="MB35" s="64"/>
      <c r="MC35" s="64"/>
      <c r="MD35" s="64"/>
      <c r="ME35" s="64"/>
      <c r="MF35" s="64"/>
      <c r="MG35" s="64"/>
      <c r="MH35" s="64"/>
      <c r="MI35" s="64"/>
      <c r="MJ35" s="64"/>
      <c r="MK35" s="64"/>
      <c r="ML35" s="64"/>
      <c r="MM35" s="64"/>
      <c r="MN35" s="64"/>
      <c r="MO35" s="64"/>
      <c r="MP35" s="64"/>
      <c r="MQ35" s="64"/>
      <c r="MR35" s="64"/>
      <c r="MS35" s="64"/>
      <c r="MT35" s="64"/>
    </row>
    <row r="36" spans="1:358" x14ac:dyDescent="0.3">
      <c r="C36" s="83" t="s">
        <v>164</v>
      </c>
      <c r="D36" s="354"/>
      <c r="E36" s="83"/>
      <c r="F36" s="278">
        <f>SUM(G36:J36)/(1-'Common input data'!$B$137)</f>
        <v>0.9391042169478403</v>
      </c>
      <c r="G36" s="85">
        <f>SUMPRODUCT('Input data processed products'!D$12:AB$12,'Input data processed products'!D$55:AB$55)</f>
        <v>0.5403221326088834</v>
      </c>
      <c r="H36" s="85">
        <f>'Input data processed products'!D$67</f>
        <v>0.3</v>
      </c>
      <c r="I36" s="90">
        <f>'Common input data'!B$90</f>
        <v>0.05</v>
      </c>
      <c r="J36" s="90">
        <f>'Common input data'!C$98</f>
        <v>0.03</v>
      </c>
      <c r="K36" s="107"/>
    </row>
    <row r="37" spans="1:358" x14ac:dyDescent="0.3">
      <c r="A37" s="144"/>
      <c r="B37" s="142"/>
      <c r="C37" s="83" t="s">
        <v>165</v>
      </c>
      <c r="D37" s="354"/>
      <c r="E37" s="83"/>
      <c r="F37" s="278">
        <f>SUM(G37:J37)/(1-'Common input data'!$B$137)</f>
        <v>1.8520832925173396E-3</v>
      </c>
      <c r="G37" s="85">
        <f>SUMPRODUCT('Input data processed products'!D$12:AB$12,'Input data processed products'!D$56:AB$56)</f>
        <v>1.8150416266669927E-3</v>
      </c>
      <c r="H37" s="85">
        <v>0</v>
      </c>
      <c r="I37" s="90">
        <v>0</v>
      </c>
      <c r="J37" s="90">
        <v>0</v>
      </c>
      <c r="K37" s="107"/>
    </row>
    <row r="38" spans="1:358" x14ac:dyDescent="0.3">
      <c r="A38" s="174"/>
      <c r="B38" s="85"/>
      <c r="C38" s="84" t="s">
        <v>166</v>
      </c>
      <c r="D38" s="592"/>
      <c r="E38" s="100"/>
      <c r="F38" s="521">
        <f>SUM(G38:J38)/(1-'Common input data'!$B$137)</f>
        <v>1.3683980270826051E-3</v>
      </c>
      <c r="G38" s="85">
        <f>SUMPRODUCT('Input data processed products'!D$12:AB$12,'Input data processed products'!D$57:AB$57)</f>
        <v>1.3410300665409529E-3</v>
      </c>
      <c r="H38" s="85">
        <v>0</v>
      </c>
      <c r="I38" s="90">
        <v>0</v>
      </c>
      <c r="J38" s="90">
        <v>0</v>
      </c>
      <c r="K38" s="107"/>
    </row>
    <row r="39" spans="1:358" s="316" customFormat="1" x14ac:dyDescent="0.3">
      <c r="A39" s="311" t="s">
        <v>493</v>
      </c>
      <c r="B39" s="313"/>
      <c r="C39" s="314"/>
      <c r="D39" s="356"/>
      <c r="E39" s="281"/>
      <c r="F39" s="590" t="s">
        <v>838</v>
      </c>
      <c r="G39" s="313"/>
      <c r="H39" s="313"/>
      <c r="I39" s="315"/>
      <c r="J39" s="315"/>
      <c r="K39" s="107"/>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c r="IJ39" s="64"/>
      <c r="IK39" s="64"/>
      <c r="IL39" s="64"/>
      <c r="IM39" s="64"/>
      <c r="IN39" s="64"/>
      <c r="IO39" s="64"/>
      <c r="IP39" s="64"/>
      <c r="IQ39" s="64"/>
      <c r="IR39" s="64"/>
      <c r="IS39" s="64"/>
      <c r="IT39" s="64"/>
      <c r="IU39" s="64"/>
      <c r="IV39" s="64"/>
      <c r="IW39" s="64"/>
      <c r="IX39" s="64"/>
      <c r="IY39" s="64"/>
      <c r="IZ39" s="64"/>
      <c r="JA39" s="64"/>
      <c r="JB39" s="64"/>
      <c r="JC39" s="64"/>
      <c r="JD39" s="64"/>
      <c r="JE39" s="64"/>
      <c r="JF39" s="64"/>
      <c r="JG39" s="64"/>
      <c r="JH39" s="64"/>
      <c r="JI39" s="64"/>
      <c r="JJ39" s="64"/>
      <c r="JK39" s="64"/>
      <c r="JL39" s="64"/>
      <c r="JM39" s="64"/>
      <c r="JN39" s="64"/>
      <c r="JO39" s="64"/>
      <c r="JP39" s="64"/>
      <c r="JQ39" s="64"/>
      <c r="JR39" s="64"/>
      <c r="JS39" s="64"/>
      <c r="JT39" s="64"/>
      <c r="JU39" s="64"/>
      <c r="JV39" s="64"/>
      <c r="JW39" s="64"/>
      <c r="JX39" s="64"/>
      <c r="JY39" s="64"/>
      <c r="JZ39" s="64"/>
      <c r="KA39" s="64"/>
      <c r="KB39" s="64"/>
      <c r="KC39" s="64"/>
      <c r="KD39" s="64"/>
      <c r="KE39" s="64"/>
      <c r="KF39" s="64"/>
      <c r="KG39" s="64"/>
      <c r="KH39" s="64"/>
      <c r="KI39" s="64"/>
      <c r="KJ39" s="64"/>
      <c r="KK39" s="64"/>
      <c r="KL39" s="64"/>
      <c r="KM39" s="64"/>
      <c r="KN39" s="64"/>
      <c r="KO39" s="64"/>
      <c r="KP39" s="64"/>
      <c r="KQ39" s="64"/>
      <c r="KR39" s="64"/>
      <c r="KS39" s="64"/>
      <c r="KT39" s="64"/>
      <c r="KU39" s="64"/>
      <c r="KV39" s="64"/>
      <c r="KW39" s="64"/>
      <c r="KX39" s="64"/>
      <c r="KY39" s="64"/>
      <c r="KZ39" s="64"/>
      <c r="LA39" s="64"/>
      <c r="LB39" s="64"/>
      <c r="LC39" s="64"/>
      <c r="LD39" s="64"/>
      <c r="LE39" s="64"/>
      <c r="LF39" s="64"/>
      <c r="LG39" s="64"/>
      <c r="LH39" s="64"/>
      <c r="LI39" s="64"/>
      <c r="LJ39" s="64"/>
      <c r="LK39" s="64"/>
      <c r="LL39" s="64"/>
      <c r="LM39" s="64"/>
      <c r="LN39" s="64"/>
      <c r="LO39" s="64"/>
      <c r="LP39" s="64"/>
      <c r="LQ39" s="64"/>
      <c r="LR39" s="64"/>
      <c r="LS39" s="64"/>
      <c r="LT39" s="64"/>
      <c r="LU39" s="64"/>
      <c r="LV39" s="64"/>
      <c r="LW39" s="64"/>
      <c r="LX39" s="64"/>
      <c r="LY39" s="64"/>
      <c r="LZ39" s="64"/>
      <c r="MA39" s="64"/>
      <c r="MB39" s="64"/>
      <c r="MC39" s="64"/>
      <c r="MD39" s="64"/>
      <c r="ME39" s="64"/>
      <c r="MF39" s="64"/>
      <c r="MG39" s="64"/>
      <c r="MH39" s="64"/>
      <c r="MI39" s="64"/>
      <c r="MJ39" s="64"/>
      <c r="MK39" s="64"/>
      <c r="ML39" s="64"/>
      <c r="MM39" s="64"/>
      <c r="MN39" s="64"/>
      <c r="MO39" s="64"/>
      <c r="MP39" s="64"/>
      <c r="MQ39" s="64"/>
      <c r="MR39" s="64"/>
      <c r="MS39" s="64"/>
      <c r="MT39" s="64"/>
    </row>
    <row r="40" spans="1:358" s="408" customFormat="1" x14ac:dyDescent="0.3">
      <c r="A40" s="419" t="s">
        <v>1</v>
      </c>
      <c r="B40" s="140">
        <f>'Input data processed products'!C14</f>
        <v>1</v>
      </c>
      <c r="C40" s="325" t="s">
        <v>473</v>
      </c>
      <c r="D40" s="407"/>
      <c r="E40" s="325"/>
      <c r="F40" s="770">
        <f>IF($E$1="GWP100 without fb",F41+F42*'Common input data'!$C$5+F43*'Common input data'!$D$5,IF($E$1="GWP100 with fb",F41+F42*'Common input data'!$C$6+F43*'Common input data'!$D$6,IF($E$1="GTP100 without fb",F41+F42*'Common input data'!$C$7+F43*'Common input data'!$D$7,IF($E$1="GTP100 with fb",F41+F42*'Common input data'!$C$8+F43*'Common input data'!$D$8,F41+F42*'Common input data'!$C$9+F43*'Common input data'!$D$9))))</f>
        <v>1.4338323488868914</v>
      </c>
      <c r="G40" s="137"/>
      <c r="H40" s="137"/>
      <c r="I40" s="138"/>
      <c r="J40" s="138"/>
      <c r="K40" s="107"/>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c r="EJ40" s="64"/>
      <c r="EK40" s="64"/>
      <c r="EL40" s="64"/>
      <c r="EM40" s="64"/>
      <c r="EN40" s="64"/>
      <c r="EO40" s="64"/>
      <c r="EP40" s="64"/>
      <c r="EQ40" s="64"/>
      <c r="ER40" s="64"/>
      <c r="ES40" s="64"/>
      <c r="ET40" s="64"/>
      <c r="EU40" s="64"/>
      <c r="EV40" s="64"/>
      <c r="EW40" s="64"/>
      <c r="EX40" s="64"/>
      <c r="EY40" s="64"/>
      <c r="EZ40" s="64"/>
      <c r="FA40" s="64"/>
      <c r="FB40" s="64"/>
      <c r="FC40" s="64"/>
      <c r="FD40" s="64"/>
      <c r="FE40" s="64"/>
      <c r="FF40" s="64"/>
      <c r="FG40" s="64"/>
      <c r="FH40" s="64"/>
      <c r="FI40" s="64"/>
      <c r="FJ40" s="64"/>
      <c r="FK40" s="64"/>
      <c r="FL40" s="64"/>
      <c r="FM40" s="64"/>
      <c r="FN40" s="64"/>
      <c r="FO40" s="64"/>
      <c r="FP40" s="64"/>
      <c r="FQ40" s="64"/>
      <c r="FR40" s="64"/>
      <c r="FS40" s="64"/>
      <c r="FT40" s="64"/>
      <c r="FU40" s="64"/>
      <c r="FV40" s="64"/>
      <c r="FW40" s="64"/>
      <c r="FX40" s="64"/>
      <c r="FY40" s="64"/>
      <c r="FZ40" s="64"/>
      <c r="GA40" s="64"/>
      <c r="GB40" s="64"/>
      <c r="GC40" s="64"/>
      <c r="GD40" s="64"/>
      <c r="GE40" s="64"/>
      <c r="GF40" s="64"/>
      <c r="GG40" s="64"/>
      <c r="GH40" s="64"/>
      <c r="GI40" s="64"/>
      <c r="GJ40" s="64"/>
      <c r="GK40" s="64"/>
      <c r="GL40" s="64"/>
      <c r="GM40" s="64"/>
      <c r="GN40" s="64"/>
      <c r="GO40" s="64"/>
      <c r="GP40" s="64"/>
      <c r="GQ40" s="64"/>
      <c r="GR40" s="64"/>
      <c r="GS40" s="64"/>
      <c r="GT40" s="64"/>
      <c r="GU40" s="64"/>
      <c r="GV40" s="64"/>
      <c r="GW40" s="64"/>
      <c r="GX40" s="64"/>
      <c r="GY40" s="64"/>
      <c r="GZ40" s="64"/>
      <c r="HA40" s="64"/>
      <c r="HB40" s="64"/>
      <c r="HC40" s="64"/>
      <c r="HD40" s="64"/>
      <c r="HE40" s="64"/>
      <c r="HF40" s="64"/>
      <c r="HG40" s="64"/>
      <c r="HH40" s="64"/>
      <c r="HI40" s="64"/>
      <c r="HJ40" s="64"/>
      <c r="HK40" s="64"/>
      <c r="HL40" s="64"/>
      <c r="HM40" s="64"/>
      <c r="HN40" s="64"/>
      <c r="HO40" s="64"/>
      <c r="HP40" s="64"/>
      <c r="HQ40" s="64"/>
      <c r="HR40" s="64"/>
      <c r="HS40" s="64"/>
      <c r="HT40" s="64"/>
      <c r="HU40" s="64"/>
      <c r="HV40" s="64"/>
      <c r="HW40" s="64"/>
      <c r="HX40" s="64"/>
      <c r="HY40" s="64"/>
      <c r="HZ40" s="64"/>
      <c r="IA40" s="64"/>
      <c r="IB40" s="64"/>
      <c r="IC40" s="64"/>
      <c r="ID40" s="64"/>
      <c r="IE40" s="64"/>
      <c r="IF40" s="64"/>
      <c r="IG40" s="64"/>
      <c r="IH40" s="64"/>
      <c r="II40" s="64"/>
      <c r="IJ40" s="64"/>
      <c r="IK40" s="64"/>
      <c r="IL40" s="64"/>
      <c r="IM40" s="64"/>
      <c r="IN40" s="64"/>
      <c r="IO40" s="64"/>
      <c r="IP40" s="64"/>
      <c r="IQ40" s="64"/>
      <c r="IR40" s="64"/>
      <c r="IS40" s="64"/>
      <c r="IT40" s="64"/>
      <c r="IU40" s="64"/>
      <c r="IV40" s="64"/>
      <c r="IW40" s="64"/>
      <c r="IX40" s="64"/>
      <c r="IY40" s="64"/>
      <c r="IZ40" s="64"/>
      <c r="JA40" s="64"/>
      <c r="JB40" s="64"/>
      <c r="JC40" s="64"/>
      <c r="JD40" s="64"/>
      <c r="JE40" s="64"/>
      <c r="JF40" s="64"/>
      <c r="JG40" s="64"/>
      <c r="JH40" s="64"/>
      <c r="JI40" s="64"/>
      <c r="JJ40" s="64"/>
      <c r="JK40" s="64"/>
      <c r="JL40" s="64"/>
      <c r="JM40" s="64"/>
      <c r="JN40" s="64"/>
      <c r="JO40" s="64"/>
      <c r="JP40" s="64"/>
      <c r="JQ40" s="64"/>
      <c r="JR40" s="64"/>
      <c r="JS40" s="64"/>
      <c r="JT40" s="64"/>
      <c r="JU40" s="64"/>
      <c r="JV40" s="64"/>
      <c r="JW40" s="64"/>
      <c r="JX40" s="64"/>
      <c r="JY40" s="64"/>
      <c r="JZ40" s="64"/>
      <c r="KA40" s="64"/>
      <c r="KB40" s="64"/>
      <c r="KC40" s="64"/>
      <c r="KD40" s="64"/>
      <c r="KE40" s="64"/>
      <c r="KF40" s="64"/>
      <c r="KG40" s="64"/>
      <c r="KH40" s="64"/>
      <c r="KI40" s="64"/>
      <c r="KJ40" s="64"/>
      <c r="KK40" s="64"/>
      <c r="KL40" s="64"/>
      <c r="KM40" s="64"/>
      <c r="KN40" s="64"/>
      <c r="KO40" s="64"/>
      <c r="KP40" s="64"/>
      <c r="KQ40" s="64"/>
      <c r="KR40" s="64"/>
      <c r="KS40" s="64"/>
      <c r="KT40" s="64"/>
      <c r="KU40" s="64"/>
      <c r="KV40" s="64"/>
      <c r="KW40" s="64"/>
      <c r="KX40" s="64"/>
      <c r="KY40" s="64"/>
      <c r="KZ40" s="64"/>
      <c r="LA40" s="64"/>
      <c r="LB40" s="64"/>
      <c r="LC40" s="64"/>
      <c r="LD40" s="64"/>
      <c r="LE40" s="64"/>
      <c r="LF40" s="64"/>
      <c r="LG40" s="64"/>
      <c r="LH40" s="64"/>
      <c r="LI40" s="64"/>
      <c r="LJ40" s="64"/>
      <c r="LK40" s="64"/>
      <c r="LL40" s="64"/>
      <c r="LM40" s="64"/>
      <c r="LN40" s="64"/>
      <c r="LO40" s="64"/>
      <c r="LP40" s="64"/>
      <c r="LQ40" s="64"/>
      <c r="LR40" s="64"/>
      <c r="LS40" s="64"/>
      <c r="LT40" s="64"/>
      <c r="LU40" s="64"/>
      <c r="LV40" s="64"/>
      <c r="LW40" s="64"/>
      <c r="LX40" s="64"/>
      <c r="LY40" s="64"/>
      <c r="LZ40" s="64"/>
      <c r="MA40" s="64"/>
      <c r="MB40" s="64"/>
      <c r="MC40" s="64"/>
      <c r="MD40" s="64"/>
      <c r="ME40" s="64"/>
      <c r="MF40" s="64"/>
      <c r="MG40" s="64"/>
      <c r="MH40" s="64"/>
      <c r="MI40" s="64"/>
      <c r="MJ40" s="64"/>
      <c r="MK40" s="64"/>
      <c r="ML40" s="64"/>
      <c r="MM40" s="64"/>
      <c r="MN40" s="64"/>
      <c r="MO40" s="64"/>
      <c r="MP40" s="64"/>
      <c r="MQ40" s="64"/>
      <c r="MR40" s="64"/>
      <c r="MS40" s="64"/>
      <c r="MT40" s="64"/>
    </row>
    <row r="41" spans="1:358" x14ac:dyDescent="0.3">
      <c r="C41" s="83" t="s">
        <v>164</v>
      </c>
      <c r="D41" s="354"/>
      <c r="E41" s="83"/>
      <c r="F41" s="278">
        <f>SUM(G41:J41)/(1-'Common input data'!$B$137)</f>
        <v>0.97702742372542251</v>
      </c>
      <c r="G41" s="85">
        <f>SUMPRODUCT('Input data processed products'!D$14:AB$14,'Input data processed products'!D$55:AB$55)</f>
        <v>0.57748687525091402</v>
      </c>
      <c r="H41" s="85">
        <f>'Input data processed products'!D$67</f>
        <v>0.3</v>
      </c>
      <c r="I41" s="90">
        <f>'Common input data'!B$90</f>
        <v>0.05</v>
      </c>
      <c r="J41" s="90">
        <f>'Common input data'!C$98</f>
        <v>0.03</v>
      </c>
      <c r="K41" s="107"/>
    </row>
    <row r="42" spans="1:358" x14ac:dyDescent="0.3">
      <c r="A42" s="144"/>
      <c r="B42" s="142"/>
      <c r="C42" s="83" t="s">
        <v>165</v>
      </c>
      <c r="D42" s="354"/>
      <c r="E42" s="83"/>
      <c r="F42" s="278">
        <f>SUM(G42:J42)/(1-'Common input data'!$B$137)</f>
        <v>5.3068180408717541E-5</v>
      </c>
      <c r="G42" s="85">
        <f>SUMPRODUCT('Input data processed products'!D$14:AB$14,'Input data processed products'!D$56:AB$56)</f>
        <v>5.2006816800543187E-5</v>
      </c>
      <c r="H42" s="85">
        <v>0</v>
      </c>
      <c r="I42" s="90">
        <v>0</v>
      </c>
      <c r="J42" s="90">
        <v>0</v>
      </c>
      <c r="K42" s="107"/>
    </row>
    <row r="43" spans="1:358" x14ac:dyDescent="0.3">
      <c r="A43" s="174"/>
      <c r="B43" s="85"/>
      <c r="C43" s="84" t="s">
        <v>166</v>
      </c>
      <c r="D43" s="592"/>
      <c r="E43" s="100"/>
      <c r="F43" s="521">
        <f>SUM(G43:J43)/(1-'Common input data'!$B$137)</f>
        <v>1.5268476745891695E-3</v>
      </c>
      <c r="G43" s="85">
        <f>SUMPRODUCT('Input data processed products'!D$14:AB$14,'Input data processed products'!D$57:AB$57)</f>
        <v>1.4963107210973861E-3</v>
      </c>
      <c r="H43" s="85">
        <v>0</v>
      </c>
      <c r="I43" s="90">
        <v>0</v>
      </c>
      <c r="J43" s="90">
        <v>0</v>
      </c>
      <c r="K43" s="107"/>
    </row>
    <row r="44" spans="1:358" s="316" customFormat="1" x14ac:dyDescent="0.3">
      <c r="A44" s="311" t="s">
        <v>490</v>
      </c>
      <c r="B44" s="313"/>
      <c r="C44" s="314"/>
      <c r="D44" s="356"/>
      <c r="E44" s="281"/>
      <c r="F44" s="590" t="s">
        <v>839</v>
      </c>
      <c r="G44" s="313"/>
      <c r="H44" s="313"/>
      <c r="I44" s="315"/>
      <c r="J44" s="315"/>
      <c r="K44" s="107"/>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c r="EO44" s="64"/>
      <c r="EP44" s="64"/>
      <c r="EQ44" s="64"/>
      <c r="ER44" s="64"/>
      <c r="ES44" s="64"/>
      <c r="ET44" s="64"/>
      <c r="EU44" s="64"/>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c r="GH44" s="64"/>
      <c r="GI44" s="64"/>
      <c r="GJ44" s="64"/>
      <c r="GK44" s="64"/>
      <c r="GL44" s="64"/>
      <c r="GM44" s="64"/>
      <c r="GN44" s="64"/>
      <c r="GO44" s="64"/>
      <c r="GP44" s="64"/>
      <c r="GQ44" s="64"/>
      <c r="GR44" s="64"/>
      <c r="GS44" s="64"/>
      <c r="GT44" s="64"/>
      <c r="GU44" s="64"/>
      <c r="GV44" s="64"/>
      <c r="GW44" s="64"/>
      <c r="GX44" s="64"/>
      <c r="GY44" s="64"/>
      <c r="GZ44" s="64"/>
      <c r="HA44" s="64"/>
      <c r="HB44" s="64"/>
      <c r="HC44" s="64"/>
      <c r="HD44" s="64"/>
      <c r="HE44" s="64"/>
      <c r="HF44" s="64"/>
      <c r="HG44" s="64"/>
      <c r="HH44" s="64"/>
      <c r="HI44" s="64"/>
      <c r="HJ44" s="64"/>
      <c r="HK44" s="64"/>
      <c r="HL44" s="64"/>
      <c r="HM44" s="64"/>
      <c r="HN44" s="64"/>
      <c r="HO44" s="64"/>
      <c r="HP44" s="64"/>
      <c r="HQ44" s="64"/>
      <c r="HR44" s="64"/>
      <c r="HS44" s="64"/>
      <c r="HT44" s="64"/>
      <c r="HU44" s="64"/>
      <c r="HV44" s="64"/>
      <c r="HW44" s="64"/>
      <c r="HX44" s="64"/>
      <c r="HY44" s="64"/>
      <c r="HZ44" s="64"/>
      <c r="IA44" s="64"/>
      <c r="IB44" s="64"/>
      <c r="IC44" s="64"/>
      <c r="ID44" s="64"/>
      <c r="IE44" s="64"/>
      <c r="IF44" s="64"/>
      <c r="IG44" s="64"/>
      <c r="IH44" s="64"/>
      <c r="II44" s="64"/>
      <c r="IJ44" s="64"/>
      <c r="IK44" s="64"/>
      <c r="IL44" s="64"/>
      <c r="IM44" s="64"/>
      <c r="IN44" s="64"/>
      <c r="IO44" s="64"/>
      <c r="IP44" s="64"/>
      <c r="IQ44" s="64"/>
      <c r="IR44" s="64"/>
      <c r="IS44" s="64"/>
      <c r="IT44" s="64"/>
      <c r="IU44" s="64"/>
      <c r="IV44" s="64"/>
      <c r="IW44" s="64"/>
      <c r="IX44" s="64"/>
      <c r="IY44" s="64"/>
      <c r="IZ44" s="64"/>
      <c r="JA44" s="64"/>
      <c r="JB44" s="64"/>
      <c r="JC44" s="64"/>
      <c r="JD44" s="64"/>
      <c r="JE44" s="64"/>
      <c r="JF44" s="64"/>
      <c r="JG44" s="64"/>
      <c r="JH44" s="64"/>
      <c r="JI44" s="64"/>
      <c r="JJ44" s="64"/>
      <c r="JK44" s="64"/>
      <c r="JL44" s="64"/>
      <c r="JM44" s="64"/>
      <c r="JN44" s="64"/>
      <c r="JO44" s="64"/>
      <c r="JP44" s="64"/>
      <c r="JQ44" s="64"/>
      <c r="JR44" s="64"/>
      <c r="JS44" s="64"/>
      <c r="JT44" s="64"/>
      <c r="JU44" s="64"/>
      <c r="JV44" s="64"/>
      <c r="JW44" s="64"/>
      <c r="JX44" s="64"/>
      <c r="JY44" s="64"/>
      <c r="JZ44" s="64"/>
      <c r="KA44" s="64"/>
      <c r="KB44" s="64"/>
      <c r="KC44" s="64"/>
      <c r="KD44" s="64"/>
      <c r="KE44" s="64"/>
      <c r="KF44" s="64"/>
      <c r="KG44" s="64"/>
      <c r="KH44" s="64"/>
      <c r="KI44" s="64"/>
      <c r="KJ44" s="64"/>
      <c r="KK44" s="64"/>
      <c r="KL44" s="64"/>
      <c r="KM44" s="64"/>
      <c r="KN44" s="64"/>
      <c r="KO44" s="64"/>
      <c r="KP44" s="64"/>
      <c r="KQ44" s="64"/>
      <c r="KR44" s="64"/>
      <c r="KS44" s="64"/>
      <c r="KT44" s="64"/>
      <c r="KU44" s="64"/>
      <c r="KV44" s="64"/>
      <c r="KW44" s="64"/>
      <c r="KX44" s="64"/>
      <c r="KY44" s="64"/>
      <c r="KZ44" s="64"/>
      <c r="LA44" s="64"/>
      <c r="LB44" s="64"/>
      <c r="LC44" s="64"/>
      <c r="LD44" s="64"/>
      <c r="LE44" s="64"/>
      <c r="LF44" s="64"/>
      <c r="LG44" s="64"/>
      <c r="LH44" s="64"/>
      <c r="LI44" s="64"/>
      <c r="LJ44" s="64"/>
      <c r="LK44" s="64"/>
      <c r="LL44" s="64"/>
      <c r="LM44" s="64"/>
      <c r="LN44" s="64"/>
      <c r="LO44" s="64"/>
      <c r="LP44" s="64"/>
      <c r="LQ44" s="64"/>
      <c r="LR44" s="64"/>
      <c r="LS44" s="64"/>
      <c r="LT44" s="64"/>
      <c r="LU44" s="64"/>
      <c r="LV44" s="64"/>
      <c r="LW44" s="64"/>
      <c r="LX44" s="64"/>
      <c r="LY44" s="64"/>
      <c r="LZ44" s="64"/>
      <c r="MA44" s="64"/>
      <c r="MB44" s="64"/>
      <c r="MC44" s="64"/>
      <c r="MD44" s="64"/>
      <c r="ME44" s="64"/>
      <c r="MF44" s="64"/>
      <c r="MG44" s="64"/>
      <c r="MH44" s="64"/>
      <c r="MI44" s="64"/>
      <c r="MJ44" s="64"/>
      <c r="MK44" s="64"/>
      <c r="ML44" s="64"/>
      <c r="MM44" s="64"/>
      <c r="MN44" s="64"/>
      <c r="MO44" s="64"/>
      <c r="MP44" s="64"/>
      <c r="MQ44" s="64"/>
      <c r="MR44" s="64"/>
      <c r="MS44" s="64"/>
      <c r="MT44" s="64"/>
    </row>
    <row r="45" spans="1:358" s="408" customFormat="1" x14ac:dyDescent="0.3">
      <c r="A45" s="419" t="s">
        <v>1</v>
      </c>
      <c r="B45" s="140">
        <f>'Input data processed products'!C16</f>
        <v>1</v>
      </c>
      <c r="C45" s="325" t="s">
        <v>473</v>
      </c>
      <c r="D45" s="407"/>
      <c r="E45" s="325"/>
      <c r="F45" s="770">
        <f>IF($E$1="GWP100 without fb",F46+F47*'Common input data'!$C$5+F48*'Common input data'!$D$5,IF($E$1="GWP100 with fb",F46+F47*'Common input data'!$C$6+F48*'Common input data'!$D$6,IF($E$1="GTP100 without fb",F46+F47*'Common input data'!$C$7+F48*'Common input data'!$D$7,IF($E$1="GTP100 with fb",F46+F47*'Common input data'!$C$8+F48*'Common input data'!$D$8,F46+F47*'Common input data'!$C$9+F48*'Common input data'!$D$9))))</f>
        <v>1.0219475603559538</v>
      </c>
      <c r="G45" s="137"/>
      <c r="H45" s="137"/>
      <c r="I45" s="138"/>
      <c r="J45" s="138"/>
      <c r="K45" s="107"/>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c r="GV45" s="64"/>
      <c r="GW45" s="64"/>
      <c r="GX45" s="64"/>
      <c r="GY45" s="64"/>
      <c r="GZ45" s="64"/>
      <c r="HA45" s="64"/>
      <c r="HB45" s="64"/>
      <c r="HC45" s="64"/>
      <c r="HD45" s="64"/>
      <c r="HE45" s="64"/>
      <c r="HF45" s="64"/>
      <c r="HG45" s="64"/>
      <c r="HH45" s="64"/>
      <c r="HI45" s="64"/>
      <c r="HJ45" s="64"/>
      <c r="HK45" s="64"/>
      <c r="HL45" s="64"/>
      <c r="HM45" s="64"/>
      <c r="HN45" s="64"/>
      <c r="HO45" s="64"/>
      <c r="HP45" s="64"/>
      <c r="HQ45" s="64"/>
      <c r="HR45" s="64"/>
      <c r="HS45" s="64"/>
      <c r="HT45" s="64"/>
      <c r="HU45" s="64"/>
      <c r="HV45" s="64"/>
      <c r="HW45" s="64"/>
      <c r="HX45" s="64"/>
      <c r="HY45" s="64"/>
      <c r="HZ45" s="64"/>
      <c r="IA45" s="64"/>
      <c r="IB45" s="64"/>
      <c r="IC45" s="64"/>
      <c r="ID45" s="64"/>
      <c r="IE45" s="64"/>
      <c r="IF45" s="64"/>
      <c r="IG45" s="64"/>
      <c r="IH45" s="64"/>
      <c r="II45" s="64"/>
      <c r="IJ45" s="64"/>
      <c r="IK45" s="64"/>
      <c r="IL45" s="64"/>
      <c r="IM45" s="64"/>
      <c r="IN45" s="64"/>
      <c r="IO45" s="64"/>
      <c r="IP45" s="64"/>
      <c r="IQ45" s="64"/>
      <c r="IR45" s="64"/>
      <c r="IS45" s="64"/>
      <c r="IT45" s="64"/>
      <c r="IU45" s="64"/>
      <c r="IV45" s="64"/>
      <c r="IW45" s="64"/>
      <c r="IX45" s="64"/>
      <c r="IY45" s="64"/>
      <c r="IZ45" s="64"/>
      <c r="JA45" s="64"/>
      <c r="JB45" s="64"/>
      <c r="JC45" s="64"/>
      <c r="JD45" s="64"/>
      <c r="JE45" s="64"/>
      <c r="JF45" s="64"/>
      <c r="JG45" s="64"/>
      <c r="JH45" s="64"/>
      <c r="JI45" s="64"/>
      <c r="JJ45" s="64"/>
      <c r="JK45" s="64"/>
      <c r="JL45" s="64"/>
      <c r="JM45" s="64"/>
      <c r="JN45" s="64"/>
      <c r="JO45" s="64"/>
      <c r="JP45" s="64"/>
      <c r="JQ45" s="64"/>
      <c r="JR45" s="64"/>
      <c r="JS45" s="64"/>
      <c r="JT45" s="64"/>
      <c r="JU45" s="64"/>
      <c r="JV45" s="64"/>
      <c r="JW45" s="64"/>
      <c r="JX45" s="64"/>
      <c r="JY45" s="64"/>
      <c r="JZ45" s="64"/>
      <c r="KA45" s="64"/>
      <c r="KB45" s="64"/>
      <c r="KC45" s="64"/>
      <c r="KD45" s="64"/>
      <c r="KE45" s="64"/>
      <c r="KF45" s="64"/>
      <c r="KG45" s="64"/>
      <c r="KH45" s="64"/>
      <c r="KI45" s="64"/>
      <c r="KJ45" s="64"/>
      <c r="KK45" s="64"/>
      <c r="KL45" s="64"/>
      <c r="KM45" s="64"/>
      <c r="KN45" s="64"/>
      <c r="KO45" s="64"/>
      <c r="KP45" s="64"/>
      <c r="KQ45" s="64"/>
      <c r="KR45" s="64"/>
      <c r="KS45" s="64"/>
      <c r="KT45" s="64"/>
      <c r="KU45" s="64"/>
      <c r="KV45" s="64"/>
      <c r="KW45" s="64"/>
      <c r="KX45" s="64"/>
      <c r="KY45" s="64"/>
      <c r="KZ45" s="64"/>
      <c r="LA45" s="64"/>
      <c r="LB45" s="64"/>
      <c r="LC45" s="64"/>
      <c r="LD45" s="64"/>
      <c r="LE45" s="64"/>
      <c r="LF45" s="64"/>
      <c r="LG45" s="64"/>
      <c r="LH45" s="64"/>
      <c r="LI45" s="64"/>
      <c r="LJ45" s="64"/>
      <c r="LK45" s="64"/>
      <c r="LL45" s="64"/>
      <c r="LM45" s="64"/>
      <c r="LN45" s="64"/>
      <c r="LO45" s="64"/>
      <c r="LP45" s="64"/>
      <c r="LQ45" s="64"/>
      <c r="LR45" s="64"/>
      <c r="LS45" s="64"/>
      <c r="LT45" s="64"/>
      <c r="LU45" s="64"/>
      <c r="LV45" s="64"/>
      <c r="LW45" s="64"/>
      <c r="LX45" s="64"/>
      <c r="LY45" s="64"/>
      <c r="LZ45" s="64"/>
      <c r="MA45" s="64"/>
      <c r="MB45" s="64"/>
      <c r="MC45" s="64"/>
      <c r="MD45" s="64"/>
      <c r="ME45" s="64"/>
      <c r="MF45" s="64"/>
      <c r="MG45" s="64"/>
      <c r="MH45" s="64"/>
      <c r="MI45" s="64"/>
      <c r="MJ45" s="64"/>
      <c r="MK45" s="64"/>
      <c r="ML45" s="64"/>
      <c r="MM45" s="64"/>
      <c r="MN45" s="64"/>
      <c r="MO45" s="64"/>
      <c r="MP45" s="64"/>
      <c r="MQ45" s="64"/>
      <c r="MR45" s="64"/>
      <c r="MS45" s="64"/>
      <c r="MT45" s="64"/>
    </row>
    <row r="46" spans="1:358" x14ac:dyDescent="0.3">
      <c r="C46" s="83" t="s">
        <v>164</v>
      </c>
      <c r="D46" s="354"/>
      <c r="E46" s="83"/>
      <c r="F46" s="278">
        <f>SUM(G46:J46)/(1-'Common input data'!$B$137)</f>
        <v>0.74783095169229274</v>
      </c>
      <c r="G46" s="85">
        <f>SUMPRODUCT('Input data processed products'!D$16:AB$16,'Input data processed products'!D$55:AB$55)</f>
        <v>0.35287433265844687</v>
      </c>
      <c r="H46" s="85">
        <f>'Input data processed products'!D$67</f>
        <v>0.3</v>
      </c>
      <c r="I46" s="90">
        <f>'Common input data'!B$90</f>
        <v>0.05</v>
      </c>
      <c r="J46" s="90">
        <f>'Common input data'!C$98</f>
        <v>0.03</v>
      </c>
      <c r="K46" s="107"/>
    </row>
    <row r="47" spans="1:358" x14ac:dyDescent="0.3">
      <c r="A47" s="144"/>
      <c r="B47" s="142"/>
      <c r="C47" s="83" t="s">
        <v>165</v>
      </c>
      <c r="D47" s="354"/>
      <c r="E47" s="83"/>
      <c r="F47" s="278">
        <f>SUM(G47:J47)/(1-'Common input data'!$B$137)</f>
        <v>3.116275181951914E-5</v>
      </c>
      <c r="G47" s="85">
        <f>SUMPRODUCT('Input data processed products'!D$16:AB$16,'Input data processed products'!D$56:AB$56)</f>
        <v>3.053949678312876E-5</v>
      </c>
      <c r="H47" s="85">
        <v>0</v>
      </c>
      <c r="I47" s="90">
        <v>0</v>
      </c>
      <c r="J47" s="90">
        <v>0</v>
      </c>
      <c r="K47" s="107"/>
    </row>
    <row r="48" spans="1:358" x14ac:dyDescent="0.3">
      <c r="A48" s="174"/>
      <c r="B48" s="85"/>
      <c r="C48" s="84" t="s">
        <v>166</v>
      </c>
      <c r="D48" s="592"/>
      <c r="E48" s="100"/>
      <c r="F48" s="521">
        <f>SUM(G48:J48)/(1-'Common input data'!$B$137)</f>
        <v>9.1629890973757538E-4</v>
      </c>
      <c r="G48" s="85">
        <f>SUMPRODUCT('Input data processed products'!D$16:AB$16,'Input data processed products'!D$57:AB$57)</f>
        <v>8.9797293154282381E-4</v>
      </c>
      <c r="H48" s="85">
        <v>0</v>
      </c>
      <c r="I48" s="90">
        <v>0</v>
      </c>
      <c r="J48" s="90">
        <v>0</v>
      </c>
      <c r="K48" s="107"/>
    </row>
    <row r="49" spans="1:358" s="316" customFormat="1" x14ac:dyDescent="0.3">
      <c r="A49" s="311" t="s">
        <v>491</v>
      </c>
      <c r="B49" s="313"/>
      <c r="C49" s="314"/>
      <c r="D49" s="356"/>
      <c r="E49" s="281"/>
      <c r="F49" s="590" t="s">
        <v>840</v>
      </c>
      <c r="G49" s="313"/>
      <c r="H49" s="313"/>
      <c r="I49" s="315"/>
      <c r="J49" s="315"/>
      <c r="K49" s="107"/>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64"/>
      <c r="DF49" s="64"/>
      <c r="DG49" s="64"/>
      <c r="DH49" s="64"/>
      <c r="DI49" s="64"/>
      <c r="DJ49" s="64"/>
      <c r="DK49" s="64"/>
      <c r="DL49" s="64"/>
      <c r="DM49" s="64"/>
      <c r="DN49" s="64"/>
      <c r="DO49" s="64"/>
      <c r="DP49" s="64"/>
      <c r="DQ49" s="64"/>
      <c r="DR49" s="64"/>
      <c r="DS49" s="64"/>
      <c r="DT49" s="64"/>
      <c r="DU49" s="64"/>
      <c r="DV49" s="64"/>
      <c r="DW49" s="64"/>
      <c r="DX49" s="64"/>
      <c r="DY49" s="64"/>
      <c r="DZ49" s="64"/>
      <c r="EA49" s="64"/>
      <c r="EB49" s="64"/>
      <c r="EC49" s="64"/>
      <c r="ED49" s="64"/>
      <c r="EE49" s="64"/>
      <c r="EF49" s="64"/>
      <c r="EG49" s="64"/>
      <c r="EH49" s="64"/>
      <c r="EI49" s="64"/>
      <c r="EJ49" s="64"/>
      <c r="EK49" s="64"/>
      <c r="EL49" s="64"/>
      <c r="EM49" s="64"/>
      <c r="EN49" s="64"/>
      <c r="EO49" s="64"/>
      <c r="EP49" s="64"/>
      <c r="EQ49" s="64"/>
      <c r="ER49" s="64"/>
      <c r="ES49" s="64"/>
      <c r="ET49" s="64"/>
      <c r="EU49" s="64"/>
      <c r="EV49" s="64"/>
      <c r="EW49" s="64"/>
      <c r="EX49" s="64"/>
      <c r="EY49" s="64"/>
      <c r="EZ49" s="64"/>
      <c r="FA49" s="64"/>
      <c r="FB49" s="64"/>
      <c r="FC49" s="64"/>
      <c r="FD49" s="64"/>
      <c r="FE49" s="64"/>
      <c r="FF49" s="64"/>
      <c r="FG49" s="64"/>
      <c r="FH49" s="64"/>
      <c r="FI49" s="64"/>
      <c r="FJ49" s="64"/>
      <c r="FK49" s="64"/>
      <c r="FL49" s="64"/>
      <c r="FM49" s="64"/>
      <c r="FN49" s="64"/>
      <c r="FO49" s="64"/>
      <c r="FP49" s="64"/>
      <c r="FQ49" s="64"/>
      <c r="FR49" s="64"/>
      <c r="FS49" s="64"/>
      <c r="FT49" s="64"/>
      <c r="FU49" s="64"/>
      <c r="FV49" s="64"/>
      <c r="FW49" s="64"/>
      <c r="FX49" s="64"/>
      <c r="FY49" s="64"/>
      <c r="FZ49" s="64"/>
      <c r="GA49" s="64"/>
      <c r="GB49" s="64"/>
      <c r="GC49" s="64"/>
      <c r="GD49" s="64"/>
      <c r="GE49" s="64"/>
      <c r="GF49" s="64"/>
      <c r="GG49" s="64"/>
      <c r="GH49" s="64"/>
      <c r="GI49" s="64"/>
      <c r="GJ49" s="64"/>
      <c r="GK49" s="64"/>
      <c r="GL49" s="64"/>
      <c r="GM49" s="64"/>
      <c r="GN49" s="64"/>
      <c r="GO49" s="64"/>
      <c r="GP49" s="64"/>
      <c r="GQ49" s="64"/>
      <c r="GR49" s="64"/>
      <c r="GS49" s="64"/>
      <c r="GT49" s="64"/>
      <c r="GU49" s="64"/>
      <c r="GV49" s="64"/>
      <c r="GW49" s="64"/>
      <c r="GX49" s="64"/>
      <c r="GY49" s="64"/>
      <c r="GZ49" s="64"/>
      <c r="HA49" s="64"/>
      <c r="HB49" s="64"/>
      <c r="HC49" s="64"/>
      <c r="HD49" s="64"/>
      <c r="HE49" s="64"/>
      <c r="HF49" s="64"/>
      <c r="HG49" s="64"/>
      <c r="HH49" s="64"/>
      <c r="HI49" s="64"/>
      <c r="HJ49" s="64"/>
      <c r="HK49" s="64"/>
      <c r="HL49" s="64"/>
      <c r="HM49" s="64"/>
      <c r="HN49" s="64"/>
      <c r="HO49" s="64"/>
      <c r="HP49" s="64"/>
      <c r="HQ49" s="64"/>
      <c r="HR49" s="64"/>
      <c r="HS49" s="64"/>
      <c r="HT49" s="64"/>
      <c r="HU49" s="64"/>
      <c r="HV49" s="64"/>
      <c r="HW49" s="64"/>
      <c r="HX49" s="64"/>
      <c r="HY49" s="64"/>
      <c r="HZ49" s="64"/>
      <c r="IA49" s="64"/>
      <c r="IB49" s="64"/>
      <c r="IC49" s="64"/>
      <c r="ID49" s="64"/>
      <c r="IE49" s="64"/>
      <c r="IF49" s="64"/>
      <c r="IG49" s="64"/>
      <c r="IH49" s="64"/>
      <c r="II49" s="64"/>
      <c r="IJ49" s="64"/>
      <c r="IK49" s="64"/>
      <c r="IL49" s="64"/>
      <c r="IM49" s="64"/>
      <c r="IN49" s="64"/>
      <c r="IO49" s="64"/>
      <c r="IP49" s="64"/>
      <c r="IQ49" s="64"/>
      <c r="IR49" s="64"/>
      <c r="IS49" s="64"/>
      <c r="IT49" s="64"/>
      <c r="IU49" s="64"/>
      <c r="IV49" s="64"/>
      <c r="IW49" s="64"/>
      <c r="IX49" s="64"/>
      <c r="IY49" s="64"/>
      <c r="IZ49" s="64"/>
      <c r="JA49" s="64"/>
      <c r="JB49" s="64"/>
      <c r="JC49" s="64"/>
      <c r="JD49" s="64"/>
      <c r="JE49" s="64"/>
      <c r="JF49" s="64"/>
      <c r="JG49" s="64"/>
      <c r="JH49" s="64"/>
      <c r="JI49" s="64"/>
      <c r="JJ49" s="64"/>
      <c r="JK49" s="64"/>
      <c r="JL49" s="64"/>
      <c r="JM49" s="64"/>
      <c r="JN49" s="64"/>
      <c r="JO49" s="64"/>
      <c r="JP49" s="64"/>
      <c r="JQ49" s="64"/>
      <c r="JR49" s="64"/>
      <c r="JS49" s="64"/>
      <c r="JT49" s="64"/>
      <c r="JU49" s="64"/>
      <c r="JV49" s="64"/>
      <c r="JW49" s="64"/>
      <c r="JX49" s="64"/>
      <c r="JY49" s="64"/>
      <c r="JZ49" s="64"/>
      <c r="KA49" s="64"/>
      <c r="KB49" s="64"/>
      <c r="KC49" s="64"/>
      <c r="KD49" s="64"/>
      <c r="KE49" s="64"/>
      <c r="KF49" s="64"/>
      <c r="KG49" s="64"/>
      <c r="KH49" s="64"/>
      <c r="KI49" s="64"/>
      <c r="KJ49" s="64"/>
      <c r="KK49" s="64"/>
      <c r="KL49" s="64"/>
      <c r="KM49" s="64"/>
      <c r="KN49" s="64"/>
      <c r="KO49" s="64"/>
      <c r="KP49" s="64"/>
      <c r="KQ49" s="64"/>
      <c r="KR49" s="64"/>
      <c r="KS49" s="64"/>
      <c r="KT49" s="64"/>
      <c r="KU49" s="64"/>
      <c r="KV49" s="64"/>
      <c r="KW49" s="64"/>
      <c r="KX49" s="64"/>
      <c r="KY49" s="64"/>
      <c r="KZ49" s="64"/>
      <c r="LA49" s="64"/>
      <c r="LB49" s="64"/>
      <c r="LC49" s="64"/>
      <c r="LD49" s="64"/>
      <c r="LE49" s="64"/>
      <c r="LF49" s="64"/>
      <c r="LG49" s="64"/>
      <c r="LH49" s="64"/>
      <c r="LI49" s="64"/>
      <c r="LJ49" s="64"/>
      <c r="LK49" s="64"/>
      <c r="LL49" s="64"/>
      <c r="LM49" s="64"/>
      <c r="LN49" s="64"/>
      <c r="LO49" s="64"/>
      <c r="LP49" s="64"/>
      <c r="LQ49" s="64"/>
      <c r="LR49" s="64"/>
      <c r="LS49" s="64"/>
      <c r="LT49" s="64"/>
      <c r="LU49" s="64"/>
      <c r="LV49" s="64"/>
      <c r="LW49" s="64"/>
      <c r="LX49" s="64"/>
      <c r="LY49" s="64"/>
      <c r="LZ49" s="64"/>
      <c r="MA49" s="64"/>
      <c r="MB49" s="64"/>
      <c r="MC49" s="64"/>
      <c r="MD49" s="64"/>
      <c r="ME49" s="64"/>
      <c r="MF49" s="64"/>
      <c r="MG49" s="64"/>
      <c r="MH49" s="64"/>
      <c r="MI49" s="64"/>
      <c r="MJ49" s="64"/>
      <c r="MK49" s="64"/>
      <c r="ML49" s="64"/>
      <c r="MM49" s="64"/>
      <c r="MN49" s="64"/>
      <c r="MO49" s="64"/>
      <c r="MP49" s="64"/>
      <c r="MQ49" s="64"/>
      <c r="MR49" s="64"/>
      <c r="MS49" s="64"/>
      <c r="MT49" s="64"/>
    </row>
    <row r="50" spans="1:358" s="408" customFormat="1" x14ac:dyDescent="0.3">
      <c r="A50" s="419" t="s">
        <v>1</v>
      </c>
      <c r="B50" s="140">
        <f>'Input data processed products'!C18</f>
        <v>1</v>
      </c>
      <c r="C50" s="325" t="s">
        <v>473</v>
      </c>
      <c r="D50" s="407"/>
      <c r="E50" s="325"/>
      <c r="F50" s="770">
        <f>IF($E$1="GWP100 without fb",F51+F52*'Common input data'!$C$5+F53*'Common input data'!$D$5,IF($E$1="GWP100 with fb",F51+F52*'Common input data'!$C$6+F53*'Common input data'!$D$6,IF($E$1="GTP100 without fb",F51+F52*'Common input data'!$C$7+F53*'Common input data'!$D$7,IF($E$1="GTP100 with fb",F51+F52*'Common input data'!$C$8+F53*'Common input data'!$D$8,F51+F52*'Common input data'!$C$9+F53*'Common input data'!$D$9))))</f>
        <v>1.0430727016403829</v>
      </c>
      <c r="G50" s="137"/>
      <c r="H50" s="137"/>
      <c r="I50" s="138"/>
      <c r="J50" s="138"/>
      <c r="K50" s="107"/>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c r="DH50" s="64"/>
      <c r="DI50" s="64"/>
      <c r="DJ50" s="64"/>
      <c r="DK50" s="64"/>
      <c r="DL50" s="64"/>
      <c r="DM50" s="64"/>
      <c r="DN50" s="64"/>
      <c r="DO50" s="64"/>
      <c r="DP50" s="64"/>
      <c r="DQ50" s="64"/>
      <c r="DR50" s="64"/>
      <c r="DS50" s="64"/>
      <c r="DT50" s="64"/>
      <c r="DU50" s="64"/>
      <c r="DV50" s="64"/>
      <c r="DW50" s="64"/>
      <c r="DX50" s="64"/>
      <c r="DY50" s="64"/>
      <c r="DZ50" s="64"/>
      <c r="EA50" s="64"/>
      <c r="EB50" s="64"/>
      <c r="EC50" s="64"/>
      <c r="ED50" s="64"/>
      <c r="EE50" s="64"/>
      <c r="EF50" s="64"/>
      <c r="EG50" s="64"/>
      <c r="EH50" s="64"/>
      <c r="EI50" s="64"/>
      <c r="EJ50" s="64"/>
      <c r="EK50" s="64"/>
      <c r="EL50" s="64"/>
      <c r="EM50" s="64"/>
      <c r="EN50" s="64"/>
      <c r="EO50" s="64"/>
      <c r="EP50" s="64"/>
      <c r="EQ50" s="64"/>
      <c r="ER50" s="64"/>
      <c r="ES50" s="64"/>
      <c r="ET50" s="64"/>
      <c r="EU50" s="64"/>
      <c r="EV50" s="64"/>
      <c r="EW50" s="64"/>
      <c r="EX50" s="64"/>
      <c r="EY50" s="64"/>
      <c r="EZ50" s="64"/>
      <c r="FA50" s="64"/>
      <c r="FB50" s="64"/>
      <c r="FC50" s="64"/>
      <c r="FD50" s="64"/>
      <c r="FE50" s="64"/>
      <c r="FF50" s="64"/>
      <c r="FG50" s="64"/>
      <c r="FH50" s="64"/>
      <c r="FI50" s="64"/>
      <c r="FJ50" s="64"/>
      <c r="FK50" s="64"/>
      <c r="FL50" s="64"/>
      <c r="FM50" s="64"/>
      <c r="FN50" s="64"/>
      <c r="FO50" s="64"/>
      <c r="FP50" s="64"/>
      <c r="FQ50" s="64"/>
      <c r="FR50" s="64"/>
      <c r="FS50" s="64"/>
      <c r="FT50" s="64"/>
      <c r="FU50" s="64"/>
      <c r="FV50" s="64"/>
      <c r="FW50" s="64"/>
      <c r="FX50" s="64"/>
      <c r="FY50" s="64"/>
      <c r="FZ50" s="64"/>
      <c r="GA50" s="64"/>
      <c r="GB50" s="64"/>
      <c r="GC50" s="64"/>
      <c r="GD50" s="64"/>
      <c r="GE50" s="64"/>
      <c r="GF50" s="64"/>
      <c r="GG50" s="64"/>
      <c r="GH50" s="64"/>
      <c r="GI50" s="64"/>
      <c r="GJ50" s="64"/>
      <c r="GK50" s="64"/>
      <c r="GL50" s="64"/>
      <c r="GM50" s="64"/>
      <c r="GN50" s="64"/>
      <c r="GO50" s="64"/>
      <c r="GP50" s="64"/>
      <c r="GQ50" s="64"/>
      <c r="GR50" s="64"/>
      <c r="GS50" s="64"/>
      <c r="GT50" s="64"/>
      <c r="GU50" s="64"/>
      <c r="GV50" s="64"/>
      <c r="GW50" s="64"/>
      <c r="GX50" s="64"/>
      <c r="GY50" s="64"/>
      <c r="GZ50" s="64"/>
      <c r="HA50" s="64"/>
      <c r="HB50" s="64"/>
      <c r="HC50" s="64"/>
      <c r="HD50" s="64"/>
      <c r="HE50" s="64"/>
      <c r="HF50" s="64"/>
      <c r="HG50" s="64"/>
      <c r="HH50" s="64"/>
      <c r="HI50" s="64"/>
      <c r="HJ50" s="64"/>
      <c r="HK50" s="64"/>
      <c r="HL50" s="64"/>
      <c r="HM50" s="64"/>
      <c r="HN50" s="64"/>
      <c r="HO50" s="64"/>
      <c r="HP50" s="64"/>
      <c r="HQ50" s="64"/>
      <c r="HR50" s="64"/>
      <c r="HS50" s="64"/>
      <c r="HT50" s="64"/>
      <c r="HU50" s="64"/>
      <c r="HV50" s="64"/>
      <c r="HW50" s="64"/>
      <c r="HX50" s="64"/>
      <c r="HY50" s="64"/>
      <c r="HZ50" s="64"/>
      <c r="IA50" s="64"/>
      <c r="IB50" s="64"/>
      <c r="IC50" s="64"/>
      <c r="ID50" s="64"/>
      <c r="IE50" s="64"/>
      <c r="IF50" s="64"/>
      <c r="IG50" s="64"/>
      <c r="IH50" s="64"/>
      <c r="II50" s="64"/>
      <c r="IJ50" s="64"/>
      <c r="IK50" s="64"/>
      <c r="IL50" s="64"/>
      <c r="IM50" s="64"/>
      <c r="IN50" s="64"/>
      <c r="IO50" s="64"/>
      <c r="IP50" s="64"/>
      <c r="IQ50" s="64"/>
      <c r="IR50" s="64"/>
      <c r="IS50" s="64"/>
      <c r="IT50" s="64"/>
      <c r="IU50" s="64"/>
      <c r="IV50" s="64"/>
      <c r="IW50" s="64"/>
      <c r="IX50" s="64"/>
      <c r="IY50" s="64"/>
      <c r="IZ50" s="64"/>
      <c r="JA50" s="64"/>
      <c r="JB50" s="64"/>
      <c r="JC50" s="64"/>
      <c r="JD50" s="64"/>
      <c r="JE50" s="64"/>
      <c r="JF50" s="64"/>
      <c r="JG50" s="64"/>
      <c r="JH50" s="64"/>
      <c r="JI50" s="64"/>
      <c r="JJ50" s="64"/>
      <c r="JK50" s="64"/>
      <c r="JL50" s="64"/>
      <c r="JM50" s="64"/>
      <c r="JN50" s="64"/>
      <c r="JO50" s="64"/>
      <c r="JP50" s="64"/>
      <c r="JQ50" s="64"/>
      <c r="JR50" s="64"/>
      <c r="JS50" s="64"/>
      <c r="JT50" s="64"/>
      <c r="JU50" s="64"/>
      <c r="JV50" s="64"/>
      <c r="JW50" s="64"/>
      <c r="JX50" s="64"/>
      <c r="JY50" s="64"/>
      <c r="JZ50" s="64"/>
      <c r="KA50" s="64"/>
      <c r="KB50" s="64"/>
      <c r="KC50" s="64"/>
      <c r="KD50" s="64"/>
      <c r="KE50" s="64"/>
      <c r="KF50" s="64"/>
      <c r="KG50" s="64"/>
      <c r="KH50" s="64"/>
      <c r="KI50" s="64"/>
      <c r="KJ50" s="64"/>
      <c r="KK50" s="64"/>
      <c r="KL50" s="64"/>
      <c r="KM50" s="64"/>
      <c r="KN50" s="64"/>
      <c r="KO50" s="64"/>
      <c r="KP50" s="64"/>
      <c r="KQ50" s="64"/>
      <c r="KR50" s="64"/>
      <c r="KS50" s="64"/>
      <c r="KT50" s="64"/>
      <c r="KU50" s="64"/>
      <c r="KV50" s="64"/>
      <c r="KW50" s="64"/>
      <c r="KX50" s="64"/>
      <c r="KY50" s="64"/>
      <c r="KZ50" s="64"/>
      <c r="LA50" s="64"/>
      <c r="LB50" s="64"/>
      <c r="LC50" s="64"/>
      <c r="LD50" s="64"/>
      <c r="LE50" s="64"/>
      <c r="LF50" s="64"/>
      <c r="LG50" s="64"/>
      <c r="LH50" s="64"/>
      <c r="LI50" s="64"/>
      <c r="LJ50" s="64"/>
      <c r="LK50" s="64"/>
      <c r="LL50" s="64"/>
      <c r="LM50" s="64"/>
      <c r="LN50" s="64"/>
      <c r="LO50" s="64"/>
      <c r="LP50" s="64"/>
      <c r="LQ50" s="64"/>
      <c r="LR50" s="64"/>
      <c r="LS50" s="64"/>
      <c r="LT50" s="64"/>
      <c r="LU50" s="64"/>
      <c r="LV50" s="64"/>
      <c r="LW50" s="64"/>
      <c r="LX50" s="64"/>
      <c r="LY50" s="64"/>
      <c r="LZ50" s="64"/>
      <c r="MA50" s="64"/>
      <c r="MB50" s="64"/>
      <c r="MC50" s="64"/>
      <c r="MD50" s="64"/>
      <c r="ME50" s="64"/>
      <c r="MF50" s="64"/>
      <c r="MG50" s="64"/>
      <c r="MH50" s="64"/>
      <c r="MI50" s="64"/>
      <c r="MJ50" s="64"/>
      <c r="MK50" s="64"/>
      <c r="ML50" s="64"/>
      <c r="MM50" s="64"/>
      <c r="MN50" s="64"/>
      <c r="MO50" s="64"/>
      <c r="MP50" s="64"/>
      <c r="MQ50" s="64"/>
      <c r="MR50" s="64"/>
      <c r="MS50" s="64"/>
      <c r="MT50" s="64"/>
    </row>
    <row r="51" spans="1:358" x14ac:dyDescent="0.3">
      <c r="A51" s="144"/>
      <c r="B51" s="142"/>
      <c r="C51" s="83" t="s">
        <v>164</v>
      </c>
      <c r="D51" s="354"/>
      <c r="E51" s="83"/>
      <c r="F51" s="278">
        <f>SUM(G51:J51)/(1-'Common input data'!$B$137)</f>
        <v>0.77508993704735551</v>
      </c>
      <c r="G51" s="85">
        <f>SUMPRODUCT('Input data processed products'!D$18:AB$18,'Input data processed products'!D$55:AB$55)</f>
        <v>0.37958813830640831</v>
      </c>
      <c r="H51" s="85">
        <f>'Input data processed products'!D$67</f>
        <v>0.3</v>
      </c>
      <c r="I51" s="90">
        <f>'Common input data'!B$90</f>
        <v>0.05</v>
      </c>
      <c r="J51" s="90">
        <f>'Common input data'!C$98</f>
        <v>0.03</v>
      </c>
      <c r="K51" s="107"/>
    </row>
    <row r="52" spans="1:358" x14ac:dyDescent="0.3">
      <c r="A52" s="174"/>
      <c r="B52" s="85"/>
      <c r="C52" s="83" t="s">
        <v>165</v>
      </c>
      <c r="D52" s="354"/>
      <c r="E52" s="83"/>
      <c r="F52" s="278">
        <f>SUM(G52:J52)/(1-'Common input data'!$B$137)</f>
        <v>3.3452644285087064E-5</v>
      </c>
      <c r="G52" s="85">
        <f>SUMPRODUCT('Input data processed products'!D$18:AB$18,'Input data processed products'!D$56:AB$56)</f>
        <v>3.2783591399385323E-5</v>
      </c>
      <c r="H52" s="85">
        <v>0</v>
      </c>
      <c r="I52" s="90">
        <v>0</v>
      </c>
      <c r="J52" s="90">
        <v>0</v>
      </c>
      <c r="K52" s="107"/>
    </row>
    <row r="53" spans="1:358" x14ac:dyDescent="0.3">
      <c r="A53" s="174"/>
      <c r="B53" s="85"/>
      <c r="C53" s="84" t="s">
        <v>166</v>
      </c>
      <c r="D53" s="592"/>
      <c r="E53" s="100"/>
      <c r="F53" s="521">
        <f>SUM(G53:J53)/(1-'Common input data'!$B$137)</f>
        <v>8.9545427747427637E-4</v>
      </c>
      <c r="G53" s="85">
        <f>SUMPRODUCT('Input data processed products'!D$18:AB$18,'Input data processed products'!D$57:AB$57)</f>
        <v>8.7754519192479081E-4</v>
      </c>
      <c r="H53" s="85">
        <v>0</v>
      </c>
      <c r="I53" s="90">
        <v>0</v>
      </c>
      <c r="J53" s="90">
        <v>0</v>
      </c>
      <c r="K53" s="107"/>
    </row>
    <row r="54" spans="1:358" s="316" customFormat="1" x14ac:dyDescent="0.3">
      <c r="A54" s="311" t="s">
        <v>492</v>
      </c>
      <c r="B54" s="313"/>
      <c r="C54" s="314"/>
      <c r="D54" s="356"/>
      <c r="E54" s="281"/>
      <c r="F54" s="590" t="s">
        <v>841</v>
      </c>
      <c r="G54" s="313"/>
      <c r="H54" s="313"/>
      <c r="I54" s="315"/>
      <c r="J54" s="315"/>
      <c r="K54" s="107"/>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c r="EO54" s="64"/>
      <c r="EP54" s="64"/>
      <c r="EQ54" s="64"/>
      <c r="ER54" s="64"/>
      <c r="ES54" s="64"/>
      <c r="ET54" s="64"/>
      <c r="EU54" s="64"/>
      <c r="EV54" s="64"/>
      <c r="EW54" s="64"/>
      <c r="EX54" s="64"/>
      <c r="EY54" s="64"/>
      <c r="EZ54" s="64"/>
      <c r="FA54" s="64"/>
      <c r="FB54" s="64"/>
      <c r="FC54" s="64"/>
      <c r="FD54" s="64"/>
      <c r="FE54" s="64"/>
      <c r="FF54" s="64"/>
      <c r="FG54" s="64"/>
      <c r="FH54" s="64"/>
      <c r="FI54" s="64"/>
      <c r="FJ54" s="64"/>
      <c r="FK54" s="64"/>
      <c r="FL54" s="64"/>
      <c r="FM54" s="64"/>
      <c r="FN54" s="64"/>
      <c r="FO54" s="64"/>
      <c r="FP54" s="64"/>
      <c r="FQ54" s="64"/>
      <c r="FR54" s="64"/>
      <c r="FS54" s="64"/>
      <c r="FT54" s="64"/>
      <c r="FU54" s="64"/>
      <c r="FV54" s="64"/>
      <c r="FW54" s="64"/>
      <c r="FX54" s="64"/>
      <c r="FY54" s="64"/>
      <c r="FZ54" s="64"/>
      <c r="GA54" s="64"/>
      <c r="GB54" s="64"/>
      <c r="GC54" s="64"/>
      <c r="GD54" s="64"/>
      <c r="GE54" s="64"/>
      <c r="GF54" s="64"/>
      <c r="GG54" s="64"/>
      <c r="GH54" s="64"/>
      <c r="GI54" s="64"/>
      <c r="GJ54" s="64"/>
      <c r="GK54" s="64"/>
      <c r="GL54" s="64"/>
      <c r="GM54" s="64"/>
      <c r="GN54" s="64"/>
      <c r="GO54" s="64"/>
      <c r="GP54" s="64"/>
      <c r="GQ54" s="64"/>
      <c r="GR54" s="64"/>
      <c r="GS54" s="64"/>
      <c r="GT54" s="64"/>
      <c r="GU54" s="64"/>
      <c r="GV54" s="64"/>
      <c r="GW54" s="64"/>
      <c r="GX54" s="64"/>
      <c r="GY54" s="64"/>
      <c r="GZ54" s="64"/>
      <c r="HA54" s="64"/>
      <c r="HB54" s="64"/>
      <c r="HC54" s="64"/>
      <c r="HD54" s="64"/>
      <c r="HE54" s="64"/>
      <c r="HF54" s="64"/>
      <c r="HG54" s="64"/>
      <c r="HH54" s="64"/>
      <c r="HI54" s="64"/>
      <c r="HJ54" s="64"/>
      <c r="HK54" s="64"/>
      <c r="HL54" s="64"/>
      <c r="HM54" s="64"/>
      <c r="HN54" s="64"/>
      <c r="HO54" s="64"/>
      <c r="HP54" s="64"/>
      <c r="HQ54" s="64"/>
      <c r="HR54" s="64"/>
      <c r="HS54" s="64"/>
      <c r="HT54" s="64"/>
      <c r="HU54" s="64"/>
      <c r="HV54" s="64"/>
      <c r="HW54" s="64"/>
      <c r="HX54" s="64"/>
      <c r="HY54" s="64"/>
      <c r="HZ54" s="64"/>
      <c r="IA54" s="64"/>
      <c r="IB54" s="64"/>
      <c r="IC54" s="64"/>
      <c r="ID54" s="64"/>
      <c r="IE54" s="64"/>
      <c r="IF54" s="64"/>
      <c r="IG54" s="64"/>
      <c r="IH54" s="64"/>
      <c r="II54" s="64"/>
      <c r="IJ54" s="64"/>
      <c r="IK54" s="64"/>
      <c r="IL54" s="64"/>
      <c r="IM54" s="64"/>
      <c r="IN54" s="64"/>
      <c r="IO54" s="64"/>
      <c r="IP54" s="64"/>
      <c r="IQ54" s="64"/>
      <c r="IR54" s="64"/>
      <c r="IS54" s="64"/>
      <c r="IT54" s="64"/>
      <c r="IU54" s="64"/>
      <c r="IV54" s="64"/>
      <c r="IW54" s="64"/>
      <c r="IX54" s="64"/>
      <c r="IY54" s="64"/>
      <c r="IZ54" s="64"/>
      <c r="JA54" s="64"/>
      <c r="JB54" s="64"/>
      <c r="JC54" s="64"/>
      <c r="JD54" s="64"/>
      <c r="JE54" s="64"/>
      <c r="JF54" s="64"/>
      <c r="JG54" s="64"/>
      <c r="JH54" s="64"/>
      <c r="JI54" s="64"/>
      <c r="JJ54" s="64"/>
      <c r="JK54" s="64"/>
      <c r="JL54" s="64"/>
      <c r="JM54" s="64"/>
      <c r="JN54" s="64"/>
      <c r="JO54" s="64"/>
      <c r="JP54" s="64"/>
      <c r="JQ54" s="64"/>
      <c r="JR54" s="64"/>
      <c r="JS54" s="64"/>
      <c r="JT54" s="64"/>
      <c r="JU54" s="64"/>
      <c r="JV54" s="64"/>
      <c r="JW54" s="64"/>
      <c r="JX54" s="64"/>
      <c r="JY54" s="64"/>
      <c r="JZ54" s="64"/>
      <c r="KA54" s="64"/>
      <c r="KB54" s="64"/>
      <c r="KC54" s="64"/>
      <c r="KD54" s="64"/>
      <c r="KE54" s="64"/>
      <c r="KF54" s="64"/>
      <c r="KG54" s="64"/>
      <c r="KH54" s="64"/>
      <c r="KI54" s="64"/>
      <c r="KJ54" s="64"/>
      <c r="KK54" s="64"/>
      <c r="KL54" s="64"/>
      <c r="KM54" s="64"/>
      <c r="KN54" s="64"/>
      <c r="KO54" s="64"/>
      <c r="KP54" s="64"/>
      <c r="KQ54" s="64"/>
      <c r="KR54" s="64"/>
      <c r="KS54" s="64"/>
      <c r="KT54" s="64"/>
      <c r="KU54" s="64"/>
      <c r="KV54" s="64"/>
      <c r="KW54" s="64"/>
      <c r="KX54" s="64"/>
      <c r="KY54" s="64"/>
      <c r="KZ54" s="64"/>
      <c r="LA54" s="64"/>
      <c r="LB54" s="64"/>
      <c r="LC54" s="64"/>
      <c r="LD54" s="64"/>
      <c r="LE54" s="64"/>
      <c r="LF54" s="64"/>
      <c r="LG54" s="64"/>
      <c r="LH54" s="64"/>
      <c r="LI54" s="64"/>
      <c r="LJ54" s="64"/>
      <c r="LK54" s="64"/>
      <c r="LL54" s="64"/>
      <c r="LM54" s="64"/>
      <c r="LN54" s="64"/>
      <c r="LO54" s="64"/>
      <c r="LP54" s="64"/>
      <c r="LQ54" s="64"/>
      <c r="LR54" s="64"/>
      <c r="LS54" s="64"/>
      <c r="LT54" s="64"/>
      <c r="LU54" s="64"/>
      <c r="LV54" s="64"/>
      <c r="LW54" s="64"/>
      <c r="LX54" s="64"/>
      <c r="LY54" s="64"/>
      <c r="LZ54" s="64"/>
      <c r="MA54" s="64"/>
      <c r="MB54" s="64"/>
      <c r="MC54" s="64"/>
      <c r="MD54" s="64"/>
      <c r="ME54" s="64"/>
      <c r="MF54" s="64"/>
      <c r="MG54" s="64"/>
      <c r="MH54" s="64"/>
      <c r="MI54" s="64"/>
      <c r="MJ54" s="64"/>
      <c r="MK54" s="64"/>
      <c r="ML54" s="64"/>
      <c r="MM54" s="64"/>
      <c r="MN54" s="64"/>
      <c r="MO54" s="64"/>
      <c r="MP54" s="64"/>
      <c r="MQ54" s="64"/>
      <c r="MR54" s="64"/>
      <c r="MS54" s="64"/>
      <c r="MT54" s="64"/>
    </row>
    <row r="55" spans="1:358" s="408" customFormat="1" x14ac:dyDescent="0.3">
      <c r="A55" s="419" t="s">
        <v>1</v>
      </c>
      <c r="B55" s="140">
        <f>'Input data processed products'!C20</f>
        <v>1</v>
      </c>
      <c r="C55" s="325" t="s">
        <v>473</v>
      </c>
      <c r="D55" s="407"/>
      <c r="E55" s="325"/>
      <c r="F55" s="770">
        <f>IF($E$1="GWP100 without fb",F56+F57*'Common input data'!$C$5+F58*'Common input data'!$D$5,IF($E$1="GWP100 with fb",F56+F57*'Common input data'!$C$6+F58*'Common input data'!$D$6,IF($E$1="GTP100 without fb",F56+F57*'Common input data'!$C$7+F58*'Common input data'!$D$7,IF($E$1="GTP100 with fb",F56+F57*'Common input data'!$C$8+F58*'Common input data'!$D$8,F56+F57*'Common input data'!$C$9+F58*'Common input data'!$D$9))))</f>
        <v>1.1143473562025834</v>
      </c>
      <c r="G55" s="137"/>
      <c r="H55" s="137"/>
      <c r="I55" s="138"/>
      <c r="J55" s="138"/>
      <c r="K55" s="107"/>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c r="EO55" s="64"/>
      <c r="EP55" s="64"/>
      <c r="EQ55" s="64"/>
      <c r="ER55" s="64"/>
      <c r="ES55" s="64"/>
      <c r="ET55" s="64"/>
      <c r="EU55" s="64"/>
      <c r="EV55" s="64"/>
      <c r="EW55" s="64"/>
      <c r="EX55" s="64"/>
      <c r="EY55" s="64"/>
      <c r="EZ55" s="64"/>
      <c r="FA55" s="64"/>
      <c r="FB55" s="64"/>
      <c r="FC55" s="64"/>
      <c r="FD55" s="64"/>
      <c r="FE55" s="64"/>
      <c r="FF55" s="64"/>
      <c r="FG55" s="64"/>
      <c r="FH55" s="64"/>
      <c r="FI55" s="64"/>
      <c r="FJ55" s="64"/>
      <c r="FK55" s="64"/>
      <c r="FL55" s="64"/>
      <c r="FM55" s="64"/>
      <c r="FN55" s="64"/>
      <c r="FO55" s="64"/>
      <c r="FP55" s="64"/>
      <c r="FQ55" s="64"/>
      <c r="FR55" s="64"/>
      <c r="FS55" s="64"/>
      <c r="FT55" s="64"/>
      <c r="FU55" s="64"/>
      <c r="FV55" s="64"/>
      <c r="FW55" s="64"/>
      <c r="FX55" s="64"/>
      <c r="FY55" s="64"/>
      <c r="FZ55" s="64"/>
      <c r="GA55" s="64"/>
      <c r="GB55" s="64"/>
      <c r="GC55" s="64"/>
      <c r="GD55" s="64"/>
      <c r="GE55" s="64"/>
      <c r="GF55" s="64"/>
      <c r="GG55" s="64"/>
      <c r="GH55" s="64"/>
      <c r="GI55" s="64"/>
      <c r="GJ55" s="64"/>
      <c r="GK55" s="64"/>
      <c r="GL55" s="64"/>
      <c r="GM55" s="64"/>
      <c r="GN55" s="64"/>
      <c r="GO55" s="64"/>
      <c r="GP55" s="64"/>
      <c r="GQ55" s="64"/>
      <c r="GR55" s="64"/>
      <c r="GS55" s="64"/>
      <c r="GT55" s="64"/>
      <c r="GU55" s="64"/>
      <c r="GV55" s="64"/>
      <c r="GW55" s="64"/>
      <c r="GX55" s="64"/>
      <c r="GY55" s="64"/>
      <c r="GZ55" s="64"/>
      <c r="HA55" s="64"/>
      <c r="HB55" s="64"/>
      <c r="HC55" s="64"/>
      <c r="HD55" s="64"/>
      <c r="HE55" s="64"/>
      <c r="HF55" s="64"/>
      <c r="HG55" s="64"/>
      <c r="HH55" s="64"/>
      <c r="HI55" s="64"/>
      <c r="HJ55" s="64"/>
      <c r="HK55" s="64"/>
      <c r="HL55" s="64"/>
      <c r="HM55" s="64"/>
      <c r="HN55" s="64"/>
      <c r="HO55" s="64"/>
      <c r="HP55" s="64"/>
      <c r="HQ55" s="64"/>
      <c r="HR55" s="64"/>
      <c r="HS55" s="64"/>
      <c r="HT55" s="64"/>
      <c r="HU55" s="64"/>
      <c r="HV55" s="64"/>
      <c r="HW55" s="64"/>
      <c r="HX55" s="64"/>
      <c r="HY55" s="64"/>
      <c r="HZ55" s="64"/>
      <c r="IA55" s="64"/>
      <c r="IB55" s="64"/>
      <c r="IC55" s="64"/>
      <c r="ID55" s="64"/>
      <c r="IE55" s="64"/>
      <c r="IF55" s="64"/>
      <c r="IG55" s="64"/>
      <c r="IH55" s="64"/>
      <c r="II55" s="64"/>
      <c r="IJ55" s="64"/>
      <c r="IK55" s="64"/>
      <c r="IL55" s="64"/>
      <c r="IM55" s="64"/>
      <c r="IN55" s="64"/>
      <c r="IO55" s="64"/>
      <c r="IP55" s="64"/>
      <c r="IQ55" s="64"/>
      <c r="IR55" s="64"/>
      <c r="IS55" s="64"/>
      <c r="IT55" s="64"/>
      <c r="IU55" s="64"/>
      <c r="IV55" s="64"/>
      <c r="IW55" s="64"/>
      <c r="IX55" s="64"/>
      <c r="IY55" s="64"/>
      <c r="IZ55" s="64"/>
      <c r="JA55" s="64"/>
      <c r="JB55" s="64"/>
      <c r="JC55" s="64"/>
      <c r="JD55" s="64"/>
      <c r="JE55" s="64"/>
      <c r="JF55" s="64"/>
      <c r="JG55" s="64"/>
      <c r="JH55" s="64"/>
      <c r="JI55" s="64"/>
      <c r="JJ55" s="64"/>
      <c r="JK55" s="64"/>
      <c r="JL55" s="64"/>
      <c r="JM55" s="64"/>
      <c r="JN55" s="64"/>
      <c r="JO55" s="64"/>
      <c r="JP55" s="64"/>
      <c r="JQ55" s="64"/>
      <c r="JR55" s="64"/>
      <c r="JS55" s="64"/>
      <c r="JT55" s="64"/>
      <c r="JU55" s="64"/>
      <c r="JV55" s="64"/>
      <c r="JW55" s="64"/>
      <c r="JX55" s="64"/>
      <c r="JY55" s="64"/>
      <c r="JZ55" s="64"/>
      <c r="KA55" s="64"/>
      <c r="KB55" s="64"/>
      <c r="KC55" s="64"/>
      <c r="KD55" s="64"/>
      <c r="KE55" s="64"/>
      <c r="KF55" s="64"/>
      <c r="KG55" s="64"/>
      <c r="KH55" s="64"/>
      <c r="KI55" s="64"/>
      <c r="KJ55" s="64"/>
      <c r="KK55" s="64"/>
      <c r="KL55" s="64"/>
      <c r="KM55" s="64"/>
      <c r="KN55" s="64"/>
      <c r="KO55" s="64"/>
      <c r="KP55" s="64"/>
      <c r="KQ55" s="64"/>
      <c r="KR55" s="64"/>
      <c r="KS55" s="64"/>
      <c r="KT55" s="64"/>
      <c r="KU55" s="64"/>
      <c r="KV55" s="64"/>
      <c r="KW55" s="64"/>
      <c r="KX55" s="64"/>
      <c r="KY55" s="64"/>
      <c r="KZ55" s="64"/>
      <c r="LA55" s="64"/>
      <c r="LB55" s="64"/>
      <c r="LC55" s="64"/>
      <c r="LD55" s="64"/>
      <c r="LE55" s="64"/>
      <c r="LF55" s="64"/>
      <c r="LG55" s="64"/>
      <c r="LH55" s="64"/>
      <c r="LI55" s="64"/>
      <c r="LJ55" s="64"/>
      <c r="LK55" s="64"/>
      <c r="LL55" s="64"/>
      <c r="LM55" s="64"/>
      <c r="LN55" s="64"/>
      <c r="LO55" s="64"/>
      <c r="LP55" s="64"/>
      <c r="LQ55" s="64"/>
      <c r="LR55" s="64"/>
      <c r="LS55" s="64"/>
      <c r="LT55" s="64"/>
      <c r="LU55" s="64"/>
      <c r="LV55" s="64"/>
      <c r="LW55" s="64"/>
      <c r="LX55" s="64"/>
      <c r="LY55" s="64"/>
      <c r="LZ55" s="64"/>
      <c r="MA55" s="64"/>
      <c r="MB55" s="64"/>
      <c r="MC55" s="64"/>
      <c r="MD55" s="64"/>
      <c r="ME55" s="64"/>
      <c r="MF55" s="64"/>
      <c r="MG55" s="64"/>
      <c r="MH55" s="64"/>
      <c r="MI55" s="64"/>
      <c r="MJ55" s="64"/>
      <c r="MK55" s="64"/>
      <c r="ML55" s="64"/>
      <c r="MM55" s="64"/>
      <c r="MN55" s="64"/>
      <c r="MO55" s="64"/>
      <c r="MP55" s="64"/>
      <c r="MQ55" s="64"/>
      <c r="MR55" s="64"/>
      <c r="MS55" s="64"/>
      <c r="MT55" s="64"/>
    </row>
    <row r="56" spans="1:358" x14ac:dyDescent="0.3">
      <c r="A56" s="144"/>
      <c r="B56" s="142"/>
      <c r="C56" s="83" t="s">
        <v>164</v>
      </c>
      <c r="D56" s="354"/>
      <c r="E56" s="83"/>
      <c r="F56" s="278">
        <f>SUM(G56:J56)/(1-'Common input data'!$B$137)</f>
        <v>0.8379165675138025</v>
      </c>
      <c r="G56" s="85">
        <f>SUMPRODUCT('Input data processed products'!D$20:AB$20,'Input data processed products'!D$55:AB$55)</f>
        <v>0.4411582361635264</v>
      </c>
      <c r="H56" s="85">
        <f>'Input data processed products'!D$67</f>
        <v>0.3</v>
      </c>
      <c r="I56" s="90">
        <f>'Common input data'!B$90</f>
        <v>0.05</v>
      </c>
      <c r="J56" s="90">
        <f>'Common input data'!C$98</f>
        <v>0.03</v>
      </c>
      <c r="K56" s="107"/>
    </row>
    <row r="57" spans="1:358" x14ac:dyDescent="0.3">
      <c r="A57" s="174"/>
      <c r="B57" s="85"/>
      <c r="C57" s="83" t="s">
        <v>165</v>
      </c>
      <c r="D57" s="354"/>
      <c r="E57" s="83"/>
      <c r="F57" s="278">
        <f>SUM(G57:J57)/(1-'Common input data'!$B$137)</f>
        <v>3.8443543384648791E-5</v>
      </c>
      <c r="G57" s="85">
        <f>SUMPRODUCT('Input data processed products'!D$20:AB$20,'Input data processed products'!D$56:AB$56)</f>
        <v>3.7674672516955812E-5</v>
      </c>
      <c r="H57" s="85">
        <v>0</v>
      </c>
      <c r="I57" s="90">
        <v>0</v>
      </c>
      <c r="J57" s="90">
        <v>0</v>
      </c>
      <c r="K57" s="107"/>
    </row>
    <row r="58" spans="1:358" x14ac:dyDescent="0.3">
      <c r="A58" s="174"/>
      <c r="B58" s="85"/>
      <c r="C58" s="84" t="s">
        <v>166</v>
      </c>
      <c r="D58" s="592"/>
      <c r="E58" s="100"/>
      <c r="F58" s="521">
        <f>SUM(G58:J58)/(1-'Common input data'!$B$137)</f>
        <v>9.2323392018021108E-4</v>
      </c>
      <c r="G58" s="85">
        <f>SUMPRODUCT('Input data processed products'!D$20:AB$20,'Input data processed products'!D$57:AB$57)</f>
        <v>9.047692417766068E-4</v>
      </c>
      <c r="H58" s="85">
        <v>0</v>
      </c>
      <c r="I58" s="90">
        <v>0</v>
      </c>
      <c r="J58" s="90">
        <v>0</v>
      </c>
      <c r="K58" s="107"/>
    </row>
    <row r="59" spans="1:358" s="316" customFormat="1" x14ac:dyDescent="0.3">
      <c r="A59" s="311" t="s">
        <v>512</v>
      </c>
      <c r="B59" s="313"/>
      <c r="C59" s="314"/>
      <c r="D59" s="356"/>
      <c r="E59" s="281"/>
      <c r="F59" s="590" t="s">
        <v>842</v>
      </c>
      <c r="G59" s="313"/>
      <c r="H59" s="313"/>
      <c r="I59" s="315"/>
      <c r="J59" s="315"/>
      <c r="K59" s="107"/>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c r="GH59" s="64"/>
      <c r="GI59" s="64"/>
      <c r="GJ59" s="64"/>
      <c r="GK59" s="64"/>
      <c r="GL59" s="64"/>
      <c r="GM59" s="64"/>
      <c r="GN59" s="64"/>
      <c r="GO59" s="64"/>
      <c r="GP59" s="64"/>
      <c r="GQ59" s="64"/>
      <c r="GR59" s="64"/>
      <c r="GS59" s="64"/>
      <c r="GT59" s="64"/>
      <c r="GU59" s="64"/>
      <c r="GV59" s="64"/>
      <c r="GW59" s="64"/>
      <c r="GX59" s="64"/>
      <c r="GY59" s="64"/>
      <c r="GZ59" s="64"/>
      <c r="HA59" s="64"/>
      <c r="HB59" s="64"/>
      <c r="HC59" s="64"/>
      <c r="HD59" s="64"/>
      <c r="HE59" s="64"/>
      <c r="HF59" s="64"/>
      <c r="HG59" s="64"/>
      <c r="HH59" s="64"/>
      <c r="HI59" s="64"/>
      <c r="HJ59" s="64"/>
      <c r="HK59" s="64"/>
      <c r="HL59" s="64"/>
      <c r="HM59" s="64"/>
      <c r="HN59" s="64"/>
      <c r="HO59" s="64"/>
      <c r="HP59" s="64"/>
      <c r="HQ59" s="64"/>
      <c r="HR59" s="64"/>
      <c r="HS59" s="64"/>
      <c r="HT59" s="64"/>
      <c r="HU59" s="64"/>
      <c r="HV59" s="64"/>
      <c r="HW59" s="64"/>
      <c r="HX59" s="64"/>
      <c r="HY59" s="64"/>
      <c r="HZ59" s="64"/>
      <c r="IA59" s="64"/>
      <c r="IB59" s="64"/>
      <c r="IC59" s="64"/>
      <c r="ID59" s="64"/>
      <c r="IE59" s="64"/>
      <c r="IF59" s="64"/>
      <c r="IG59" s="64"/>
      <c r="IH59" s="64"/>
      <c r="II59" s="64"/>
      <c r="IJ59" s="64"/>
      <c r="IK59" s="64"/>
      <c r="IL59" s="64"/>
      <c r="IM59" s="64"/>
      <c r="IN59" s="64"/>
      <c r="IO59" s="64"/>
      <c r="IP59" s="64"/>
      <c r="IQ59" s="64"/>
      <c r="IR59" s="64"/>
      <c r="IS59" s="64"/>
      <c r="IT59" s="64"/>
      <c r="IU59" s="64"/>
      <c r="IV59" s="64"/>
      <c r="IW59" s="64"/>
      <c r="IX59" s="64"/>
      <c r="IY59" s="64"/>
      <c r="IZ59" s="64"/>
      <c r="JA59" s="64"/>
      <c r="JB59" s="64"/>
      <c r="JC59" s="64"/>
      <c r="JD59" s="64"/>
      <c r="JE59" s="64"/>
      <c r="JF59" s="64"/>
      <c r="JG59" s="64"/>
      <c r="JH59" s="64"/>
      <c r="JI59" s="64"/>
      <c r="JJ59" s="64"/>
      <c r="JK59" s="64"/>
      <c r="JL59" s="64"/>
      <c r="JM59" s="64"/>
      <c r="JN59" s="64"/>
      <c r="JO59" s="64"/>
      <c r="JP59" s="64"/>
      <c r="JQ59" s="64"/>
      <c r="JR59" s="64"/>
      <c r="JS59" s="64"/>
      <c r="JT59" s="64"/>
      <c r="JU59" s="64"/>
      <c r="JV59" s="64"/>
      <c r="JW59" s="64"/>
      <c r="JX59" s="64"/>
      <c r="JY59" s="64"/>
      <c r="JZ59" s="64"/>
      <c r="KA59" s="64"/>
      <c r="KB59" s="64"/>
      <c r="KC59" s="64"/>
      <c r="KD59" s="64"/>
      <c r="KE59" s="64"/>
      <c r="KF59" s="64"/>
      <c r="KG59" s="64"/>
      <c r="KH59" s="64"/>
      <c r="KI59" s="64"/>
      <c r="KJ59" s="64"/>
      <c r="KK59" s="64"/>
      <c r="KL59" s="64"/>
      <c r="KM59" s="64"/>
      <c r="KN59" s="64"/>
      <c r="KO59" s="64"/>
      <c r="KP59" s="64"/>
      <c r="KQ59" s="64"/>
      <c r="KR59" s="64"/>
      <c r="KS59" s="64"/>
      <c r="KT59" s="64"/>
      <c r="KU59" s="64"/>
      <c r="KV59" s="64"/>
      <c r="KW59" s="64"/>
      <c r="KX59" s="64"/>
      <c r="KY59" s="64"/>
      <c r="KZ59" s="64"/>
      <c r="LA59" s="64"/>
      <c r="LB59" s="64"/>
      <c r="LC59" s="64"/>
      <c r="LD59" s="64"/>
      <c r="LE59" s="64"/>
      <c r="LF59" s="64"/>
      <c r="LG59" s="64"/>
      <c r="LH59" s="64"/>
      <c r="LI59" s="64"/>
      <c r="LJ59" s="64"/>
      <c r="LK59" s="64"/>
      <c r="LL59" s="64"/>
      <c r="LM59" s="64"/>
      <c r="LN59" s="64"/>
      <c r="LO59" s="64"/>
      <c r="LP59" s="64"/>
      <c r="LQ59" s="64"/>
      <c r="LR59" s="64"/>
      <c r="LS59" s="64"/>
      <c r="LT59" s="64"/>
      <c r="LU59" s="64"/>
      <c r="LV59" s="64"/>
      <c r="LW59" s="64"/>
      <c r="LX59" s="64"/>
      <c r="LY59" s="64"/>
      <c r="LZ59" s="64"/>
      <c r="MA59" s="64"/>
      <c r="MB59" s="64"/>
      <c r="MC59" s="64"/>
      <c r="MD59" s="64"/>
      <c r="ME59" s="64"/>
      <c r="MF59" s="64"/>
      <c r="MG59" s="64"/>
      <c r="MH59" s="64"/>
      <c r="MI59" s="64"/>
      <c r="MJ59" s="64"/>
      <c r="MK59" s="64"/>
      <c r="ML59" s="64"/>
      <c r="MM59" s="64"/>
      <c r="MN59" s="64"/>
      <c r="MO59" s="64"/>
      <c r="MP59" s="64"/>
      <c r="MQ59" s="64"/>
      <c r="MR59" s="64"/>
      <c r="MS59" s="64"/>
      <c r="MT59" s="64"/>
    </row>
    <row r="60" spans="1:358" s="408" customFormat="1" x14ac:dyDescent="0.3">
      <c r="A60" s="419" t="s">
        <v>1</v>
      </c>
      <c r="B60" s="140">
        <f>'Input data processed products'!C22</f>
        <v>1</v>
      </c>
      <c r="C60" s="325" t="s">
        <v>473</v>
      </c>
      <c r="D60" s="407"/>
      <c r="E60" s="325"/>
      <c r="F60" s="770">
        <f>IF($E$1="GWP100 without fb",F61+F62*'Common input data'!$C$5+F63*'Common input data'!$D$5,IF($E$1="GWP100 with fb",F61+F62*'Common input data'!$C$6+F63*'Common input data'!$D$6,IF($E$1="GTP100 without fb",F61+F62*'Common input data'!$C$7+F63*'Common input data'!$D$7,IF($E$1="GTP100 with fb",F61+F62*'Common input data'!$C$8+F63*'Common input data'!$D$8,F61+F62*'Common input data'!$C$9+F63*'Common input data'!$D$9))))</f>
        <v>3.6589634930368518</v>
      </c>
      <c r="G60" s="137"/>
      <c r="H60" s="137"/>
      <c r="I60" s="138"/>
      <c r="J60" s="138"/>
      <c r="K60" s="107"/>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c r="GH60" s="64"/>
      <c r="GI60" s="64"/>
      <c r="GJ60" s="64"/>
      <c r="GK60" s="64"/>
      <c r="GL60" s="64"/>
      <c r="GM60" s="64"/>
      <c r="GN60" s="64"/>
      <c r="GO60" s="64"/>
      <c r="GP60" s="64"/>
      <c r="GQ60" s="64"/>
      <c r="GR60" s="64"/>
      <c r="GS60" s="64"/>
      <c r="GT60" s="64"/>
      <c r="GU60" s="64"/>
      <c r="GV60" s="64"/>
      <c r="GW60" s="64"/>
      <c r="GX60" s="64"/>
      <c r="GY60" s="64"/>
      <c r="GZ60" s="64"/>
      <c r="HA60" s="64"/>
      <c r="HB60" s="64"/>
      <c r="HC60" s="64"/>
      <c r="HD60" s="64"/>
      <c r="HE60" s="64"/>
      <c r="HF60" s="64"/>
      <c r="HG60" s="64"/>
      <c r="HH60" s="64"/>
      <c r="HI60" s="64"/>
      <c r="HJ60" s="64"/>
      <c r="HK60" s="64"/>
      <c r="HL60" s="64"/>
      <c r="HM60" s="64"/>
      <c r="HN60" s="64"/>
      <c r="HO60" s="64"/>
      <c r="HP60" s="64"/>
      <c r="HQ60" s="64"/>
      <c r="HR60" s="64"/>
      <c r="HS60" s="64"/>
      <c r="HT60" s="64"/>
      <c r="HU60" s="64"/>
      <c r="HV60" s="64"/>
      <c r="HW60" s="64"/>
      <c r="HX60" s="64"/>
      <c r="HY60" s="64"/>
      <c r="HZ60" s="64"/>
      <c r="IA60" s="64"/>
      <c r="IB60" s="64"/>
      <c r="IC60" s="64"/>
      <c r="ID60" s="64"/>
      <c r="IE60" s="64"/>
      <c r="IF60" s="64"/>
      <c r="IG60" s="64"/>
      <c r="IH60" s="64"/>
      <c r="II60" s="64"/>
      <c r="IJ60" s="64"/>
      <c r="IK60" s="64"/>
      <c r="IL60" s="64"/>
      <c r="IM60" s="64"/>
      <c r="IN60" s="64"/>
      <c r="IO60" s="64"/>
      <c r="IP60" s="64"/>
      <c r="IQ60" s="64"/>
      <c r="IR60" s="64"/>
      <c r="IS60" s="64"/>
      <c r="IT60" s="64"/>
      <c r="IU60" s="64"/>
      <c r="IV60" s="64"/>
      <c r="IW60" s="64"/>
      <c r="IX60" s="64"/>
      <c r="IY60" s="64"/>
      <c r="IZ60" s="64"/>
      <c r="JA60" s="64"/>
      <c r="JB60" s="64"/>
      <c r="JC60" s="64"/>
      <c r="JD60" s="64"/>
      <c r="JE60" s="64"/>
      <c r="JF60" s="64"/>
      <c r="JG60" s="64"/>
      <c r="JH60" s="64"/>
      <c r="JI60" s="64"/>
      <c r="JJ60" s="64"/>
      <c r="JK60" s="64"/>
      <c r="JL60" s="64"/>
      <c r="JM60" s="64"/>
      <c r="JN60" s="64"/>
      <c r="JO60" s="64"/>
      <c r="JP60" s="64"/>
      <c r="JQ60" s="64"/>
      <c r="JR60" s="64"/>
      <c r="JS60" s="64"/>
      <c r="JT60" s="64"/>
      <c r="JU60" s="64"/>
      <c r="JV60" s="64"/>
      <c r="JW60" s="64"/>
      <c r="JX60" s="64"/>
      <c r="JY60" s="64"/>
      <c r="JZ60" s="64"/>
      <c r="KA60" s="64"/>
      <c r="KB60" s="64"/>
      <c r="KC60" s="64"/>
      <c r="KD60" s="64"/>
      <c r="KE60" s="64"/>
      <c r="KF60" s="64"/>
      <c r="KG60" s="64"/>
      <c r="KH60" s="64"/>
      <c r="KI60" s="64"/>
      <c r="KJ60" s="64"/>
      <c r="KK60" s="64"/>
      <c r="KL60" s="64"/>
      <c r="KM60" s="64"/>
      <c r="KN60" s="64"/>
      <c r="KO60" s="64"/>
      <c r="KP60" s="64"/>
      <c r="KQ60" s="64"/>
      <c r="KR60" s="64"/>
      <c r="KS60" s="64"/>
      <c r="KT60" s="64"/>
      <c r="KU60" s="64"/>
      <c r="KV60" s="64"/>
      <c r="KW60" s="64"/>
      <c r="KX60" s="64"/>
      <c r="KY60" s="64"/>
      <c r="KZ60" s="64"/>
      <c r="LA60" s="64"/>
      <c r="LB60" s="64"/>
      <c r="LC60" s="64"/>
      <c r="LD60" s="64"/>
      <c r="LE60" s="64"/>
      <c r="LF60" s="64"/>
      <c r="LG60" s="64"/>
      <c r="LH60" s="64"/>
      <c r="LI60" s="64"/>
      <c r="LJ60" s="64"/>
      <c r="LK60" s="64"/>
      <c r="LL60" s="64"/>
      <c r="LM60" s="64"/>
      <c r="LN60" s="64"/>
      <c r="LO60" s="64"/>
      <c r="LP60" s="64"/>
      <c r="LQ60" s="64"/>
      <c r="LR60" s="64"/>
      <c r="LS60" s="64"/>
      <c r="LT60" s="64"/>
      <c r="LU60" s="64"/>
      <c r="LV60" s="64"/>
      <c r="LW60" s="64"/>
      <c r="LX60" s="64"/>
      <c r="LY60" s="64"/>
      <c r="LZ60" s="64"/>
      <c r="MA60" s="64"/>
      <c r="MB60" s="64"/>
      <c r="MC60" s="64"/>
      <c r="MD60" s="64"/>
      <c r="ME60" s="64"/>
      <c r="MF60" s="64"/>
      <c r="MG60" s="64"/>
      <c r="MH60" s="64"/>
      <c r="MI60" s="64"/>
      <c r="MJ60" s="64"/>
      <c r="MK60" s="64"/>
      <c r="ML60" s="64"/>
      <c r="MM60" s="64"/>
      <c r="MN60" s="64"/>
      <c r="MO60" s="64"/>
      <c r="MP60" s="64"/>
      <c r="MQ60" s="64"/>
      <c r="MR60" s="64"/>
      <c r="MS60" s="64"/>
      <c r="MT60" s="64"/>
    </row>
    <row r="61" spans="1:358" x14ac:dyDescent="0.3">
      <c r="C61" s="83" t="s">
        <v>164</v>
      </c>
      <c r="D61" s="354"/>
      <c r="E61" s="83"/>
      <c r="F61" s="278">
        <f>SUM(G61:J61)/(1-'Common input data'!$B$140)</f>
        <v>1.102306831686428</v>
      </c>
      <c r="G61" s="85">
        <f>SUMPRODUCT('Input data processed products'!D$22:AB$22,'Input data processed products'!D$55:AB$55)</f>
        <v>1.0167952975279957</v>
      </c>
      <c r="H61" s="85">
        <v>0</v>
      </c>
      <c r="I61" s="90">
        <f>'Common input data'!B$90</f>
        <v>0.05</v>
      </c>
      <c r="J61" s="90">
        <f>'Common input data'!C$98</f>
        <v>0.03</v>
      </c>
      <c r="K61" s="107"/>
    </row>
    <row r="62" spans="1:358" x14ac:dyDescent="0.3">
      <c r="A62" s="144"/>
      <c r="B62" s="142"/>
      <c r="C62" s="83" t="s">
        <v>165</v>
      </c>
      <c r="D62" s="354"/>
      <c r="E62" s="83"/>
      <c r="F62" s="278">
        <f>SUM(G62:J62)/(1-'Common input data'!$B$140)</f>
        <v>5.0454279162287868E-2</v>
      </c>
      <c r="G62" s="85">
        <f>SUMPRODUCT('Input data processed products'!D$22:AB$22,'Input data processed products'!D$56:AB$56)</f>
        <v>5.0202007766476431E-2</v>
      </c>
      <c r="H62" s="85">
        <v>0</v>
      </c>
      <c r="I62" s="90">
        <v>0</v>
      </c>
      <c r="J62" s="90">
        <v>0</v>
      </c>
      <c r="K62" s="107"/>
    </row>
    <row r="63" spans="1:358" x14ac:dyDescent="0.3">
      <c r="A63" s="174"/>
      <c r="B63" s="85"/>
      <c r="C63" s="84" t="s">
        <v>166</v>
      </c>
      <c r="D63" s="592"/>
      <c r="E63" s="100"/>
      <c r="F63" s="521">
        <f>SUM(G63:J63)/(1-'Common input data'!$B$140)</f>
        <v>2.8228562746061619E-3</v>
      </c>
      <c r="G63" s="85">
        <f>SUMPRODUCT('Input data processed products'!D$22:AB$22,'Input data processed products'!D$57:AB$57)</f>
        <v>2.8087419932331312E-3</v>
      </c>
      <c r="H63" s="85">
        <v>0</v>
      </c>
      <c r="I63" s="90">
        <v>0</v>
      </c>
      <c r="J63" s="90">
        <v>0</v>
      </c>
      <c r="K63" s="107"/>
    </row>
    <row r="64" spans="1:358" s="316" customFormat="1" x14ac:dyDescent="0.3">
      <c r="A64" s="311" t="s">
        <v>495</v>
      </c>
      <c r="B64" s="313"/>
      <c r="C64" s="314"/>
      <c r="D64" s="356"/>
      <c r="E64" s="281"/>
      <c r="F64" s="590" t="s">
        <v>843</v>
      </c>
      <c r="G64" s="313"/>
      <c r="H64" s="313"/>
      <c r="I64" s="315"/>
      <c r="J64" s="315"/>
      <c r="K64" s="107"/>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c r="IW64" s="64"/>
      <c r="IX64" s="64"/>
      <c r="IY64" s="64"/>
      <c r="IZ64" s="64"/>
      <c r="JA64" s="64"/>
      <c r="JB64" s="64"/>
      <c r="JC64" s="64"/>
      <c r="JD64" s="64"/>
      <c r="JE64" s="64"/>
      <c r="JF64" s="64"/>
      <c r="JG64" s="64"/>
      <c r="JH64" s="64"/>
      <c r="JI64" s="64"/>
      <c r="JJ64" s="64"/>
      <c r="JK64" s="64"/>
      <c r="JL64" s="64"/>
      <c r="JM64" s="64"/>
      <c r="JN64" s="64"/>
      <c r="JO64" s="64"/>
      <c r="JP64" s="64"/>
      <c r="JQ64" s="64"/>
      <c r="JR64" s="64"/>
      <c r="JS64" s="64"/>
      <c r="JT64" s="64"/>
      <c r="JU64" s="64"/>
      <c r="JV64" s="64"/>
      <c r="JW64" s="64"/>
      <c r="JX64" s="64"/>
      <c r="JY64" s="64"/>
      <c r="JZ64" s="64"/>
      <c r="KA64" s="64"/>
      <c r="KB64" s="64"/>
      <c r="KC64" s="64"/>
      <c r="KD64" s="64"/>
      <c r="KE64" s="64"/>
      <c r="KF64" s="64"/>
      <c r="KG64" s="64"/>
      <c r="KH64" s="64"/>
      <c r="KI64" s="64"/>
      <c r="KJ64" s="64"/>
      <c r="KK64" s="64"/>
      <c r="KL64" s="64"/>
      <c r="KM64" s="64"/>
      <c r="KN64" s="64"/>
      <c r="KO64" s="64"/>
      <c r="KP64" s="64"/>
      <c r="KQ64" s="64"/>
      <c r="KR64" s="64"/>
      <c r="KS64" s="64"/>
      <c r="KT64" s="64"/>
      <c r="KU64" s="64"/>
      <c r="KV64" s="64"/>
      <c r="KW64" s="64"/>
      <c r="KX64" s="64"/>
      <c r="KY64" s="64"/>
      <c r="KZ64" s="64"/>
      <c r="LA64" s="64"/>
      <c r="LB64" s="64"/>
      <c r="LC64" s="64"/>
      <c r="LD64" s="64"/>
      <c r="LE64" s="64"/>
      <c r="LF64" s="64"/>
      <c r="LG64" s="64"/>
      <c r="LH64" s="64"/>
      <c r="LI64" s="64"/>
      <c r="LJ64" s="64"/>
      <c r="LK64" s="64"/>
      <c r="LL64" s="64"/>
      <c r="LM64" s="64"/>
      <c r="LN64" s="64"/>
      <c r="LO64" s="64"/>
      <c r="LP64" s="64"/>
      <c r="LQ64" s="64"/>
      <c r="LR64" s="64"/>
      <c r="LS64" s="64"/>
      <c r="LT64" s="64"/>
      <c r="LU64" s="64"/>
      <c r="LV64" s="64"/>
      <c r="LW64" s="64"/>
      <c r="LX64" s="64"/>
      <c r="LY64" s="64"/>
      <c r="LZ64" s="64"/>
      <c r="MA64" s="64"/>
      <c r="MB64" s="64"/>
      <c r="MC64" s="64"/>
      <c r="MD64" s="64"/>
      <c r="ME64" s="64"/>
      <c r="MF64" s="64"/>
      <c r="MG64" s="64"/>
      <c r="MH64" s="64"/>
      <c r="MI64" s="64"/>
      <c r="MJ64" s="64"/>
      <c r="MK64" s="64"/>
      <c r="ML64" s="64"/>
      <c r="MM64" s="64"/>
      <c r="MN64" s="64"/>
      <c r="MO64" s="64"/>
      <c r="MP64" s="64"/>
      <c r="MQ64" s="64"/>
      <c r="MR64" s="64"/>
      <c r="MS64" s="64"/>
      <c r="MT64" s="64"/>
    </row>
    <row r="65" spans="1:358" s="408" customFormat="1" x14ac:dyDescent="0.3">
      <c r="A65" s="419" t="s">
        <v>1</v>
      </c>
      <c r="B65" s="140">
        <f>'Input data processed products'!C24</f>
        <v>1</v>
      </c>
      <c r="C65" s="325" t="s">
        <v>473</v>
      </c>
      <c r="D65" s="407"/>
      <c r="E65" s="325"/>
      <c r="F65" s="770">
        <f>IF($E$1="GWP100 without fb",F66+F67*'Common input data'!$C$5+F68*'Common input data'!$D$5,IF($E$1="GWP100 with fb",F66+F67*'Common input data'!$C$6+F68*'Common input data'!$D$6,IF($E$1="GTP100 without fb",F66+F67*'Common input data'!$C$7+F68*'Common input data'!$D$7,IF($E$1="GTP100 with fb",F66+F67*'Common input data'!$C$8+F68*'Common input data'!$D$8,F66+F67*'Common input data'!$C$9+F68*'Common input data'!$D$9))))</f>
        <v>2.4172837529805822</v>
      </c>
      <c r="G65" s="137"/>
      <c r="H65" s="137"/>
      <c r="I65" s="138"/>
      <c r="J65" s="138"/>
      <c r="K65" s="107"/>
      <c r="L65" s="64"/>
      <c r="M65" s="93"/>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c r="IW65" s="64"/>
      <c r="IX65" s="64"/>
      <c r="IY65" s="64"/>
      <c r="IZ65" s="64"/>
      <c r="JA65" s="64"/>
      <c r="JB65" s="64"/>
      <c r="JC65" s="64"/>
      <c r="JD65" s="64"/>
      <c r="JE65" s="64"/>
      <c r="JF65" s="64"/>
      <c r="JG65" s="64"/>
      <c r="JH65" s="64"/>
      <c r="JI65" s="64"/>
      <c r="JJ65" s="64"/>
      <c r="JK65" s="64"/>
      <c r="JL65" s="64"/>
      <c r="JM65" s="64"/>
      <c r="JN65" s="64"/>
      <c r="JO65" s="64"/>
      <c r="JP65" s="64"/>
      <c r="JQ65" s="64"/>
      <c r="JR65" s="64"/>
      <c r="JS65" s="64"/>
      <c r="JT65" s="64"/>
      <c r="JU65" s="64"/>
      <c r="JV65" s="64"/>
      <c r="JW65" s="64"/>
      <c r="JX65" s="64"/>
      <c r="JY65" s="64"/>
      <c r="JZ65" s="64"/>
      <c r="KA65" s="64"/>
      <c r="KB65" s="64"/>
      <c r="KC65" s="64"/>
      <c r="KD65" s="64"/>
      <c r="KE65" s="64"/>
      <c r="KF65" s="64"/>
      <c r="KG65" s="64"/>
      <c r="KH65" s="64"/>
      <c r="KI65" s="64"/>
      <c r="KJ65" s="64"/>
      <c r="KK65" s="64"/>
      <c r="KL65" s="64"/>
      <c r="KM65" s="64"/>
      <c r="KN65" s="64"/>
      <c r="KO65" s="64"/>
      <c r="KP65" s="64"/>
      <c r="KQ65" s="64"/>
      <c r="KR65" s="64"/>
      <c r="KS65" s="64"/>
      <c r="KT65" s="64"/>
      <c r="KU65" s="64"/>
      <c r="KV65" s="64"/>
      <c r="KW65" s="64"/>
      <c r="KX65" s="64"/>
      <c r="KY65" s="64"/>
      <c r="KZ65" s="64"/>
      <c r="LA65" s="64"/>
      <c r="LB65" s="64"/>
      <c r="LC65" s="64"/>
      <c r="LD65" s="64"/>
      <c r="LE65" s="64"/>
      <c r="LF65" s="64"/>
      <c r="LG65" s="64"/>
      <c r="LH65" s="64"/>
      <c r="LI65" s="64"/>
      <c r="LJ65" s="64"/>
      <c r="LK65" s="64"/>
      <c r="LL65" s="64"/>
      <c r="LM65" s="64"/>
      <c r="LN65" s="64"/>
      <c r="LO65" s="64"/>
      <c r="LP65" s="64"/>
      <c r="LQ65" s="64"/>
      <c r="LR65" s="64"/>
      <c r="LS65" s="64"/>
      <c r="LT65" s="64"/>
      <c r="LU65" s="64"/>
      <c r="LV65" s="64"/>
      <c r="LW65" s="64"/>
      <c r="LX65" s="64"/>
      <c r="LY65" s="64"/>
      <c r="LZ65" s="64"/>
      <c r="MA65" s="64"/>
      <c r="MB65" s="64"/>
      <c r="MC65" s="64"/>
      <c r="MD65" s="64"/>
      <c r="ME65" s="64"/>
      <c r="MF65" s="64"/>
      <c r="MG65" s="64"/>
      <c r="MH65" s="64"/>
      <c r="MI65" s="64"/>
      <c r="MJ65" s="64"/>
      <c r="MK65" s="64"/>
      <c r="ML65" s="64"/>
      <c r="MM65" s="64"/>
      <c r="MN65" s="64"/>
      <c r="MO65" s="64"/>
      <c r="MP65" s="64"/>
      <c r="MQ65" s="64"/>
      <c r="MR65" s="64"/>
      <c r="MS65" s="64"/>
      <c r="MT65" s="64"/>
    </row>
    <row r="66" spans="1:358" x14ac:dyDescent="0.3">
      <c r="A66" s="144"/>
      <c r="B66" s="142"/>
      <c r="C66" s="83" t="s">
        <v>164</v>
      </c>
      <c r="D66" s="354"/>
      <c r="F66" s="278">
        <f>SUM(G66:J66)/(1-'Common input data'!$B$139)</f>
        <v>0.9368252993342554</v>
      </c>
      <c r="G66" s="85">
        <f>SUMPRODUCT('Input data processed products'!D$24:AB$24,'Input data processed products'!D$55:AB$55)</f>
        <v>0.74745704634091281</v>
      </c>
      <c r="H66" s="85">
        <f>'Input data processed products'!E$67</f>
        <v>0.1</v>
      </c>
      <c r="I66" s="90">
        <f>'Common input data'!B$90</f>
        <v>0.05</v>
      </c>
      <c r="J66" s="90">
        <f>'Common input data'!C$98</f>
        <v>0.03</v>
      </c>
      <c r="K66" s="107"/>
      <c r="M66" s="285"/>
    </row>
    <row r="67" spans="1:358" x14ac:dyDescent="0.3">
      <c r="A67" s="174"/>
      <c r="B67" s="85"/>
      <c r="C67" s="83" t="s">
        <v>165</v>
      </c>
      <c r="D67" s="354"/>
      <c r="F67" s="278">
        <f>SUM(G67:J67)/(1-'Common input data'!$B$139)</f>
        <v>1.8494923148321921E-2</v>
      </c>
      <c r="G67" s="85">
        <f>SUMPRODUCT('Input data processed products'!D$24:AB$24,'Input data processed products'!D$56:AB$56)</f>
        <v>1.8309973916838702E-2</v>
      </c>
      <c r="H67" s="85">
        <v>0</v>
      </c>
      <c r="I67" s="90">
        <v>0</v>
      </c>
      <c r="J67" s="90">
        <v>0</v>
      </c>
      <c r="K67" s="107"/>
      <c r="M67" s="285"/>
    </row>
    <row r="68" spans="1:358" x14ac:dyDescent="0.3">
      <c r="A68" s="174"/>
      <c r="B68" s="85"/>
      <c r="C68" s="84" t="s">
        <v>166</v>
      </c>
      <c r="D68" s="592"/>
      <c r="E68" s="99"/>
      <c r="F68" s="521">
        <f>SUM(G68:J68)/(1-'Common input data'!$B$139)</f>
        <v>2.8578223711522863E-3</v>
      </c>
      <c r="G68" s="85">
        <f>SUMPRODUCT('Input data processed products'!D$24:AB$24,'Input data processed products'!D$57:AB$57)</f>
        <v>2.8292441474407634E-3</v>
      </c>
      <c r="H68" s="85">
        <v>0</v>
      </c>
      <c r="I68" s="90">
        <v>0</v>
      </c>
      <c r="J68" s="90">
        <v>0</v>
      </c>
      <c r="K68" s="107"/>
      <c r="M68" s="285"/>
    </row>
    <row r="69" spans="1:358" s="316" customFormat="1" x14ac:dyDescent="0.3">
      <c r="A69" s="311" t="s">
        <v>510</v>
      </c>
      <c r="B69" s="313"/>
      <c r="C69" s="314"/>
      <c r="D69" s="356"/>
      <c r="E69" s="281"/>
      <c r="F69" s="590" t="s">
        <v>844</v>
      </c>
      <c r="G69" s="313"/>
      <c r="H69" s="313"/>
      <c r="I69" s="315"/>
      <c r="J69" s="315"/>
      <c r="K69" s="107"/>
      <c r="L69" s="64"/>
      <c r="M69" s="285"/>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c r="IW69" s="64"/>
      <c r="IX69" s="64"/>
      <c r="IY69" s="64"/>
      <c r="IZ69" s="64"/>
      <c r="JA69" s="64"/>
      <c r="JB69" s="64"/>
      <c r="JC69" s="64"/>
      <c r="JD69" s="64"/>
      <c r="JE69" s="64"/>
      <c r="JF69" s="64"/>
      <c r="JG69" s="64"/>
      <c r="JH69" s="64"/>
      <c r="JI69" s="64"/>
      <c r="JJ69" s="64"/>
      <c r="JK69" s="64"/>
      <c r="JL69" s="64"/>
      <c r="JM69" s="64"/>
      <c r="JN69" s="64"/>
      <c r="JO69" s="64"/>
      <c r="JP69" s="64"/>
      <c r="JQ69" s="64"/>
      <c r="JR69" s="64"/>
      <c r="JS69" s="64"/>
      <c r="JT69" s="64"/>
      <c r="JU69" s="64"/>
      <c r="JV69" s="64"/>
      <c r="JW69" s="64"/>
      <c r="JX69" s="64"/>
      <c r="JY69" s="64"/>
      <c r="JZ69" s="64"/>
      <c r="KA69" s="64"/>
      <c r="KB69" s="64"/>
      <c r="KC69" s="64"/>
      <c r="KD69" s="64"/>
      <c r="KE69" s="64"/>
      <c r="KF69" s="64"/>
      <c r="KG69" s="64"/>
      <c r="KH69" s="64"/>
      <c r="KI69" s="64"/>
      <c r="KJ69" s="64"/>
      <c r="KK69" s="64"/>
      <c r="KL69" s="64"/>
      <c r="KM69" s="64"/>
      <c r="KN69" s="64"/>
      <c r="KO69" s="64"/>
      <c r="KP69" s="64"/>
      <c r="KQ69" s="64"/>
      <c r="KR69" s="64"/>
      <c r="KS69" s="64"/>
      <c r="KT69" s="64"/>
      <c r="KU69" s="64"/>
      <c r="KV69" s="64"/>
      <c r="KW69" s="64"/>
      <c r="KX69" s="64"/>
      <c r="KY69" s="64"/>
      <c r="KZ69" s="64"/>
      <c r="LA69" s="64"/>
      <c r="LB69" s="64"/>
      <c r="LC69" s="64"/>
      <c r="LD69" s="64"/>
      <c r="LE69" s="64"/>
      <c r="LF69" s="64"/>
      <c r="LG69" s="64"/>
      <c r="LH69" s="64"/>
      <c r="LI69" s="64"/>
      <c r="LJ69" s="64"/>
      <c r="LK69" s="64"/>
      <c r="LL69" s="64"/>
      <c r="LM69" s="64"/>
      <c r="LN69" s="64"/>
      <c r="LO69" s="64"/>
      <c r="LP69" s="64"/>
      <c r="LQ69" s="64"/>
      <c r="LR69" s="64"/>
      <c r="LS69" s="64"/>
      <c r="LT69" s="64"/>
      <c r="LU69" s="64"/>
      <c r="LV69" s="64"/>
      <c r="LW69" s="64"/>
      <c r="LX69" s="64"/>
      <c r="LY69" s="64"/>
      <c r="LZ69" s="64"/>
      <c r="MA69" s="64"/>
      <c r="MB69" s="64"/>
      <c r="MC69" s="64"/>
      <c r="MD69" s="64"/>
      <c r="ME69" s="64"/>
      <c r="MF69" s="64"/>
      <c r="MG69" s="64"/>
      <c r="MH69" s="64"/>
      <c r="MI69" s="64"/>
      <c r="MJ69" s="64"/>
      <c r="MK69" s="64"/>
      <c r="ML69" s="64"/>
      <c r="MM69" s="64"/>
      <c r="MN69" s="64"/>
      <c r="MO69" s="64"/>
      <c r="MP69" s="64"/>
      <c r="MQ69" s="64"/>
      <c r="MR69" s="64"/>
      <c r="MS69" s="64"/>
      <c r="MT69" s="64"/>
    </row>
    <row r="70" spans="1:358" s="408" customFormat="1" x14ac:dyDescent="0.3">
      <c r="A70" s="419" t="s">
        <v>1</v>
      </c>
      <c r="B70" s="140">
        <f>'Input data processed products'!C26</f>
        <v>1</v>
      </c>
      <c r="C70" s="325" t="s">
        <v>473</v>
      </c>
      <c r="D70" s="407"/>
      <c r="E70" s="325"/>
      <c r="F70" s="770">
        <f>IF($E$1="GWP100 without fb",F71+F72*'Common input data'!$C$5+F73*'Common input data'!$D$5,IF($E$1="GWP100 with fb",F71+F72*'Common input data'!$C$6+F73*'Common input data'!$D$6,IF($E$1="GTP100 without fb",F71+F72*'Common input data'!$C$7+F73*'Common input data'!$D$7,IF($E$1="GTP100 with fb",F71+F72*'Common input data'!$C$8+F73*'Common input data'!$D$8,F71+F72*'Common input data'!$C$9+F73*'Common input data'!$D$9))))</f>
        <v>1.272289192141304</v>
      </c>
      <c r="G70" s="137"/>
      <c r="H70" s="137"/>
      <c r="I70" s="138"/>
      <c r="J70" s="138"/>
      <c r="K70" s="107"/>
      <c r="L70" s="64"/>
      <c r="M70" s="93"/>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c r="IW70" s="64"/>
      <c r="IX70" s="64"/>
      <c r="IY70" s="64"/>
      <c r="IZ70" s="64"/>
      <c r="JA70" s="64"/>
      <c r="JB70" s="64"/>
      <c r="JC70" s="64"/>
      <c r="JD70" s="64"/>
      <c r="JE70" s="64"/>
      <c r="JF70" s="64"/>
      <c r="JG70" s="64"/>
      <c r="JH70" s="64"/>
      <c r="JI70" s="64"/>
      <c r="JJ70" s="64"/>
      <c r="JK70" s="64"/>
      <c r="JL70" s="64"/>
      <c r="JM70" s="64"/>
      <c r="JN70" s="64"/>
      <c r="JO70" s="64"/>
      <c r="JP70" s="64"/>
      <c r="JQ70" s="64"/>
      <c r="JR70" s="64"/>
      <c r="JS70" s="64"/>
      <c r="JT70" s="64"/>
      <c r="JU70" s="64"/>
      <c r="JV70" s="64"/>
      <c r="JW70" s="64"/>
      <c r="JX70" s="64"/>
      <c r="JY70" s="64"/>
      <c r="JZ70" s="64"/>
      <c r="KA70" s="64"/>
      <c r="KB70" s="64"/>
      <c r="KC70" s="64"/>
      <c r="KD70" s="64"/>
      <c r="KE70" s="64"/>
      <c r="KF70" s="64"/>
      <c r="KG70" s="64"/>
      <c r="KH70" s="64"/>
      <c r="KI70" s="64"/>
      <c r="KJ70" s="64"/>
      <c r="KK70" s="64"/>
      <c r="KL70" s="64"/>
      <c r="KM70" s="64"/>
      <c r="KN70" s="64"/>
      <c r="KO70" s="64"/>
      <c r="KP70" s="64"/>
      <c r="KQ70" s="64"/>
      <c r="KR70" s="64"/>
      <c r="KS70" s="64"/>
      <c r="KT70" s="64"/>
      <c r="KU70" s="64"/>
      <c r="KV70" s="64"/>
      <c r="KW70" s="64"/>
      <c r="KX70" s="64"/>
      <c r="KY70" s="64"/>
      <c r="KZ70" s="64"/>
      <c r="LA70" s="64"/>
      <c r="LB70" s="64"/>
      <c r="LC70" s="64"/>
      <c r="LD70" s="64"/>
      <c r="LE70" s="64"/>
      <c r="LF70" s="64"/>
      <c r="LG70" s="64"/>
      <c r="LH70" s="64"/>
      <c r="LI70" s="64"/>
      <c r="LJ70" s="64"/>
      <c r="LK70" s="64"/>
      <c r="LL70" s="64"/>
      <c r="LM70" s="64"/>
      <c r="LN70" s="64"/>
      <c r="LO70" s="64"/>
      <c r="LP70" s="64"/>
      <c r="LQ70" s="64"/>
      <c r="LR70" s="64"/>
      <c r="LS70" s="64"/>
      <c r="LT70" s="64"/>
      <c r="LU70" s="64"/>
      <c r="LV70" s="64"/>
      <c r="LW70" s="64"/>
      <c r="LX70" s="64"/>
      <c r="LY70" s="64"/>
      <c r="LZ70" s="64"/>
      <c r="MA70" s="64"/>
      <c r="MB70" s="64"/>
      <c r="MC70" s="64"/>
      <c r="MD70" s="64"/>
      <c r="ME70" s="64"/>
      <c r="MF70" s="64"/>
      <c r="MG70" s="64"/>
      <c r="MH70" s="64"/>
      <c r="MI70" s="64"/>
      <c r="MJ70" s="64"/>
      <c r="MK70" s="64"/>
      <c r="ML70" s="64"/>
      <c r="MM70" s="64"/>
      <c r="MN70" s="64"/>
      <c r="MO70" s="64"/>
      <c r="MP70" s="64"/>
      <c r="MQ70" s="64"/>
      <c r="MR70" s="64"/>
      <c r="MS70" s="64"/>
      <c r="MT70" s="64"/>
    </row>
    <row r="71" spans="1:358" x14ac:dyDescent="0.3">
      <c r="A71" s="144"/>
      <c r="B71" s="142"/>
      <c r="C71" s="83" t="s">
        <v>164</v>
      </c>
      <c r="D71" s="354"/>
      <c r="E71" s="83"/>
      <c r="F71" s="278">
        <f>SUM(G71:J71)/(1-'Common input data'!$B$139)</f>
        <v>0.5501143367040715</v>
      </c>
      <c r="G71" s="85">
        <f>SUMPRODUCT('Input data processed products'!D$26:AB$26,'Input data processed products'!D$55:AB$55)</f>
        <v>0.36461319333703068</v>
      </c>
      <c r="H71" s="85">
        <f>'Input data processed products'!E$67</f>
        <v>0.1</v>
      </c>
      <c r="I71" s="90">
        <f>'Common input data'!B$90</f>
        <v>0.05</v>
      </c>
      <c r="J71" s="90">
        <f>'Common input data'!C$98</f>
        <v>0.03</v>
      </c>
      <c r="K71" s="107"/>
      <c r="M71" s="93"/>
    </row>
    <row r="72" spans="1:358" x14ac:dyDescent="0.3">
      <c r="A72" s="174"/>
      <c r="B72" s="85"/>
      <c r="C72" s="83" t="s">
        <v>165</v>
      </c>
      <c r="D72" s="354"/>
      <c r="E72" s="83"/>
      <c r="F72" s="278">
        <f>SUM(G72:J72)/(1-'Common input data'!$B$139)</f>
        <v>9.0219137308887431E-3</v>
      </c>
      <c r="G72" s="85">
        <f>SUMPRODUCT('Input data processed products'!D$26:AB$26,'Input data processed products'!D$56:AB$56)</f>
        <v>8.9316945935798558E-3</v>
      </c>
      <c r="H72" s="85">
        <v>0</v>
      </c>
      <c r="I72" s="90">
        <v>0</v>
      </c>
      <c r="J72" s="90">
        <v>0</v>
      </c>
      <c r="K72" s="107"/>
      <c r="M72" s="93"/>
    </row>
    <row r="73" spans="1:358" x14ac:dyDescent="0.3">
      <c r="A73" s="174"/>
      <c r="B73" s="85"/>
      <c r="C73" s="84" t="s">
        <v>166</v>
      </c>
      <c r="D73" s="592"/>
      <c r="E73" s="100"/>
      <c r="F73" s="521">
        <f>SUM(G73:J73)/(1-'Common input data'!$B$139)</f>
        <v>1.3940596932450178E-3</v>
      </c>
      <c r="G73" s="85">
        <f>SUMPRODUCT('Input data processed products'!D$26:AB$26,'Input data processed products'!D$57:AB$57)</f>
        <v>1.3801190963125677E-3</v>
      </c>
      <c r="H73" s="85">
        <v>0</v>
      </c>
      <c r="I73" s="90">
        <v>0</v>
      </c>
      <c r="J73" s="90">
        <v>0</v>
      </c>
      <c r="K73" s="107"/>
      <c r="M73" s="93"/>
    </row>
    <row r="74" spans="1:358" s="316" customFormat="1" x14ac:dyDescent="0.3">
      <c r="A74" s="311" t="s">
        <v>528</v>
      </c>
      <c r="B74" s="313"/>
      <c r="C74" s="314"/>
      <c r="D74" s="356"/>
      <c r="E74" s="281"/>
      <c r="F74" s="590" t="s">
        <v>845</v>
      </c>
      <c r="G74" s="313"/>
      <c r="H74" s="313"/>
      <c r="I74" s="315"/>
      <c r="J74" s="315"/>
      <c r="K74" s="107"/>
      <c r="L74" s="64"/>
      <c r="M74" s="93"/>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c r="IH74" s="64"/>
      <c r="II74" s="64"/>
      <c r="IJ74" s="64"/>
      <c r="IK74" s="64"/>
      <c r="IL74" s="64"/>
      <c r="IM74" s="64"/>
      <c r="IN74" s="64"/>
      <c r="IO74" s="64"/>
      <c r="IP74" s="64"/>
      <c r="IQ74" s="64"/>
      <c r="IR74" s="64"/>
      <c r="IS74" s="64"/>
      <c r="IT74" s="64"/>
      <c r="IU74" s="64"/>
      <c r="IV74" s="64"/>
      <c r="IW74" s="64"/>
      <c r="IX74" s="64"/>
      <c r="IY74" s="64"/>
      <c r="IZ74" s="64"/>
      <c r="JA74" s="64"/>
      <c r="JB74" s="64"/>
      <c r="JC74" s="64"/>
      <c r="JD74" s="64"/>
      <c r="JE74" s="64"/>
      <c r="JF74" s="64"/>
      <c r="JG74" s="64"/>
      <c r="JH74" s="64"/>
      <c r="JI74" s="64"/>
      <c r="JJ74" s="64"/>
      <c r="JK74" s="64"/>
      <c r="JL74" s="64"/>
      <c r="JM74" s="64"/>
      <c r="JN74" s="64"/>
      <c r="JO74" s="64"/>
      <c r="JP74" s="64"/>
      <c r="JQ74" s="64"/>
      <c r="JR74" s="64"/>
      <c r="JS74" s="64"/>
      <c r="JT74" s="64"/>
      <c r="JU74" s="64"/>
      <c r="JV74" s="64"/>
      <c r="JW74" s="64"/>
      <c r="JX74" s="64"/>
      <c r="JY74" s="64"/>
      <c r="JZ74" s="64"/>
      <c r="KA74" s="64"/>
      <c r="KB74" s="64"/>
      <c r="KC74" s="64"/>
      <c r="KD74" s="64"/>
      <c r="KE74" s="64"/>
      <c r="KF74" s="64"/>
      <c r="KG74" s="64"/>
      <c r="KH74" s="64"/>
      <c r="KI74" s="64"/>
      <c r="KJ74" s="64"/>
      <c r="KK74" s="64"/>
      <c r="KL74" s="64"/>
      <c r="KM74" s="64"/>
      <c r="KN74" s="64"/>
      <c r="KO74" s="64"/>
      <c r="KP74" s="64"/>
      <c r="KQ74" s="64"/>
      <c r="KR74" s="64"/>
      <c r="KS74" s="64"/>
      <c r="KT74" s="64"/>
      <c r="KU74" s="64"/>
      <c r="KV74" s="64"/>
      <c r="KW74" s="64"/>
      <c r="KX74" s="64"/>
      <c r="KY74" s="64"/>
      <c r="KZ74" s="64"/>
      <c r="LA74" s="64"/>
      <c r="LB74" s="64"/>
      <c r="LC74" s="64"/>
      <c r="LD74" s="64"/>
      <c r="LE74" s="64"/>
      <c r="LF74" s="64"/>
      <c r="LG74" s="64"/>
      <c r="LH74" s="64"/>
      <c r="LI74" s="64"/>
      <c r="LJ74" s="64"/>
      <c r="LK74" s="64"/>
      <c r="LL74" s="64"/>
      <c r="LM74" s="64"/>
      <c r="LN74" s="64"/>
      <c r="LO74" s="64"/>
      <c r="LP74" s="64"/>
      <c r="LQ74" s="64"/>
      <c r="LR74" s="64"/>
      <c r="LS74" s="64"/>
      <c r="LT74" s="64"/>
      <c r="LU74" s="64"/>
      <c r="LV74" s="64"/>
      <c r="LW74" s="64"/>
      <c r="LX74" s="64"/>
      <c r="LY74" s="64"/>
      <c r="LZ74" s="64"/>
      <c r="MA74" s="64"/>
      <c r="MB74" s="64"/>
      <c r="MC74" s="64"/>
      <c r="MD74" s="64"/>
      <c r="ME74" s="64"/>
      <c r="MF74" s="64"/>
      <c r="MG74" s="64"/>
      <c r="MH74" s="64"/>
      <c r="MI74" s="64"/>
      <c r="MJ74" s="64"/>
      <c r="MK74" s="64"/>
      <c r="ML74" s="64"/>
      <c r="MM74" s="64"/>
      <c r="MN74" s="64"/>
      <c r="MO74" s="64"/>
      <c r="MP74" s="64"/>
      <c r="MQ74" s="64"/>
      <c r="MR74" s="64"/>
      <c r="MS74" s="64"/>
      <c r="MT74" s="64"/>
    </row>
    <row r="75" spans="1:358" s="408" customFormat="1" x14ac:dyDescent="0.3">
      <c r="A75" s="419" t="s">
        <v>1</v>
      </c>
      <c r="B75" s="140">
        <f>'Input data processed products'!C28</f>
        <v>1</v>
      </c>
      <c r="C75" s="325" t="s">
        <v>473</v>
      </c>
      <c r="D75" s="407"/>
      <c r="E75" s="325"/>
      <c r="F75" s="770">
        <f>IF($E$1="GWP100 without fb",F76+F77*'Common input data'!$C$5+F78*'Common input data'!$D$5,IF($E$1="GWP100 with fb",F76+F77*'Common input data'!$C$6+F78*'Common input data'!$D$6,IF($E$1="GTP100 without fb",F76+F77*'Common input data'!$C$7+F78*'Common input data'!$D$7,IF($E$1="GTP100 with fb",F76+F77*'Common input data'!$C$8+F78*'Common input data'!$D$8,F76+F77*'Common input data'!$C$9+F78*'Common input data'!$D$9))))</f>
        <v>2.3033861235624329</v>
      </c>
      <c r="G75" s="137"/>
      <c r="H75" s="137"/>
      <c r="I75" s="138"/>
      <c r="J75" s="138"/>
      <c r="K75" s="107"/>
      <c r="L75" s="64"/>
      <c r="M75" s="93"/>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c r="IH75" s="64"/>
      <c r="II75" s="64"/>
      <c r="IJ75" s="64"/>
      <c r="IK75" s="64"/>
      <c r="IL75" s="64"/>
      <c r="IM75" s="64"/>
      <c r="IN75" s="64"/>
      <c r="IO75" s="64"/>
      <c r="IP75" s="64"/>
      <c r="IQ75" s="64"/>
      <c r="IR75" s="64"/>
      <c r="IS75" s="64"/>
      <c r="IT75" s="64"/>
      <c r="IU75" s="64"/>
      <c r="IV75" s="64"/>
      <c r="IW75" s="64"/>
      <c r="IX75" s="64"/>
      <c r="IY75" s="64"/>
      <c r="IZ75" s="64"/>
      <c r="JA75" s="64"/>
      <c r="JB75" s="64"/>
      <c r="JC75" s="64"/>
      <c r="JD75" s="64"/>
      <c r="JE75" s="64"/>
      <c r="JF75" s="64"/>
      <c r="JG75" s="64"/>
      <c r="JH75" s="64"/>
      <c r="JI75" s="64"/>
      <c r="JJ75" s="64"/>
      <c r="JK75" s="64"/>
      <c r="JL75" s="64"/>
      <c r="JM75" s="64"/>
      <c r="JN75" s="64"/>
      <c r="JO75" s="64"/>
      <c r="JP75" s="64"/>
      <c r="JQ75" s="64"/>
      <c r="JR75" s="64"/>
      <c r="JS75" s="64"/>
      <c r="JT75" s="64"/>
      <c r="JU75" s="64"/>
      <c r="JV75" s="64"/>
      <c r="JW75" s="64"/>
      <c r="JX75" s="64"/>
      <c r="JY75" s="64"/>
      <c r="JZ75" s="64"/>
      <c r="KA75" s="64"/>
      <c r="KB75" s="64"/>
      <c r="KC75" s="64"/>
      <c r="KD75" s="64"/>
      <c r="KE75" s="64"/>
      <c r="KF75" s="64"/>
      <c r="KG75" s="64"/>
      <c r="KH75" s="64"/>
      <c r="KI75" s="64"/>
      <c r="KJ75" s="64"/>
      <c r="KK75" s="64"/>
      <c r="KL75" s="64"/>
      <c r="KM75" s="64"/>
      <c r="KN75" s="64"/>
      <c r="KO75" s="64"/>
      <c r="KP75" s="64"/>
      <c r="KQ75" s="64"/>
      <c r="KR75" s="64"/>
      <c r="KS75" s="64"/>
      <c r="KT75" s="64"/>
      <c r="KU75" s="64"/>
      <c r="KV75" s="64"/>
      <c r="KW75" s="64"/>
      <c r="KX75" s="64"/>
      <c r="KY75" s="64"/>
      <c r="KZ75" s="64"/>
      <c r="LA75" s="64"/>
      <c r="LB75" s="64"/>
      <c r="LC75" s="64"/>
      <c r="LD75" s="64"/>
      <c r="LE75" s="64"/>
      <c r="LF75" s="64"/>
      <c r="LG75" s="64"/>
      <c r="LH75" s="64"/>
      <c r="LI75" s="64"/>
      <c r="LJ75" s="64"/>
      <c r="LK75" s="64"/>
      <c r="LL75" s="64"/>
      <c r="LM75" s="64"/>
      <c r="LN75" s="64"/>
      <c r="LO75" s="64"/>
      <c r="LP75" s="64"/>
      <c r="LQ75" s="64"/>
      <c r="LR75" s="64"/>
      <c r="LS75" s="64"/>
      <c r="LT75" s="64"/>
      <c r="LU75" s="64"/>
      <c r="LV75" s="64"/>
      <c r="LW75" s="64"/>
      <c r="LX75" s="64"/>
      <c r="LY75" s="64"/>
      <c r="LZ75" s="64"/>
      <c r="MA75" s="64"/>
      <c r="MB75" s="64"/>
      <c r="MC75" s="64"/>
      <c r="MD75" s="64"/>
      <c r="ME75" s="64"/>
      <c r="MF75" s="64"/>
      <c r="MG75" s="64"/>
      <c r="MH75" s="64"/>
      <c r="MI75" s="64"/>
      <c r="MJ75" s="64"/>
      <c r="MK75" s="64"/>
      <c r="ML75" s="64"/>
      <c r="MM75" s="64"/>
      <c r="MN75" s="64"/>
      <c r="MO75" s="64"/>
      <c r="MP75" s="64"/>
      <c r="MQ75" s="64"/>
      <c r="MR75" s="64"/>
      <c r="MS75" s="64"/>
      <c r="MT75" s="64"/>
    </row>
    <row r="76" spans="1:358" x14ac:dyDescent="0.3">
      <c r="A76" s="144"/>
      <c r="B76" s="142"/>
      <c r="C76" s="83" t="s">
        <v>164</v>
      </c>
      <c r="D76" s="354"/>
      <c r="E76" s="83"/>
      <c r="F76" s="278">
        <f>SUM(G76:J76)/(1-'Common input data'!$B$136)</f>
        <v>1.6826424790007635</v>
      </c>
      <c r="G76" s="85">
        <f>SUMPRODUCT('Input data processed products'!D$28:AB$28,'Input data processed products'!D$55:AB$55)</f>
        <v>1.4343782311006872</v>
      </c>
      <c r="H76" s="85">
        <v>0</v>
      </c>
      <c r="I76" s="90">
        <f>'Common input data'!B$90</f>
        <v>0.05</v>
      </c>
      <c r="J76" s="90">
        <f>'Common input data'!C$98</f>
        <v>0.03</v>
      </c>
      <c r="K76" s="107"/>
      <c r="M76" s="44"/>
    </row>
    <row r="77" spans="1:358" x14ac:dyDescent="0.3">
      <c r="A77" s="174"/>
      <c r="B77" s="85"/>
      <c r="C77" s="83" t="s">
        <v>165</v>
      </c>
      <c r="D77" s="354"/>
      <c r="E77" s="83"/>
      <c r="F77" s="278">
        <f>SUM(G77:J77)/(1-'Common input data'!$B$136)</f>
        <v>2.0417987656919554E-4</v>
      </c>
      <c r="G77" s="85">
        <f>SUMPRODUCT('Input data processed products'!D$28:AB$28,'Input data processed products'!D$56:AB$56)</f>
        <v>1.8376188891227599E-4</v>
      </c>
      <c r="H77" s="85">
        <v>0</v>
      </c>
      <c r="I77" s="90">
        <v>0</v>
      </c>
      <c r="J77" s="90">
        <v>0</v>
      </c>
      <c r="K77" s="107"/>
      <c r="M77" s="93"/>
    </row>
    <row r="78" spans="1:358" x14ac:dyDescent="0.3">
      <c r="A78" s="174"/>
      <c r="B78" s="85"/>
      <c r="C78" s="84" t="s">
        <v>166</v>
      </c>
      <c r="D78" s="592"/>
      <c r="E78" s="100"/>
      <c r="F78" s="521">
        <f>SUM(G78:J78)/(1-'Common input data'!$B$136)</f>
        <v>2.0597366736856263E-3</v>
      </c>
      <c r="G78" s="85">
        <f>SUMPRODUCT('Input data processed products'!D$28:AB$28,'Input data processed products'!D$57:AB$57)</f>
        <v>1.8537630063170637E-3</v>
      </c>
      <c r="H78" s="85">
        <v>0</v>
      </c>
      <c r="I78" s="90">
        <v>0</v>
      </c>
      <c r="J78" s="90">
        <v>0</v>
      </c>
      <c r="K78" s="107"/>
      <c r="M78" s="93"/>
    </row>
    <row r="79" spans="1:358" s="316" customFormat="1" x14ac:dyDescent="0.3">
      <c r="A79" s="311" t="s">
        <v>515</v>
      </c>
      <c r="B79" s="313"/>
      <c r="C79" s="314"/>
      <c r="D79" s="356"/>
      <c r="E79" s="281"/>
      <c r="F79" s="590" t="s">
        <v>846</v>
      </c>
      <c r="G79" s="313"/>
      <c r="H79" s="313"/>
      <c r="I79" s="315"/>
      <c r="J79" s="315"/>
      <c r="K79" s="107"/>
      <c r="L79" s="64"/>
      <c r="M79" s="93"/>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c r="IH79" s="64"/>
      <c r="II79" s="64"/>
      <c r="IJ79" s="64"/>
      <c r="IK79" s="64"/>
      <c r="IL79" s="64"/>
      <c r="IM79" s="64"/>
      <c r="IN79" s="64"/>
      <c r="IO79" s="64"/>
      <c r="IP79" s="64"/>
      <c r="IQ79" s="64"/>
      <c r="IR79" s="64"/>
      <c r="IS79" s="64"/>
      <c r="IT79" s="64"/>
      <c r="IU79" s="64"/>
      <c r="IV79" s="64"/>
      <c r="IW79" s="64"/>
      <c r="IX79" s="64"/>
      <c r="IY79" s="64"/>
      <c r="IZ79" s="64"/>
      <c r="JA79" s="64"/>
      <c r="JB79" s="64"/>
      <c r="JC79" s="64"/>
      <c r="JD79" s="64"/>
      <c r="JE79" s="64"/>
      <c r="JF79" s="64"/>
      <c r="JG79" s="64"/>
      <c r="JH79" s="64"/>
      <c r="JI79" s="64"/>
      <c r="JJ79" s="64"/>
      <c r="JK79" s="64"/>
      <c r="JL79" s="64"/>
      <c r="JM79" s="64"/>
      <c r="JN79" s="64"/>
      <c r="JO79" s="64"/>
      <c r="JP79" s="64"/>
      <c r="JQ79" s="64"/>
      <c r="JR79" s="64"/>
      <c r="JS79" s="64"/>
      <c r="JT79" s="64"/>
      <c r="JU79" s="64"/>
      <c r="JV79" s="64"/>
      <c r="JW79" s="64"/>
      <c r="JX79" s="64"/>
      <c r="JY79" s="64"/>
      <c r="JZ79" s="64"/>
      <c r="KA79" s="64"/>
      <c r="KB79" s="64"/>
      <c r="KC79" s="64"/>
      <c r="KD79" s="64"/>
      <c r="KE79" s="64"/>
      <c r="KF79" s="64"/>
      <c r="KG79" s="64"/>
      <c r="KH79" s="64"/>
      <c r="KI79" s="64"/>
      <c r="KJ79" s="64"/>
      <c r="KK79" s="64"/>
      <c r="KL79" s="64"/>
      <c r="KM79" s="64"/>
      <c r="KN79" s="64"/>
      <c r="KO79" s="64"/>
      <c r="KP79" s="64"/>
      <c r="KQ79" s="64"/>
      <c r="KR79" s="64"/>
      <c r="KS79" s="64"/>
      <c r="KT79" s="64"/>
      <c r="KU79" s="64"/>
      <c r="KV79" s="64"/>
      <c r="KW79" s="64"/>
      <c r="KX79" s="64"/>
      <c r="KY79" s="64"/>
      <c r="KZ79" s="64"/>
      <c r="LA79" s="64"/>
      <c r="LB79" s="64"/>
      <c r="LC79" s="64"/>
      <c r="LD79" s="64"/>
      <c r="LE79" s="64"/>
      <c r="LF79" s="64"/>
      <c r="LG79" s="64"/>
      <c r="LH79" s="64"/>
      <c r="LI79" s="64"/>
      <c r="LJ79" s="64"/>
      <c r="LK79" s="64"/>
      <c r="LL79" s="64"/>
      <c r="LM79" s="64"/>
      <c r="LN79" s="64"/>
      <c r="LO79" s="64"/>
      <c r="LP79" s="64"/>
      <c r="LQ79" s="64"/>
      <c r="LR79" s="64"/>
      <c r="LS79" s="64"/>
      <c r="LT79" s="64"/>
      <c r="LU79" s="64"/>
      <c r="LV79" s="64"/>
      <c r="LW79" s="64"/>
      <c r="LX79" s="64"/>
      <c r="LY79" s="64"/>
      <c r="LZ79" s="64"/>
      <c r="MA79" s="64"/>
      <c r="MB79" s="64"/>
      <c r="MC79" s="64"/>
      <c r="MD79" s="64"/>
      <c r="ME79" s="64"/>
      <c r="MF79" s="64"/>
      <c r="MG79" s="64"/>
      <c r="MH79" s="64"/>
      <c r="MI79" s="64"/>
      <c r="MJ79" s="64"/>
      <c r="MK79" s="64"/>
      <c r="ML79" s="64"/>
      <c r="MM79" s="64"/>
      <c r="MN79" s="64"/>
      <c r="MO79" s="64"/>
      <c r="MP79" s="64"/>
      <c r="MQ79" s="64"/>
      <c r="MR79" s="64"/>
      <c r="MS79" s="64"/>
      <c r="MT79" s="64"/>
    </row>
    <row r="80" spans="1:358" s="408" customFormat="1" x14ac:dyDescent="0.3">
      <c r="A80" s="419" t="s">
        <v>1</v>
      </c>
      <c r="B80" s="140">
        <f>'Input data processed products'!C30</f>
        <v>1</v>
      </c>
      <c r="C80" s="325" t="s">
        <v>473</v>
      </c>
      <c r="D80" s="407"/>
      <c r="E80" s="325"/>
      <c r="F80" s="770">
        <f>IF($E$1="GWP100 without fb",F81+F82*'Common input data'!$C$5+F83*'Common input data'!$D$5,IF($E$1="GWP100 with fb",F81+F82*'Common input data'!$C$6+F83*'Common input data'!$D$6,IF($E$1="GTP100 without fb",F81+F82*'Common input data'!$C$7+F83*'Common input data'!$D$7,IF($E$1="GTP100 with fb",F81+F82*'Common input data'!$C$8+F83*'Common input data'!$D$8,F81+F82*'Common input data'!$C$9+F83*'Common input data'!$D$9))))</f>
        <v>0.40582548011401087</v>
      </c>
      <c r="G80" s="137"/>
      <c r="H80" s="137"/>
      <c r="I80" s="138"/>
      <c r="J80" s="138"/>
      <c r="K80" s="107"/>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c r="IH80" s="64"/>
      <c r="II80" s="64"/>
      <c r="IJ80" s="64"/>
      <c r="IK80" s="64"/>
      <c r="IL80" s="64"/>
      <c r="IM80" s="64"/>
      <c r="IN80" s="64"/>
      <c r="IO80" s="64"/>
      <c r="IP80" s="64"/>
      <c r="IQ80" s="64"/>
      <c r="IR80" s="64"/>
      <c r="IS80" s="64"/>
      <c r="IT80" s="64"/>
      <c r="IU80" s="64"/>
      <c r="IV80" s="64"/>
      <c r="IW80" s="64"/>
      <c r="IX80" s="64"/>
      <c r="IY80" s="64"/>
      <c r="IZ80" s="64"/>
      <c r="JA80" s="64"/>
      <c r="JB80" s="64"/>
      <c r="JC80" s="64"/>
      <c r="JD80" s="64"/>
      <c r="JE80" s="64"/>
      <c r="JF80" s="64"/>
      <c r="JG80" s="64"/>
      <c r="JH80" s="64"/>
      <c r="JI80" s="64"/>
      <c r="JJ80" s="64"/>
      <c r="JK80" s="64"/>
      <c r="JL80" s="64"/>
      <c r="JM80" s="64"/>
      <c r="JN80" s="64"/>
      <c r="JO80" s="64"/>
      <c r="JP80" s="64"/>
      <c r="JQ80" s="64"/>
      <c r="JR80" s="64"/>
      <c r="JS80" s="64"/>
      <c r="JT80" s="64"/>
      <c r="JU80" s="64"/>
      <c r="JV80" s="64"/>
      <c r="JW80" s="64"/>
      <c r="JX80" s="64"/>
      <c r="JY80" s="64"/>
      <c r="JZ80" s="64"/>
      <c r="KA80" s="64"/>
      <c r="KB80" s="64"/>
      <c r="KC80" s="64"/>
      <c r="KD80" s="64"/>
      <c r="KE80" s="64"/>
      <c r="KF80" s="64"/>
      <c r="KG80" s="64"/>
      <c r="KH80" s="64"/>
      <c r="KI80" s="64"/>
      <c r="KJ80" s="64"/>
      <c r="KK80" s="64"/>
      <c r="KL80" s="64"/>
      <c r="KM80" s="64"/>
      <c r="KN80" s="64"/>
      <c r="KO80" s="64"/>
      <c r="KP80" s="64"/>
      <c r="KQ80" s="64"/>
      <c r="KR80" s="64"/>
      <c r="KS80" s="64"/>
      <c r="KT80" s="64"/>
      <c r="KU80" s="64"/>
      <c r="KV80" s="64"/>
      <c r="KW80" s="64"/>
      <c r="KX80" s="64"/>
      <c r="KY80" s="64"/>
      <c r="KZ80" s="64"/>
      <c r="LA80" s="64"/>
      <c r="LB80" s="64"/>
      <c r="LC80" s="64"/>
      <c r="LD80" s="64"/>
      <c r="LE80" s="64"/>
      <c r="LF80" s="64"/>
      <c r="LG80" s="64"/>
      <c r="LH80" s="64"/>
      <c r="LI80" s="64"/>
      <c r="LJ80" s="64"/>
      <c r="LK80" s="64"/>
      <c r="LL80" s="64"/>
      <c r="LM80" s="64"/>
      <c r="LN80" s="64"/>
      <c r="LO80" s="64"/>
      <c r="LP80" s="64"/>
      <c r="LQ80" s="64"/>
      <c r="LR80" s="64"/>
      <c r="LS80" s="64"/>
      <c r="LT80" s="64"/>
      <c r="LU80" s="64"/>
      <c r="LV80" s="64"/>
      <c r="LW80" s="64"/>
      <c r="LX80" s="64"/>
      <c r="LY80" s="64"/>
      <c r="LZ80" s="64"/>
      <c r="MA80" s="64"/>
      <c r="MB80" s="64"/>
      <c r="MC80" s="64"/>
      <c r="MD80" s="64"/>
      <c r="ME80" s="64"/>
      <c r="MF80" s="64"/>
      <c r="MG80" s="64"/>
      <c r="MH80" s="64"/>
      <c r="MI80" s="64"/>
      <c r="MJ80" s="64"/>
      <c r="MK80" s="64"/>
      <c r="ML80" s="64"/>
      <c r="MM80" s="64"/>
      <c r="MN80" s="64"/>
      <c r="MO80" s="64"/>
      <c r="MP80" s="64"/>
      <c r="MQ80" s="64"/>
      <c r="MR80" s="64"/>
      <c r="MS80" s="64"/>
      <c r="MT80" s="64"/>
    </row>
    <row r="81" spans="1:358" x14ac:dyDescent="0.3">
      <c r="A81" s="144"/>
      <c r="B81" s="142"/>
      <c r="C81" s="83" t="s">
        <v>164</v>
      </c>
      <c r="D81" s="354"/>
      <c r="E81" s="83"/>
      <c r="F81" s="278">
        <f>SUM(G81:J81)/(1-'Common input data'!$B$136)</f>
        <v>0.37622868296950346</v>
      </c>
      <c r="G81" s="85">
        <f>SUMPRODUCT('Input data processed products'!D$30:AB$30,'Input data processed products'!D$55:AB$55)</f>
        <v>0.10860581467255313</v>
      </c>
      <c r="H81" s="85">
        <f>'Input data processed products'!F$67</f>
        <v>0.05</v>
      </c>
      <c r="I81" s="90">
        <f>'Common input data'!B$89</f>
        <v>0.15</v>
      </c>
      <c r="J81" s="90">
        <f>'Common input data'!C$98</f>
        <v>0.03</v>
      </c>
      <c r="K81" s="107"/>
    </row>
    <row r="82" spans="1:358" x14ac:dyDescent="0.3">
      <c r="A82" s="174"/>
      <c r="B82" s="85"/>
      <c r="C82" s="83" t="s">
        <v>165</v>
      </c>
      <c r="D82" s="354"/>
      <c r="E82" s="83"/>
      <c r="F82" s="278">
        <f>SUM(G82:J82)/(1-'Common input data'!$B$136)</f>
        <v>2.7969770397904392E-5</v>
      </c>
      <c r="G82" s="85">
        <f>SUMPRODUCT('Input data processed products'!D$30:AB$30,'Input data processed products'!D$56:AB$56)</f>
        <v>2.5172793358113954E-5</v>
      </c>
      <c r="H82" s="85">
        <v>0</v>
      </c>
      <c r="I82" s="90">
        <v>0</v>
      </c>
      <c r="J82" s="90">
        <v>0</v>
      </c>
      <c r="K82" s="107"/>
    </row>
    <row r="83" spans="1:358" x14ac:dyDescent="0.3">
      <c r="A83" s="174"/>
      <c r="B83" s="85"/>
      <c r="C83" s="84" t="s">
        <v>166</v>
      </c>
      <c r="D83" s="592"/>
      <c r="E83" s="100"/>
      <c r="F83" s="521">
        <f>SUM(G83:J83)/(1-'Common input data'!$B$136)</f>
        <v>9.6126929365700155E-5</v>
      </c>
      <c r="G83" s="85">
        <f>SUMPRODUCT('Input data processed products'!D$30:AB$30,'Input data processed products'!D$57:AB$57)</f>
        <v>8.6514236429130145E-5</v>
      </c>
      <c r="H83" s="85">
        <v>0</v>
      </c>
      <c r="I83" s="90">
        <v>0</v>
      </c>
      <c r="J83" s="90">
        <v>0</v>
      </c>
      <c r="K83" s="107"/>
    </row>
    <row r="84" spans="1:358" s="316" customFormat="1" x14ac:dyDescent="0.3">
      <c r="A84" s="311" t="s">
        <v>535</v>
      </c>
      <c r="B84" s="313"/>
      <c r="C84" s="314"/>
      <c r="D84" s="356"/>
      <c r="E84" s="281"/>
      <c r="F84" s="590" t="s">
        <v>847</v>
      </c>
      <c r="G84" s="313"/>
      <c r="H84" s="313"/>
      <c r="I84" s="315"/>
      <c r="J84" s="315"/>
      <c r="K84" s="107"/>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c r="GV84" s="64"/>
      <c r="GW84" s="64"/>
      <c r="GX84" s="64"/>
      <c r="GY84" s="64"/>
      <c r="GZ84" s="64"/>
      <c r="HA84" s="64"/>
      <c r="HB84" s="64"/>
      <c r="HC84" s="64"/>
      <c r="HD84" s="64"/>
      <c r="HE84" s="64"/>
      <c r="HF84" s="64"/>
      <c r="HG84" s="64"/>
      <c r="HH84" s="64"/>
      <c r="HI84" s="64"/>
      <c r="HJ84" s="64"/>
      <c r="HK84" s="64"/>
      <c r="HL84" s="64"/>
      <c r="HM84" s="64"/>
      <c r="HN84" s="64"/>
      <c r="HO84" s="64"/>
      <c r="HP84" s="64"/>
      <c r="HQ84" s="64"/>
      <c r="HR84" s="64"/>
      <c r="HS84" s="64"/>
      <c r="HT84" s="64"/>
      <c r="HU84" s="64"/>
      <c r="HV84" s="64"/>
      <c r="HW84" s="64"/>
      <c r="HX84" s="64"/>
      <c r="HY84" s="64"/>
      <c r="HZ84" s="64"/>
      <c r="IA84" s="64"/>
      <c r="IB84" s="64"/>
      <c r="IC84" s="64"/>
      <c r="ID84" s="64"/>
      <c r="IE84" s="64"/>
      <c r="IF84" s="64"/>
      <c r="IG84" s="64"/>
      <c r="IH84" s="64"/>
      <c r="II84" s="64"/>
      <c r="IJ84" s="64"/>
      <c r="IK84" s="64"/>
      <c r="IL84" s="64"/>
      <c r="IM84" s="64"/>
      <c r="IN84" s="64"/>
      <c r="IO84" s="64"/>
      <c r="IP84" s="64"/>
      <c r="IQ84" s="64"/>
      <c r="IR84" s="64"/>
      <c r="IS84" s="64"/>
      <c r="IT84" s="64"/>
      <c r="IU84" s="64"/>
      <c r="IV84" s="64"/>
      <c r="IW84" s="64"/>
      <c r="IX84" s="64"/>
      <c r="IY84" s="64"/>
      <c r="IZ84" s="64"/>
      <c r="JA84" s="64"/>
      <c r="JB84" s="64"/>
      <c r="JC84" s="64"/>
      <c r="JD84" s="64"/>
      <c r="JE84" s="64"/>
      <c r="JF84" s="64"/>
      <c r="JG84" s="64"/>
      <c r="JH84" s="64"/>
      <c r="JI84" s="64"/>
      <c r="JJ84" s="64"/>
      <c r="JK84" s="64"/>
      <c r="JL84" s="64"/>
      <c r="JM84" s="64"/>
      <c r="JN84" s="64"/>
      <c r="JO84" s="64"/>
      <c r="JP84" s="64"/>
      <c r="JQ84" s="64"/>
      <c r="JR84" s="64"/>
      <c r="JS84" s="64"/>
      <c r="JT84" s="64"/>
      <c r="JU84" s="64"/>
      <c r="JV84" s="64"/>
      <c r="JW84" s="64"/>
      <c r="JX84" s="64"/>
      <c r="JY84" s="64"/>
      <c r="JZ84" s="64"/>
      <c r="KA84" s="64"/>
      <c r="KB84" s="64"/>
      <c r="KC84" s="64"/>
      <c r="KD84" s="64"/>
      <c r="KE84" s="64"/>
      <c r="KF84" s="64"/>
      <c r="KG84" s="64"/>
      <c r="KH84" s="64"/>
      <c r="KI84" s="64"/>
      <c r="KJ84" s="64"/>
      <c r="KK84" s="64"/>
      <c r="KL84" s="64"/>
      <c r="KM84" s="64"/>
      <c r="KN84" s="64"/>
      <c r="KO84" s="64"/>
      <c r="KP84" s="64"/>
      <c r="KQ84" s="64"/>
      <c r="KR84" s="64"/>
      <c r="KS84" s="64"/>
      <c r="KT84" s="64"/>
      <c r="KU84" s="64"/>
      <c r="KV84" s="64"/>
      <c r="KW84" s="64"/>
      <c r="KX84" s="64"/>
      <c r="KY84" s="64"/>
      <c r="KZ84" s="64"/>
      <c r="LA84" s="64"/>
      <c r="LB84" s="64"/>
      <c r="LC84" s="64"/>
      <c r="LD84" s="64"/>
      <c r="LE84" s="64"/>
      <c r="LF84" s="64"/>
      <c r="LG84" s="64"/>
      <c r="LH84" s="64"/>
      <c r="LI84" s="64"/>
      <c r="LJ84" s="64"/>
      <c r="LK84" s="64"/>
      <c r="LL84" s="64"/>
      <c r="LM84" s="64"/>
      <c r="LN84" s="64"/>
      <c r="LO84" s="64"/>
      <c r="LP84" s="64"/>
      <c r="LQ84" s="64"/>
      <c r="LR84" s="64"/>
      <c r="LS84" s="64"/>
      <c r="LT84" s="64"/>
      <c r="LU84" s="64"/>
      <c r="LV84" s="64"/>
      <c r="LW84" s="64"/>
      <c r="LX84" s="64"/>
      <c r="LY84" s="64"/>
      <c r="LZ84" s="64"/>
      <c r="MA84" s="64"/>
      <c r="MB84" s="64"/>
      <c r="MC84" s="64"/>
      <c r="MD84" s="64"/>
      <c r="ME84" s="64"/>
      <c r="MF84" s="64"/>
      <c r="MG84" s="64"/>
      <c r="MH84" s="64"/>
      <c r="MI84" s="64"/>
      <c r="MJ84" s="64"/>
      <c r="MK84" s="64"/>
      <c r="ML84" s="64"/>
      <c r="MM84" s="64"/>
      <c r="MN84" s="64"/>
      <c r="MO84" s="64"/>
      <c r="MP84" s="64"/>
      <c r="MQ84" s="64"/>
      <c r="MR84" s="64"/>
      <c r="MS84" s="64"/>
      <c r="MT84" s="64"/>
    </row>
    <row r="85" spans="1:358" s="408" customFormat="1" x14ac:dyDescent="0.3">
      <c r="A85" s="419" t="s">
        <v>1</v>
      </c>
      <c r="B85" s="140">
        <f>'Input data processed products'!C32</f>
        <v>1</v>
      </c>
      <c r="C85" s="325" t="s">
        <v>473</v>
      </c>
      <c r="D85" s="407"/>
      <c r="E85" s="325"/>
      <c r="F85" s="770">
        <f>IF($E$1="GWP100 without fb",F86+F87*'Common input data'!$C$5+F88*'Common input data'!$D$5,IF($E$1="GWP100 with fb",F86+F87*'Common input data'!$C$6+F88*'Common input data'!$D$6,IF($E$1="GTP100 without fb",F86+F87*'Common input data'!$C$7+F88*'Common input data'!$D$7,IF($E$1="GTP100 with fb",F86+F87*'Common input data'!$C$8+F88*'Common input data'!$D$8,F86+F87*'Common input data'!$C$9+F88*'Common input data'!$D$9))))</f>
        <v>0.47793221708026129</v>
      </c>
      <c r="G85" s="137"/>
      <c r="H85" s="137"/>
      <c r="I85" s="138"/>
      <c r="J85" s="138"/>
      <c r="K85" s="107"/>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row>
    <row r="86" spans="1:358" x14ac:dyDescent="0.3">
      <c r="A86" s="144"/>
      <c r="B86" s="142"/>
      <c r="C86" s="83" t="s">
        <v>164</v>
      </c>
      <c r="D86" s="354"/>
      <c r="E86" s="83"/>
      <c r="F86" s="278">
        <f>SUM(G86:J86)/(1-'Common input data'!$B$136)</f>
        <v>0.44423064713813643</v>
      </c>
      <c r="G86" s="85">
        <f>SUMPRODUCT('Input data processed products'!D$32:AB$32,'Input data processed products'!D$55:AB$55)</f>
        <v>0.16980758242432273</v>
      </c>
      <c r="H86" s="85">
        <f>'Input data processed products'!F$67</f>
        <v>0.05</v>
      </c>
      <c r="I86" s="90">
        <f>'Common input data'!B$89</f>
        <v>0.15</v>
      </c>
      <c r="J86" s="90">
        <f>'Common input data'!C$98</f>
        <v>0.03</v>
      </c>
      <c r="K86" s="107"/>
    </row>
    <row r="87" spans="1:358" x14ac:dyDescent="0.3">
      <c r="A87" s="174"/>
      <c r="B87" s="85"/>
      <c r="C87" s="83" t="s">
        <v>165</v>
      </c>
      <c r="D87" s="354"/>
      <c r="E87" s="83"/>
      <c r="F87" s="278">
        <f>SUM(G87:J87)/(1-'Common input data'!$B$136)</f>
        <v>3.4214033434195091E-5</v>
      </c>
      <c r="G87" s="85">
        <f>SUMPRODUCT('Input data processed products'!D$32:AB$32,'Input data processed products'!D$56:AB$56)</f>
        <v>3.0792630090775582E-5</v>
      </c>
      <c r="H87" s="85">
        <v>0</v>
      </c>
      <c r="I87" s="90">
        <v>0</v>
      </c>
      <c r="J87" s="90">
        <v>0</v>
      </c>
      <c r="K87" s="107"/>
    </row>
    <row r="88" spans="1:358" x14ac:dyDescent="0.3">
      <c r="A88" s="174"/>
      <c r="B88" s="85"/>
      <c r="C88" s="84" t="s">
        <v>166</v>
      </c>
      <c r="D88" s="592"/>
      <c r="E88" s="100"/>
      <c r="F88" s="521">
        <f>SUM(G88:J88)/(1-'Common input data'!$B$136)</f>
        <v>1.091889020314169E-4</v>
      </c>
      <c r="G88" s="85">
        <f>SUMPRODUCT('Input data processed products'!D$32:AB$32,'Input data processed products'!D$57:AB$57)</f>
        <v>9.8270011828275209E-5</v>
      </c>
      <c r="H88" s="85">
        <v>0</v>
      </c>
      <c r="I88" s="90">
        <v>0</v>
      </c>
      <c r="J88" s="90">
        <v>0</v>
      </c>
      <c r="K88" s="107"/>
    </row>
    <row r="89" spans="1:358" s="316" customFormat="1" x14ac:dyDescent="0.3">
      <c r="A89" s="311" t="s">
        <v>1440</v>
      </c>
      <c r="B89" s="313"/>
      <c r="C89" s="314"/>
      <c r="D89" s="356"/>
      <c r="E89" s="281"/>
      <c r="F89" s="590" t="s">
        <v>848</v>
      </c>
      <c r="G89" s="313"/>
      <c r="H89" s="313"/>
      <c r="I89" s="315"/>
      <c r="J89" s="315"/>
      <c r="K89" s="107"/>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c r="IO89" s="64"/>
      <c r="IP89" s="64"/>
      <c r="IQ89" s="64"/>
      <c r="IR89" s="64"/>
      <c r="IS89" s="64"/>
      <c r="IT89" s="64"/>
      <c r="IU89" s="64"/>
      <c r="IV89" s="64"/>
      <c r="IW89" s="64"/>
      <c r="IX89" s="64"/>
      <c r="IY89" s="64"/>
      <c r="IZ89" s="64"/>
      <c r="JA89" s="64"/>
      <c r="JB89" s="64"/>
      <c r="JC89" s="64"/>
      <c r="JD89" s="64"/>
      <c r="JE89" s="64"/>
      <c r="JF89" s="64"/>
      <c r="JG89" s="64"/>
      <c r="JH89" s="64"/>
      <c r="JI89" s="64"/>
      <c r="JJ89" s="64"/>
      <c r="JK89" s="64"/>
      <c r="JL89" s="64"/>
      <c r="JM89" s="64"/>
      <c r="JN89" s="64"/>
      <c r="JO89" s="64"/>
      <c r="JP89" s="64"/>
      <c r="JQ89" s="64"/>
      <c r="JR89" s="64"/>
      <c r="JS89" s="64"/>
      <c r="JT89" s="64"/>
      <c r="JU89" s="64"/>
      <c r="JV89" s="64"/>
      <c r="JW89" s="64"/>
      <c r="JX89" s="64"/>
      <c r="JY89" s="64"/>
      <c r="JZ89" s="64"/>
      <c r="KA89" s="64"/>
      <c r="KB89" s="64"/>
      <c r="KC89" s="64"/>
      <c r="KD89" s="64"/>
      <c r="KE89" s="64"/>
      <c r="KF89" s="64"/>
      <c r="KG89" s="64"/>
      <c r="KH89" s="64"/>
      <c r="KI89" s="64"/>
      <c r="KJ89" s="64"/>
      <c r="KK89" s="64"/>
      <c r="KL89" s="64"/>
      <c r="KM89" s="64"/>
      <c r="KN89" s="64"/>
      <c r="KO89" s="64"/>
      <c r="KP89" s="64"/>
      <c r="KQ89" s="64"/>
      <c r="KR89" s="64"/>
      <c r="KS89" s="64"/>
      <c r="KT89" s="64"/>
      <c r="KU89" s="64"/>
      <c r="KV89" s="64"/>
      <c r="KW89" s="64"/>
      <c r="KX89" s="64"/>
      <c r="KY89" s="64"/>
      <c r="KZ89" s="64"/>
      <c r="LA89" s="64"/>
      <c r="LB89" s="64"/>
      <c r="LC89" s="64"/>
      <c r="LD89" s="64"/>
      <c r="LE89" s="64"/>
      <c r="LF89" s="64"/>
      <c r="LG89" s="64"/>
      <c r="LH89" s="64"/>
      <c r="LI89" s="64"/>
      <c r="LJ89" s="64"/>
      <c r="LK89" s="64"/>
      <c r="LL89" s="64"/>
      <c r="LM89" s="64"/>
      <c r="LN89" s="64"/>
      <c r="LO89" s="64"/>
      <c r="LP89" s="64"/>
      <c r="LQ89" s="64"/>
      <c r="LR89" s="64"/>
      <c r="LS89" s="64"/>
      <c r="LT89" s="64"/>
      <c r="LU89" s="64"/>
      <c r="LV89" s="64"/>
      <c r="LW89" s="64"/>
      <c r="LX89" s="64"/>
      <c r="LY89" s="64"/>
      <c r="LZ89" s="64"/>
      <c r="MA89" s="64"/>
      <c r="MB89" s="64"/>
      <c r="MC89" s="64"/>
      <c r="MD89" s="64"/>
      <c r="ME89" s="64"/>
      <c r="MF89" s="64"/>
      <c r="MG89" s="64"/>
      <c r="MH89" s="64"/>
      <c r="MI89" s="64"/>
      <c r="MJ89" s="64"/>
      <c r="MK89" s="64"/>
      <c r="ML89" s="64"/>
      <c r="MM89" s="64"/>
      <c r="MN89" s="64"/>
      <c r="MO89" s="64"/>
      <c r="MP89" s="64"/>
      <c r="MQ89" s="64"/>
      <c r="MR89" s="64"/>
      <c r="MS89" s="64"/>
      <c r="MT89" s="64"/>
    </row>
    <row r="90" spans="1:358" s="408" customFormat="1" x14ac:dyDescent="0.3">
      <c r="A90" s="419" t="s">
        <v>260</v>
      </c>
      <c r="B90" s="140">
        <f>SUM(B94:B102)</f>
        <v>1</v>
      </c>
      <c r="C90" s="325" t="s">
        <v>473</v>
      </c>
      <c r="D90" s="407"/>
      <c r="E90" s="325"/>
      <c r="F90" s="770">
        <f>IF($E$1="GWP100 without fb",F91+F92*'Common input data'!$C$5+F93*'Common input data'!$D$5,IF($E$1="GWP100 with fb",F91+F92*'Common input data'!$C$6+F93*'Common input data'!$D$6,IF($E$1="GTP100 without fb",F91+F92*'Common input data'!$C$7+F93*'Common input data'!$D$7,IF($E$1="GTP100 with fb",F91+F92*'Common input data'!$C$8+F93*'Common input data'!$D$8,F91+F92*'Common input data'!$C$9+F93*'Common input data'!$D$9))))</f>
        <v>0.46132635547521206</v>
      </c>
      <c r="G90" s="137"/>
      <c r="H90" s="137"/>
      <c r="I90" s="138"/>
      <c r="J90" s="441"/>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c r="IH90" s="64"/>
      <c r="II90" s="64"/>
      <c r="IJ90" s="64"/>
      <c r="IK90" s="64"/>
      <c r="IL90" s="64"/>
      <c r="IM90" s="64"/>
      <c r="IN90" s="64"/>
      <c r="IO90" s="64"/>
      <c r="IP90" s="64"/>
      <c r="IQ90" s="64"/>
      <c r="IR90" s="64"/>
      <c r="IS90" s="64"/>
      <c r="IT90" s="64"/>
      <c r="IU90" s="64"/>
      <c r="IV90" s="64"/>
      <c r="IW90" s="64"/>
      <c r="IX90" s="64"/>
      <c r="IY90" s="64"/>
      <c r="IZ90" s="64"/>
      <c r="JA90" s="64"/>
      <c r="JB90" s="64"/>
      <c r="JC90" s="64"/>
      <c r="JD90" s="64"/>
      <c r="JE90" s="64"/>
      <c r="JF90" s="64"/>
      <c r="JG90" s="64"/>
      <c r="JH90" s="64"/>
      <c r="JI90" s="64"/>
      <c r="JJ90" s="64"/>
      <c r="JK90" s="64"/>
      <c r="JL90" s="64"/>
      <c r="JM90" s="64"/>
      <c r="JN90" s="64"/>
      <c r="JO90" s="64"/>
      <c r="JP90" s="64"/>
      <c r="JQ90" s="64"/>
      <c r="JR90" s="64"/>
      <c r="JS90" s="64"/>
      <c r="JT90" s="64"/>
      <c r="JU90" s="64"/>
      <c r="JV90" s="64"/>
      <c r="JW90" s="64"/>
      <c r="JX90" s="64"/>
      <c r="JY90" s="64"/>
      <c r="JZ90" s="64"/>
      <c r="KA90" s="64"/>
      <c r="KB90" s="64"/>
      <c r="KC90" s="64"/>
      <c r="KD90" s="64"/>
      <c r="KE90" s="64"/>
      <c r="KF90" s="64"/>
      <c r="KG90" s="64"/>
      <c r="KH90" s="64"/>
      <c r="KI90" s="64"/>
      <c r="KJ90" s="64"/>
      <c r="KK90" s="64"/>
      <c r="KL90" s="64"/>
      <c r="KM90" s="64"/>
      <c r="KN90" s="64"/>
      <c r="KO90" s="64"/>
      <c r="KP90" s="64"/>
      <c r="KQ90" s="64"/>
      <c r="KR90" s="64"/>
      <c r="KS90" s="64"/>
      <c r="KT90" s="64"/>
      <c r="KU90" s="64"/>
      <c r="KV90" s="64"/>
      <c r="KW90" s="64"/>
      <c r="KX90" s="64"/>
      <c r="KY90" s="64"/>
      <c r="KZ90" s="64"/>
      <c r="LA90" s="64"/>
      <c r="LB90" s="64"/>
      <c r="LC90" s="64"/>
      <c r="LD90" s="64"/>
      <c r="LE90" s="64"/>
      <c r="LF90" s="64"/>
      <c r="LG90" s="64"/>
      <c r="LH90" s="64"/>
      <c r="LI90" s="64"/>
      <c r="LJ90" s="64"/>
      <c r="LK90" s="64"/>
      <c r="LL90" s="64"/>
      <c r="LM90" s="64"/>
      <c r="LN90" s="64"/>
      <c r="LO90" s="64"/>
      <c r="LP90" s="64"/>
      <c r="LQ90" s="64"/>
      <c r="LR90" s="64"/>
      <c r="LS90" s="64"/>
      <c r="LT90" s="64"/>
      <c r="LU90" s="64"/>
      <c r="LV90" s="64"/>
      <c r="LW90" s="64"/>
      <c r="LX90" s="64"/>
      <c r="LY90" s="64"/>
      <c r="LZ90" s="64"/>
      <c r="MA90" s="64"/>
      <c r="MB90" s="64"/>
      <c r="MC90" s="64"/>
      <c r="MD90" s="64"/>
      <c r="ME90" s="64"/>
      <c r="MF90" s="64"/>
      <c r="MG90" s="64"/>
      <c r="MH90" s="64"/>
      <c r="MI90" s="64"/>
      <c r="MJ90" s="64"/>
      <c r="MK90" s="64"/>
      <c r="ML90" s="64"/>
      <c r="MM90" s="64"/>
      <c r="MN90" s="64"/>
      <c r="MO90" s="64"/>
      <c r="MP90" s="64"/>
      <c r="MQ90" s="64"/>
      <c r="MR90" s="64"/>
      <c r="MS90" s="64"/>
      <c r="MT90" s="64"/>
    </row>
    <row r="91" spans="1:358" x14ac:dyDescent="0.3">
      <c r="A91" s="144"/>
      <c r="B91" s="142"/>
      <c r="C91" s="83" t="s">
        <v>164</v>
      </c>
      <c r="D91" s="519"/>
      <c r="E91" s="142"/>
      <c r="F91" s="522">
        <f>$B$94*F95+$B$98*F99+$B$102*F103</f>
        <v>0.39626167067150125</v>
      </c>
      <c r="G91" s="142">
        <f t="shared" ref="G91:J91" si="1">$B$94*G95+$B$98*G99+$B$102*G103</f>
        <v>0.11933643725807121</v>
      </c>
      <c r="H91" s="142">
        <f t="shared" si="1"/>
        <v>5.4500000000000007E-2</v>
      </c>
      <c r="I91" s="142">
        <f t="shared" si="1"/>
        <v>0.15</v>
      </c>
      <c r="J91" s="520">
        <f t="shared" si="1"/>
        <v>6.4500000000000002E-2</v>
      </c>
    </row>
    <row r="92" spans="1:358" x14ac:dyDescent="0.3">
      <c r="A92" s="174"/>
      <c r="B92" s="85"/>
      <c r="C92" s="83" t="s">
        <v>165</v>
      </c>
      <c r="D92" s="519"/>
      <c r="E92" s="142"/>
      <c r="F92" s="522">
        <f>$B$94*F96+$B$98*F100+$B$102*F104</f>
        <v>8.3770668192245135E-6</v>
      </c>
      <c r="G92" s="142">
        <f t="shared" ref="G92:J93" si="2">$B$94*G96+$B$98*G100+$B$102*G104</f>
        <v>8.2095254828400236E-6</v>
      </c>
      <c r="H92" s="142">
        <f t="shared" si="2"/>
        <v>0</v>
      </c>
      <c r="I92" s="142">
        <f t="shared" si="2"/>
        <v>0</v>
      </c>
      <c r="J92" s="520">
        <f t="shared" si="2"/>
        <v>0</v>
      </c>
    </row>
    <row r="93" spans="1:358" x14ac:dyDescent="0.3">
      <c r="A93" s="206"/>
      <c r="B93" s="85"/>
      <c r="C93" s="84" t="s">
        <v>166</v>
      </c>
      <c r="D93" s="519"/>
      <c r="E93" s="142"/>
      <c r="F93" s="522">
        <f>$B$94*F97+$B$98*F101+$B$102*F105</f>
        <v>2.1738209574448711E-4</v>
      </c>
      <c r="G93" s="142">
        <f t="shared" si="2"/>
        <v>2.1303445382959735E-4</v>
      </c>
      <c r="H93" s="142">
        <f t="shared" si="2"/>
        <v>0</v>
      </c>
      <c r="I93" s="142">
        <f t="shared" si="2"/>
        <v>0</v>
      </c>
      <c r="J93" s="520">
        <f t="shared" si="2"/>
        <v>0</v>
      </c>
    </row>
    <row r="94" spans="1:358" x14ac:dyDescent="0.3">
      <c r="A94" s="111" t="s">
        <v>1</v>
      </c>
      <c r="B94" s="110">
        <f>'Input data processed products'!C34</f>
        <v>0.76</v>
      </c>
      <c r="C94" s="269" t="s">
        <v>473</v>
      </c>
      <c r="D94" s="353"/>
      <c r="E94" s="269"/>
      <c r="F94" s="321">
        <f>IF($E$1="GWP100 without fb",F95+F96*'Common input data'!$C$5+F97*'Common input data'!$D$5,IF($E$1="GWP100 with fb",F95+F96*'Common input data'!$C$6+F97*'Common input data'!$D$6,IF($E$1="GTP100 without fb",F95+F96*'Common input data'!$C$7+F97*'Common input data'!$D$7,IF($E$1="GTP100 with fb",F95+F96*'Common input data'!$C$8+F97*'Common input data'!$D$8,F95+F96*'Common input data'!$C$9+F97*'Common input data'!$D$9))))</f>
        <v>0.44207717967745797</v>
      </c>
      <c r="G94" s="104"/>
      <c r="H94" s="104"/>
      <c r="I94" s="106"/>
      <c r="J94" s="440"/>
    </row>
    <row r="95" spans="1:358" x14ac:dyDescent="0.3">
      <c r="A95" s="84"/>
      <c r="B95" s="142"/>
      <c r="C95" s="83" t="s">
        <v>164</v>
      </c>
      <c r="D95" s="354"/>
      <c r="E95" s="83"/>
      <c r="F95" s="278">
        <f>SUM(G95:J95)/(1-'Common input data'!$B$137)</f>
        <v>0.35646575230415428</v>
      </c>
      <c r="G95" s="85">
        <f>SUMPRODUCT('Input data processed products'!D$34:AB$34,'Input data processed products'!D$55:AB$55)</f>
        <v>0.11933643725807121</v>
      </c>
      <c r="H95" s="85">
        <f>'Input data processed products'!F$67</f>
        <v>0.05</v>
      </c>
      <c r="I95" s="90">
        <f>'Common input data'!B$89</f>
        <v>0.15</v>
      </c>
      <c r="J95" s="109">
        <f>'Common input data'!C$98</f>
        <v>0.03</v>
      </c>
    </row>
    <row r="96" spans="1:358" x14ac:dyDescent="0.3">
      <c r="A96" s="206"/>
      <c r="B96" s="85"/>
      <c r="C96" s="83" t="s">
        <v>165</v>
      </c>
      <c r="D96" s="354"/>
      <c r="E96" s="83"/>
      <c r="F96" s="278">
        <f>SUM(G96:J96)/(1-'Common input data'!$B$137)</f>
        <v>1.1022456341084887E-5</v>
      </c>
      <c r="G96" s="85">
        <f>SUMPRODUCT('Input data processed products'!D$34:AB$34,'Input data processed products'!D$56:AB$56)</f>
        <v>1.0802007214263189E-5</v>
      </c>
      <c r="H96" s="85">
        <v>0</v>
      </c>
      <c r="I96" s="90">
        <v>0</v>
      </c>
      <c r="J96" s="90">
        <v>0</v>
      </c>
      <c r="K96" s="107"/>
    </row>
    <row r="97" spans="1:11" x14ac:dyDescent="0.3">
      <c r="A97" s="206"/>
      <c r="B97" s="85"/>
      <c r="C97" s="84" t="s">
        <v>166</v>
      </c>
      <c r="D97" s="355"/>
      <c r="E97" s="84"/>
      <c r="F97" s="278">
        <f>SUM(G97:J97)/(1-'Common input data'!$B$137)</f>
        <v>2.8602907334800934E-4</v>
      </c>
      <c r="G97" s="85">
        <f>SUMPRODUCT('Input data processed products'!D$34:AB$34,'Input data processed products'!D$57:AB$57)</f>
        <v>2.8030849188104913E-4</v>
      </c>
      <c r="H97" s="85">
        <v>0</v>
      </c>
      <c r="I97" s="90">
        <v>0</v>
      </c>
      <c r="J97" s="90">
        <v>0</v>
      </c>
      <c r="K97" s="107"/>
    </row>
    <row r="98" spans="1:11" x14ac:dyDescent="0.3">
      <c r="A98" s="111" t="s">
        <v>69</v>
      </c>
      <c r="B98" s="110">
        <f>'Input data processed products'!C35</f>
        <v>0.09</v>
      </c>
      <c r="C98" s="269" t="s">
        <v>473</v>
      </c>
      <c r="D98" s="523"/>
      <c r="E98" s="111"/>
      <c r="F98" s="321">
        <f>IF($E$1="GWP100 without fb",F99+F100*'Common input data'!$C$5+F101*'Common input data'!$D$5,IF($E$1="GWP100 with fb",F99+F100*'Common input data'!$C$6+F101*'Common input data'!$D$6,IF($E$1="GTP100 without fb",F99+F100*'Common input data'!$C$7+F101*'Common input data'!$D$7,IF($E$1="GTP100 with fb",F99+F100*'Common input data'!$C$8+F101*'Common input data'!$D$8,F99+F100*'Common input data'!$C$9+F101*'Common input data'!$D$9))))</f>
        <v>0.40748616046741964</v>
      </c>
      <c r="G98" s="104"/>
      <c r="H98" s="104"/>
      <c r="I98" s="106"/>
      <c r="J98" s="106"/>
      <c r="K98" s="107"/>
    </row>
    <row r="99" spans="1:11" x14ac:dyDescent="0.3">
      <c r="A99" s="84"/>
      <c r="B99" s="142"/>
      <c r="C99" s="83" t="s">
        <v>164</v>
      </c>
      <c r="D99" s="355"/>
      <c r="E99" s="84"/>
      <c r="F99" s="278">
        <f>SUM(G99:J99)/(1-'Common input data'!$B$137)</f>
        <v>0.40748616046741964</v>
      </c>
      <c r="G99" s="85">
        <f>SUMPRODUCT('Input data processed products'!D$35:AB$35,'Input data processed products'!D$55:AB$55)</f>
        <v>0.11933643725807121</v>
      </c>
      <c r="H99" s="85">
        <f>'Input data processed products'!F$67</f>
        <v>0.05</v>
      </c>
      <c r="I99" s="90">
        <f>'Common input data'!B$89</f>
        <v>0.15</v>
      </c>
      <c r="J99" s="90">
        <f>'Common input data'!B98+'Common input data'!C98</f>
        <v>0.08</v>
      </c>
      <c r="K99" s="107"/>
    </row>
    <row r="100" spans="1:11" x14ac:dyDescent="0.3">
      <c r="A100" s="206"/>
      <c r="B100" s="85"/>
      <c r="C100" s="83" t="s">
        <v>165</v>
      </c>
      <c r="D100" s="355"/>
      <c r="E100" s="84"/>
      <c r="F100" s="278">
        <f>SUM(G100:J100)/(1-'Common input data'!$B$137)</f>
        <v>0</v>
      </c>
      <c r="G100" s="85">
        <v>0</v>
      </c>
      <c r="H100" s="85">
        <v>0</v>
      </c>
      <c r="I100" s="90">
        <v>0</v>
      </c>
      <c r="J100" s="90">
        <v>0</v>
      </c>
      <c r="K100" s="107"/>
    </row>
    <row r="101" spans="1:11" x14ac:dyDescent="0.3">
      <c r="A101" s="206"/>
      <c r="B101" s="85"/>
      <c r="C101" s="84" t="s">
        <v>166</v>
      </c>
      <c r="D101" s="355"/>
      <c r="E101" s="84"/>
      <c r="F101" s="278">
        <f>SUM(G101:J101)/(1-'Common input data'!$B$137)</f>
        <v>0</v>
      </c>
      <c r="G101" s="85">
        <v>0</v>
      </c>
      <c r="H101" s="85">
        <v>0</v>
      </c>
      <c r="I101" s="90">
        <v>0</v>
      </c>
      <c r="J101" s="90">
        <v>0</v>
      </c>
      <c r="K101" s="107"/>
    </row>
    <row r="102" spans="1:11" x14ac:dyDescent="0.3">
      <c r="A102" s="111" t="s">
        <v>70</v>
      </c>
      <c r="B102" s="110">
        <f>'Input data processed products'!C36</f>
        <v>0.15</v>
      </c>
      <c r="C102" s="269" t="s">
        <v>473</v>
      </c>
      <c r="D102" s="523"/>
      <c r="E102" s="111"/>
      <c r="F102" s="321">
        <f>IF($E$1="GWP100 without fb",F103+F104*'Common input data'!$C$5+F105*'Common input data'!$D$5,IF($E$1="GWP100 with fb",F103+F104*'Common input data'!$C$6+F105*'Common input data'!$D$6,IF($E$1="GTP100 without fb",F103+F104*'Common input data'!$C$7+F105*'Common input data'!$D$7,IF($E$1="GTP100 with fb",F103+F104*'Common input data'!$C$8+F105*'Common input data'!$D$8,F103+F104*'Common input data'!$C$9+F105*'Common input data'!$D$9))))</f>
        <v>0.59115962985517467</v>
      </c>
      <c r="G102" s="104"/>
      <c r="H102" s="104"/>
      <c r="I102" s="106"/>
      <c r="J102" s="106"/>
      <c r="K102" s="107"/>
    </row>
    <row r="103" spans="1:11" x14ac:dyDescent="0.3">
      <c r="A103" s="84"/>
      <c r="B103" s="142"/>
      <c r="C103" s="83" t="s">
        <v>164</v>
      </c>
      <c r="D103" s="355"/>
      <c r="E103" s="84"/>
      <c r="F103" s="278">
        <f>SUM(G103:J103)/(1-'Common input data'!$B$137)</f>
        <v>0.59115962985517467</v>
      </c>
      <c r="G103" s="85">
        <f>SUMPRODUCT('Input data processed products'!D$36:AB$36,'Input data processed products'!D$55:AB$55)</f>
        <v>0.11933643725807121</v>
      </c>
      <c r="H103" s="85">
        <f>'Input data processed products'!F69</f>
        <v>0.08</v>
      </c>
      <c r="I103" s="90">
        <f>'Common input data'!B$89</f>
        <v>0.15</v>
      </c>
      <c r="J103" s="90">
        <f>'Common input data'!B102+'Common input data'!C102</f>
        <v>0.23000000000000004</v>
      </c>
      <c r="K103" s="107"/>
    </row>
    <row r="104" spans="1:11" x14ac:dyDescent="0.3">
      <c r="A104" s="174"/>
      <c r="B104" s="85"/>
      <c r="C104" s="83" t="s">
        <v>165</v>
      </c>
      <c r="D104" s="355"/>
      <c r="E104" s="84"/>
      <c r="F104" s="278">
        <f>SUM(G104:J104)/(1-'Common input data'!$B$137)</f>
        <v>0</v>
      </c>
      <c r="G104" s="85">
        <v>0</v>
      </c>
      <c r="H104" s="85">
        <v>0</v>
      </c>
      <c r="I104" s="90">
        <v>0</v>
      </c>
      <c r="J104" s="90">
        <v>0</v>
      </c>
      <c r="K104" s="107"/>
    </row>
    <row r="105" spans="1:11" x14ac:dyDescent="0.3">
      <c r="A105" s="174"/>
      <c r="B105" s="85"/>
      <c r="C105" s="84" t="s">
        <v>166</v>
      </c>
      <c r="D105" s="592"/>
      <c r="E105" s="100"/>
      <c r="F105" s="521">
        <f>SUM(G105:J105)/(1-'Common input data'!$B$137)</f>
        <v>0</v>
      </c>
      <c r="G105" s="85">
        <v>0</v>
      </c>
      <c r="H105" s="85">
        <v>0</v>
      </c>
      <c r="I105" s="90">
        <v>0</v>
      </c>
      <c r="J105" s="90">
        <v>0</v>
      </c>
      <c r="K105" s="107"/>
    </row>
    <row r="106" spans="1:11" x14ac:dyDescent="0.3">
      <c r="A106" s="311" t="s">
        <v>654</v>
      </c>
      <c r="B106" s="313"/>
      <c r="C106" s="314"/>
      <c r="D106" s="356"/>
      <c r="E106" s="281"/>
      <c r="F106" s="590" t="s">
        <v>849</v>
      </c>
      <c r="G106" s="313"/>
      <c r="H106" s="313"/>
      <c r="I106" s="315"/>
      <c r="J106" s="315"/>
      <c r="K106" s="107"/>
    </row>
    <row r="107" spans="1:11" x14ac:dyDescent="0.3">
      <c r="A107" s="419" t="s">
        <v>260</v>
      </c>
      <c r="B107" s="140">
        <f>SUM(B111:B119)</f>
        <v>1</v>
      </c>
      <c r="C107" s="325" t="s">
        <v>473</v>
      </c>
      <c r="D107" s="407"/>
      <c r="E107" s="325"/>
      <c r="F107" s="770">
        <f>IF($E$1="GWP100 without fb",F108+F109*'Common input data'!$C$5+F110*'Common input data'!$D$5,IF($E$1="GWP100 with fb",F108+F109*'Common input data'!$C$6+F110*'Common input data'!$D$6,IF($E$1="GTP100 without fb",F108+F109*'Common input data'!$C$7+F110*'Common input data'!$D$7,IF($E$1="GTP100 with fb",F108+F109*'Common input data'!$C$8+F110*'Common input data'!$D$8,F108+F109*'Common input data'!$C$9+F110*'Common input data'!$D$9))))</f>
        <v>0.27724057772117233</v>
      </c>
      <c r="G107" s="137"/>
      <c r="H107" s="137"/>
      <c r="I107" s="138"/>
      <c r="J107" s="441"/>
    </row>
    <row r="108" spans="1:11" x14ac:dyDescent="0.3">
      <c r="A108" s="144"/>
      <c r="B108" s="142"/>
      <c r="C108" s="83" t="s">
        <v>164</v>
      </c>
      <c r="D108" s="354"/>
      <c r="E108" s="83"/>
      <c r="F108" s="259">
        <f>$B$111*F112+$B$115*F116+$B$119*F120</f>
        <v>0.27724057772117233</v>
      </c>
      <c r="G108" s="85">
        <f>$B$111*G112+$B$115*G116+$B$119*G120</f>
        <v>0</v>
      </c>
      <c r="H108" s="85">
        <f t="shared" ref="H108:J108" si="3">$B$111*H112+$B$115*H116+$B$119*H120</f>
        <v>5.4742176954745134E-2</v>
      </c>
      <c r="I108" s="85">
        <f t="shared" si="3"/>
        <v>0.15</v>
      </c>
      <c r="J108" s="207">
        <f t="shared" si="3"/>
        <v>7.2498400766427162E-2</v>
      </c>
    </row>
    <row r="109" spans="1:11" x14ac:dyDescent="0.3">
      <c r="A109" s="174"/>
      <c r="B109" s="85"/>
      <c r="C109" s="83" t="s">
        <v>165</v>
      </c>
      <c r="D109" s="354"/>
      <c r="E109" s="83"/>
      <c r="F109" s="259">
        <f>$B$111*F113+$B$115*F117+$B$119*F121</f>
        <v>0</v>
      </c>
      <c r="G109" s="85">
        <f t="shared" ref="G109:J110" si="4">$B$111*G113+$B$115*G117+$B$119*G121</f>
        <v>0</v>
      </c>
      <c r="H109" s="85">
        <f t="shared" si="4"/>
        <v>0</v>
      </c>
      <c r="I109" s="85">
        <f t="shared" si="4"/>
        <v>0</v>
      </c>
      <c r="J109" s="207">
        <f t="shared" si="4"/>
        <v>0</v>
      </c>
    </row>
    <row r="110" spans="1:11" x14ac:dyDescent="0.3">
      <c r="A110" s="174"/>
      <c r="B110" s="85"/>
      <c r="C110" s="84" t="s">
        <v>166</v>
      </c>
      <c r="D110" s="355"/>
      <c r="E110" s="84"/>
      <c r="F110" s="259">
        <f>$B$111*F114+$B$115*F118+$B$119*F122</f>
        <v>0</v>
      </c>
      <c r="G110" s="85">
        <f t="shared" si="4"/>
        <v>0</v>
      </c>
      <c r="H110" s="85">
        <f t="shared" si="4"/>
        <v>0</v>
      </c>
      <c r="I110" s="85">
        <f t="shared" si="4"/>
        <v>0</v>
      </c>
      <c r="J110" s="207">
        <f t="shared" si="4"/>
        <v>0</v>
      </c>
    </row>
    <row r="111" spans="1:11" x14ac:dyDescent="0.3">
      <c r="A111" s="111" t="s">
        <v>1</v>
      </c>
      <c r="B111" s="110">
        <f>'Input data processed products'!C37</f>
        <v>0.62424968014597004</v>
      </c>
      <c r="C111" s="269" t="s">
        <v>473</v>
      </c>
      <c r="D111" s="353"/>
      <c r="E111" s="269"/>
      <c r="F111" s="321">
        <f>IF($E$1="GWP100 without fb",F112+F113*'Common input data'!$C$5+F114*'Common input data'!$D$5,IF($E$1="GWP100 with fb",F112+F113*'Common input data'!$C$6+F114*'Common input data'!$D$6,IF($E$1="GTP100 without fb",F112+F113*'Common input data'!$C$7+F114*'Common input data'!$D$7,IF($E$1="GTP100 with fb",F112+F113*'Common input data'!$C$8+F114*'Common input data'!$D$8,F112+F113*'Common input data'!$C$9+F114*'Common input data'!$D$9))))</f>
        <v>0.23</v>
      </c>
      <c r="G111" s="104"/>
      <c r="H111" s="104"/>
      <c r="I111" s="106"/>
      <c r="J111" s="440"/>
    </row>
    <row r="112" spans="1:11" x14ac:dyDescent="0.3">
      <c r="A112" s="144"/>
      <c r="B112" s="142"/>
      <c r="C112" s="83" t="s">
        <v>164</v>
      </c>
      <c r="D112" s="354"/>
      <c r="E112" s="83"/>
      <c r="F112" s="278">
        <f>SUM(G112:J112)</f>
        <v>0.23</v>
      </c>
      <c r="G112" s="85">
        <v>0</v>
      </c>
      <c r="H112" s="85">
        <f>'Input data processed products'!F$67</f>
        <v>0.05</v>
      </c>
      <c r="I112" s="90">
        <f>'Common input data'!B$89</f>
        <v>0.15</v>
      </c>
      <c r="J112" s="109">
        <f>'Common input data'!C$98</f>
        <v>0.03</v>
      </c>
    </row>
    <row r="113" spans="1:358" x14ac:dyDescent="0.3">
      <c r="A113" s="174"/>
      <c r="B113" s="85"/>
      <c r="C113" s="83" t="s">
        <v>165</v>
      </c>
      <c r="D113" s="354"/>
      <c r="E113" s="83"/>
      <c r="F113" s="278">
        <f>SUM(G113:J113)</f>
        <v>0</v>
      </c>
      <c r="G113" s="85">
        <v>0</v>
      </c>
      <c r="H113" s="85">
        <v>0</v>
      </c>
      <c r="I113" s="90">
        <v>0</v>
      </c>
      <c r="J113" s="109">
        <v>0</v>
      </c>
    </row>
    <row r="114" spans="1:358" x14ac:dyDescent="0.3">
      <c r="A114" s="174"/>
      <c r="B114" s="85"/>
      <c r="C114" s="84" t="s">
        <v>166</v>
      </c>
      <c r="D114" s="355"/>
      <c r="E114" s="84"/>
      <c r="F114" s="278">
        <f>SUM(G114:J114)</f>
        <v>0</v>
      </c>
      <c r="G114" s="85">
        <v>0</v>
      </c>
      <c r="H114" s="85">
        <v>0</v>
      </c>
      <c r="I114" s="90">
        <v>0</v>
      </c>
      <c r="J114" s="109">
        <v>0</v>
      </c>
    </row>
    <row r="115" spans="1:358" x14ac:dyDescent="0.3">
      <c r="A115" s="111" t="s">
        <v>315</v>
      </c>
      <c r="B115" s="110">
        <f>'Input data processed products'!C38</f>
        <v>0.21767775469585898</v>
      </c>
      <c r="C115" s="269" t="s">
        <v>473</v>
      </c>
      <c r="D115" s="353"/>
      <c r="E115" s="269"/>
      <c r="F115" s="321">
        <f>IF($E$1="GWP100 without fb",F116+F117*'Common input data'!$C$5+F118*'Common input data'!$D$5,IF($E$1="GWP100 with fb",F116+F117*'Common input data'!$C$6+F118*'Common input data'!$D$6,IF($E$1="GTP100 without fb",F116+F117*'Common input data'!$C$7+F118*'Common input data'!$D$7,IF($E$1="GTP100 with fb",F116+F117*'Common input data'!$C$8+F118*'Common input data'!$D$8,F116+F117*'Common input data'!$C$9+F118*'Common input data'!$D$9))))</f>
        <v>0.28000000000000003</v>
      </c>
      <c r="G115" s="104"/>
      <c r="H115" s="104"/>
      <c r="I115" s="106"/>
      <c r="J115" s="440"/>
    </row>
    <row r="116" spans="1:358" x14ac:dyDescent="0.3">
      <c r="A116" s="144"/>
      <c r="B116" s="142"/>
      <c r="C116" s="83" t="s">
        <v>164</v>
      </c>
      <c r="D116" s="354"/>
      <c r="E116" s="83"/>
      <c r="F116" s="278">
        <f>SUM(G116:J116)</f>
        <v>0.28000000000000003</v>
      </c>
      <c r="G116" s="85">
        <v>0</v>
      </c>
      <c r="H116" s="85">
        <f>'Input data processed products'!F$67</f>
        <v>0.05</v>
      </c>
      <c r="I116" s="90">
        <f>'Common input data'!B$89</f>
        <v>0.15</v>
      </c>
      <c r="J116" s="109">
        <f>'Common input data'!B98+'Common input data'!C98</f>
        <v>0.08</v>
      </c>
    </row>
    <row r="117" spans="1:358" x14ac:dyDescent="0.3">
      <c r="A117" s="174"/>
      <c r="B117" s="85"/>
      <c r="C117" s="83" t="s">
        <v>165</v>
      </c>
      <c r="D117" s="354"/>
      <c r="E117" s="83"/>
      <c r="F117" s="278">
        <f>SUM(G117:J117)</f>
        <v>0</v>
      </c>
      <c r="G117" s="85">
        <v>0</v>
      </c>
      <c r="H117" s="85">
        <v>0</v>
      </c>
      <c r="I117" s="90">
        <v>0</v>
      </c>
      <c r="J117" s="109">
        <v>0</v>
      </c>
    </row>
    <row r="118" spans="1:358" x14ac:dyDescent="0.3">
      <c r="A118" s="174"/>
      <c r="B118" s="85"/>
      <c r="C118" s="84" t="s">
        <v>166</v>
      </c>
      <c r="D118" s="355"/>
      <c r="E118" s="84"/>
      <c r="F118" s="278">
        <f>SUM(G118:J118)</f>
        <v>0</v>
      </c>
      <c r="G118" s="85">
        <v>0</v>
      </c>
      <c r="H118" s="85">
        <v>0</v>
      </c>
      <c r="I118" s="90">
        <v>0</v>
      </c>
      <c r="J118" s="109">
        <v>0</v>
      </c>
    </row>
    <row r="119" spans="1:358" x14ac:dyDescent="0.3">
      <c r="A119" s="111" t="s">
        <v>70</v>
      </c>
      <c r="B119" s="110">
        <f>'Input data processed products'!C39</f>
        <v>0.158072565158171</v>
      </c>
      <c r="C119" s="269" t="s">
        <v>473</v>
      </c>
      <c r="D119" s="353"/>
      <c r="E119" s="269"/>
      <c r="F119" s="321">
        <f>IF($E$1="GWP100 without fb",F120+F121*'Common input data'!$C$5+F122*'Common input data'!$D$5,IF($E$1="GWP100 with fb",F120+F121*'Common input data'!$C$6+F122*'Common input data'!$D$6,IF($E$1="GTP100 without fb",F120+F121*'Common input data'!$C$7+F122*'Common input data'!$D$7,IF($E$1="GTP100 with fb",F120+F121*'Common input data'!$C$8+F122*'Common input data'!$D$8,F120+F121*'Common input data'!$C$9+F122*'Common input data'!$D$9))))</f>
        <v>0.46</v>
      </c>
      <c r="G119" s="104"/>
      <c r="H119" s="104"/>
      <c r="I119" s="106"/>
      <c r="J119" s="440"/>
    </row>
    <row r="120" spans="1:358" x14ac:dyDescent="0.3">
      <c r="A120" s="144"/>
      <c r="B120" s="142"/>
      <c r="C120" s="83" t="s">
        <v>164</v>
      </c>
      <c r="D120" s="354"/>
      <c r="E120" s="83"/>
      <c r="F120" s="278">
        <f>SUM(G120:J120)</f>
        <v>0.46</v>
      </c>
      <c r="G120" s="85">
        <v>0</v>
      </c>
      <c r="H120" s="85">
        <f>'Input data processed products'!F$69</f>
        <v>0.08</v>
      </c>
      <c r="I120" s="90">
        <f>'Common input data'!B$89</f>
        <v>0.15</v>
      </c>
      <c r="J120" s="109">
        <f>'Common input data'!B102+'Common input data'!C102</f>
        <v>0.23000000000000004</v>
      </c>
    </row>
    <row r="121" spans="1:358" x14ac:dyDescent="0.3">
      <c r="A121" s="174"/>
      <c r="B121" s="85"/>
      <c r="C121" s="83" t="s">
        <v>165</v>
      </c>
      <c r="D121" s="354"/>
      <c r="E121" s="83"/>
      <c r="F121" s="278">
        <f>SUM(G121:J121)</f>
        <v>0</v>
      </c>
      <c r="G121" s="85">
        <v>0</v>
      </c>
      <c r="H121" s="85">
        <v>0</v>
      </c>
      <c r="I121" s="90">
        <v>0</v>
      </c>
      <c r="J121" s="109">
        <v>0</v>
      </c>
    </row>
    <row r="122" spans="1:358" x14ac:dyDescent="0.3">
      <c r="A122" s="174"/>
      <c r="B122" s="85"/>
      <c r="C122" s="84" t="s">
        <v>166</v>
      </c>
      <c r="D122" s="592"/>
      <c r="E122" s="100"/>
      <c r="F122" s="521">
        <f>SUM(G122:J122)</f>
        <v>0</v>
      </c>
      <c r="G122" s="85">
        <v>0</v>
      </c>
      <c r="H122" s="85">
        <v>0</v>
      </c>
      <c r="I122" s="90">
        <v>0</v>
      </c>
      <c r="J122" s="442">
        <v>0</v>
      </c>
    </row>
    <row r="123" spans="1:358" s="316" customFormat="1" x14ac:dyDescent="0.3">
      <c r="A123" s="311" t="s">
        <v>852</v>
      </c>
      <c r="B123" s="313"/>
      <c r="C123" s="314"/>
      <c r="D123" s="356"/>
      <c r="E123" s="281"/>
      <c r="F123" s="590" t="s">
        <v>851</v>
      </c>
      <c r="G123" s="313"/>
      <c r="H123" s="313"/>
      <c r="I123" s="315"/>
      <c r="J123" s="315"/>
      <c r="K123" s="107"/>
      <c r="L123" s="64"/>
      <c r="M123" s="64"/>
      <c r="N123" s="64"/>
      <c r="O123" s="64"/>
      <c r="P123" s="64"/>
      <c r="Q123" s="64"/>
      <c r="R123" s="64"/>
      <c r="S123" s="64"/>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c r="AQ123" s="64"/>
      <c r="AR123" s="64"/>
      <c r="AS123" s="64"/>
      <c r="AT123" s="64"/>
      <c r="AU123" s="64"/>
      <c r="AV123" s="64"/>
      <c r="AW123" s="64"/>
      <c r="AX123" s="64"/>
      <c r="AY123" s="64"/>
      <c r="AZ123" s="64"/>
      <c r="BA123" s="64"/>
      <c r="BB123" s="64"/>
      <c r="BC123" s="64"/>
      <c r="BD123" s="64"/>
      <c r="BE123" s="64"/>
      <c r="BF123" s="64"/>
      <c r="BG123" s="64"/>
      <c r="BH123" s="64"/>
      <c r="BI123" s="64"/>
      <c r="BJ123" s="64"/>
      <c r="BK123" s="64"/>
      <c r="BL123" s="64"/>
      <c r="BM123" s="64"/>
      <c r="BN123" s="64"/>
      <c r="BO123" s="64"/>
      <c r="BP123" s="64"/>
      <c r="BQ123" s="64"/>
      <c r="BR123" s="64"/>
      <c r="BS123" s="64"/>
      <c r="BT123" s="64"/>
      <c r="BU123" s="64"/>
      <c r="BV123" s="64"/>
      <c r="BW123" s="64"/>
      <c r="BX123" s="64"/>
      <c r="BY123" s="64"/>
      <c r="BZ123" s="64"/>
      <c r="CA123" s="64"/>
      <c r="CB123" s="64"/>
      <c r="CC123" s="64"/>
      <c r="CD123" s="64"/>
      <c r="CE123" s="64"/>
      <c r="CF123" s="64"/>
      <c r="CG123" s="64"/>
      <c r="CH123" s="64"/>
      <c r="CI123" s="64"/>
      <c r="CJ123" s="64"/>
      <c r="CK123" s="64"/>
      <c r="CL123" s="64"/>
      <c r="CM123" s="64"/>
      <c r="CN123" s="64"/>
      <c r="CO123" s="64"/>
      <c r="CP123" s="64"/>
      <c r="CQ123" s="64"/>
      <c r="CR123" s="64"/>
      <c r="CS123" s="64"/>
      <c r="CT123" s="64"/>
      <c r="CU123" s="64"/>
      <c r="CV123" s="64"/>
      <c r="CW123" s="64"/>
      <c r="CX123" s="64"/>
      <c r="CY123" s="64"/>
      <c r="CZ123" s="64"/>
      <c r="DA123" s="64"/>
      <c r="DB123" s="64"/>
      <c r="DC123" s="64"/>
      <c r="DD123" s="64"/>
      <c r="DE123" s="64"/>
      <c r="DF123" s="64"/>
      <c r="DG123" s="64"/>
      <c r="DH123" s="64"/>
      <c r="DI123" s="64"/>
      <c r="DJ123" s="64"/>
      <c r="DK123" s="64"/>
      <c r="DL123" s="64"/>
      <c r="DM123" s="64"/>
      <c r="DN123" s="64"/>
      <c r="DO123" s="64"/>
      <c r="DP123" s="64"/>
      <c r="DQ123" s="64"/>
      <c r="DR123" s="64"/>
      <c r="DS123" s="64"/>
      <c r="DT123" s="64"/>
      <c r="DU123" s="64"/>
      <c r="DV123" s="64"/>
      <c r="DW123" s="64"/>
      <c r="DX123" s="64"/>
      <c r="DY123" s="64"/>
      <c r="DZ123" s="64"/>
      <c r="EA123" s="64"/>
      <c r="EB123" s="64"/>
      <c r="EC123" s="64"/>
      <c r="ED123" s="64"/>
      <c r="EE123" s="64"/>
      <c r="EF123" s="64"/>
      <c r="EG123" s="64"/>
      <c r="EH123" s="64"/>
      <c r="EI123" s="64"/>
      <c r="EJ123" s="64"/>
      <c r="EK123" s="64"/>
      <c r="EL123" s="64"/>
      <c r="EM123" s="64"/>
      <c r="EN123" s="64"/>
      <c r="EO123" s="64"/>
      <c r="EP123" s="64"/>
      <c r="EQ123" s="64"/>
      <c r="ER123" s="64"/>
      <c r="ES123" s="64"/>
      <c r="ET123" s="64"/>
      <c r="EU123" s="64"/>
      <c r="EV123" s="64"/>
      <c r="EW123" s="64"/>
      <c r="EX123" s="64"/>
      <c r="EY123" s="64"/>
      <c r="EZ123" s="64"/>
      <c r="FA123" s="64"/>
      <c r="FB123" s="64"/>
      <c r="FC123" s="64"/>
      <c r="FD123" s="64"/>
      <c r="FE123" s="64"/>
      <c r="FF123" s="64"/>
      <c r="FG123" s="64"/>
      <c r="FH123" s="64"/>
      <c r="FI123" s="64"/>
      <c r="FJ123" s="64"/>
      <c r="FK123" s="64"/>
      <c r="FL123" s="64"/>
      <c r="FM123" s="64"/>
      <c r="FN123" s="64"/>
      <c r="FO123" s="64"/>
      <c r="FP123" s="64"/>
      <c r="FQ123" s="64"/>
      <c r="FR123" s="64"/>
      <c r="FS123" s="64"/>
      <c r="FT123" s="64"/>
      <c r="FU123" s="64"/>
      <c r="FV123" s="64"/>
      <c r="FW123" s="64"/>
      <c r="FX123" s="64"/>
      <c r="FY123" s="64"/>
      <c r="FZ123" s="64"/>
      <c r="GA123" s="64"/>
      <c r="GB123" s="64"/>
      <c r="GC123" s="64"/>
      <c r="GD123" s="64"/>
      <c r="GE123" s="64"/>
      <c r="GF123" s="64"/>
      <c r="GG123" s="64"/>
      <c r="GH123" s="64"/>
      <c r="GI123" s="64"/>
      <c r="GJ123" s="64"/>
      <c r="GK123" s="64"/>
      <c r="GL123" s="64"/>
      <c r="GM123" s="64"/>
      <c r="GN123" s="64"/>
      <c r="GO123" s="64"/>
      <c r="GP123" s="64"/>
      <c r="GQ123" s="64"/>
      <c r="GR123" s="64"/>
      <c r="GS123" s="64"/>
      <c r="GT123" s="64"/>
      <c r="GU123" s="64"/>
      <c r="GV123" s="64"/>
      <c r="GW123" s="64"/>
      <c r="GX123" s="64"/>
      <c r="GY123" s="64"/>
      <c r="GZ123" s="64"/>
      <c r="HA123" s="64"/>
      <c r="HB123" s="64"/>
      <c r="HC123" s="64"/>
      <c r="HD123" s="64"/>
      <c r="HE123" s="64"/>
      <c r="HF123" s="64"/>
      <c r="HG123" s="64"/>
      <c r="HH123" s="64"/>
      <c r="HI123" s="64"/>
      <c r="HJ123" s="64"/>
      <c r="HK123" s="64"/>
      <c r="HL123" s="64"/>
      <c r="HM123" s="64"/>
      <c r="HN123" s="64"/>
      <c r="HO123" s="64"/>
      <c r="HP123" s="64"/>
      <c r="HQ123" s="64"/>
      <c r="HR123" s="64"/>
      <c r="HS123" s="64"/>
      <c r="HT123" s="64"/>
      <c r="HU123" s="64"/>
      <c r="HV123" s="64"/>
      <c r="HW123" s="64"/>
      <c r="HX123" s="64"/>
      <c r="HY123" s="64"/>
      <c r="HZ123" s="64"/>
      <c r="IA123" s="64"/>
      <c r="IB123" s="64"/>
      <c r="IC123" s="64"/>
      <c r="ID123" s="64"/>
      <c r="IE123" s="64"/>
      <c r="IF123" s="64"/>
      <c r="IG123" s="64"/>
      <c r="IH123" s="64"/>
      <c r="II123" s="64"/>
      <c r="IJ123" s="64"/>
      <c r="IK123" s="64"/>
      <c r="IL123" s="64"/>
      <c r="IM123" s="64"/>
      <c r="IN123" s="64"/>
      <c r="IO123" s="64"/>
      <c r="IP123" s="64"/>
      <c r="IQ123" s="64"/>
      <c r="IR123" s="64"/>
      <c r="IS123" s="64"/>
      <c r="IT123" s="64"/>
      <c r="IU123" s="64"/>
      <c r="IV123" s="64"/>
      <c r="IW123" s="64"/>
      <c r="IX123" s="64"/>
      <c r="IY123" s="64"/>
      <c r="IZ123" s="64"/>
      <c r="JA123" s="64"/>
      <c r="JB123" s="64"/>
      <c r="JC123" s="64"/>
      <c r="JD123" s="64"/>
      <c r="JE123" s="64"/>
      <c r="JF123" s="64"/>
      <c r="JG123" s="64"/>
      <c r="JH123" s="64"/>
      <c r="JI123" s="64"/>
      <c r="JJ123" s="64"/>
      <c r="JK123" s="64"/>
      <c r="JL123" s="64"/>
      <c r="JM123" s="64"/>
      <c r="JN123" s="64"/>
      <c r="JO123" s="64"/>
      <c r="JP123" s="64"/>
      <c r="JQ123" s="64"/>
      <c r="JR123" s="64"/>
      <c r="JS123" s="64"/>
      <c r="JT123" s="64"/>
      <c r="JU123" s="64"/>
      <c r="JV123" s="64"/>
      <c r="JW123" s="64"/>
      <c r="JX123" s="64"/>
      <c r="JY123" s="64"/>
      <c r="JZ123" s="64"/>
      <c r="KA123" s="64"/>
      <c r="KB123" s="64"/>
      <c r="KC123" s="64"/>
      <c r="KD123" s="64"/>
      <c r="KE123" s="64"/>
      <c r="KF123" s="64"/>
      <c r="KG123" s="64"/>
      <c r="KH123" s="64"/>
      <c r="KI123" s="64"/>
      <c r="KJ123" s="64"/>
      <c r="KK123" s="64"/>
      <c r="KL123" s="64"/>
      <c r="KM123" s="64"/>
      <c r="KN123" s="64"/>
      <c r="KO123" s="64"/>
      <c r="KP123" s="64"/>
      <c r="KQ123" s="64"/>
      <c r="KR123" s="64"/>
      <c r="KS123" s="64"/>
      <c r="KT123" s="64"/>
      <c r="KU123" s="64"/>
      <c r="KV123" s="64"/>
      <c r="KW123" s="64"/>
      <c r="KX123" s="64"/>
      <c r="KY123" s="64"/>
      <c r="KZ123" s="64"/>
      <c r="LA123" s="64"/>
      <c r="LB123" s="64"/>
      <c r="LC123" s="64"/>
      <c r="LD123" s="64"/>
      <c r="LE123" s="64"/>
      <c r="LF123" s="64"/>
      <c r="LG123" s="64"/>
      <c r="LH123" s="64"/>
      <c r="LI123" s="64"/>
      <c r="LJ123" s="64"/>
      <c r="LK123" s="64"/>
      <c r="LL123" s="64"/>
      <c r="LM123" s="64"/>
      <c r="LN123" s="64"/>
      <c r="LO123" s="64"/>
      <c r="LP123" s="64"/>
      <c r="LQ123" s="64"/>
      <c r="LR123" s="64"/>
      <c r="LS123" s="64"/>
      <c r="LT123" s="64"/>
      <c r="LU123" s="64"/>
      <c r="LV123" s="64"/>
      <c r="LW123" s="64"/>
      <c r="LX123" s="64"/>
      <c r="LY123" s="64"/>
      <c r="LZ123" s="64"/>
      <c r="MA123" s="64"/>
      <c r="MB123" s="64"/>
      <c r="MC123" s="64"/>
      <c r="MD123" s="64"/>
      <c r="ME123" s="64"/>
      <c r="MF123" s="64"/>
      <c r="MG123" s="64"/>
      <c r="MH123" s="64"/>
      <c r="MI123" s="64"/>
      <c r="MJ123" s="64"/>
      <c r="MK123" s="64"/>
      <c r="ML123" s="64"/>
      <c r="MM123" s="64"/>
      <c r="MN123" s="64"/>
      <c r="MO123" s="64"/>
      <c r="MP123" s="64"/>
      <c r="MQ123" s="64"/>
      <c r="MR123" s="64"/>
      <c r="MS123" s="64"/>
      <c r="MT123" s="64"/>
    </row>
    <row r="124" spans="1:358" s="408" customFormat="1" x14ac:dyDescent="0.3">
      <c r="A124" s="419" t="s">
        <v>1</v>
      </c>
      <c r="B124" s="140">
        <f>SUM(B129,B134)</f>
        <v>1</v>
      </c>
      <c r="C124" s="325" t="s">
        <v>473</v>
      </c>
      <c r="D124" s="407"/>
      <c r="E124" s="325"/>
      <c r="F124" s="770">
        <f>IF($E$1="GWP100 without fb",F125+F126*'Common input data'!$C$5+F127*'Common input data'!$D$5,IF($E$1="GWP100 with fb",F125+F126*'Common input data'!$C$6+F127*'Common input data'!$D$6,IF($E$1="GTP100 without fb",F125+F126*'Common input data'!$C$7+F127*'Common input data'!$D$7,IF($E$1="GTP100 with fb",F125+F126*'Common input data'!$C$8+F127*'Common input data'!$D$8,F125+F126*'Common input data'!$C$9+F127*'Common input data'!$D$9))))</f>
        <v>1.2398058829746113</v>
      </c>
      <c r="G124" s="137"/>
      <c r="H124" s="137"/>
      <c r="I124" s="138"/>
      <c r="J124" s="138"/>
      <c r="K124" s="107"/>
      <c r="L124" s="64"/>
      <c r="M124" s="64"/>
      <c r="N124" s="64"/>
      <c r="O124" s="64"/>
      <c r="P124" s="64"/>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64"/>
      <c r="BP124" s="64"/>
      <c r="BQ124" s="64"/>
      <c r="BR124" s="64"/>
      <c r="BS124" s="64"/>
      <c r="BT124" s="64"/>
      <c r="BU124" s="64"/>
      <c r="BV124" s="64"/>
      <c r="BW124" s="64"/>
      <c r="BX124" s="64"/>
      <c r="BY124" s="64"/>
      <c r="BZ124" s="64"/>
      <c r="CA124" s="64"/>
      <c r="CB124" s="64"/>
      <c r="CC124" s="64"/>
      <c r="CD124" s="64"/>
      <c r="CE124" s="64"/>
      <c r="CF124" s="64"/>
      <c r="CG124" s="64"/>
      <c r="CH124" s="64"/>
      <c r="CI124" s="64"/>
      <c r="CJ124" s="64"/>
      <c r="CK124" s="64"/>
      <c r="CL124" s="64"/>
      <c r="CM124" s="64"/>
      <c r="CN124" s="64"/>
      <c r="CO124" s="64"/>
      <c r="CP124" s="64"/>
      <c r="CQ124" s="64"/>
      <c r="CR124" s="64"/>
      <c r="CS124" s="64"/>
      <c r="CT124" s="64"/>
      <c r="CU124" s="64"/>
      <c r="CV124" s="64"/>
      <c r="CW124" s="64"/>
      <c r="CX124" s="64"/>
      <c r="CY124" s="64"/>
      <c r="CZ124" s="64"/>
      <c r="DA124" s="64"/>
      <c r="DB124" s="64"/>
      <c r="DC124" s="64"/>
      <c r="DD124" s="64"/>
      <c r="DE124" s="64"/>
      <c r="DF124" s="64"/>
      <c r="DG124" s="64"/>
      <c r="DH124" s="64"/>
      <c r="DI124" s="64"/>
      <c r="DJ124" s="64"/>
      <c r="DK124" s="64"/>
      <c r="DL124" s="64"/>
      <c r="DM124" s="64"/>
      <c r="DN124" s="64"/>
      <c r="DO124" s="64"/>
      <c r="DP124" s="64"/>
      <c r="DQ124" s="64"/>
      <c r="DR124" s="64"/>
      <c r="DS124" s="64"/>
      <c r="DT124" s="64"/>
      <c r="DU124" s="64"/>
      <c r="DV124" s="64"/>
      <c r="DW124" s="64"/>
      <c r="DX124" s="64"/>
      <c r="DY124" s="64"/>
      <c r="DZ124" s="64"/>
      <c r="EA124" s="64"/>
      <c r="EB124" s="64"/>
      <c r="EC124" s="64"/>
      <c r="ED124" s="64"/>
      <c r="EE124" s="64"/>
      <c r="EF124" s="64"/>
      <c r="EG124" s="64"/>
      <c r="EH124" s="64"/>
      <c r="EI124" s="64"/>
      <c r="EJ124" s="64"/>
      <c r="EK124" s="64"/>
      <c r="EL124" s="64"/>
      <c r="EM124" s="64"/>
      <c r="EN124" s="64"/>
      <c r="EO124" s="64"/>
      <c r="EP124" s="64"/>
      <c r="EQ124" s="64"/>
      <c r="ER124" s="64"/>
      <c r="ES124" s="64"/>
      <c r="ET124" s="64"/>
      <c r="EU124" s="64"/>
      <c r="EV124" s="64"/>
      <c r="EW124" s="64"/>
      <c r="EX124" s="64"/>
      <c r="EY124" s="64"/>
      <c r="EZ124" s="64"/>
      <c r="FA124" s="64"/>
      <c r="FB124" s="64"/>
      <c r="FC124" s="64"/>
      <c r="FD124" s="64"/>
      <c r="FE124" s="64"/>
      <c r="FF124" s="64"/>
      <c r="FG124" s="64"/>
      <c r="FH124" s="64"/>
      <c r="FI124" s="64"/>
      <c r="FJ124" s="64"/>
      <c r="FK124" s="64"/>
      <c r="FL124" s="64"/>
      <c r="FM124" s="64"/>
      <c r="FN124" s="64"/>
      <c r="FO124" s="64"/>
      <c r="FP124" s="64"/>
      <c r="FQ124" s="64"/>
      <c r="FR124" s="64"/>
      <c r="FS124" s="64"/>
      <c r="FT124" s="64"/>
      <c r="FU124" s="64"/>
      <c r="FV124" s="64"/>
      <c r="FW124" s="64"/>
      <c r="FX124" s="64"/>
      <c r="FY124" s="64"/>
      <c r="FZ124" s="64"/>
      <c r="GA124" s="64"/>
      <c r="GB124" s="64"/>
      <c r="GC124" s="64"/>
      <c r="GD124" s="64"/>
      <c r="GE124" s="64"/>
      <c r="GF124" s="64"/>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c r="HO124" s="64"/>
      <c r="HP124" s="64"/>
      <c r="HQ124" s="64"/>
      <c r="HR124" s="64"/>
      <c r="HS124" s="64"/>
      <c r="HT124" s="64"/>
      <c r="HU124" s="64"/>
      <c r="HV124" s="64"/>
      <c r="HW124" s="64"/>
      <c r="HX124" s="64"/>
      <c r="HY124" s="64"/>
      <c r="HZ124" s="64"/>
      <c r="IA124" s="64"/>
      <c r="IB124" s="64"/>
      <c r="IC124" s="64"/>
      <c r="ID124" s="64"/>
      <c r="IE124" s="64"/>
      <c r="IF124" s="64"/>
      <c r="IG124" s="64"/>
      <c r="IH124" s="64"/>
      <c r="II124" s="64"/>
      <c r="IJ124" s="64"/>
      <c r="IK124" s="64"/>
      <c r="IL124" s="64"/>
      <c r="IM124" s="64"/>
      <c r="IN124" s="64"/>
      <c r="IO124" s="64"/>
      <c r="IP124" s="64"/>
      <c r="IQ124" s="64"/>
      <c r="IR124" s="64"/>
      <c r="IS124" s="64"/>
      <c r="IT124" s="64"/>
      <c r="IU124" s="64"/>
      <c r="IV124" s="64"/>
      <c r="IW124" s="64"/>
      <c r="IX124" s="64"/>
      <c r="IY124" s="64"/>
      <c r="IZ124" s="64"/>
      <c r="JA124" s="64"/>
      <c r="JB124" s="64"/>
      <c r="JC124" s="64"/>
      <c r="JD124" s="64"/>
      <c r="JE124" s="64"/>
      <c r="JF124" s="64"/>
      <c r="JG124" s="64"/>
      <c r="JH124" s="64"/>
      <c r="JI124" s="64"/>
      <c r="JJ124" s="64"/>
      <c r="JK124" s="64"/>
      <c r="JL124" s="64"/>
      <c r="JM124" s="64"/>
      <c r="JN124" s="64"/>
      <c r="JO124" s="64"/>
      <c r="JP124" s="64"/>
      <c r="JQ124" s="64"/>
      <c r="JR124" s="64"/>
      <c r="JS124" s="64"/>
      <c r="JT124" s="64"/>
      <c r="JU124" s="64"/>
      <c r="JV124" s="64"/>
      <c r="JW124" s="64"/>
      <c r="JX124" s="64"/>
      <c r="JY124" s="64"/>
      <c r="JZ124" s="64"/>
      <c r="KA124" s="64"/>
      <c r="KB124" s="64"/>
      <c r="KC124" s="64"/>
      <c r="KD124" s="64"/>
      <c r="KE124" s="64"/>
      <c r="KF124" s="64"/>
      <c r="KG124" s="64"/>
      <c r="KH124" s="64"/>
      <c r="KI124" s="64"/>
      <c r="KJ124" s="64"/>
      <c r="KK124" s="64"/>
      <c r="KL124" s="64"/>
      <c r="KM124" s="64"/>
      <c r="KN124" s="64"/>
      <c r="KO124" s="64"/>
      <c r="KP124" s="64"/>
      <c r="KQ124" s="64"/>
      <c r="KR124" s="64"/>
      <c r="KS124" s="64"/>
      <c r="KT124" s="64"/>
      <c r="KU124" s="64"/>
      <c r="KV124" s="64"/>
      <c r="KW124" s="64"/>
      <c r="KX124" s="64"/>
      <c r="KY124" s="64"/>
      <c r="KZ124" s="64"/>
      <c r="LA124" s="64"/>
      <c r="LB124" s="64"/>
      <c r="LC124" s="64"/>
      <c r="LD124" s="64"/>
      <c r="LE124" s="64"/>
      <c r="LF124" s="64"/>
      <c r="LG124" s="64"/>
      <c r="LH124" s="64"/>
      <c r="LI124" s="64"/>
      <c r="LJ124" s="64"/>
      <c r="LK124" s="64"/>
      <c r="LL124" s="64"/>
      <c r="LM124" s="64"/>
      <c r="LN124" s="64"/>
      <c r="LO124" s="64"/>
      <c r="LP124" s="64"/>
      <c r="LQ124" s="64"/>
      <c r="LR124" s="64"/>
      <c r="LS124" s="64"/>
      <c r="LT124" s="64"/>
      <c r="LU124" s="64"/>
      <c r="LV124" s="64"/>
      <c r="LW124" s="64"/>
      <c r="LX124" s="64"/>
      <c r="LY124" s="64"/>
      <c r="LZ124" s="64"/>
      <c r="MA124" s="64"/>
      <c r="MB124" s="64"/>
      <c r="MC124" s="64"/>
      <c r="MD124" s="64"/>
      <c r="ME124" s="64"/>
      <c r="MF124" s="64"/>
      <c r="MG124" s="64"/>
      <c r="MH124" s="64"/>
      <c r="MI124" s="64"/>
      <c r="MJ124" s="64"/>
      <c r="MK124" s="64"/>
      <c r="ML124" s="64"/>
      <c r="MM124" s="64"/>
      <c r="MN124" s="64"/>
      <c r="MO124" s="64"/>
      <c r="MP124" s="64"/>
      <c r="MQ124" s="64"/>
      <c r="MR124" s="64"/>
      <c r="MS124" s="64"/>
      <c r="MT124" s="64"/>
    </row>
    <row r="125" spans="1:358" x14ac:dyDescent="0.3">
      <c r="A125" s="144"/>
      <c r="B125" s="142"/>
      <c r="C125" s="83" t="s">
        <v>164</v>
      </c>
      <c r="D125" s="354"/>
      <c r="E125" s="83"/>
      <c r="F125" s="278">
        <f>$B$129*F130+$B$134*F135</f>
        <v>1.1126655403997323</v>
      </c>
      <c r="G125" s="90">
        <f t="shared" ref="G125:J127" si="5">$B$129*G130+$B$134*G135</f>
        <v>0.72139898635975896</v>
      </c>
      <c r="H125" s="90">
        <f t="shared" si="5"/>
        <v>0.1</v>
      </c>
      <c r="I125" s="90">
        <f t="shared" si="5"/>
        <v>0.15</v>
      </c>
      <c r="J125" s="90">
        <f t="shared" si="5"/>
        <v>0.03</v>
      </c>
      <c r="K125" s="107"/>
    </row>
    <row r="126" spans="1:358" x14ac:dyDescent="0.3">
      <c r="A126" s="174"/>
      <c r="B126" s="85"/>
      <c r="C126" s="83" t="s">
        <v>165</v>
      </c>
      <c r="D126" s="354"/>
      <c r="E126" s="83"/>
      <c r="F126" s="278">
        <f>$B$129*F131+$B$134*F136</f>
        <v>3.6888662529488773E-5</v>
      </c>
      <c r="G126" s="90">
        <f t="shared" si="5"/>
        <v>3.3199796276539895E-5</v>
      </c>
      <c r="H126" s="90">
        <f t="shared" si="5"/>
        <v>0</v>
      </c>
      <c r="I126" s="90">
        <f t="shared" si="5"/>
        <v>0</v>
      </c>
      <c r="J126" s="90">
        <f t="shared" si="5"/>
        <v>0</v>
      </c>
      <c r="K126" s="107"/>
    </row>
    <row r="127" spans="1:358" x14ac:dyDescent="0.3">
      <c r="A127" s="174"/>
      <c r="B127" s="85"/>
      <c r="C127" s="84" t="s">
        <v>166</v>
      </c>
      <c r="D127" s="592"/>
      <c r="E127" s="100"/>
      <c r="F127" s="521">
        <f>$B$129*F132+$B$134*F137</f>
        <v>4.2243667130495438E-4</v>
      </c>
      <c r="G127" s="90">
        <f t="shared" si="5"/>
        <v>3.8019300417445893E-4</v>
      </c>
      <c r="H127" s="90">
        <f t="shared" si="5"/>
        <v>0</v>
      </c>
      <c r="I127" s="90">
        <f t="shared" si="5"/>
        <v>0</v>
      </c>
      <c r="J127" s="90">
        <f t="shared" si="5"/>
        <v>0</v>
      </c>
      <c r="K127" s="107"/>
    </row>
    <row r="128" spans="1:358" s="316" customFormat="1" x14ac:dyDescent="0.3">
      <c r="A128" s="311" t="s">
        <v>496</v>
      </c>
      <c r="B128" s="313"/>
      <c r="C128" s="314"/>
      <c r="D128" s="356"/>
      <c r="E128" s="281"/>
      <c r="F128" s="590" t="s">
        <v>850</v>
      </c>
      <c r="G128" s="315"/>
      <c r="H128" s="315"/>
      <c r="I128" s="315"/>
      <c r="J128" s="315"/>
      <c r="K128" s="107"/>
      <c r="L128" s="64"/>
      <c r="M128" s="64"/>
      <c r="N128" s="64"/>
      <c r="O128" s="64"/>
      <c r="P128" s="64"/>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4"/>
      <c r="CA128" s="64"/>
      <c r="CB128" s="64"/>
      <c r="CC128" s="64"/>
      <c r="CD128" s="64"/>
      <c r="CE128" s="64"/>
      <c r="CF128" s="64"/>
      <c r="CG128" s="64"/>
      <c r="CH128" s="64"/>
      <c r="CI128" s="64"/>
      <c r="CJ128" s="64"/>
      <c r="CK128" s="64"/>
      <c r="CL128" s="64"/>
      <c r="CM128" s="64"/>
      <c r="CN128" s="64"/>
      <c r="CO128" s="64"/>
      <c r="CP128" s="64"/>
      <c r="CQ128" s="64"/>
      <c r="CR128" s="64"/>
      <c r="CS128" s="64"/>
      <c r="CT128" s="64"/>
      <c r="CU128" s="64"/>
      <c r="CV128" s="64"/>
      <c r="CW128" s="64"/>
      <c r="CX128" s="64"/>
      <c r="CY128" s="64"/>
      <c r="CZ128" s="64"/>
      <c r="DA128" s="64"/>
      <c r="DB128" s="64"/>
      <c r="DC128" s="64"/>
      <c r="DD128" s="64"/>
      <c r="DE128" s="64"/>
      <c r="DF128" s="64"/>
      <c r="DG128" s="64"/>
      <c r="DH128" s="64"/>
      <c r="DI128" s="64"/>
      <c r="DJ128" s="64"/>
      <c r="DK128" s="64"/>
      <c r="DL128" s="64"/>
      <c r="DM128" s="64"/>
      <c r="DN128" s="64"/>
      <c r="DO128" s="64"/>
      <c r="DP128" s="64"/>
      <c r="DQ128" s="64"/>
      <c r="DR128" s="64"/>
      <c r="DS128" s="64"/>
      <c r="DT128" s="64"/>
      <c r="DU128" s="64"/>
      <c r="DV128" s="64"/>
      <c r="DW128" s="64"/>
      <c r="DX128" s="64"/>
      <c r="DY128" s="64"/>
      <c r="DZ128" s="64"/>
      <c r="EA128" s="64"/>
      <c r="EB128" s="64"/>
      <c r="EC128" s="64"/>
      <c r="ED128" s="64"/>
      <c r="EE128" s="64"/>
      <c r="EF128" s="64"/>
      <c r="EG128" s="64"/>
      <c r="EH128" s="64"/>
      <c r="EI128" s="64"/>
      <c r="EJ128" s="64"/>
      <c r="EK128" s="64"/>
      <c r="EL128" s="64"/>
      <c r="EM128" s="64"/>
      <c r="EN128" s="64"/>
      <c r="EO128" s="64"/>
      <c r="EP128" s="64"/>
      <c r="EQ128" s="64"/>
      <c r="ER128" s="64"/>
      <c r="ES128" s="64"/>
      <c r="ET128" s="64"/>
      <c r="EU128" s="64"/>
      <c r="EV128" s="64"/>
      <c r="EW128" s="64"/>
      <c r="EX128" s="64"/>
      <c r="EY128" s="64"/>
      <c r="EZ128" s="64"/>
      <c r="FA128" s="64"/>
      <c r="FB128" s="64"/>
      <c r="FC128" s="64"/>
      <c r="FD128" s="64"/>
      <c r="FE128" s="64"/>
      <c r="FF128" s="64"/>
      <c r="FG128" s="64"/>
      <c r="FH128" s="64"/>
      <c r="FI128" s="64"/>
      <c r="FJ128" s="64"/>
      <c r="FK128" s="64"/>
      <c r="FL128" s="64"/>
      <c r="FM128" s="64"/>
      <c r="FN128" s="64"/>
      <c r="FO128" s="64"/>
      <c r="FP128" s="64"/>
      <c r="FQ128" s="64"/>
      <c r="FR128" s="64"/>
      <c r="FS128" s="64"/>
      <c r="FT128" s="64"/>
      <c r="FU128" s="64"/>
      <c r="FV128" s="64"/>
      <c r="FW128" s="64"/>
      <c r="FX128" s="64"/>
      <c r="FY128" s="64"/>
      <c r="FZ128" s="64"/>
      <c r="GA128" s="64"/>
      <c r="GB128" s="64"/>
      <c r="GC128" s="64"/>
      <c r="GD128" s="64"/>
      <c r="GE128" s="64"/>
      <c r="GF128" s="64"/>
      <c r="GG128" s="64"/>
      <c r="GH128" s="64"/>
      <c r="GI128" s="64"/>
      <c r="GJ128" s="64"/>
      <c r="GK128" s="64"/>
      <c r="GL128" s="64"/>
      <c r="GM128" s="64"/>
      <c r="GN128" s="64"/>
      <c r="GO128" s="64"/>
      <c r="GP128" s="64"/>
      <c r="GQ128" s="64"/>
      <c r="GR128" s="64"/>
      <c r="GS128" s="64"/>
      <c r="GT128" s="64"/>
      <c r="GU128" s="64"/>
      <c r="GV128" s="64"/>
      <c r="GW128" s="64"/>
      <c r="GX128" s="64"/>
      <c r="GY128" s="64"/>
      <c r="GZ128" s="64"/>
      <c r="HA128" s="64"/>
      <c r="HB128" s="64"/>
      <c r="HC128" s="64"/>
      <c r="HD128" s="64"/>
      <c r="HE128" s="64"/>
      <c r="HF128" s="64"/>
      <c r="HG128" s="64"/>
      <c r="HH128" s="64"/>
      <c r="HI128" s="64"/>
      <c r="HJ128" s="64"/>
      <c r="HK128" s="64"/>
      <c r="HL128" s="64"/>
      <c r="HM128" s="64"/>
      <c r="HN128" s="64"/>
      <c r="HO128" s="64"/>
      <c r="HP128" s="64"/>
      <c r="HQ128" s="64"/>
      <c r="HR128" s="64"/>
      <c r="HS128" s="64"/>
      <c r="HT128" s="64"/>
      <c r="HU128" s="64"/>
      <c r="HV128" s="64"/>
      <c r="HW128" s="64"/>
      <c r="HX128" s="64"/>
      <c r="HY128" s="64"/>
      <c r="HZ128" s="64"/>
      <c r="IA128" s="64"/>
      <c r="IB128" s="64"/>
      <c r="IC128" s="64"/>
      <c r="ID128" s="64"/>
      <c r="IE128" s="64"/>
      <c r="IF128" s="64"/>
      <c r="IG128" s="64"/>
      <c r="IH128" s="64"/>
      <c r="II128" s="64"/>
      <c r="IJ128" s="64"/>
      <c r="IK128" s="64"/>
      <c r="IL128" s="64"/>
      <c r="IM128" s="64"/>
      <c r="IN128" s="64"/>
      <c r="IO128" s="64"/>
      <c r="IP128" s="64"/>
      <c r="IQ128" s="64"/>
      <c r="IR128" s="64"/>
      <c r="IS128" s="64"/>
      <c r="IT128" s="64"/>
      <c r="IU128" s="64"/>
      <c r="IV128" s="64"/>
      <c r="IW128" s="64"/>
      <c r="IX128" s="64"/>
      <c r="IY128" s="64"/>
      <c r="IZ128" s="64"/>
      <c r="JA128" s="64"/>
      <c r="JB128" s="64"/>
      <c r="JC128" s="64"/>
      <c r="JD128" s="64"/>
      <c r="JE128" s="64"/>
      <c r="JF128" s="64"/>
      <c r="JG128" s="64"/>
      <c r="JH128" s="64"/>
      <c r="JI128" s="64"/>
      <c r="JJ128" s="64"/>
      <c r="JK128" s="64"/>
      <c r="JL128" s="64"/>
      <c r="JM128" s="64"/>
      <c r="JN128" s="64"/>
      <c r="JO128" s="64"/>
      <c r="JP128" s="64"/>
      <c r="JQ128" s="64"/>
      <c r="JR128" s="64"/>
      <c r="JS128" s="64"/>
      <c r="JT128" s="64"/>
      <c r="JU128" s="64"/>
      <c r="JV128" s="64"/>
      <c r="JW128" s="64"/>
      <c r="JX128" s="64"/>
      <c r="JY128" s="64"/>
      <c r="JZ128" s="64"/>
      <c r="KA128" s="64"/>
      <c r="KB128" s="64"/>
      <c r="KC128" s="64"/>
      <c r="KD128" s="64"/>
      <c r="KE128" s="64"/>
      <c r="KF128" s="64"/>
      <c r="KG128" s="64"/>
      <c r="KH128" s="64"/>
      <c r="KI128" s="64"/>
      <c r="KJ128" s="64"/>
      <c r="KK128" s="64"/>
      <c r="KL128" s="64"/>
      <c r="KM128" s="64"/>
      <c r="KN128" s="64"/>
      <c r="KO128" s="64"/>
      <c r="KP128" s="64"/>
      <c r="KQ128" s="64"/>
      <c r="KR128" s="64"/>
      <c r="KS128" s="64"/>
      <c r="KT128" s="64"/>
      <c r="KU128" s="64"/>
      <c r="KV128" s="64"/>
      <c r="KW128" s="64"/>
      <c r="KX128" s="64"/>
      <c r="KY128" s="64"/>
      <c r="KZ128" s="64"/>
      <c r="LA128" s="64"/>
      <c r="LB128" s="64"/>
      <c r="LC128" s="64"/>
      <c r="LD128" s="64"/>
      <c r="LE128" s="64"/>
      <c r="LF128" s="64"/>
      <c r="LG128" s="64"/>
      <c r="LH128" s="64"/>
      <c r="LI128" s="64"/>
      <c r="LJ128" s="64"/>
      <c r="LK128" s="64"/>
      <c r="LL128" s="64"/>
      <c r="LM128" s="64"/>
      <c r="LN128" s="64"/>
      <c r="LO128" s="64"/>
      <c r="LP128" s="64"/>
      <c r="LQ128" s="64"/>
      <c r="LR128" s="64"/>
      <c r="LS128" s="64"/>
      <c r="LT128" s="64"/>
      <c r="LU128" s="64"/>
      <c r="LV128" s="64"/>
      <c r="LW128" s="64"/>
      <c r="LX128" s="64"/>
      <c r="LY128" s="64"/>
      <c r="LZ128" s="64"/>
      <c r="MA128" s="64"/>
      <c r="MB128" s="64"/>
      <c r="MC128" s="64"/>
      <c r="MD128" s="64"/>
      <c r="ME128" s="64"/>
      <c r="MF128" s="64"/>
      <c r="MG128" s="64"/>
      <c r="MH128" s="64"/>
      <c r="MI128" s="64"/>
      <c r="MJ128" s="64"/>
      <c r="MK128" s="64"/>
      <c r="ML128" s="64"/>
      <c r="MM128" s="64"/>
      <c r="MN128" s="64"/>
      <c r="MO128" s="64"/>
      <c r="MP128" s="64"/>
      <c r="MQ128" s="64"/>
      <c r="MR128" s="64"/>
      <c r="MS128" s="64"/>
      <c r="MT128" s="64"/>
    </row>
    <row r="129" spans="1:358" s="408" customFormat="1" x14ac:dyDescent="0.3">
      <c r="A129" s="419" t="s">
        <v>1</v>
      </c>
      <c r="B129" s="140">
        <f>'Input data processed products'!C41</f>
        <v>0.5</v>
      </c>
      <c r="C129" s="325" t="s">
        <v>473</v>
      </c>
      <c r="D129" s="407"/>
      <c r="E129" s="325"/>
      <c r="F129" s="770">
        <f>IF($E$1="GWP100 without fb",F130+F131*'Common input data'!$C$5+F132*'Common input data'!$D$5,IF($E$1="GWP100 with fb",F130+F131*'Common input data'!$C$6+F132*'Common input data'!$D$6,IF($E$1="GTP100 without fb",F130+F131*'Common input data'!$C$7+F132*'Common input data'!$D$7,IF($E$1="GTP100 with fb",F130+F131*'Common input data'!$C$8+F132*'Common input data'!$D$8,F130+F131*'Common input data'!$C$9+F132*'Common input data'!$D$9))))</f>
        <v>1.687789075063109</v>
      </c>
      <c r="G129" s="137"/>
      <c r="H129" s="137"/>
      <c r="I129" s="138"/>
      <c r="J129" s="138"/>
      <c r="K129" s="107"/>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c r="BP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c r="HO129" s="64"/>
      <c r="HP129" s="64"/>
      <c r="HQ129" s="64"/>
      <c r="HR129" s="64"/>
      <c r="HS129" s="64"/>
      <c r="HT129" s="64"/>
      <c r="HU129" s="64"/>
      <c r="HV129" s="64"/>
      <c r="HW129" s="64"/>
      <c r="HX129" s="64"/>
      <c r="HY129" s="64"/>
      <c r="HZ129" s="64"/>
      <c r="IA129" s="64"/>
      <c r="IB129" s="64"/>
      <c r="IC129" s="64"/>
      <c r="ID129" s="64"/>
      <c r="IE129" s="64"/>
      <c r="IF129" s="64"/>
      <c r="IG129" s="64"/>
      <c r="IH129" s="64"/>
      <c r="II129" s="64"/>
      <c r="IJ129" s="64"/>
      <c r="IK129" s="64"/>
      <c r="IL129" s="64"/>
      <c r="IM129" s="64"/>
      <c r="IN129" s="64"/>
      <c r="IO129" s="64"/>
      <c r="IP129" s="64"/>
      <c r="IQ129" s="64"/>
      <c r="IR129" s="64"/>
      <c r="IS129" s="64"/>
      <c r="IT129" s="64"/>
      <c r="IU129" s="64"/>
      <c r="IV129" s="64"/>
      <c r="IW129" s="64"/>
      <c r="IX129" s="64"/>
      <c r="IY129" s="64"/>
      <c r="IZ129" s="64"/>
      <c r="JA129" s="64"/>
      <c r="JB129" s="64"/>
      <c r="JC129" s="64"/>
      <c r="JD129" s="64"/>
      <c r="JE129" s="64"/>
      <c r="JF129" s="64"/>
      <c r="JG129" s="64"/>
      <c r="JH129" s="64"/>
      <c r="JI129" s="64"/>
      <c r="JJ129" s="64"/>
      <c r="JK129" s="64"/>
      <c r="JL129" s="64"/>
      <c r="JM129" s="64"/>
      <c r="JN129" s="64"/>
      <c r="JO129" s="64"/>
      <c r="JP129" s="64"/>
      <c r="JQ129" s="64"/>
      <c r="JR129" s="64"/>
      <c r="JS129" s="64"/>
      <c r="JT129" s="64"/>
      <c r="JU129" s="64"/>
      <c r="JV129" s="64"/>
      <c r="JW129" s="64"/>
      <c r="JX129" s="64"/>
      <c r="JY129" s="64"/>
      <c r="JZ129" s="64"/>
      <c r="KA129" s="64"/>
      <c r="KB129" s="64"/>
      <c r="KC129" s="64"/>
      <c r="KD129" s="64"/>
      <c r="KE129" s="64"/>
      <c r="KF129" s="64"/>
      <c r="KG129" s="64"/>
      <c r="KH129" s="64"/>
      <c r="KI129" s="64"/>
      <c r="KJ129" s="64"/>
      <c r="KK129" s="64"/>
      <c r="KL129" s="64"/>
      <c r="KM129" s="64"/>
      <c r="KN129" s="64"/>
      <c r="KO129" s="64"/>
      <c r="KP129" s="64"/>
      <c r="KQ129" s="64"/>
      <c r="KR129" s="64"/>
      <c r="KS129" s="64"/>
      <c r="KT129" s="64"/>
      <c r="KU129" s="64"/>
      <c r="KV129" s="64"/>
      <c r="KW129" s="64"/>
      <c r="KX129" s="64"/>
      <c r="KY129" s="64"/>
      <c r="KZ129" s="64"/>
      <c r="LA129" s="64"/>
      <c r="LB129" s="64"/>
      <c r="LC129" s="64"/>
      <c r="LD129" s="64"/>
      <c r="LE129" s="64"/>
      <c r="LF129" s="64"/>
      <c r="LG129" s="64"/>
      <c r="LH129" s="64"/>
      <c r="LI129" s="64"/>
      <c r="LJ129" s="64"/>
      <c r="LK129" s="64"/>
      <c r="LL129" s="64"/>
      <c r="LM129" s="64"/>
      <c r="LN129" s="64"/>
      <c r="LO129" s="64"/>
      <c r="LP129" s="64"/>
      <c r="LQ129" s="64"/>
      <c r="LR129" s="64"/>
      <c r="LS129" s="64"/>
      <c r="LT129" s="64"/>
      <c r="LU129" s="64"/>
      <c r="LV129" s="64"/>
      <c r="LW129" s="64"/>
      <c r="LX129" s="64"/>
      <c r="LY129" s="64"/>
      <c r="LZ129" s="64"/>
      <c r="MA129" s="64"/>
      <c r="MB129" s="64"/>
      <c r="MC129" s="64"/>
      <c r="MD129" s="64"/>
      <c r="ME129" s="64"/>
      <c r="MF129" s="64"/>
      <c r="MG129" s="64"/>
      <c r="MH129" s="64"/>
      <c r="MI129" s="64"/>
      <c r="MJ129" s="64"/>
      <c r="MK129" s="64"/>
      <c r="ML129" s="64"/>
      <c r="MM129" s="64"/>
      <c r="MN129" s="64"/>
      <c r="MO129" s="64"/>
      <c r="MP129" s="64"/>
      <c r="MQ129" s="64"/>
      <c r="MR129" s="64"/>
      <c r="MS129" s="64"/>
      <c r="MT129" s="64"/>
    </row>
    <row r="130" spans="1:358" x14ac:dyDescent="0.3">
      <c r="A130" s="144"/>
      <c r="B130" s="142"/>
      <c r="C130" s="83" t="s">
        <v>164</v>
      </c>
      <c r="D130" s="354"/>
      <c r="E130" s="83"/>
      <c r="F130" s="278">
        <f>SUM(G130:J130)/(1-'Common input data'!$B$136)</f>
        <v>1.4608735418974674</v>
      </c>
      <c r="G130" s="85">
        <f>SUMPRODUCT('Input data processed products'!D$41:AB$41,'Input data processed products'!D$55:AB$55)</f>
        <v>1.0347861877077207</v>
      </c>
      <c r="H130" s="85">
        <f>'Input data processed products'!G$67</f>
        <v>0.1</v>
      </c>
      <c r="I130" s="90">
        <f>'Common input data'!B$89</f>
        <v>0.15</v>
      </c>
      <c r="J130" s="90">
        <f>'Common input data'!C$98</f>
        <v>0.03</v>
      </c>
      <c r="K130" s="107"/>
    </row>
    <row r="131" spans="1:358" x14ac:dyDescent="0.3">
      <c r="A131" s="174"/>
      <c r="B131" s="85"/>
      <c r="C131" s="83" t="s">
        <v>165</v>
      </c>
      <c r="D131" s="354"/>
      <c r="E131" s="83"/>
      <c r="F131" s="278">
        <f>SUM(G131:J131)/(1-'Common input data'!$B$136)</f>
        <v>3.2148904817039569E-5</v>
      </c>
      <c r="G131" s="85">
        <f>SUMPRODUCT('Input data processed products'!D$41:AB$41,'Input data processed products'!D$56:AB$56)</f>
        <v>2.8934014335335613E-5</v>
      </c>
      <c r="H131" s="85">
        <v>0</v>
      </c>
      <c r="I131" s="90">
        <v>0</v>
      </c>
      <c r="J131" s="90">
        <v>0</v>
      </c>
      <c r="K131" s="107"/>
    </row>
    <row r="132" spans="1:358" x14ac:dyDescent="0.3">
      <c r="A132" s="174"/>
      <c r="B132" s="85"/>
      <c r="C132" s="84" t="s">
        <v>166</v>
      </c>
      <c r="D132" s="592"/>
      <c r="E132" s="100"/>
      <c r="F132" s="521">
        <f>SUM(G132:J132)/(1-'Common input data'!$B$136)</f>
        <v>7.577935248384638E-4</v>
      </c>
      <c r="G132" s="85">
        <f>SUMPRODUCT('Input data processed products'!D$41:AB$41,'Input data processed products'!D$57:AB$57)</f>
        <v>6.8201417235461744E-4</v>
      </c>
      <c r="H132" s="85">
        <v>0</v>
      </c>
      <c r="I132" s="90">
        <v>0</v>
      </c>
      <c r="J132" s="90">
        <v>0</v>
      </c>
      <c r="K132" s="107"/>
    </row>
    <row r="133" spans="1:358" s="316" customFormat="1" x14ac:dyDescent="0.3">
      <c r="A133" s="311" t="s">
        <v>497</v>
      </c>
      <c r="B133" s="313"/>
      <c r="C133" s="314"/>
      <c r="D133" s="356"/>
      <c r="E133" s="281"/>
      <c r="F133" s="590" t="s">
        <v>854</v>
      </c>
      <c r="G133" s="313"/>
      <c r="H133" s="313"/>
      <c r="I133" s="315"/>
      <c r="J133" s="315"/>
      <c r="K133" s="107"/>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4"/>
      <c r="CA133" s="64"/>
      <c r="CB133" s="64"/>
      <c r="CC133" s="64"/>
      <c r="CD133" s="64"/>
      <c r="CE133" s="64"/>
      <c r="CF133" s="64"/>
      <c r="CG133" s="64"/>
      <c r="CH133" s="64"/>
      <c r="CI133" s="64"/>
      <c r="CJ133" s="64"/>
      <c r="CK133" s="64"/>
      <c r="CL133" s="64"/>
      <c r="CM133" s="64"/>
      <c r="CN133" s="64"/>
      <c r="CO133" s="64"/>
      <c r="CP133" s="64"/>
      <c r="CQ133" s="64"/>
      <c r="CR133" s="64"/>
      <c r="CS133" s="64"/>
      <c r="CT133" s="64"/>
      <c r="CU133" s="64"/>
      <c r="CV133" s="64"/>
      <c r="CW133" s="64"/>
      <c r="CX133" s="64"/>
      <c r="CY133" s="64"/>
      <c r="CZ133" s="64"/>
      <c r="DA133" s="64"/>
      <c r="DB133" s="64"/>
      <c r="DC133" s="64"/>
      <c r="DD133" s="64"/>
      <c r="DE133" s="64"/>
      <c r="DF133" s="64"/>
      <c r="DG133" s="64"/>
      <c r="DH133" s="64"/>
      <c r="DI133" s="64"/>
      <c r="DJ133" s="64"/>
      <c r="DK133" s="64"/>
      <c r="DL133" s="64"/>
      <c r="DM133" s="64"/>
      <c r="DN133" s="64"/>
      <c r="DO133" s="64"/>
      <c r="DP133" s="64"/>
      <c r="DQ133" s="64"/>
      <c r="DR133" s="64"/>
      <c r="DS133" s="64"/>
      <c r="DT133" s="64"/>
      <c r="DU133" s="64"/>
      <c r="DV133" s="64"/>
      <c r="DW133" s="64"/>
      <c r="DX133" s="64"/>
      <c r="DY133" s="64"/>
      <c r="DZ133" s="64"/>
      <c r="EA133" s="64"/>
      <c r="EB133" s="64"/>
      <c r="EC133" s="64"/>
      <c r="ED133" s="64"/>
      <c r="EE133" s="64"/>
      <c r="EF133" s="64"/>
      <c r="EG133" s="64"/>
      <c r="EH133" s="64"/>
      <c r="EI133" s="64"/>
      <c r="EJ133" s="64"/>
      <c r="EK133" s="64"/>
      <c r="EL133" s="64"/>
      <c r="EM133" s="64"/>
      <c r="EN133" s="64"/>
      <c r="EO133" s="64"/>
      <c r="EP133" s="64"/>
      <c r="EQ133" s="64"/>
      <c r="ER133" s="64"/>
      <c r="ES133" s="64"/>
      <c r="ET133" s="64"/>
      <c r="EU133" s="64"/>
      <c r="EV133" s="64"/>
      <c r="EW133" s="64"/>
      <c r="EX133" s="64"/>
      <c r="EY133" s="64"/>
      <c r="EZ133" s="64"/>
      <c r="FA133" s="64"/>
      <c r="FB133" s="64"/>
      <c r="FC133" s="64"/>
      <c r="FD133" s="64"/>
      <c r="FE133" s="64"/>
      <c r="FF133" s="64"/>
      <c r="FG133" s="64"/>
      <c r="FH133" s="64"/>
      <c r="FI133" s="64"/>
      <c r="FJ133" s="64"/>
      <c r="FK133" s="64"/>
      <c r="FL133" s="64"/>
      <c r="FM133" s="64"/>
      <c r="FN133" s="64"/>
      <c r="FO133" s="64"/>
      <c r="FP133" s="64"/>
      <c r="FQ133" s="64"/>
      <c r="FR133" s="64"/>
      <c r="FS133" s="64"/>
      <c r="FT133" s="64"/>
      <c r="FU133" s="64"/>
      <c r="FV133" s="64"/>
      <c r="FW133" s="64"/>
      <c r="FX133" s="64"/>
      <c r="FY133" s="64"/>
      <c r="FZ133" s="64"/>
      <c r="GA133" s="64"/>
      <c r="GB133" s="64"/>
      <c r="GC133" s="64"/>
      <c r="GD133" s="64"/>
      <c r="GE133" s="64"/>
      <c r="GF133" s="64"/>
      <c r="GG133" s="64"/>
      <c r="GH133" s="64"/>
      <c r="GI133" s="64"/>
      <c r="GJ133" s="64"/>
      <c r="GK133" s="64"/>
      <c r="GL133" s="64"/>
      <c r="GM133" s="64"/>
      <c r="GN133" s="64"/>
      <c r="GO133" s="64"/>
      <c r="GP133" s="64"/>
      <c r="GQ133" s="64"/>
      <c r="GR133" s="64"/>
      <c r="GS133" s="64"/>
      <c r="GT133" s="64"/>
      <c r="GU133" s="64"/>
      <c r="GV133" s="64"/>
      <c r="GW133" s="64"/>
      <c r="GX133" s="64"/>
      <c r="GY133" s="64"/>
      <c r="GZ133" s="64"/>
      <c r="HA133" s="64"/>
      <c r="HB133" s="64"/>
      <c r="HC133" s="64"/>
      <c r="HD133" s="64"/>
      <c r="HE133" s="64"/>
      <c r="HF133" s="64"/>
      <c r="HG133" s="64"/>
      <c r="HH133" s="64"/>
      <c r="HI133" s="64"/>
      <c r="HJ133" s="64"/>
      <c r="HK133" s="64"/>
      <c r="HL133" s="64"/>
      <c r="HM133" s="64"/>
      <c r="HN133" s="64"/>
      <c r="HO133" s="64"/>
      <c r="HP133" s="64"/>
      <c r="HQ133" s="64"/>
      <c r="HR133" s="64"/>
      <c r="HS133" s="64"/>
      <c r="HT133" s="64"/>
      <c r="HU133" s="64"/>
      <c r="HV133" s="64"/>
      <c r="HW133" s="64"/>
      <c r="HX133" s="64"/>
      <c r="HY133" s="64"/>
      <c r="HZ133" s="64"/>
      <c r="IA133" s="64"/>
      <c r="IB133" s="64"/>
      <c r="IC133" s="64"/>
      <c r="ID133" s="64"/>
      <c r="IE133" s="64"/>
      <c r="IF133" s="64"/>
      <c r="IG133" s="64"/>
      <c r="IH133" s="64"/>
      <c r="II133" s="64"/>
      <c r="IJ133" s="64"/>
      <c r="IK133" s="64"/>
      <c r="IL133" s="64"/>
      <c r="IM133" s="64"/>
      <c r="IN133" s="64"/>
      <c r="IO133" s="64"/>
      <c r="IP133" s="64"/>
      <c r="IQ133" s="64"/>
      <c r="IR133" s="64"/>
      <c r="IS133" s="64"/>
      <c r="IT133" s="64"/>
      <c r="IU133" s="64"/>
      <c r="IV133" s="64"/>
      <c r="IW133" s="64"/>
      <c r="IX133" s="64"/>
      <c r="IY133" s="64"/>
      <c r="IZ133" s="64"/>
      <c r="JA133" s="64"/>
      <c r="JB133" s="64"/>
      <c r="JC133" s="64"/>
      <c r="JD133" s="64"/>
      <c r="JE133" s="64"/>
      <c r="JF133" s="64"/>
      <c r="JG133" s="64"/>
      <c r="JH133" s="64"/>
      <c r="JI133" s="64"/>
      <c r="JJ133" s="64"/>
      <c r="JK133" s="64"/>
      <c r="JL133" s="64"/>
      <c r="JM133" s="64"/>
      <c r="JN133" s="64"/>
      <c r="JO133" s="64"/>
      <c r="JP133" s="64"/>
      <c r="JQ133" s="64"/>
      <c r="JR133" s="64"/>
      <c r="JS133" s="64"/>
      <c r="JT133" s="64"/>
      <c r="JU133" s="64"/>
      <c r="JV133" s="64"/>
      <c r="JW133" s="64"/>
      <c r="JX133" s="64"/>
      <c r="JY133" s="64"/>
      <c r="JZ133" s="64"/>
      <c r="KA133" s="64"/>
      <c r="KB133" s="64"/>
      <c r="KC133" s="64"/>
      <c r="KD133" s="64"/>
      <c r="KE133" s="64"/>
      <c r="KF133" s="64"/>
      <c r="KG133" s="64"/>
      <c r="KH133" s="64"/>
      <c r="KI133" s="64"/>
      <c r="KJ133" s="64"/>
      <c r="KK133" s="64"/>
      <c r="KL133" s="64"/>
      <c r="KM133" s="64"/>
      <c r="KN133" s="64"/>
      <c r="KO133" s="64"/>
      <c r="KP133" s="64"/>
      <c r="KQ133" s="64"/>
      <c r="KR133" s="64"/>
      <c r="KS133" s="64"/>
      <c r="KT133" s="64"/>
      <c r="KU133" s="64"/>
      <c r="KV133" s="64"/>
      <c r="KW133" s="64"/>
      <c r="KX133" s="64"/>
      <c r="KY133" s="64"/>
      <c r="KZ133" s="64"/>
      <c r="LA133" s="64"/>
      <c r="LB133" s="64"/>
      <c r="LC133" s="64"/>
      <c r="LD133" s="64"/>
      <c r="LE133" s="64"/>
      <c r="LF133" s="64"/>
      <c r="LG133" s="64"/>
      <c r="LH133" s="64"/>
      <c r="LI133" s="64"/>
      <c r="LJ133" s="64"/>
      <c r="LK133" s="64"/>
      <c r="LL133" s="64"/>
      <c r="LM133" s="64"/>
      <c r="LN133" s="64"/>
      <c r="LO133" s="64"/>
      <c r="LP133" s="64"/>
      <c r="LQ133" s="64"/>
      <c r="LR133" s="64"/>
      <c r="LS133" s="64"/>
      <c r="LT133" s="64"/>
      <c r="LU133" s="64"/>
      <c r="LV133" s="64"/>
      <c r="LW133" s="64"/>
      <c r="LX133" s="64"/>
      <c r="LY133" s="64"/>
      <c r="LZ133" s="64"/>
      <c r="MA133" s="64"/>
      <c r="MB133" s="64"/>
      <c r="MC133" s="64"/>
      <c r="MD133" s="64"/>
      <c r="ME133" s="64"/>
      <c r="MF133" s="64"/>
      <c r="MG133" s="64"/>
      <c r="MH133" s="64"/>
      <c r="MI133" s="64"/>
      <c r="MJ133" s="64"/>
      <c r="MK133" s="64"/>
      <c r="ML133" s="64"/>
      <c r="MM133" s="64"/>
      <c r="MN133" s="64"/>
      <c r="MO133" s="64"/>
      <c r="MP133" s="64"/>
      <c r="MQ133" s="64"/>
      <c r="MR133" s="64"/>
      <c r="MS133" s="64"/>
      <c r="MT133" s="64"/>
    </row>
    <row r="134" spans="1:358" s="408" customFormat="1" x14ac:dyDescent="0.3">
      <c r="A134" s="419" t="s">
        <v>1</v>
      </c>
      <c r="B134" s="140">
        <f>'Input data processed products'!C42</f>
        <v>0.5</v>
      </c>
      <c r="C134" s="325" t="s">
        <v>473</v>
      </c>
      <c r="D134" s="407"/>
      <c r="E134" s="325"/>
      <c r="F134" s="770">
        <f>IF($E$1="GWP100 without fb",F135+F136*'Common input data'!$C$5+F137*'Common input data'!$D$5,IF($E$1="GWP100 with fb",F135+F136*'Common input data'!$C$6+F137*'Common input data'!$D$6,IF($E$1="GTP100 without fb",F135+F136*'Common input data'!$C$7+F137*'Common input data'!$D$7,IF($E$1="GTP100 with fb",F135+F136*'Common input data'!$C$8+F137*'Common input data'!$D$8,F135+F136*'Common input data'!$C$9+F137*'Common input data'!$D$9))))</f>
        <v>0.79182269088611357</v>
      </c>
      <c r="G134" s="137"/>
      <c r="H134" s="137"/>
      <c r="I134" s="138"/>
      <c r="J134" s="138"/>
      <c r="K134" s="107"/>
      <c r="L134" s="64"/>
      <c r="M134" s="64"/>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c r="BV134" s="64"/>
      <c r="BW134" s="64"/>
      <c r="BX134" s="64"/>
      <c r="BY134" s="64"/>
      <c r="BZ134" s="64"/>
      <c r="CA134" s="64"/>
      <c r="CB134" s="64"/>
      <c r="CC134" s="64"/>
      <c r="CD134" s="64"/>
      <c r="CE134" s="64"/>
      <c r="CF134" s="64"/>
      <c r="CG134" s="64"/>
      <c r="CH134" s="64"/>
      <c r="CI134" s="64"/>
      <c r="CJ134" s="64"/>
      <c r="CK134" s="64"/>
      <c r="CL134" s="64"/>
      <c r="CM134" s="64"/>
      <c r="CN134" s="64"/>
      <c r="CO134" s="64"/>
      <c r="CP134" s="64"/>
      <c r="CQ134" s="64"/>
      <c r="CR134" s="64"/>
      <c r="CS134" s="64"/>
      <c r="CT134" s="64"/>
      <c r="CU134" s="64"/>
      <c r="CV134" s="64"/>
      <c r="CW134" s="64"/>
      <c r="CX134" s="64"/>
      <c r="CY134" s="64"/>
      <c r="CZ134" s="64"/>
      <c r="DA134" s="64"/>
      <c r="DB134" s="64"/>
      <c r="DC134" s="64"/>
      <c r="DD134" s="64"/>
      <c r="DE134" s="64"/>
      <c r="DF134" s="64"/>
      <c r="DG134" s="64"/>
      <c r="DH134" s="64"/>
      <c r="DI134" s="64"/>
      <c r="DJ134" s="64"/>
      <c r="DK134" s="64"/>
      <c r="DL134" s="64"/>
      <c r="DM134" s="64"/>
      <c r="DN134" s="64"/>
      <c r="DO134" s="64"/>
      <c r="DP134" s="64"/>
      <c r="DQ134" s="64"/>
      <c r="DR134" s="64"/>
      <c r="DS134" s="64"/>
      <c r="DT134" s="64"/>
      <c r="DU134" s="64"/>
      <c r="DV134" s="64"/>
      <c r="DW134" s="64"/>
      <c r="DX134" s="64"/>
      <c r="DY134" s="64"/>
      <c r="DZ134" s="64"/>
      <c r="EA134" s="64"/>
      <c r="EB134" s="64"/>
      <c r="EC134" s="64"/>
      <c r="ED134" s="64"/>
      <c r="EE134" s="64"/>
      <c r="EF134" s="64"/>
      <c r="EG134" s="64"/>
      <c r="EH134" s="64"/>
      <c r="EI134" s="64"/>
      <c r="EJ134" s="64"/>
      <c r="EK134" s="64"/>
      <c r="EL134" s="64"/>
      <c r="EM134" s="64"/>
      <c r="EN134" s="64"/>
      <c r="EO134" s="64"/>
      <c r="EP134" s="64"/>
      <c r="EQ134" s="64"/>
      <c r="ER134" s="64"/>
      <c r="ES134" s="64"/>
      <c r="ET134" s="64"/>
      <c r="EU134" s="64"/>
      <c r="EV134" s="64"/>
      <c r="EW134" s="64"/>
      <c r="EX134" s="64"/>
      <c r="EY134" s="64"/>
      <c r="EZ134" s="64"/>
      <c r="FA134" s="64"/>
      <c r="FB134" s="64"/>
      <c r="FC134" s="64"/>
      <c r="FD134" s="64"/>
      <c r="FE134" s="64"/>
      <c r="FF134" s="64"/>
      <c r="FG134" s="64"/>
      <c r="FH134" s="64"/>
      <c r="FI134" s="64"/>
      <c r="FJ134" s="64"/>
      <c r="FK134" s="64"/>
      <c r="FL134" s="64"/>
      <c r="FM134" s="64"/>
      <c r="FN134" s="64"/>
      <c r="FO134" s="64"/>
      <c r="FP134" s="64"/>
      <c r="FQ134" s="64"/>
      <c r="FR134" s="64"/>
      <c r="FS134" s="64"/>
      <c r="FT134" s="64"/>
      <c r="FU134" s="64"/>
      <c r="FV134" s="64"/>
      <c r="FW134" s="64"/>
      <c r="FX134" s="64"/>
      <c r="FY134" s="64"/>
      <c r="FZ134" s="64"/>
      <c r="GA134" s="64"/>
      <c r="GB134" s="64"/>
      <c r="GC134" s="64"/>
      <c r="GD134" s="64"/>
      <c r="GE134" s="64"/>
      <c r="GF134" s="64"/>
      <c r="GG134" s="64"/>
      <c r="GH134" s="64"/>
      <c r="GI134" s="64"/>
      <c r="GJ134" s="64"/>
      <c r="GK134" s="64"/>
      <c r="GL134" s="64"/>
      <c r="GM134" s="64"/>
      <c r="GN134" s="64"/>
      <c r="GO134" s="64"/>
      <c r="GP134" s="64"/>
      <c r="GQ134" s="64"/>
      <c r="GR134" s="64"/>
      <c r="GS134" s="64"/>
      <c r="GT134" s="64"/>
      <c r="GU134" s="64"/>
      <c r="GV134" s="64"/>
      <c r="GW134" s="64"/>
      <c r="GX134" s="64"/>
      <c r="GY134" s="64"/>
      <c r="GZ134" s="64"/>
      <c r="HA134" s="64"/>
      <c r="HB134" s="64"/>
      <c r="HC134" s="64"/>
      <c r="HD134" s="64"/>
      <c r="HE134" s="64"/>
      <c r="HF134" s="64"/>
      <c r="HG134" s="64"/>
      <c r="HH134" s="64"/>
      <c r="HI134" s="64"/>
      <c r="HJ134" s="64"/>
      <c r="HK134" s="64"/>
      <c r="HL134" s="64"/>
      <c r="HM134" s="64"/>
      <c r="HN134" s="64"/>
      <c r="HO134" s="64"/>
      <c r="HP134" s="64"/>
      <c r="HQ134" s="64"/>
      <c r="HR134" s="64"/>
      <c r="HS134" s="64"/>
      <c r="HT134" s="64"/>
      <c r="HU134" s="64"/>
      <c r="HV134" s="64"/>
      <c r="HW134" s="64"/>
      <c r="HX134" s="64"/>
      <c r="HY134" s="64"/>
      <c r="HZ134" s="64"/>
      <c r="IA134" s="64"/>
      <c r="IB134" s="64"/>
      <c r="IC134" s="64"/>
      <c r="ID134" s="64"/>
      <c r="IE134" s="64"/>
      <c r="IF134" s="64"/>
      <c r="IG134" s="64"/>
      <c r="IH134" s="64"/>
      <c r="II134" s="64"/>
      <c r="IJ134" s="64"/>
      <c r="IK134" s="64"/>
      <c r="IL134" s="64"/>
      <c r="IM134" s="64"/>
      <c r="IN134" s="64"/>
      <c r="IO134" s="64"/>
      <c r="IP134" s="64"/>
      <c r="IQ134" s="64"/>
      <c r="IR134" s="64"/>
      <c r="IS134" s="64"/>
      <c r="IT134" s="64"/>
      <c r="IU134" s="64"/>
      <c r="IV134" s="64"/>
      <c r="IW134" s="64"/>
      <c r="IX134" s="64"/>
      <c r="IY134" s="64"/>
      <c r="IZ134" s="64"/>
      <c r="JA134" s="64"/>
      <c r="JB134" s="64"/>
      <c r="JC134" s="64"/>
      <c r="JD134" s="64"/>
      <c r="JE134" s="64"/>
      <c r="JF134" s="64"/>
      <c r="JG134" s="64"/>
      <c r="JH134" s="64"/>
      <c r="JI134" s="64"/>
      <c r="JJ134" s="64"/>
      <c r="JK134" s="64"/>
      <c r="JL134" s="64"/>
      <c r="JM134" s="64"/>
      <c r="JN134" s="64"/>
      <c r="JO134" s="64"/>
      <c r="JP134" s="64"/>
      <c r="JQ134" s="64"/>
      <c r="JR134" s="64"/>
      <c r="JS134" s="64"/>
      <c r="JT134" s="64"/>
      <c r="JU134" s="64"/>
      <c r="JV134" s="64"/>
      <c r="JW134" s="64"/>
      <c r="JX134" s="64"/>
      <c r="JY134" s="64"/>
      <c r="JZ134" s="64"/>
      <c r="KA134" s="64"/>
      <c r="KB134" s="64"/>
      <c r="KC134" s="64"/>
      <c r="KD134" s="64"/>
      <c r="KE134" s="64"/>
      <c r="KF134" s="64"/>
      <c r="KG134" s="64"/>
      <c r="KH134" s="64"/>
      <c r="KI134" s="64"/>
      <c r="KJ134" s="64"/>
      <c r="KK134" s="64"/>
      <c r="KL134" s="64"/>
      <c r="KM134" s="64"/>
      <c r="KN134" s="64"/>
      <c r="KO134" s="64"/>
      <c r="KP134" s="64"/>
      <c r="KQ134" s="64"/>
      <c r="KR134" s="64"/>
      <c r="KS134" s="64"/>
      <c r="KT134" s="64"/>
      <c r="KU134" s="64"/>
      <c r="KV134" s="64"/>
      <c r="KW134" s="64"/>
      <c r="KX134" s="64"/>
      <c r="KY134" s="64"/>
      <c r="KZ134" s="64"/>
      <c r="LA134" s="64"/>
      <c r="LB134" s="64"/>
      <c r="LC134" s="64"/>
      <c r="LD134" s="64"/>
      <c r="LE134" s="64"/>
      <c r="LF134" s="64"/>
      <c r="LG134" s="64"/>
      <c r="LH134" s="64"/>
      <c r="LI134" s="64"/>
      <c r="LJ134" s="64"/>
      <c r="LK134" s="64"/>
      <c r="LL134" s="64"/>
      <c r="LM134" s="64"/>
      <c r="LN134" s="64"/>
      <c r="LO134" s="64"/>
      <c r="LP134" s="64"/>
      <c r="LQ134" s="64"/>
      <c r="LR134" s="64"/>
      <c r="LS134" s="64"/>
      <c r="LT134" s="64"/>
      <c r="LU134" s="64"/>
      <c r="LV134" s="64"/>
      <c r="LW134" s="64"/>
      <c r="LX134" s="64"/>
      <c r="LY134" s="64"/>
      <c r="LZ134" s="64"/>
      <c r="MA134" s="64"/>
      <c r="MB134" s="64"/>
      <c r="MC134" s="64"/>
      <c r="MD134" s="64"/>
      <c r="ME134" s="64"/>
      <c r="MF134" s="64"/>
      <c r="MG134" s="64"/>
      <c r="MH134" s="64"/>
      <c r="MI134" s="64"/>
      <c r="MJ134" s="64"/>
      <c r="MK134" s="64"/>
      <c r="ML134" s="64"/>
      <c r="MM134" s="64"/>
      <c r="MN134" s="64"/>
      <c r="MO134" s="64"/>
      <c r="MP134" s="64"/>
      <c r="MQ134" s="64"/>
      <c r="MR134" s="64"/>
      <c r="MS134" s="64"/>
      <c r="MT134" s="64"/>
    </row>
    <row r="135" spans="1:358" x14ac:dyDescent="0.3">
      <c r="C135" s="83" t="s">
        <v>164</v>
      </c>
      <c r="D135" s="354"/>
      <c r="F135" s="278">
        <f>SUM(G135:J135)/(1-'Common input data'!$B$136)</f>
        <v>0.76445753890199708</v>
      </c>
      <c r="G135" s="85">
        <f>SUMPRODUCT('Input data processed products'!D$42:AB$42,'Input data processed products'!D$55:AB$55)</f>
        <v>0.4080117850117973</v>
      </c>
      <c r="H135" s="85">
        <f>'Input data processed products'!G$67</f>
        <v>0.1</v>
      </c>
      <c r="I135" s="90">
        <f>'Common input data'!B$89</f>
        <v>0.15</v>
      </c>
      <c r="J135" s="90">
        <f>'Common input data'!C$98</f>
        <v>0.03</v>
      </c>
      <c r="K135" s="107"/>
    </row>
    <row r="136" spans="1:358" x14ac:dyDescent="0.3">
      <c r="A136" s="144"/>
      <c r="B136" s="142"/>
      <c r="C136" s="83" t="s">
        <v>165</v>
      </c>
      <c r="D136" s="354"/>
      <c r="F136" s="278">
        <f>SUM(G136:J136)/(1-'Common input data'!$B$136)</f>
        <v>4.1628420241937977E-5</v>
      </c>
      <c r="G136" s="85">
        <f>SUMPRODUCT('Input data processed products'!D$42:AB$42,'Input data processed products'!D$56:AB$56)</f>
        <v>3.746557821774418E-5</v>
      </c>
      <c r="H136" s="85">
        <v>0</v>
      </c>
      <c r="I136" s="90">
        <v>0</v>
      </c>
      <c r="J136" s="90">
        <v>0</v>
      </c>
      <c r="K136" s="107"/>
    </row>
    <row r="137" spans="1:358" x14ac:dyDescent="0.3">
      <c r="A137" s="174"/>
      <c r="B137" s="85"/>
      <c r="C137" s="84" t="s">
        <v>166</v>
      </c>
      <c r="D137" s="592"/>
      <c r="E137" s="99"/>
      <c r="F137" s="521">
        <f>SUM(G137:J137)/(1-'Common input data'!$B$136)</f>
        <v>8.7079817771444919E-5</v>
      </c>
      <c r="G137" s="85">
        <f>SUMPRODUCT('Input data processed products'!D$42:AB$42,'Input data processed products'!D$57:AB$57)</f>
        <v>7.8371835994300423E-5</v>
      </c>
      <c r="H137" s="85">
        <v>0</v>
      </c>
      <c r="I137" s="90">
        <v>0</v>
      </c>
      <c r="J137" s="90">
        <v>0</v>
      </c>
      <c r="K137" s="107"/>
    </row>
    <row r="138" spans="1:358" s="316" customFormat="1" x14ac:dyDescent="0.3">
      <c r="A138" s="311" t="s">
        <v>853</v>
      </c>
      <c r="B138" s="313"/>
      <c r="C138" s="314"/>
      <c r="D138" s="356"/>
      <c r="E138" s="281"/>
      <c r="F138" s="590" t="s">
        <v>855</v>
      </c>
      <c r="G138" s="313"/>
      <c r="H138" s="313"/>
      <c r="I138" s="315"/>
      <c r="J138" s="315"/>
      <c r="K138" s="107"/>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64"/>
      <c r="BE138" s="64"/>
      <c r="BF138" s="64"/>
      <c r="BG138" s="64"/>
      <c r="BH138" s="64"/>
      <c r="BI138" s="64"/>
      <c r="BJ138" s="64"/>
      <c r="BK138" s="64"/>
      <c r="BL138" s="64"/>
      <c r="BM138" s="64"/>
      <c r="BN138" s="64"/>
      <c r="BO138" s="64"/>
      <c r="BP138" s="64"/>
      <c r="BQ138" s="64"/>
      <c r="BR138" s="64"/>
      <c r="BS138" s="64"/>
      <c r="BT138" s="64"/>
      <c r="BU138" s="64"/>
      <c r="BV138" s="64"/>
      <c r="BW138" s="64"/>
      <c r="BX138" s="64"/>
      <c r="BY138" s="64"/>
      <c r="BZ138" s="64"/>
      <c r="CA138" s="64"/>
      <c r="CB138" s="64"/>
      <c r="CC138" s="64"/>
      <c r="CD138" s="64"/>
      <c r="CE138" s="64"/>
      <c r="CF138" s="64"/>
      <c r="CG138" s="64"/>
      <c r="CH138" s="64"/>
      <c r="CI138" s="64"/>
      <c r="CJ138" s="64"/>
      <c r="CK138" s="64"/>
      <c r="CL138" s="64"/>
      <c r="CM138" s="64"/>
      <c r="CN138" s="64"/>
      <c r="CO138" s="64"/>
      <c r="CP138" s="64"/>
      <c r="CQ138" s="64"/>
      <c r="CR138" s="64"/>
      <c r="CS138" s="64"/>
      <c r="CT138" s="64"/>
      <c r="CU138" s="64"/>
      <c r="CV138" s="64"/>
      <c r="CW138" s="64"/>
      <c r="CX138" s="64"/>
      <c r="CY138" s="64"/>
      <c r="CZ138" s="64"/>
      <c r="DA138" s="64"/>
      <c r="DB138" s="64"/>
      <c r="DC138" s="64"/>
      <c r="DD138" s="64"/>
      <c r="DE138" s="64"/>
      <c r="DF138" s="64"/>
      <c r="DG138" s="64"/>
      <c r="DH138" s="64"/>
      <c r="DI138" s="64"/>
      <c r="DJ138" s="64"/>
      <c r="DK138" s="64"/>
      <c r="DL138" s="64"/>
      <c r="DM138" s="64"/>
      <c r="DN138" s="64"/>
      <c r="DO138" s="64"/>
      <c r="DP138" s="64"/>
      <c r="DQ138" s="64"/>
      <c r="DR138" s="64"/>
      <c r="DS138" s="64"/>
      <c r="DT138" s="64"/>
      <c r="DU138" s="64"/>
      <c r="DV138" s="64"/>
      <c r="DW138" s="64"/>
      <c r="DX138" s="64"/>
      <c r="DY138" s="64"/>
      <c r="DZ138" s="64"/>
      <c r="EA138" s="64"/>
      <c r="EB138" s="64"/>
      <c r="EC138" s="64"/>
      <c r="ED138" s="64"/>
      <c r="EE138" s="64"/>
      <c r="EF138" s="64"/>
      <c r="EG138" s="64"/>
      <c r="EH138" s="64"/>
      <c r="EI138" s="64"/>
      <c r="EJ138" s="64"/>
      <c r="EK138" s="64"/>
      <c r="EL138" s="64"/>
      <c r="EM138" s="64"/>
      <c r="EN138" s="64"/>
      <c r="EO138" s="64"/>
      <c r="EP138" s="64"/>
      <c r="EQ138" s="64"/>
      <c r="ER138" s="64"/>
      <c r="ES138" s="64"/>
      <c r="ET138" s="64"/>
      <c r="EU138" s="64"/>
      <c r="EV138" s="64"/>
      <c r="EW138" s="64"/>
      <c r="EX138" s="64"/>
      <c r="EY138" s="64"/>
      <c r="EZ138" s="64"/>
      <c r="FA138" s="64"/>
      <c r="FB138" s="64"/>
      <c r="FC138" s="64"/>
      <c r="FD138" s="64"/>
      <c r="FE138" s="64"/>
      <c r="FF138" s="64"/>
      <c r="FG138" s="64"/>
      <c r="FH138" s="64"/>
      <c r="FI138" s="64"/>
      <c r="FJ138" s="64"/>
      <c r="FK138" s="64"/>
      <c r="FL138" s="64"/>
      <c r="FM138" s="64"/>
      <c r="FN138" s="64"/>
      <c r="FO138" s="64"/>
      <c r="FP138" s="64"/>
      <c r="FQ138" s="64"/>
      <c r="FR138" s="64"/>
      <c r="FS138" s="64"/>
      <c r="FT138" s="64"/>
      <c r="FU138" s="64"/>
      <c r="FV138" s="64"/>
      <c r="FW138" s="64"/>
      <c r="FX138" s="64"/>
      <c r="FY138" s="64"/>
      <c r="FZ138" s="64"/>
      <c r="GA138" s="64"/>
      <c r="GB138" s="64"/>
      <c r="GC138" s="64"/>
      <c r="GD138" s="64"/>
      <c r="GE138" s="64"/>
      <c r="GF138" s="64"/>
      <c r="GG138" s="64"/>
      <c r="GH138" s="64"/>
      <c r="GI138" s="64"/>
      <c r="GJ138" s="64"/>
      <c r="GK138" s="64"/>
      <c r="GL138" s="64"/>
      <c r="GM138" s="64"/>
      <c r="GN138" s="64"/>
      <c r="GO138" s="64"/>
      <c r="GP138" s="64"/>
      <c r="GQ138" s="64"/>
      <c r="GR138" s="64"/>
      <c r="GS138" s="64"/>
      <c r="GT138" s="64"/>
      <c r="GU138" s="64"/>
      <c r="GV138" s="64"/>
      <c r="GW138" s="64"/>
      <c r="GX138" s="64"/>
      <c r="GY138" s="64"/>
      <c r="GZ138" s="64"/>
      <c r="HA138" s="64"/>
      <c r="HB138" s="64"/>
      <c r="HC138" s="64"/>
      <c r="HD138" s="64"/>
      <c r="HE138" s="64"/>
      <c r="HF138" s="64"/>
      <c r="HG138" s="64"/>
      <c r="HH138" s="64"/>
      <c r="HI138" s="64"/>
      <c r="HJ138" s="64"/>
      <c r="HK138" s="64"/>
      <c r="HL138" s="64"/>
      <c r="HM138" s="64"/>
      <c r="HN138" s="64"/>
      <c r="HO138" s="64"/>
      <c r="HP138" s="64"/>
      <c r="HQ138" s="64"/>
      <c r="HR138" s="64"/>
      <c r="HS138" s="64"/>
      <c r="HT138" s="64"/>
      <c r="HU138" s="64"/>
      <c r="HV138" s="64"/>
      <c r="HW138" s="64"/>
      <c r="HX138" s="64"/>
      <c r="HY138" s="64"/>
      <c r="HZ138" s="64"/>
      <c r="IA138" s="64"/>
      <c r="IB138" s="64"/>
      <c r="IC138" s="64"/>
      <c r="ID138" s="64"/>
      <c r="IE138" s="64"/>
      <c r="IF138" s="64"/>
      <c r="IG138" s="64"/>
      <c r="IH138" s="64"/>
      <c r="II138" s="64"/>
      <c r="IJ138" s="64"/>
      <c r="IK138" s="64"/>
      <c r="IL138" s="64"/>
      <c r="IM138" s="64"/>
      <c r="IN138" s="64"/>
      <c r="IO138" s="64"/>
      <c r="IP138" s="64"/>
      <c r="IQ138" s="64"/>
      <c r="IR138" s="64"/>
      <c r="IS138" s="64"/>
      <c r="IT138" s="64"/>
      <c r="IU138" s="64"/>
      <c r="IV138" s="64"/>
      <c r="IW138" s="64"/>
      <c r="IX138" s="64"/>
      <c r="IY138" s="64"/>
      <c r="IZ138" s="64"/>
      <c r="JA138" s="64"/>
      <c r="JB138" s="64"/>
      <c r="JC138" s="64"/>
      <c r="JD138" s="64"/>
      <c r="JE138" s="64"/>
      <c r="JF138" s="64"/>
      <c r="JG138" s="64"/>
      <c r="JH138" s="64"/>
      <c r="JI138" s="64"/>
      <c r="JJ138" s="64"/>
      <c r="JK138" s="64"/>
      <c r="JL138" s="64"/>
      <c r="JM138" s="64"/>
      <c r="JN138" s="64"/>
      <c r="JO138" s="64"/>
      <c r="JP138" s="64"/>
      <c r="JQ138" s="64"/>
      <c r="JR138" s="64"/>
      <c r="JS138" s="64"/>
      <c r="JT138" s="64"/>
      <c r="JU138" s="64"/>
      <c r="JV138" s="64"/>
      <c r="JW138" s="64"/>
      <c r="JX138" s="64"/>
      <c r="JY138" s="64"/>
      <c r="JZ138" s="64"/>
      <c r="KA138" s="64"/>
      <c r="KB138" s="64"/>
      <c r="KC138" s="64"/>
      <c r="KD138" s="64"/>
      <c r="KE138" s="64"/>
      <c r="KF138" s="64"/>
      <c r="KG138" s="64"/>
      <c r="KH138" s="64"/>
      <c r="KI138" s="64"/>
      <c r="KJ138" s="64"/>
      <c r="KK138" s="64"/>
      <c r="KL138" s="64"/>
      <c r="KM138" s="64"/>
      <c r="KN138" s="64"/>
      <c r="KO138" s="64"/>
      <c r="KP138" s="64"/>
      <c r="KQ138" s="64"/>
      <c r="KR138" s="64"/>
      <c r="KS138" s="64"/>
      <c r="KT138" s="64"/>
      <c r="KU138" s="64"/>
      <c r="KV138" s="64"/>
      <c r="KW138" s="64"/>
      <c r="KX138" s="64"/>
      <c r="KY138" s="64"/>
      <c r="KZ138" s="64"/>
      <c r="LA138" s="64"/>
      <c r="LB138" s="64"/>
      <c r="LC138" s="64"/>
      <c r="LD138" s="64"/>
      <c r="LE138" s="64"/>
      <c r="LF138" s="64"/>
      <c r="LG138" s="64"/>
      <c r="LH138" s="64"/>
      <c r="LI138" s="64"/>
      <c r="LJ138" s="64"/>
      <c r="LK138" s="64"/>
      <c r="LL138" s="64"/>
      <c r="LM138" s="64"/>
      <c r="LN138" s="64"/>
      <c r="LO138" s="64"/>
      <c r="LP138" s="64"/>
      <c r="LQ138" s="64"/>
      <c r="LR138" s="64"/>
      <c r="LS138" s="64"/>
      <c r="LT138" s="64"/>
      <c r="LU138" s="64"/>
      <c r="LV138" s="64"/>
      <c r="LW138" s="64"/>
      <c r="LX138" s="64"/>
      <c r="LY138" s="64"/>
      <c r="LZ138" s="64"/>
      <c r="MA138" s="64"/>
      <c r="MB138" s="64"/>
      <c r="MC138" s="64"/>
      <c r="MD138" s="64"/>
      <c r="ME138" s="64"/>
      <c r="MF138" s="64"/>
      <c r="MG138" s="64"/>
      <c r="MH138" s="64"/>
      <c r="MI138" s="64"/>
      <c r="MJ138" s="64"/>
      <c r="MK138" s="64"/>
      <c r="ML138" s="64"/>
      <c r="MM138" s="64"/>
      <c r="MN138" s="64"/>
      <c r="MO138" s="64"/>
      <c r="MP138" s="64"/>
      <c r="MQ138" s="64"/>
      <c r="MR138" s="64"/>
      <c r="MS138" s="64"/>
      <c r="MT138" s="64"/>
    </row>
    <row r="139" spans="1:358" s="408" customFormat="1" x14ac:dyDescent="0.3">
      <c r="A139" s="419" t="s">
        <v>1</v>
      </c>
      <c r="B139" s="140">
        <f>SUM(B144,B149)</f>
        <v>1</v>
      </c>
      <c r="C139" s="325" t="s">
        <v>473</v>
      </c>
      <c r="D139" s="407"/>
      <c r="E139" s="325"/>
      <c r="F139" s="770">
        <f>IF($E$1="GWP100 without fb",F140+F141*'Common input data'!$C$5+F142*'Common input data'!$D$5,IF($E$1="GWP100 with fb",F140+F141*'Common input data'!$C$6+F142*'Common input data'!$D$6,IF($E$1="GTP100 without fb",F140+F141*'Common input data'!$C$7+F142*'Common input data'!$D$7,IF($E$1="GTP100 with fb",F140+F141*'Common input data'!$C$8+F142*'Common input data'!$D$8,F140+F141*'Common input data'!$C$9+F142*'Common input data'!$D$9))))</f>
        <v>1.273615690052871</v>
      </c>
      <c r="G139" s="137"/>
      <c r="H139" s="137"/>
      <c r="I139" s="138"/>
      <c r="J139" s="138"/>
      <c r="K139" s="107"/>
      <c r="L139" s="64"/>
      <c r="M139" s="64"/>
      <c r="N139" s="64"/>
      <c r="O139" s="64"/>
      <c r="P139" s="64"/>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64"/>
      <c r="AZ139" s="64"/>
      <c r="BA139" s="64"/>
      <c r="BB139" s="64"/>
      <c r="BC139" s="64"/>
      <c r="BD139" s="64"/>
      <c r="BE139" s="64"/>
      <c r="BF139" s="64"/>
      <c r="BG139" s="64"/>
      <c r="BH139" s="64"/>
      <c r="BI139" s="64"/>
      <c r="BJ139" s="64"/>
      <c r="BK139" s="64"/>
      <c r="BL139" s="64"/>
      <c r="BM139" s="64"/>
      <c r="BN139" s="64"/>
      <c r="BO139" s="64"/>
      <c r="BP139" s="64"/>
      <c r="BQ139" s="64"/>
      <c r="BR139" s="64"/>
      <c r="BS139" s="64"/>
      <c r="BT139" s="64"/>
      <c r="BU139" s="64"/>
      <c r="BV139" s="64"/>
      <c r="BW139" s="64"/>
      <c r="BX139" s="64"/>
      <c r="BY139" s="64"/>
      <c r="BZ139" s="64"/>
      <c r="CA139" s="64"/>
      <c r="CB139" s="64"/>
      <c r="CC139" s="64"/>
      <c r="CD139" s="64"/>
      <c r="CE139" s="64"/>
      <c r="CF139" s="64"/>
      <c r="CG139" s="64"/>
      <c r="CH139" s="64"/>
      <c r="CI139" s="64"/>
      <c r="CJ139" s="64"/>
      <c r="CK139" s="64"/>
      <c r="CL139" s="64"/>
      <c r="CM139" s="64"/>
      <c r="CN139" s="64"/>
      <c r="CO139" s="64"/>
      <c r="CP139" s="64"/>
      <c r="CQ139" s="64"/>
      <c r="CR139" s="64"/>
      <c r="CS139" s="64"/>
      <c r="CT139" s="64"/>
      <c r="CU139" s="64"/>
      <c r="CV139" s="64"/>
      <c r="CW139" s="64"/>
      <c r="CX139" s="64"/>
      <c r="CY139" s="64"/>
      <c r="CZ139" s="64"/>
      <c r="DA139" s="64"/>
      <c r="DB139" s="64"/>
      <c r="DC139" s="64"/>
      <c r="DD139" s="64"/>
      <c r="DE139" s="64"/>
      <c r="DF139" s="64"/>
      <c r="DG139" s="64"/>
      <c r="DH139" s="64"/>
      <c r="DI139" s="64"/>
      <c r="DJ139" s="64"/>
      <c r="DK139" s="64"/>
      <c r="DL139" s="64"/>
      <c r="DM139" s="64"/>
      <c r="DN139" s="64"/>
      <c r="DO139" s="64"/>
      <c r="DP139" s="64"/>
      <c r="DQ139" s="64"/>
      <c r="DR139" s="64"/>
      <c r="DS139" s="64"/>
      <c r="DT139" s="64"/>
      <c r="DU139" s="64"/>
      <c r="DV139" s="64"/>
      <c r="DW139" s="64"/>
      <c r="DX139" s="64"/>
      <c r="DY139" s="64"/>
      <c r="DZ139" s="64"/>
      <c r="EA139" s="64"/>
      <c r="EB139" s="64"/>
      <c r="EC139" s="64"/>
      <c r="ED139" s="64"/>
      <c r="EE139" s="64"/>
      <c r="EF139" s="64"/>
      <c r="EG139" s="64"/>
      <c r="EH139" s="64"/>
      <c r="EI139" s="64"/>
      <c r="EJ139" s="64"/>
      <c r="EK139" s="64"/>
      <c r="EL139" s="64"/>
      <c r="EM139" s="64"/>
      <c r="EN139" s="64"/>
      <c r="EO139" s="64"/>
      <c r="EP139" s="64"/>
      <c r="EQ139" s="64"/>
      <c r="ER139" s="64"/>
      <c r="ES139" s="64"/>
      <c r="ET139" s="64"/>
      <c r="EU139" s="64"/>
      <c r="EV139" s="64"/>
      <c r="EW139" s="64"/>
      <c r="EX139" s="64"/>
      <c r="EY139" s="64"/>
      <c r="EZ139" s="64"/>
      <c r="FA139" s="64"/>
      <c r="FB139" s="64"/>
      <c r="FC139" s="64"/>
      <c r="FD139" s="64"/>
      <c r="FE139" s="64"/>
      <c r="FF139" s="64"/>
      <c r="FG139" s="64"/>
      <c r="FH139" s="64"/>
      <c r="FI139" s="64"/>
      <c r="FJ139" s="64"/>
      <c r="FK139" s="64"/>
      <c r="FL139" s="64"/>
      <c r="FM139" s="64"/>
      <c r="FN139" s="64"/>
      <c r="FO139" s="64"/>
      <c r="FP139" s="64"/>
      <c r="FQ139" s="64"/>
      <c r="FR139" s="64"/>
      <c r="FS139" s="64"/>
      <c r="FT139" s="64"/>
      <c r="FU139" s="64"/>
      <c r="FV139" s="64"/>
      <c r="FW139" s="64"/>
      <c r="FX139" s="64"/>
      <c r="FY139" s="64"/>
      <c r="FZ139" s="64"/>
      <c r="GA139" s="64"/>
      <c r="GB139" s="64"/>
      <c r="GC139" s="64"/>
      <c r="GD139" s="64"/>
      <c r="GE139" s="64"/>
      <c r="GF139" s="64"/>
      <c r="GG139" s="64"/>
      <c r="GH139" s="64"/>
      <c r="GI139" s="64"/>
      <c r="GJ139" s="64"/>
      <c r="GK139" s="64"/>
      <c r="GL139" s="64"/>
      <c r="GM139" s="64"/>
      <c r="GN139" s="64"/>
      <c r="GO139" s="64"/>
      <c r="GP139" s="64"/>
      <c r="GQ139" s="64"/>
      <c r="GR139" s="64"/>
      <c r="GS139" s="64"/>
      <c r="GT139" s="64"/>
      <c r="GU139" s="64"/>
      <c r="GV139" s="64"/>
      <c r="GW139" s="64"/>
      <c r="GX139" s="64"/>
      <c r="GY139" s="64"/>
      <c r="GZ139" s="64"/>
      <c r="HA139" s="64"/>
      <c r="HB139" s="64"/>
      <c r="HC139" s="64"/>
      <c r="HD139" s="64"/>
      <c r="HE139" s="64"/>
      <c r="HF139" s="64"/>
      <c r="HG139" s="64"/>
      <c r="HH139" s="64"/>
      <c r="HI139" s="64"/>
      <c r="HJ139" s="64"/>
      <c r="HK139" s="64"/>
      <c r="HL139" s="64"/>
      <c r="HM139" s="64"/>
      <c r="HN139" s="64"/>
      <c r="HO139" s="64"/>
      <c r="HP139" s="64"/>
      <c r="HQ139" s="64"/>
      <c r="HR139" s="64"/>
      <c r="HS139" s="64"/>
      <c r="HT139" s="64"/>
      <c r="HU139" s="64"/>
      <c r="HV139" s="64"/>
      <c r="HW139" s="64"/>
      <c r="HX139" s="64"/>
      <c r="HY139" s="64"/>
      <c r="HZ139" s="64"/>
      <c r="IA139" s="64"/>
      <c r="IB139" s="64"/>
      <c r="IC139" s="64"/>
      <c r="ID139" s="64"/>
      <c r="IE139" s="64"/>
      <c r="IF139" s="64"/>
      <c r="IG139" s="64"/>
      <c r="IH139" s="64"/>
      <c r="II139" s="64"/>
      <c r="IJ139" s="64"/>
      <c r="IK139" s="64"/>
      <c r="IL139" s="64"/>
      <c r="IM139" s="64"/>
      <c r="IN139" s="64"/>
      <c r="IO139" s="64"/>
      <c r="IP139" s="64"/>
      <c r="IQ139" s="64"/>
      <c r="IR139" s="64"/>
      <c r="IS139" s="64"/>
      <c r="IT139" s="64"/>
      <c r="IU139" s="64"/>
      <c r="IV139" s="64"/>
      <c r="IW139" s="64"/>
      <c r="IX139" s="64"/>
      <c r="IY139" s="64"/>
      <c r="IZ139" s="64"/>
      <c r="JA139" s="64"/>
      <c r="JB139" s="64"/>
      <c r="JC139" s="64"/>
      <c r="JD139" s="64"/>
      <c r="JE139" s="64"/>
      <c r="JF139" s="64"/>
      <c r="JG139" s="64"/>
      <c r="JH139" s="64"/>
      <c r="JI139" s="64"/>
      <c r="JJ139" s="64"/>
      <c r="JK139" s="64"/>
      <c r="JL139" s="64"/>
      <c r="JM139" s="64"/>
      <c r="JN139" s="64"/>
      <c r="JO139" s="64"/>
      <c r="JP139" s="64"/>
      <c r="JQ139" s="64"/>
      <c r="JR139" s="64"/>
      <c r="JS139" s="64"/>
      <c r="JT139" s="64"/>
      <c r="JU139" s="64"/>
      <c r="JV139" s="64"/>
      <c r="JW139" s="64"/>
      <c r="JX139" s="64"/>
      <c r="JY139" s="64"/>
      <c r="JZ139" s="64"/>
      <c r="KA139" s="64"/>
      <c r="KB139" s="64"/>
      <c r="KC139" s="64"/>
      <c r="KD139" s="64"/>
      <c r="KE139" s="64"/>
      <c r="KF139" s="64"/>
      <c r="KG139" s="64"/>
      <c r="KH139" s="64"/>
      <c r="KI139" s="64"/>
      <c r="KJ139" s="64"/>
      <c r="KK139" s="64"/>
      <c r="KL139" s="64"/>
      <c r="KM139" s="64"/>
      <c r="KN139" s="64"/>
      <c r="KO139" s="64"/>
      <c r="KP139" s="64"/>
      <c r="KQ139" s="64"/>
      <c r="KR139" s="64"/>
      <c r="KS139" s="64"/>
      <c r="KT139" s="64"/>
      <c r="KU139" s="64"/>
      <c r="KV139" s="64"/>
      <c r="KW139" s="64"/>
      <c r="KX139" s="64"/>
      <c r="KY139" s="64"/>
      <c r="KZ139" s="64"/>
      <c r="LA139" s="64"/>
      <c r="LB139" s="64"/>
      <c r="LC139" s="64"/>
      <c r="LD139" s="64"/>
      <c r="LE139" s="64"/>
      <c r="LF139" s="64"/>
      <c r="LG139" s="64"/>
      <c r="LH139" s="64"/>
      <c r="LI139" s="64"/>
      <c r="LJ139" s="64"/>
      <c r="LK139" s="64"/>
      <c r="LL139" s="64"/>
      <c r="LM139" s="64"/>
      <c r="LN139" s="64"/>
      <c r="LO139" s="64"/>
      <c r="LP139" s="64"/>
      <c r="LQ139" s="64"/>
      <c r="LR139" s="64"/>
      <c r="LS139" s="64"/>
      <c r="LT139" s="64"/>
      <c r="LU139" s="64"/>
      <c r="LV139" s="64"/>
      <c r="LW139" s="64"/>
      <c r="LX139" s="64"/>
      <c r="LY139" s="64"/>
      <c r="LZ139" s="64"/>
      <c r="MA139" s="64"/>
      <c r="MB139" s="64"/>
      <c r="MC139" s="64"/>
      <c r="MD139" s="64"/>
      <c r="ME139" s="64"/>
      <c r="MF139" s="64"/>
      <c r="MG139" s="64"/>
      <c r="MH139" s="64"/>
      <c r="MI139" s="64"/>
      <c r="MJ139" s="64"/>
      <c r="MK139" s="64"/>
      <c r="ML139" s="64"/>
      <c r="MM139" s="64"/>
      <c r="MN139" s="64"/>
      <c r="MO139" s="64"/>
      <c r="MP139" s="64"/>
      <c r="MQ139" s="64"/>
      <c r="MR139" s="64"/>
      <c r="MS139" s="64"/>
      <c r="MT139" s="64"/>
    </row>
    <row r="140" spans="1:358" x14ac:dyDescent="0.3">
      <c r="A140" s="144"/>
      <c r="B140" s="142"/>
      <c r="C140" s="83" t="s">
        <v>164</v>
      </c>
      <c r="D140" s="354"/>
      <c r="E140" s="83"/>
      <c r="F140" s="278">
        <f>$B$144*F145+$B$149*F150</f>
        <v>1.0188501373991179</v>
      </c>
      <c r="G140" s="90">
        <f t="shared" ref="G140:I142" si="6">$B$144*G145+$B$149*G150</f>
        <v>0.63696512365920621</v>
      </c>
      <c r="H140" s="90">
        <f t="shared" si="6"/>
        <v>0.1</v>
      </c>
      <c r="I140" s="90">
        <f t="shared" si="6"/>
        <v>0.15</v>
      </c>
      <c r="J140" s="90">
        <f>$B$129*J145+$B$134*J150</f>
        <v>0.03</v>
      </c>
      <c r="K140" s="107"/>
    </row>
    <row r="141" spans="1:358" x14ac:dyDescent="0.3">
      <c r="A141" s="174"/>
      <c r="B141" s="85"/>
      <c r="C141" s="83" t="s">
        <v>165</v>
      </c>
      <c r="D141" s="354"/>
      <c r="E141" s="83"/>
      <c r="F141" s="278">
        <f>$B$144*F146+$B$149*F151</f>
        <v>8.601821803912831E-4</v>
      </c>
      <c r="G141" s="90">
        <f t="shared" si="6"/>
        <v>7.741639623521548E-4</v>
      </c>
      <c r="H141" s="90">
        <f t="shared" si="6"/>
        <v>0</v>
      </c>
      <c r="I141" s="90">
        <f t="shared" si="6"/>
        <v>0</v>
      </c>
      <c r="J141" s="90">
        <f>$B$144*J146+$B$149*J151</f>
        <v>0</v>
      </c>
      <c r="K141" s="107"/>
    </row>
    <row r="142" spans="1:358" x14ac:dyDescent="0.3">
      <c r="A142" s="174"/>
      <c r="B142" s="85"/>
      <c r="C142" s="84" t="s">
        <v>166</v>
      </c>
      <c r="D142" s="592"/>
      <c r="E142" s="100"/>
      <c r="F142" s="521">
        <f>$B$144*F147+$B$149*F152</f>
        <v>7.5677637087399202E-4</v>
      </c>
      <c r="G142" s="90">
        <f t="shared" si="6"/>
        <v>6.8109873378659278E-4</v>
      </c>
      <c r="H142" s="90">
        <f t="shared" si="6"/>
        <v>0</v>
      </c>
      <c r="I142" s="90">
        <f t="shared" si="6"/>
        <v>0</v>
      </c>
      <c r="J142" s="90">
        <f>$B$144*J147+$B$149*J152</f>
        <v>0</v>
      </c>
      <c r="K142" s="107"/>
    </row>
    <row r="143" spans="1:358" s="316" customFormat="1" x14ac:dyDescent="0.3">
      <c r="A143" s="311" t="s">
        <v>498</v>
      </c>
      <c r="B143" s="313"/>
      <c r="C143" s="314"/>
      <c r="D143" s="356"/>
      <c r="E143" s="281"/>
      <c r="F143" s="590" t="s">
        <v>856</v>
      </c>
      <c r="G143" s="315"/>
      <c r="H143" s="315"/>
      <c r="I143" s="315"/>
      <c r="J143" s="315"/>
      <c r="K143" s="107"/>
      <c r="L143" s="64"/>
      <c r="M143" s="64"/>
      <c r="N143" s="64"/>
      <c r="O143" s="64"/>
      <c r="P143" s="64"/>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64"/>
      <c r="AW143" s="64"/>
      <c r="AX143" s="64"/>
      <c r="AY143" s="64"/>
      <c r="AZ143" s="64"/>
      <c r="BA143" s="64"/>
      <c r="BB143" s="64"/>
      <c r="BC143" s="64"/>
      <c r="BD143" s="64"/>
      <c r="BE143" s="64"/>
      <c r="BF143" s="64"/>
      <c r="BG143" s="64"/>
      <c r="BH143" s="64"/>
      <c r="BI143" s="64"/>
      <c r="BJ143" s="64"/>
      <c r="BK143" s="64"/>
      <c r="BL143" s="64"/>
      <c r="BM143" s="64"/>
      <c r="BN143" s="64"/>
      <c r="BO143" s="64"/>
      <c r="BP143" s="64"/>
      <c r="BQ143" s="64"/>
      <c r="BR143" s="64"/>
      <c r="BS143" s="64"/>
      <c r="BT143" s="64"/>
      <c r="BU143" s="64"/>
      <c r="BV143" s="64"/>
      <c r="BW143" s="64"/>
      <c r="BX143" s="64"/>
      <c r="BY143" s="64"/>
      <c r="BZ143" s="64"/>
      <c r="CA143" s="64"/>
      <c r="CB143" s="64"/>
      <c r="CC143" s="64"/>
      <c r="CD143" s="64"/>
      <c r="CE143" s="64"/>
      <c r="CF143" s="64"/>
      <c r="CG143" s="64"/>
      <c r="CH143" s="64"/>
      <c r="CI143" s="64"/>
      <c r="CJ143" s="64"/>
      <c r="CK143" s="64"/>
      <c r="CL143" s="64"/>
      <c r="CM143" s="64"/>
      <c r="CN143" s="64"/>
      <c r="CO143" s="64"/>
      <c r="CP143" s="64"/>
      <c r="CQ143" s="64"/>
      <c r="CR143" s="64"/>
      <c r="CS143" s="64"/>
      <c r="CT143" s="64"/>
      <c r="CU143" s="64"/>
      <c r="CV143" s="64"/>
      <c r="CW143" s="64"/>
      <c r="CX143" s="64"/>
      <c r="CY143" s="64"/>
      <c r="CZ143" s="64"/>
      <c r="DA143" s="64"/>
      <c r="DB143" s="64"/>
      <c r="DC143" s="64"/>
      <c r="DD143" s="64"/>
      <c r="DE143" s="64"/>
      <c r="DF143" s="64"/>
      <c r="DG143" s="64"/>
      <c r="DH143" s="64"/>
      <c r="DI143" s="64"/>
      <c r="DJ143" s="64"/>
      <c r="DK143" s="64"/>
      <c r="DL143" s="64"/>
      <c r="DM143" s="64"/>
      <c r="DN143" s="64"/>
      <c r="DO143" s="64"/>
      <c r="DP143" s="64"/>
      <c r="DQ143" s="64"/>
      <c r="DR143" s="64"/>
      <c r="DS143" s="64"/>
      <c r="DT143" s="64"/>
      <c r="DU143" s="64"/>
      <c r="DV143" s="64"/>
      <c r="DW143" s="64"/>
      <c r="DX143" s="64"/>
      <c r="DY143" s="64"/>
      <c r="DZ143" s="64"/>
      <c r="EA143" s="64"/>
      <c r="EB143" s="64"/>
      <c r="EC143" s="64"/>
      <c r="ED143" s="64"/>
      <c r="EE143" s="64"/>
      <c r="EF143" s="64"/>
      <c r="EG143" s="64"/>
      <c r="EH143" s="64"/>
      <c r="EI143" s="64"/>
      <c r="EJ143" s="64"/>
      <c r="EK143" s="64"/>
      <c r="EL143" s="64"/>
      <c r="EM143" s="64"/>
      <c r="EN143" s="64"/>
      <c r="EO143" s="64"/>
      <c r="EP143" s="64"/>
      <c r="EQ143" s="64"/>
      <c r="ER143" s="64"/>
      <c r="ES143" s="64"/>
      <c r="ET143" s="64"/>
      <c r="EU143" s="64"/>
      <c r="EV143" s="64"/>
      <c r="EW143" s="64"/>
      <c r="EX143" s="64"/>
      <c r="EY143" s="64"/>
      <c r="EZ143" s="64"/>
      <c r="FA143" s="64"/>
      <c r="FB143" s="64"/>
      <c r="FC143" s="64"/>
      <c r="FD143" s="64"/>
      <c r="FE143" s="64"/>
      <c r="FF143" s="64"/>
      <c r="FG143" s="64"/>
      <c r="FH143" s="64"/>
      <c r="FI143" s="64"/>
      <c r="FJ143" s="64"/>
      <c r="FK143" s="64"/>
      <c r="FL143" s="64"/>
      <c r="FM143" s="64"/>
      <c r="FN143" s="64"/>
      <c r="FO143" s="64"/>
      <c r="FP143" s="64"/>
      <c r="FQ143" s="64"/>
      <c r="FR143" s="64"/>
      <c r="FS143" s="64"/>
      <c r="FT143" s="64"/>
      <c r="FU143" s="64"/>
      <c r="FV143" s="64"/>
      <c r="FW143" s="64"/>
      <c r="FX143" s="64"/>
      <c r="FY143" s="64"/>
      <c r="FZ143" s="64"/>
      <c r="GA143" s="64"/>
      <c r="GB143" s="64"/>
      <c r="GC143" s="64"/>
      <c r="GD143" s="64"/>
      <c r="GE143" s="64"/>
      <c r="GF143" s="64"/>
      <c r="GG143" s="64"/>
      <c r="GH143" s="64"/>
      <c r="GI143" s="64"/>
      <c r="GJ143" s="64"/>
      <c r="GK143" s="64"/>
      <c r="GL143" s="64"/>
      <c r="GM143" s="64"/>
      <c r="GN143" s="64"/>
      <c r="GO143" s="64"/>
      <c r="GP143" s="64"/>
      <c r="GQ143" s="64"/>
      <c r="GR143" s="64"/>
      <c r="GS143" s="64"/>
      <c r="GT143" s="64"/>
      <c r="GU143" s="64"/>
      <c r="GV143" s="64"/>
      <c r="GW143" s="64"/>
      <c r="GX143" s="64"/>
      <c r="GY143" s="64"/>
      <c r="GZ143" s="64"/>
      <c r="HA143" s="64"/>
      <c r="HB143" s="64"/>
      <c r="HC143" s="64"/>
      <c r="HD143" s="64"/>
      <c r="HE143" s="64"/>
      <c r="HF143" s="64"/>
      <c r="HG143" s="64"/>
      <c r="HH143" s="64"/>
      <c r="HI143" s="64"/>
      <c r="HJ143" s="64"/>
      <c r="HK143" s="64"/>
      <c r="HL143" s="64"/>
      <c r="HM143" s="64"/>
      <c r="HN143" s="64"/>
      <c r="HO143" s="64"/>
      <c r="HP143" s="64"/>
      <c r="HQ143" s="64"/>
      <c r="HR143" s="64"/>
      <c r="HS143" s="64"/>
      <c r="HT143" s="64"/>
      <c r="HU143" s="64"/>
      <c r="HV143" s="64"/>
      <c r="HW143" s="64"/>
      <c r="HX143" s="64"/>
      <c r="HY143" s="64"/>
      <c r="HZ143" s="64"/>
      <c r="IA143" s="64"/>
      <c r="IB143" s="64"/>
      <c r="IC143" s="64"/>
      <c r="ID143" s="64"/>
      <c r="IE143" s="64"/>
      <c r="IF143" s="64"/>
      <c r="IG143" s="64"/>
      <c r="IH143" s="64"/>
      <c r="II143" s="64"/>
      <c r="IJ143" s="64"/>
      <c r="IK143" s="64"/>
      <c r="IL143" s="64"/>
      <c r="IM143" s="64"/>
      <c r="IN143" s="64"/>
      <c r="IO143" s="64"/>
      <c r="IP143" s="64"/>
      <c r="IQ143" s="64"/>
      <c r="IR143" s="64"/>
      <c r="IS143" s="64"/>
      <c r="IT143" s="64"/>
      <c r="IU143" s="64"/>
      <c r="IV143" s="64"/>
      <c r="IW143" s="64"/>
      <c r="IX143" s="64"/>
      <c r="IY143" s="64"/>
      <c r="IZ143" s="64"/>
      <c r="JA143" s="64"/>
      <c r="JB143" s="64"/>
      <c r="JC143" s="64"/>
      <c r="JD143" s="64"/>
      <c r="JE143" s="64"/>
      <c r="JF143" s="64"/>
      <c r="JG143" s="64"/>
      <c r="JH143" s="64"/>
      <c r="JI143" s="64"/>
      <c r="JJ143" s="64"/>
      <c r="JK143" s="64"/>
      <c r="JL143" s="64"/>
      <c r="JM143" s="64"/>
      <c r="JN143" s="64"/>
      <c r="JO143" s="64"/>
      <c r="JP143" s="64"/>
      <c r="JQ143" s="64"/>
      <c r="JR143" s="64"/>
      <c r="JS143" s="64"/>
      <c r="JT143" s="64"/>
      <c r="JU143" s="64"/>
      <c r="JV143" s="64"/>
      <c r="JW143" s="64"/>
      <c r="JX143" s="64"/>
      <c r="JY143" s="64"/>
      <c r="JZ143" s="64"/>
      <c r="KA143" s="64"/>
      <c r="KB143" s="64"/>
      <c r="KC143" s="64"/>
      <c r="KD143" s="64"/>
      <c r="KE143" s="64"/>
      <c r="KF143" s="64"/>
      <c r="KG143" s="64"/>
      <c r="KH143" s="64"/>
      <c r="KI143" s="64"/>
      <c r="KJ143" s="64"/>
      <c r="KK143" s="64"/>
      <c r="KL143" s="64"/>
      <c r="KM143" s="64"/>
      <c r="KN143" s="64"/>
      <c r="KO143" s="64"/>
      <c r="KP143" s="64"/>
      <c r="KQ143" s="64"/>
      <c r="KR143" s="64"/>
      <c r="KS143" s="64"/>
      <c r="KT143" s="64"/>
      <c r="KU143" s="64"/>
      <c r="KV143" s="64"/>
      <c r="KW143" s="64"/>
      <c r="KX143" s="64"/>
      <c r="KY143" s="64"/>
      <c r="KZ143" s="64"/>
      <c r="LA143" s="64"/>
      <c r="LB143" s="64"/>
      <c r="LC143" s="64"/>
      <c r="LD143" s="64"/>
      <c r="LE143" s="64"/>
      <c r="LF143" s="64"/>
      <c r="LG143" s="64"/>
      <c r="LH143" s="64"/>
      <c r="LI143" s="64"/>
      <c r="LJ143" s="64"/>
      <c r="LK143" s="64"/>
      <c r="LL143" s="64"/>
      <c r="LM143" s="64"/>
      <c r="LN143" s="64"/>
      <c r="LO143" s="64"/>
      <c r="LP143" s="64"/>
      <c r="LQ143" s="64"/>
      <c r="LR143" s="64"/>
      <c r="LS143" s="64"/>
      <c r="LT143" s="64"/>
      <c r="LU143" s="64"/>
      <c r="LV143" s="64"/>
      <c r="LW143" s="64"/>
      <c r="LX143" s="64"/>
      <c r="LY143" s="64"/>
      <c r="LZ143" s="64"/>
      <c r="MA143" s="64"/>
      <c r="MB143" s="64"/>
      <c r="MC143" s="64"/>
      <c r="MD143" s="64"/>
      <c r="ME143" s="64"/>
      <c r="MF143" s="64"/>
      <c r="MG143" s="64"/>
      <c r="MH143" s="64"/>
      <c r="MI143" s="64"/>
      <c r="MJ143" s="64"/>
      <c r="MK143" s="64"/>
      <c r="ML143" s="64"/>
      <c r="MM143" s="64"/>
      <c r="MN143" s="64"/>
      <c r="MO143" s="64"/>
      <c r="MP143" s="64"/>
      <c r="MQ143" s="64"/>
      <c r="MR143" s="64"/>
      <c r="MS143" s="64"/>
      <c r="MT143" s="64"/>
    </row>
    <row r="144" spans="1:358" s="408" customFormat="1" x14ac:dyDescent="0.3">
      <c r="A144" s="419" t="s">
        <v>1</v>
      </c>
      <c r="B144" s="140">
        <f>'Input data processed products'!C44</f>
        <v>0.5</v>
      </c>
      <c r="C144" s="325" t="s">
        <v>473</v>
      </c>
      <c r="D144" s="407"/>
      <c r="E144" s="325"/>
      <c r="F144" s="770">
        <f>IF($E$1="GWP100 without fb",F145+F146*'Common input data'!$C$5+F147*'Common input data'!$D$5,IF($E$1="GWP100 with fb",F145+F146*'Common input data'!$C$6+F147*'Common input data'!$D$6,IF($E$1="GTP100 without fb",F145+F146*'Common input data'!$C$7+F147*'Common input data'!$D$7,IF($E$1="GTP100 with fb",F145+F146*'Common input data'!$C$8+F147*'Common input data'!$D$8,F145+F146*'Common input data'!$C$9+F147*'Common input data'!$D$9))))</f>
        <v>1.2441803567542509</v>
      </c>
      <c r="G144" s="137"/>
      <c r="H144" s="137"/>
      <c r="I144" s="138"/>
      <c r="J144" s="138"/>
      <c r="K144" s="107"/>
      <c r="L144" s="64"/>
      <c r="M144" s="64"/>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4"/>
      <c r="CA144" s="64"/>
      <c r="CB144" s="64"/>
      <c r="CC144" s="64"/>
      <c r="CD144" s="64"/>
      <c r="CE144" s="64"/>
      <c r="CF144" s="64"/>
      <c r="CG144" s="64"/>
      <c r="CH144" s="64"/>
      <c r="CI144" s="64"/>
      <c r="CJ144" s="64"/>
      <c r="CK144" s="64"/>
      <c r="CL144" s="64"/>
      <c r="CM144" s="64"/>
      <c r="CN144" s="64"/>
      <c r="CO144" s="64"/>
      <c r="CP144" s="64"/>
      <c r="CQ144" s="64"/>
      <c r="CR144" s="64"/>
      <c r="CS144" s="64"/>
      <c r="CT144" s="64"/>
      <c r="CU144" s="64"/>
      <c r="CV144" s="64"/>
      <c r="CW144" s="64"/>
      <c r="CX144" s="64"/>
      <c r="CY144" s="64"/>
      <c r="CZ144" s="64"/>
      <c r="DA144" s="64"/>
      <c r="DB144" s="64"/>
      <c r="DC144" s="64"/>
      <c r="DD144" s="64"/>
      <c r="DE144" s="64"/>
      <c r="DF144" s="64"/>
      <c r="DG144" s="64"/>
      <c r="DH144" s="64"/>
      <c r="DI144" s="64"/>
      <c r="DJ144" s="64"/>
      <c r="DK144" s="64"/>
      <c r="DL144" s="64"/>
      <c r="DM144" s="64"/>
      <c r="DN144" s="64"/>
      <c r="DO144" s="64"/>
      <c r="DP144" s="64"/>
      <c r="DQ144" s="64"/>
      <c r="DR144" s="64"/>
      <c r="DS144" s="64"/>
      <c r="DT144" s="64"/>
      <c r="DU144" s="64"/>
      <c r="DV144" s="64"/>
      <c r="DW144" s="64"/>
      <c r="DX144" s="64"/>
      <c r="DY144" s="64"/>
      <c r="DZ144" s="64"/>
      <c r="EA144" s="64"/>
      <c r="EB144" s="64"/>
      <c r="EC144" s="64"/>
      <c r="ED144" s="64"/>
      <c r="EE144" s="64"/>
      <c r="EF144" s="64"/>
      <c r="EG144" s="64"/>
      <c r="EH144" s="64"/>
      <c r="EI144" s="64"/>
      <c r="EJ144" s="64"/>
      <c r="EK144" s="64"/>
      <c r="EL144" s="64"/>
      <c r="EM144" s="64"/>
      <c r="EN144" s="64"/>
      <c r="EO144" s="64"/>
      <c r="EP144" s="64"/>
      <c r="EQ144" s="64"/>
      <c r="ER144" s="64"/>
      <c r="ES144" s="64"/>
      <c r="ET144" s="64"/>
      <c r="EU144" s="64"/>
      <c r="EV144" s="64"/>
      <c r="EW144" s="64"/>
      <c r="EX144" s="64"/>
      <c r="EY144" s="64"/>
      <c r="EZ144" s="64"/>
      <c r="FA144" s="64"/>
      <c r="FB144" s="64"/>
      <c r="FC144" s="64"/>
      <c r="FD144" s="64"/>
      <c r="FE144" s="64"/>
      <c r="FF144" s="64"/>
      <c r="FG144" s="64"/>
      <c r="FH144" s="64"/>
      <c r="FI144" s="64"/>
      <c r="FJ144" s="64"/>
      <c r="FK144" s="64"/>
      <c r="FL144" s="64"/>
      <c r="FM144" s="64"/>
      <c r="FN144" s="64"/>
      <c r="FO144" s="64"/>
      <c r="FP144" s="64"/>
      <c r="FQ144" s="64"/>
      <c r="FR144" s="64"/>
      <c r="FS144" s="64"/>
      <c r="FT144" s="64"/>
      <c r="FU144" s="64"/>
      <c r="FV144" s="64"/>
      <c r="FW144" s="64"/>
      <c r="FX144" s="64"/>
      <c r="FY144" s="64"/>
      <c r="FZ144" s="64"/>
      <c r="GA144" s="64"/>
      <c r="GB144" s="64"/>
      <c r="GC144" s="64"/>
      <c r="GD144" s="64"/>
      <c r="GE144" s="64"/>
      <c r="GF144" s="64"/>
      <c r="GG144" s="64"/>
      <c r="GH144" s="64"/>
      <c r="GI144" s="64"/>
      <c r="GJ144" s="64"/>
      <c r="GK144" s="64"/>
      <c r="GL144" s="64"/>
      <c r="GM144" s="64"/>
      <c r="GN144" s="64"/>
      <c r="GO144" s="64"/>
      <c r="GP144" s="64"/>
      <c r="GQ144" s="64"/>
      <c r="GR144" s="64"/>
      <c r="GS144" s="64"/>
      <c r="GT144" s="64"/>
      <c r="GU144" s="64"/>
      <c r="GV144" s="64"/>
      <c r="GW144" s="64"/>
      <c r="GX144" s="64"/>
      <c r="GY144" s="64"/>
      <c r="GZ144" s="64"/>
      <c r="HA144" s="64"/>
      <c r="HB144" s="64"/>
      <c r="HC144" s="64"/>
      <c r="HD144" s="64"/>
      <c r="HE144" s="64"/>
      <c r="HF144" s="64"/>
      <c r="HG144" s="64"/>
      <c r="HH144" s="64"/>
      <c r="HI144" s="64"/>
      <c r="HJ144" s="64"/>
      <c r="HK144" s="64"/>
      <c r="HL144" s="64"/>
      <c r="HM144" s="64"/>
      <c r="HN144" s="64"/>
      <c r="HO144" s="64"/>
      <c r="HP144" s="64"/>
      <c r="HQ144" s="64"/>
      <c r="HR144" s="64"/>
      <c r="HS144" s="64"/>
      <c r="HT144" s="64"/>
      <c r="HU144" s="64"/>
      <c r="HV144" s="64"/>
      <c r="HW144" s="64"/>
      <c r="HX144" s="64"/>
      <c r="HY144" s="64"/>
      <c r="HZ144" s="64"/>
      <c r="IA144" s="64"/>
      <c r="IB144" s="64"/>
      <c r="IC144" s="64"/>
      <c r="ID144" s="64"/>
      <c r="IE144" s="64"/>
      <c r="IF144" s="64"/>
      <c r="IG144" s="64"/>
      <c r="IH144" s="64"/>
      <c r="II144" s="64"/>
      <c r="IJ144" s="64"/>
      <c r="IK144" s="64"/>
      <c r="IL144" s="64"/>
      <c r="IM144" s="64"/>
      <c r="IN144" s="64"/>
      <c r="IO144" s="64"/>
      <c r="IP144" s="64"/>
      <c r="IQ144" s="64"/>
      <c r="IR144" s="64"/>
      <c r="IS144" s="64"/>
      <c r="IT144" s="64"/>
      <c r="IU144" s="64"/>
      <c r="IV144" s="64"/>
      <c r="IW144" s="64"/>
      <c r="IX144" s="64"/>
      <c r="IY144" s="64"/>
      <c r="IZ144" s="64"/>
      <c r="JA144" s="64"/>
      <c r="JB144" s="64"/>
      <c r="JC144" s="64"/>
      <c r="JD144" s="64"/>
      <c r="JE144" s="64"/>
      <c r="JF144" s="64"/>
      <c r="JG144" s="64"/>
      <c r="JH144" s="64"/>
      <c r="JI144" s="64"/>
      <c r="JJ144" s="64"/>
      <c r="JK144" s="64"/>
      <c r="JL144" s="64"/>
      <c r="JM144" s="64"/>
      <c r="JN144" s="64"/>
      <c r="JO144" s="64"/>
      <c r="JP144" s="64"/>
      <c r="JQ144" s="64"/>
      <c r="JR144" s="64"/>
      <c r="JS144" s="64"/>
      <c r="JT144" s="64"/>
      <c r="JU144" s="64"/>
      <c r="JV144" s="64"/>
      <c r="JW144" s="64"/>
      <c r="JX144" s="64"/>
      <c r="JY144" s="64"/>
      <c r="JZ144" s="64"/>
      <c r="KA144" s="64"/>
      <c r="KB144" s="64"/>
      <c r="KC144" s="64"/>
      <c r="KD144" s="64"/>
      <c r="KE144" s="64"/>
      <c r="KF144" s="64"/>
      <c r="KG144" s="64"/>
      <c r="KH144" s="64"/>
      <c r="KI144" s="64"/>
      <c r="KJ144" s="64"/>
      <c r="KK144" s="64"/>
      <c r="KL144" s="64"/>
      <c r="KM144" s="64"/>
      <c r="KN144" s="64"/>
      <c r="KO144" s="64"/>
      <c r="KP144" s="64"/>
      <c r="KQ144" s="64"/>
      <c r="KR144" s="64"/>
      <c r="KS144" s="64"/>
      <c r="KT144" s="64"/>
      <c r="KU144" s="64"/>
      <c r="KV144" s="64"/>
      <c r="KW144" s="64"/>
      <c r="KX144" s="64"/>
      <c r="KY144" s="64"/>
      <c r="KZ144" s="64"/>
      <c r="LA144" s="64"/>
      <c r="LB144" s="64"/>
      <c r="LC144" s="64"/>
      <c r="LD144" s="64"/>
      <c r="LE144" s="64"/>
      <c r="LF144" s="64"/>
      <c r="LG144" s="64"/>
      <c r="LH144" s="64"/>
      <c r="LI144" s="64"/>
      <c r="LJ144" s="64"/>
      <c r="LK144" s="64"/>
      <c r="LL144" s="64"/>
      <c r="LM144" s="64"/>
      <c r="LN144" s="64"/>
      <c r="LO144" s="64"/>
      <c r="LP144" s="64"/>
      <c r="LQ144" s="64"/>
      <c r="LR144" s="64"/>
      <c r="LS144" s="64"/>
      <c r="LT144" s="64"/>
      <c r="LU144" s="64"/>
      <c r="LV144" s="64"/>
      <c r="LW144" s="64"/>
      <c r="LX144" s="64"/>
      <c r="LY144" s="64"/>
      <c r="LZ144" s="64"/>
      <c r="MA144" s="64"/>
      <c r="MB144" s="64"/>
      <c r="MC144" s="64"/>
      <c r="MD144" s="64"/>
      <c r="ME144" s="64"/>
      <c r="MF144" s="64"/>
      <c r="MG144" s="64"/>
      <c r="MH144" s="64"/>
      <c r="MI144" s="64"/>
      <c r="MJ144" s="64"/>
      <c r="MK144" s="64"/>
      <c r="ML144" s="64"/>
      <c r="MM144" s="64"/>
      <c r="MN144" s="64"/>
      <c r="MO144" s="64"/>
      <c r="MP144" s="64"/>
      <c r="MQ144" s="64"/>
      <c r="MR144" s="64"/>
      <c r="MS144" s="64"/>
      <c r="MT144" s="64"/>
    </row>
    <row r="145" spans="1:358" x14ac:dyDescent="0.3">
      <c r="A145" s="144"/>
      <c r="B145" s="142"/>
      <c r="C145" s="83" t="s">
        <v>164</v>
      </c>
      <c r="D145" s="354"/>
      <c r="E145" s="83"/>
      <c r="F145" s="278">
        <f>SUM(G145:J145)/(1-'Common input data'!$B$136)</f>
        <v>1.0846695207267265</v>
      </c>
      <c r="G145" s="85">
        <f>SUMPRODUCT('Input data processed products'!D$44:AB$44,'Input data processed products'!D$55:AB$55)</f>
        <v>0.69620256865405394</v>
      </c>
      <c r="H145" s="85">
        <f>'Input data processed products'!G$67</f>
        <v>0.1</v>
      </c>
      <c r="I145" s="90">
        <f>'Common input data'!B$89</f>
        <v>0.15</v>
      </c>
      <c r="J145" s="90">
        <f>'Common input data'!C$98</f>
        <v>0.03</v>
      </c>
      <c r="K145" s="107"/>
    </row>
    <row r="146" spans="1:358" x14ac:dyDescent="0.3">
      <c r="A146" s="174"/>
      <c r="B146" s="85"/>
      <c r="C146" s="83" t="s">
        <v>165</v>
      </c>
      <c r="D146" s="354"/>
      <c r="E146" s="83"/>
      <c r="F146" s="278">
        <f>SUM(G146:J146)/(1-'Common input data'!$B$136)</f>
        <v>1.5913489753688304E-3</v>
      </c>
      <c r="G146" s="85">
        <f>SUMPRODUCT('Input data processed products'!D$44:AB$44,'Input data processed products'!D$56:AB$56)</f>
        <v>1.4322140778319475E-3</v>
      </c>
      <c r="H146" s="85">
        <v>0</v>
      </c>
      <c r="I146" s="90">
        <v>0</v>
      </c>
      <c r="J146" s="90">
        <v>0</v>
      </c>
      <c r="K146" s="107"/>
    </row>
    <row r="147" spans="1:358" x14ac:dyDescent="0.3">
      <c r="A147" s="174"/>
      <c r="B147" s="85"/>
      <c r="C147" s="84" t="s">
        <v>166</v>
      </c>
      <c r="D147" s="592"/>
      <c r="E147" s="100"/>
      <c r="F147" s="521">
        <f>SUM(G147:J147)/(1-'Common input data'!$B$136)</f>
        <v>3.5370795592276589E-4</v>
      </c>
      <c r="G147" s="85">
        <f>SUMPRODUCT('Input data processed products'!D$44:AB$44,'Input data processed products'!D$57:AB$57)</f>
        <v>3.1833716033048931E-4</v>
      </c>
      <c r="H147" s="85">
        <v>0</v>
      </c>
      <c r="I147" s="90">
        <v>0</v>
      </c>
      <c r="J147" s="90">
        <v>0</v>
      </c>
      <c r="K147" s="107"/>
    </row>
    <row r="148" spans="1:358" s="316" customFormat="1" x14ac:dyDescent="0.3">
      <c r="A148" s="311" t="s">
        <v>499</v>
      </c>
      <c r="B148" s="313"/>
      <c r="C148" s="314"/>
      <c r="D148" s="356"/>
      <c r="E148" s="281"/>
      <c r="F148" s="590" t="s">
        <v>857</v>
      </c>
      <c r="G148" s="313"/>
      <c r="H148" s="313"/>
      <c r="I148" s="315"/>
      <c r="J148" s="315"/>
      <c r="K148" s="107"/>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c r="AT148" s="64"/>
      <c r="AU148" s="64"/>
      <c r="AV148" s="64"/>
      <c r="AW148" s="64"/>
      <c r="AX148" s="64"/>
      <c r="AY148" s="64"/>
      <c r="AZ148" s="64"/>
      <c r="BA148" s="64"/>
      <c r="BB148" s="64"/>
      <c r="BC148" s="64"/>
      <c r="BD148" s="64"/>
      <c r="BE148" s="64"/>
      <c r="BF148" s="64"/>
      <c r="BG148" s="64"/>
      <c r="BH148" s="64"/>
      <c r="BI148" s="64"/>
      <c r="BJ148" s="64"/>
      <c r="BK148" s="64"/>
      <c r="BL148" s="64"/>
      <c r="BM148" s="64"/>
      <c r="BN148" s="64"/>
      <c r="BO148" s="64"/>
      <c r="BP148" s="64"/>
      <c r="BQ148" s="64"/>
      <c r="BR148" s="64"/>
      <c r="BS148" s="64"/>
      <c r="BT148" s="64"/>
      <c r="BU148" s="64"/>
      <c r="BV148" s="64"/>
      <c r="BW148" s="64"/>
      <c r="BX148" s="64"/>
      <c r="BY148" s="64"/>
      <c r="BZ148" s="64"/>
      <c r="CA148" s="64"/>
      <c r="CB148" s="64"/>
      <c r="CC148" s="64"/>
      <c r="CD148" s="64"/>
      <c r="CE148" s="64"/>
      <c r="CF148" s="64"/>
      <c r="CG148" s="64"/>
      <c r="CH148" s="64"/>
      <c r="CI148" s="64"/>
      <c r="CJ148" s="64"/>
      <c r="CK148" s="64"/>
      <c r="CL148" s="64"/>
      <c r="CM148" s="64"/>
      <c r="CN148" s="64"/>
      <c r="CO148" s="64"/>
      <c r="CP148" s="64"/>
      <c r="CQ148" s="64"/>
      <c r="CR148" s="64"/>
      <c r="CS148" s="64"/>
      <c r="CT148" s="64"/>
      <c r="CU148" s="64"/>
      <c r="CV148" s="64"/>
      <c r="CW148" s="64"/>
      <c r="CX148" s="64"/>
      <c r="CY148" s="64"/>
      <c r="CZ148" s="64"/>
      <c r="DA148" s="64"/>
      <c r="DB148" s="64"/>
      <c r="DC148" s="64"/>
      <c r="DD148" s="64"/>
      <c r="DE148" s="64"/>
      <c r="DF148" s="64"/>
      <c r="DG148" s="64"/>
      <c r="DH148" s="64"/>
      <c r="DI148" s="64"/>
      <c r="DJ148" s="64"/>
      <c r="DK148" s="64"/>
      <c r="DL148" s="64"/>
      <c r="DM148" s="64"/>
      <c r="DN148" s="64"/>
      <c r="DO148" s="64"/>
      <c r="DP148" s="64"/>
      <c r="DQ148" s="64"/>
      <c r="DR148" s="64"/>
      <c r="DS148" s="64"/>
      <c r="DT148" s="64"/>
      <c r="DU148" s="64"/>
      <c r="DV148" s="64"/>
      <c r="DW148" s="64"/>
      <c r="DX148" s="64"/>
      <c r="DY148" s="64"/>
      <c r="DZ148" s="64"/>
      <c r="EA148" s="64"/>
      <c r="EB148" s="64"/>
      <c r="EC148" s="64"/>
      <c r="ED148" s="64"/>
      <c r="EE148" s="64"/>
      <c r="EF148" s="64"/>
      <c r="EG148" s="64"/>
      <c r="EH148" s="64"/>
      <c r="EI148" s="64"/>
      <c r="EJ148" s="64"/>
      <c r="EK148" s="64"/>
      <c r="EL148" s="64"/>
      <c r="EM148" s="64"/>
      <c r="EN148" s="64"/>
      <c r="EO148" s="64"/>
      <c r="EP148" s="64"/>
      <c r="EQ148" s="64"/>
      <c r="ER148" s="64"/>
      <c r="ES148" s="64"/>
      <c r="ET148" s="64"/>
      <c r="EU148" s="64"/>
      <c r="EV148" s="64"/>
      <c r="EW148" s="64"/>
      <c r="EX148" s="64"/>
      <c r="EY148" s="64"/>
      <c r="EZ148" s="64"/>
      <c r="FA148" s="64"/>
      <c r="FB148" s="64"/>
      <c r="FC148" s="64"/>
      <c r="FD148" s="64"/>
      <c r="FE148" s="64"/>
      <c r="FF148" s="64"/>
      <c r="FG148" s="64"/>
      <c r="FH148" s="64"/>
      <c r="FI148" s="64"/>
      <c r="FJ148" s="64"/>
      <c r="FK148" s="64"/>
      <c r="FL148" s="64"/>
      <c r="FM148" s="64"/>
      <c r="FN148" s="64"/>
      <c r="FO148" s="64"/>
      <c r="FP148" s="64"/>
      <c r="FQ148" s="64"/>
      <c r="FR148" s="64"/>
      <c r="FS148" s="64"/>
      <c r="FT148" s="64"/>
      <c r="FU148" s="64"/>
      <c r="FV148" s="64"/>
      <c r="FW148" s="64"/>
      <c r="FX148" s="64"/>
      <c r="FY148" s="64"/>
      <c r="FZ148" s="64"/>
      <c r="GA148" s="64"/>
      <c r="GB148" s="64"/>
      <c r="GC148" s="64"/>
      <c r="GD148" s="64"/>
      <c r="GE148" s="64"/>
      <c r="GF148" s="64"/>
      <c r="GG148" s="64"/>
      <c r="GH148" s="64"/>
      <c r="GI148" s="64"/>
      <c r="GJ148" s="64"/>
      <c r="GK148" s="64"/>
      <c r="GL148" s="64"/>
      <c r="GM148" s="64"/>
      <c r="GN148" s="64"/>
      <c r="GO148" s="64"/>
      <c r="GP148" s="64"/>
      <c r="GQ148" s="64"/>
      <c r="GR148" s="64"/>
      <c r="GS148" s="64"/>
      <c r="GT148" s="64"/>
      <c r="GU148" s="64"/>
      <c r="GV148" s="64"/>
      <c r="GW148" s="64"/>
      <c r="GX148" s="64"/>
      <c r="GY148" s="64"/>
      <c r="GZ148" s="64"/>
      <c r="HA148" s="64"/>
      <c r="HB148" s="64"/>
      <c r="HC148" s="64"/>
      <c r="HD148" s="64"/>
      <c r="HE148" s="64"/>
      <c r="HF148" s="64"/>
      <c r="HG148" s="64"/>
      <c r="HH148" s="64"/>
      <c r="HI148" s="64"/>
      <c r="HJ148" s="64"/>
      <c r="HK148" s="64"/>
      <c r="HL148" s="64"/>
      <c r="HM148" s="64"/>
      <c r="HN148" s="64"/>
      <c r="HO148" s="64"/>
      <c r="HP148" s="64"/>
      <c r="HQ148" s="64"/>
      <c r="HR148" s="64"/>
      <c r="HS148" s="64"/>
      <c r="HT148" s="64"/>
      <c r="HU148" s="64"/>
      <c r="HV148" s="64"/>
      <c r="HW148" s="64"/>
      <c r="HX148" s="64"/>
      <c r="HY148" s="64"/>
      <c r="HZ148" s="64"/>
      <c r="IA148" s="64"/>
      <c r="IB148" s="64"/>
      <c r="IC148" s="64"/>
      <c r="ID148" s="64"/>
      <c r="IE148" s="64"/>
      <c r="IF148" s="64"/>
      <c r="IG148" s="64"/>
      <c r="IH148" s="64"/>
      <c r="II148" s="64"/>
      <c r="IJ148" s="64"/>
      <c r="IK148" s="64"/>
      <c r="IL148" s="64"/>
      <c r="IM148" s="64"/>
      <c r="IN148" s="64"/>
      <c r="IO148" s="64"/>
      <c r="IP148" s="64"/>
      <c r="IQ148" s="64"/>
      <c r="IR148" s="64"/>
      <c r="IS148" s="64"/>
      <c r="IT148" s="64"/>
      <c r="IU148" s="64"/>
      <c r="IV148" s="64"/>
      <c r="IW148" s="64"/>
      <c r="IX148" s="64"/>
      <c r="IY148" s="64"/>
      <c r="IZ148" s="64"/>
      <c r="JA148" s="64"/>
      <c r="JB148" s="64"/>
      <c r="JC148" s="64"/>
      <c r="JD148" s="64"/>
      <c r="JE148" s="64"/>
      <c r="JF148" s="64"/>
      <c r="JG148" s="64"/>
      <c r="JH148" s="64"/>
      <c r="JI148" s="64"/>
      <c r="JJ148" s="64"/>
      <c r="JK148" s="64"/>
      <c r="JL148" s="64"/>
      <c r="JM148" s="64"/>
      <c r="JN148" s="64"/>
      <c r="JO148" s="64"/>
      <c r="JP148" s="64"/>
      <c r="JQ148" s="64"/>
      <c r="JR148" s="64"/>
      <c r="JS148" s="64"/>
      <c r="JT148" s="64"/>
      <c r="JU148" s="64"/>
      <c r="JV148" s="64"/>
      <c r="JW148" s="64"/>
      <c r="JX148" s="64"/>
      <c r="JY148" s="64"/>
      <c r="JZ148" s="64"/>
      <c r="KA148" s="64"/>
      <c r="KB148" s="64"/>
      <c r="KC148" s="64"/>
      <c r="KD148" s="64"/>
      <c r="KE148" s="64"/>
      <c r="KF148" s="64"/>
      <c r="KG148" s="64"/>
      <c r="KH148" s="64"/>
      <c r="KI148" s="64"/>
      <c r="KJ148" s="64"/>
      <c r="KK148" s="64"/>
      <c r="KL148" s="64"/>
      <c r="KM148" s="64"/>
      <c r="KN148" s="64"/>
      <c r="KO148" s="64"/>
      <c r="KP148" s="64"/>
      <c r="KQ148" s="64"/>
      <c r="KR148" s="64"/>
      <c r="KS148" s="64"/>
      <c r="KT148" s="64"/>
      <c r="KU148" s="64"/>
      <c r="KV148" s="64"/>
      <c r="KW148" s="64"/>
      <c r="KX148" s="64"/>
      <c r="KY148" s="64"/>
      <c r="KZ148" s="64"/>
      <c r="LA148" s="64"/>
      <c r="LB148" s="64"/>
      <c r="LC148" s="64"/>
      <c r="LD148" s="64"/>
      <c r="LE148" s="64"/>
      <c r="LF148" s="64"/>
      <c r="LG148" s="64"/>
      <c r="LH148" s="64"/>
      <c r="LI148" s="64"/>
      <c r="LJ148" s="64"/>
      <c r="LK148" s="64"/>
      <c r="LL148" s="64"/>
      <c r="LM148" s="64"/>
      <c r="LN148" s="64"/>
      <c r="LO148" s="64"/>
      <c r="LP148" s="64"/>
      <c r="LQ148" s="64"/>
      <c r="LR148" s="64"/>
      <c r="LS148" s="64"/>
      <c r="LT148" s="64"/>
      <c r="LU148" s="64"/>
      <c r="LV148" s="64"/>
      <c r="LW148" s="64"/>
      <c r="LX148" s="64"/>
      <c r="LY148" s="64"/>
      <c r="LZ148" s="64"/>
      <c r="MA148" s="64"/>
      <c r="MB148" s="64"/>
      <c r="MC148" s="64"/>
      <c r="MD148" s="64"/>
      <c r="ME148" s="64"/>
      <c r="MF148" s="64"/>
      <c r="MG148" s="64"/>
      <c r="MH148" s="64"/>
      <c r="MI148" s="64"/>
      <c r="MJ148" s="64"/>
      <c r="MK148" s="64"/>
      <c r="ML148" s="64"/>
      <c r="MM148" s="64"/>
      <c r="MN148" s="64"/>
      <c r="MO148" s="64"/>
      <c r="MP148" s="64"/>
      <c r="MQ148" s="64"/>
      <c r="MR148" s="64"/>
      <c r="MS148" s="64"/>
      <c r="MT148" s="64"/>
    </row>
    <row r="149" spans="1:358" s="408" customFormat="1" x14ac:dyDescent="0.3">
      <c r="A149" s="419" t="s">
        <v>1</v>
      </c>
      <c r="B149" s="140">
        <f>'Input data processed products'!C45</f>
        <v>0.5</v>
      </c>
      <c r="C149" s="325" t="s">
        <v>473</v>
      </c>
      <c r="D149" s="407"/>
      <c r="E149" s="325"/>
      <c r="F149" s="770">
        <f>IF($E$1="GWP100 without fb",F150+F151*'Common input data'!$C$5+F152*'Common input data'!$D$5,IF($E$1="GWP100 with fb",F150+F151*'Common input data'!$C$6+F152*'Common input data'!$D$6,IF($E$1="GTP100 without fb",F150+F151*'Common input data'!$C$7+F152*'Common input data'!$D$7,IF($E$1="GTP100 with fb",F150+F151*'Common input data'!$C$8+F152*'Common input data'!$D$8,F150+F151*'Common input data'!$C$9+F152*'Common input data'!$D$9))))</f>
        <v>1.3030510233514916</v>
      </c>
      <c r="G149" s="137"/>
      <c r="H149" s="137"/>
      <c r="I149" s="138"/>
      <c r="J149" s="138"/>
      <c r="K149" s="107"/>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c r="AT149" s="64"/>
      <c r="AU149" s="64"/>
      <c r="AV149" s="64"/>
      <c r="AW149" s="64"/>
      <c r="AX149" s="64"/>
      <c r="AY149" s="64"/>
      <c r="AZ149" s="64"/>
      <c r="BA149" s="64"/>
      <c r="BB149" s="64"/>
      <c r="BC149" s="64"/>
      <c r="BD149" s="64"/>
      <c r="BE149" s="64"/>
      <c r="BF149" s="64"/>
      <c r="BG149" s="64"/>
      <c r="BH149" s="64"/>
      <c r="BI149" s="64"/>
      <c r="BJ149" s="64"/>
      <c r="BK149" s="64"/>
      <c r="BL149" s="64"/>
      <c r="BM149" s="64"/>
      <c r="BN149" s="64"/>
      <c r="BO149" s="64"/>
      <c r="BP149" s="64"/>
      <c r="BQ149" s="64"/>
      <c r="BR149" s="64"/>
      <c r="BS149" s="64"/>
      <c r="BT149" s="64"/>
      <c r="BU149" s="64"/>
      <c r="BV149" s="64"/>
      <c r="BW149" s="64"/>
      <c r="BX149" s="64"/>
      <c r="BY149" s="64"/>
      <c r="BZ149" s="64"/>
      <c r="CA149" s="64"/>
      <c r="CB149" s="64"/>
      <c r="CC149" s="64"/>
      <c r="CD149" s="64"/>
      <c r="CE149" s="64"/>
      <c r="CF149" s="64"/>
      <c r="CG149" s="64"/>
      <c r="CH149" s="64"/>
      <c r="CI149" s="64"/>
      <c r="CJ149" s="64"/>
      <c r="CK149" s="64"/>
      <c r="CL149" s="64"/>
      <c r="CM149" s="64"/>
      <c r="CN149" s="64"/>
      <c r="CO149" s="64"/>
      <c r="CP149" s="64"/>
      <c r="CQ149" s="64"/>
      <c r="CR149" s="64"/>
      <c r="CS149" s="64"/>
      <c r="CT149" s="64"/>
      <c r="CU149" s="64"/>
      <c r="CV149" s="64"/>
      <c r="CW149" s="64"/>
      <c r="CX149" s="64"/>
      <c r="CY149" s="64"/>
      <c r="CZ149" s="64"/>
      <c r="DA149" s="64"/>
      <c r="DB149" s="64"/>
      <c r="DC149" s="64"/>
      <c r="DD149" s="64"/>
      <c r="DE149" s="64"/>
      <c r="DF149" s="64"/>
      <c r="DG149" s="64"/>
      <c r="DH149" s="64"/>
      <c r="DI149" s="64"/>
      <c r="DJ149" s="64"/>
      <c r="DK149" s="64"/>
      <c r="DL149" s="64"/>
      <c r="DM149" s="64"/>
      <c r="DN149" s="64"/>
      <c r="DO149" s="64"/>
      <c r="DP149" s="64"/>
      <c r="DQ149" s="64"/>
      <c r="DR149" s="64"/>
      <c r="DS149" s="64"/>
      <c r="DT149" s="64"/>
      <c r="DU149" s="64"/>
      <c r="DV149" s="64"/>
      <c r="DW149" s="64"/>
      <c r="DX149" s="64"/>
      <c r="DY149" s="64"/>
      <c r="DZ149" s="64"/>
      <c r="EA149" s="64"/>
      <c r="EB149" s="64"/>
      <c r="EC149" s="64"/>
      <c r="ED149" s="64"/>
      <c r="EE149" s="64"/>
      <c r="EF149" s="64"/>
      <c r="EG149" s="64"/>
      <c r="EH149" s="64"/>
      <c r="EI149" s="64"/>
      <c r="EJ149" s="64"/>
      <c r="EK149" s="64"/>
      <c r="EL149" s="64"/>
      <c r="EM149" s="64"/>
      <c r="EN149" s="64"/>
      <c r="EO149" s="64"/>
      <c r="EP149" s="64"/>
      <c r="EQ149" s="64"/>
      <c r="ER149" s="64"/>
      <c r="ES149" s="64"/>
      <c r="ET149" s="64"/>
      <c r="EU149" s="64"/>
      <c r="EV149" s="64"/>
      <c r="EW149" s="64"/>
      <c r="EX149" s="64"/>
      <c r="EY149" s="64"/>
      <c r="EZ149" s="64"/>
      <c r="FA149" s="64"/>
      <c r="FB149" s="64"/>
      <c r="FC149" s="64"/>
      <c r="FD149" s="64"/>
      <c r="FE149" s="64"/>
      <c r="FF149" s="64"/>
      <c r="FG149" s="64"/>
      <c r="FH149" s="64"/>
      <c r="FI149" s="64"/>
      <c r="FJ149" s="64"/>
      <c r="FK149" s="64"/>
      <c r="FL149" s="64"/>
      <c r="FM149" s="64"/>
      <c r="FN149" s="64"/>
      <c r="FO149" s="64"/>
      <c r="FP149" s="64"/>
      <c r="FQ149" s="64"/>
      <c r="FR149" s="64"/>
      <c r="FS149" s="64"/>
      <c r="FT149" s="64"/>
      <c r="FU149" s="64"/>
      <c r="FV149" s="64"/>
      <c r="FW149" s="64"/>
      <c r="FX149" s="64"/>
      <c r="FY149" s="64"/>
      <c r="FZ149" s="64"/>
      <c r="GA149" s="64"/>
      <c r="GB149" s="64"/>
      <c r="GC149" s="64"/>
      <c r="GD149" s="64"/>
      <c r="GE149" s="64"/>
      <c r="GF149" s="64"/>
      <c r="GG149" s="64"/>
      <c r="GH149" s="64"/>
      <c r="GI149" s="64"/>
      <c r="GJ149" s="64"/>
      <c r="GK149" s="64"/>
      <c r="GL149" s="64"/>
      <c r="GM149" s="64"/>
      <c r="GN149" s="64"/>
      <c r="GO149" s="64"/>
      <c r="GP149" s="64"/>
      <c r="GQ149" s="64"/>
      <c r="GR149" s="64"/>
      <c r="GS149" s="64"/>
      <c r="GT149" s="64"/>
      <c r="GU149" s="64"/>
      <c r="GV149" s="64"/>
      <c r="GW149" s="64"/>
      <c r="GX149" s="64"/>
      <c r="GY149" s="64"/>
      <c r="GZ149" s="64"/>
      <c r="HA149" s="64"/>
      <c r="HB149" s="64"/>
      <c r="HC149" s="64"/>
      <c r="HD149" s="64"/>
      <c r="HE149" s="64"/>
      <c r="HF149" s="64"/>
      <c r="HG149" s="64"/>
      <c r="HH149" s="64"/>
      <c r="HI149" s="64"/>
      <c r="HJ149" s="64"/>
      <c r="HK149" s="64"/>
      <c r="HL149" s="64"/>
      <c r="HM149" s="64"/>
      <c r="HN149" s="64"/>
      <c r="HO149" s="64"/>
      <c r="HP149" s="64"/>
      <c r="HQ149" s="64"/>
      <c r="HR149" s="64"/>
      <c r="HS149" s="64"/>
      <c r="HT149" s="64"/>
      <c r="HU149" s="64"/>
      <c r="HV149" s="64"/>
      <c r="HW149" s="64"/>
      <c r="HX149" s="64"/>
      <c r="HY149" s="64"/>
      <c r="HZ149" s="64"/>
      <c r="IA149" s="64"/>
      <c r="IB149" s="64"/>
      <c r="IC149" s="64"/>
      <c r="ID149" s="64"/>
      <c r="IE149" s="64"/>
      <c r="IF149" s="64"/>
      <c r="IG149" s="64"/>
      <c r="IH149" s="64"/>
      <c r="II149" s="64"/>
      <c r="IJ149" s="64"/>
      <c r="IK149" s="64"/>
      <c r="IL149" s="64"/>
      <c r="IM149" s="64"/>
      <c r="IN149" s="64"/>
      <c r="IO149" s="64"/>
      <c r="IP149" s="64"/>
      <c r="IQ149" s="64"/>
      <c r="IR149" s="64"/>
      <c r="IS149" s="64"/>
      <c r="IT149" s="64"/>
      <c r="IU149" s="64"/>
      <c r="IV149" s="64"/>
      <c r="IW149" s="64"/>
      <c r="IX149" s="64"/>
      <c r="IY149" s="64"/>
      <c r="IZ149" s="64"/>
      <c r="JA149" s="64"/>
      <c r="JB149" s="64"/>
      <c r="JC149" s="64"/>
      <c r="JD149" s="64"/>
      <c r="JE149" s="64"/>
      <c r="JF149" s="64"/>
      <c r="JG149" s="64"/>
      <c r="JH149" s="64"/>
      <c r="JI149" s="64"/>
      <c r="JJ149" s="64"/>
      <c r="JK149" s="64"/>
      <c r="JL149" s="64"/>
      <c r="JM149" s="64"/>
      <c r="JN149" s="64"/>
      <c r="JO149" s="64"/>
      <c r="JP149" s="64"/>
      <c r="JQ149" s="64"/>
      <c r="JR149" s="64"/>
      <c r="JS149" s="64"/>
      <c r="JT149" s="64"/>
      <c r="JU149" s="64"/>
      <c r="JV149" s="64"/>
      <c r="JW149" s="64"/>
      <c r="JX149" s="64"/>
      <c r="JY149" s="64"/>
      <c r="JZ149" s="64"/>
      <c r="KA149" s="64"/>
      <c r="KB149" s="64"/>
      <c r="KC149" s="64"/>
      <c r="KD149" s="64"/>
      <c r="KE149" s="64"/>
      <c r="KF149" s="64"/>
      <c r="KG149" s="64"/>
      <c r="KH149" s="64"/>
      <c r="KI149" s="64"/>
      <c r="KJ149" s="64"/>
      <c r="KK149" s="64"/>
      <c r="KL149" s="64"/>
      <c r="KM149" s="64"/>
      <c r="KN149" s="64"/>
      <c r="KO149" s="64"/>
      <c r="KP149" s="64"/>
      <c r="KQ149" s="64"/>
      <c r="KR149" s="64"/>
      <c r="KS149" s="64"/>
      <c r="KT149" s="64"/>
      <c r="KU149" s="64"/>
      <c r="KV149" s="64"/>
      <c r="KW149" s="64"/>
      <c r="KX149" s="64"/>
      <c r="KY149" s="64"/>
      <c r="KZ149" s="64"/>
      <c r="LA149" s="64"/>
      <c r="LB149" s="64"/>
      <c r="LC149" s="64"/>
      <c r="LD149" s="64"/>
      <c r="LE149" s="64"/>
      <c r="LF149" s="64"/>
      <c r="LG149" s="64"/>
      <c r="LH149" s="64"/>
      <c r="LI149" s="64"/>
      <c r="LJ149" s="64"/>
      <c r="LK149" s="64"/>
      <c r="LL149" s="64"/>
      <c r="LM149" s="64"/>
      <c r="LN149" s="64"/>
      <c r="LO149" s="64"/>
      <c r="LP149" s="64"/>
      <c r="LQ149" s="64"/>
      <c r="LR149" s="64"/>
      <c r="LS149" s="64"/>
      <c r="LT149" s="64"/>
      <c r="LU149" s="64"/>
      <c r="LV149" s="64"/>
      <c r="LW149" s="64"/>
      <c r="LX149" s="64"/>
      <c r="LY149" s="64"/>
      <c r="LZ149" s="64"/>
      <c r="MA149" s="64"/>
      <c r="MB149" s="64"/>
      <c r="MC149" s="64"/>
      <c r="MD149" s="64"/>
      <c r="ME149" s="64"/>
      <c r="MF149" s="64"/>
      <c r="MG149" s="64"/>
      <c r="MH149" s="64"/>
      <c r="MI149" s="64"/>
      <c r="MJ149" s="64"/>
      <c r="MK149" s="64"/>
      <c r="ML149" s="64"/>
      <c r="MM149" s="64"/>
      <c r="MN149" s="64"/>
      <c r="MO149" s="64"/>
      <c r="MP149" s="64"/>
      <c r="MQ149" s="64"/>
      <c r="MR149" s="64"/>
      <c r="MS149" s="64"/>
      <c r="MT149" s="64"/>
    </row>
    <row r="150" spans="1:358" x14ac:dyDescent="0.3">
      <c r="A150" s="144"/>
      <c r="B150" s="142"/>
      <c r="C150" s="83" t="s">
        <v>164</v>
      </c>
      <c r="D150" s="354"/>
      <c r="E150" s="83"/>
      <c r="F150" s="278">
        <f>SUM(G150:J150)/(1-'Common input data'!$B$136)</f>
        <v>0.9530307540715095</v>
      </c>
      <c r="G150" s="85">
        <f>SUMPRODUCT('Input data processed products'!D$45:AB$45,'Input data processed products'!D$55:AB$55)</f>
        <v>0.57772767866435859</v>
      </c>
      <c r="H150" s="85">
        <f>'Input data processed products'!G$67</f>
        <v>0.1</v>
      </c>
      <c r="I150" s="90">
        <f>'Common input data'!B$89</f>
        <v>0.15</v>
      </c>
      <c r="J150" s="90">
        <f>'Common input data'!C$98</f>
        <v>0.03</v>
      </c>
      <c r="K150" s="107"/>
    </row>
    <row r="151" spans="1:358" x14ac:dyDescent="0.3">
      <c r="A151" s="174"/>
      <c r="B151" s="85"/>
      <c r="C151" s="83" t="s">
        <v>165</v>
      </c>
      <c r="D151" s="354"/>
      <c r="E151" s="83"/>
      <c r="F151" s="278">
        <f>SUM(G151:J151)/(1-'Common input data'!$B$136)</f>
        <v>1.2901538541373577E-4</v>
      </c>
      <c r="G151" s="85">
        <f>SUMPRODUCT('Input data processed products'!D$45:AB$45,'Input data processed products'!D$56:AB$56)</f>
        <v>1.1611384687236219E-4</v>
      </c>
      <c r="H151" s="85">
        <v>0</v>
      </c>
      <c r="I151" s="90">
        <v>0</v>
      </c>
      <c r="J151" s="90">
        <v>0</v>
      </c>
      <c r="K151" s="107"/>
    </row>
    <row r="152" spans="1:358" x14ac:dyDescent="0.3">
      <c r="A152" s="174"/>
      <c r="B152" s="85"/>
      <c r="C152" s="84" t="s">
        <v>166</v>
      </c>
      <c r="D152" s="592"/>
      <c r="E152" s="100"/>
      <c r="F152" s="521">
        <f>SUM(G152:J152)/(1-'Common input data'!$B$136)</f>
        <v>1.1598447858252182E-3</v>
      </c>
      <c r="G152" s="85">
        <f>SUMPRODUCT('Input data processed products'!D$45:AB$45,'Input data processed products'!D$57:AB$57)</f>
        <v>1.0438603072426963E-3</v>
      </c>
      <c r="H152" s="85">
        <v>0</v>
      </c>
      <c r="I152" s="90">
        <v>0</v>
      </c>
      <c r="J152" s="90">
        <v>0</v>
      </c>
      <c r="K152" s="107"/>
    </row>
    <row r="153" spans="1:358" s="316" customFormat="1" x14ac:dyDescent="0.3">
      <c r="A153" s="311" t="s">
        <v>511</v>
      </c>
      <c r="B153" s="313"/>
      <c r="C153" s="314"/>
      <c r="D153" s="356"/>
      <c r="E153" s="281"/>
      <c r="F153" s="590" t="s">
        <v>858</v>
      </c>
      <c r="G153" s="313"/>
      <c r="H153" s="313"/>
      <c r="I153" s="315"/>
      <c r="J153" s="315"/>
      <c r="K153" s="107"/>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c r="AP153" s="64"/>
      <c r="AQ153" s="64"/>
      <c r="AR153" s="64"/>
      <c r="AS153" s="64"/>
      <c r="AT153" s="64"/>
      <c r="AU153" s="64"/>
      <c r="AV153" s="64"/>
      <c r="AW153" s="64"/>
      <c r="AX153" s="64"/>
      <c r="AY153" s="64"/>
      <c r="AZ153" s="64"/>
      <c r="BA153" s="64"/>
      <c r="BB153" s="64"/>
      <c r="BC153" s="64"/>
      <c r="BD153" s="64"/>
      <c r="BE153" s="64"/>
      <c r="BF153" s="64"/>
      <c r="BG153" s="64"/>
      <c r="BH153" s="64"/>
      <c r="BI153" s="64"/>
      <c r="BJ153" s="64"/>
      <c r="BK153" s="64"/>
      <c r="BL153" s="64"/>
      <c r="BM153" s="64"/>
      <c r="BN153" s="64"/>
      <c r="BO153" s="64"/>
      <c r="BP153" s="64"/>
      <c r="BQ153" s="64"/>
      <c r="BR153" s="64"/>
      <c r="BS153" s="64"/>
      <c r="BT153" s="64"/>
      <c r="BU153" s="64"/>
      <c r="BV153" s="64"/>
      <c r="BW153" s="64"/>
      <c r="BX153" s="64"/>
      <c r="BY153" s="64"/>
      <c r="BZ153" s="64"/>
      <c r="CA153" s="64"/>
      <c r="CB153" s="64"/>
      <c r="CC153" s="64"/>
      <c r="CD153" s="64"/>
      <c r="CE153" s="64"/>
      <c r="CF153" s="64"/>
      <c r="CG153" s="64"/>
      <c r="CH153" s="64"/>
      <c r="CI153" s="64"/>
      <c r="CJ153" s="64"/>
      <c r="CK153" s="64"/>
      <c r="CL153" s="64"/>
      <c r="CM153" s="64"/>
      <c r="CN153" s="64"/>
      <c r="CO153" s="64"/>
      <c r="CP153" s="64"/>
      <c r="CQ153" s="64"/>
      <c r="CR153" s="64"/>
      <c r="CS153" s="64"/>
      <c r="CT153" s="64"/>
      <c r="CU153" s="64"/>
      <c r="CV153" s="64"/>
      <c r="CW153" s="64"/>
      <c r="CX153" s="64"/>
      <c r="CY153" s="64"/>
      <c r="CZ153" s="64"/>
      <c r="DA153" s="64"/>
      <c r="DB153" s="64"/>
      <c r="DC153" s="64"/>
      <c r="DD153" s="64"/>
      <c r="DE153" s="64"/>
      <c r="DF153" s="64"/>
      <c r="DG153" s="64"/>
      <c r="DH153" s="64"/>
      <c r="DI153" s="64"/>
      <c r="DJ153" s="64"/>
      <c r="DK153" s="64"/>
      <c r="DL153" s="64"/>
      <c r="DM153" s="64"/>
      <c r="DN153" s="64"/>
      <c r="DO153" s="64"/>
      <c r="DP153" s="64"/>
      <c r="DQ153" s="64"/>
      <c r="DR153" s="64"/>
      <c r="DS153" s="64"/>
      <c r="DT153" s="64"/>
      <c r="DU153" s="64"/>
      <c r="DV153" s="64"/>
      <c r="DW153" s="64"/>
      <c r="DX153" s="64"/>
      <c r="DY153" s="64"/>
      <c r="DZ153" s="64"/>
      <c r="EA153" s="64"/>
      <c r="EB153" s="64"/>
      <c r="EC153" s="64"/>
      <c r="ED153" s="64"/>
      <c r="EE153" s="64"/>
      <c r="EF153" s="64"/>
      <c r="EG153" s="64"/>
      <c r="EH153" s="64"/>
      <c r="EI153" s="64"/>
      <c r="EJ153" s="64"/>
      <c r="EK153" s="64"/>
      <c r="EL153" s="64"/>
      <c r="EM153" s="64"/>
      <c r="EN153" s="64"/>
      <c r="EO153" s="64"/>
      <c r="EP153" s="64"/>
      <c r="EQ153" s="64"/>
      <c r="ER153" s="64"/>
      <c r="ES153" s="64"/>
      <c r="ET153" s="64"/>
      <c r="EU153" s="64"/>
      <c r="EV153" s="64"/>
      <c r="EW153" s="64"/>
      <c r="EX153" s="64"/>
      <c r="EY153" s="64"/>
      <c r="EZ153" s="64"/>
      <c r="FA153" s="64"/>
      <c r="FB153" s="64"/>
      <c r="FC153" s="64"/>
      <c r="FD153" s="64"/>
      <c r="FE153" s="64"/>
      <c r="FF153" s="64"/>
      <c r="FG153" s="64"/>
      <c r="FH153" s="64"/>
      <c r="FI153" s="64"/>
      <c r="FJ153" s="64"/>
      <c r="FK153" s="64"/>
      <c r="FL153" s="64"/>
      <c r="FM153" s="64"/>
      <c r="FN153" s="64"/>
      <c r="FO153" s="64"/>
      <c r="FP153" s="64"/>
      <c r="FQ153" s="64"/>
      <c r="FR153" s="64"/>
      <c r="FS153" s="64"/>
      <c r="FT153" s="64"/>
      <c r="FU153" s="64"/>
      <c r="FV153" s="64"/>
      <c r="FW153" s="64"/>
      <c r="FX153" s="64"/>
      <c r="FY153" s="64"/>
      <c r="FZ153" s="64"/>
      <c r="GA153" s="64"/>
      <c r="GB153" s="64"/>
      <c r="GC153" s="64"/>
      <c r="GD153" s="64"/>
      <c r="GE153" s="64"/>
      <c r="GF153" s="64"/>
      <c r="GG153" s="64"/>
      <c r="GH153" s="64"/>
      <c r="GI153" s="64"/>
      <c r="GJ153" s="64"/>
      <c r="GK153" s="64"/>
      <c r="GL153" s="64"/>
      <c r="GM153" s="64"/>
      <c r="GN153" s="64"/>
      <c r="GO153" s="64"/>
      <c r="GP153" s="64"/>
      <c r="GQ153" s="64"/>
      <c r="GR153" s="64"/>
      <c r="GS153" s="64"/>
      <c r="GT153" s="64"/>
      <c r="GU153" s="64"/>
      <c r="GV153" s="64"/>
      <c r="GW153" s="64"/>
      <c r="GX153" s="64"/>
      <c r="GY153" s="64"/>
      <c r="GZ153" s="64"/>
      <c r="HA153" s="64"/>
      <c r="HB153" s="64"/>
      <c r="HC153" s="64"/>
      <c r="HD153" s="64"/>
      <c r="HE153" s="64"/>
      <c r="HF153" s="64"/>
      <c r="HG153" s="64"/>
      <c r="HH153" s="64"/>
      <c r="HI153" s="64"/>
      <c r="HJ153" s="64"/>
      <c r="HK153" s="64"/>
      <c r="HL153" s="64"/>
      <c r="HM153" s="64"/>
      <c r="HN153" s="64"/>
      <c r="HO153" s="64"/>
      <c r="HP153" s="64"/>
      <c r="HQ153" s="64"/>
      <c r="HR153" s="64"/>
      <c r="HS153" s="64"/>
      <c r="HT153" s="64"/>
      <c r="HU153" s="64"/>
      <c r="HV153" s="64"/>
      <c r="HW153" s="64"/>
      <c r="HX153" s="64"/>
      <c r="HY153" s="64"/>
      <c r="HZ153" s="64"/>
      <c r="IA153" s="64"/>
      <c r="IB153" s="64"/>
      <c r="IC153" s="64"/>
      <c r="ID153" s="64"/>
      <c r="IE153" s="64"/>
      <c r="IF153" s="64"/>
      <c r="IG153" s="64"/>
      <c r="IH153" s="64"/>
      <c r="II153" s="64"/>
      <c r="IJ153" s="64"/>
      <c r="IK153" s="64"/>
      <c r="IL153" s="64"/>
      <c r="IM153" s="64"/>
      <c r="IN153" s="64"/>
      <c r="IO153" s="64"/>
      <c r="IP153" s="64"/>
      <c r="IQ153" s="64"/>
      <c r="IR153" s="64"/>
      <c r="IS153" s="64"/>
      <c r="IT153" s="64"/>
      <c r="IU153" s="64"/>
      <c r="IV153" s="64"/>
      <c r="IW153" s="64"/>
      <c r="IX153" s="64"/>
      <c r="IY153" s="64"/>
      <c r="IZ153" s="64"/>
      <c r="JA153" s="64"/>
      <c r="JB153" s="64"/>
      <c r="JC153" s="64"/>
      <c r="JD153" s="64"/>
      <c r="JE153" s="64"/>
      <c r="JF153" s="64"/>
      <c r="JG153" s="64"/>
      <c r="JH153" s="64"/>
      <c r="JI153" s="64"/>
      <c r="JJ153" s="64"/>
      <c r="JK153" s="64"/>
      <c r="JL153" s="64"/>
      <c r="JM153" s="64"/>
      <c r="JN153" s="64"/>
      <c r="JO153" s="64"/>
      <c r="JP153" s="64"/>
      <c r="JQ153" s="64"/>
      <c r="JR153" s="64"/>
      <c r="JS153" s="64"/>
      <c r="JT153" s="64"/>
      <c r="JU153" s="64"/>
      <c r="JV153" s="64"/>
      <c r="JW153" s="64"/>
      <c r="JX153" s="64"/>
      <c r="JY153" s="64"/>
      <c r="JZ153" s="64"/>
      <c r="KA153" s="64"/>
      <c r="KB153" s="64"/>
      <c r="KC153" s="64"/>
      <c r="KD153" s="64"/>
      <c r="KE153" s="64"/>
      <c r="KF153" s="64"/>
      <c r="KG153" s="64"/>
      <c r="KH153" s="64"/>
      <c r="KI153" s="64"/>
      <c r="KJ153" s="64"/>
      <c r="KK153" s="64"/>
      <c r="KL153" s="64"/>
      <c r="KM153" s="64"/>
      <c r="KN153" s="64"/>
      <c r="KO153" s="64"/>
      <c r="KP153" s="64"/>
      <c r="KQ153" s="64"/>
      <c r="KR153" s="64"/>
      <c r="KS153" s="64"/>
      <c r="KT153" s="64"/>
      <c r="KU153" s="64"/>
      <c r="KV153" s="64"/>
      <c r="KW153" s="64"/>
      <c r="KX153" s="64"/>
      <c r="KY153" s="64"/>
      <c r="KZ153" s="64"/>
      <c r="LA153" s="64"/>
      <c r="LB153" s="64"/>
      <c r="LC153" s="64"/>
      <c r="LD153" s="64"/>
      <c r="LE153" s="64"/>
      <c r="LF153" s="64"/>
      <c r="LG153" s="64"/>
      <c r="LH153" s="64"/>
      <c r="LI153" s="64"/>
      <c r="LJ153" s="64"/>
      <c r="LK153" s="64"/>
      <c r="LL153" s="64"/>
      <c r="LM153" s="64"/>
      <c r="LN153" s="64"/>
      <c r="LO153" s="64"/>
      <c r="LP153" s="64"/>
      <c r="LQ153" s="64"/>
      <c r="LR153" s="64"/>
      <c r="LS153" s="64"/>
      <c r="LT153" s="64"/>
      <c r="LU153" s="64"/>
      <c r="LV153" s="64"/>
      <c r="LW153" s="64"/>
      <c r="LX153" s="64"/>
      <c r="LY153" s="64"/>
      <c r="LZ153" s="64"/>
      <c r="MA153" s="64"/>
      <c r="MB153" s="64"/>
      <c r="MC153" s="64"/>
      <c r="MD153" s="64"/>
      <c r="ME153" s="64"/>
      <c r="MF153" s="64"/>
      <c r="MG153" s="64"/>
      <c r="MH153" s="64"/>
      <c r="MI153" s="64"/>
      <c r="MJ153" s="64"/>
      <c r="MK153" s="64"/>
      <c r="ML153" s="64"/>
      <c r="MM153" s="64"/>
      <c r="MN153" s="64"/>
      <c r="MO153" s="64"/>
      <c r="MP153" s="64"/>
      <c r="MQ153" s="64"/>
      <c r="MR153" s="64"/>
      <c r="MS153" s="64"/>
      <c r="MT153" s="64"/>
    </row>
    <row r="154" spans="1:358" s="408" customFormat="1" x14ac:dyDescent="0.3">
      <c r="A154" s="419" t="s">
        <v>1</v>
      </c>
      <c r="B154" s="140">
        <f>'Input data processed products'!C46</f>
        <v>1</v>
      </c>
      <c r="C154" s="325" t="s">
        <v>473</v>
      </c>
      <c r="D154" s="407"/>
      <c r="E154" s="325"/>
      <c r="F154" s="770">
        <f>IF($E$1="GWP100 without fb",F155+F156*'Common input data'!$C$5+F157*'Common input data'!$D$5,IF($E$1="GWP100 with fb",F155+F156*'Common input data'!$C$6+F157*'Common input data'!$D$6,IF($E$1="GTP100 without fb",F155+F156*'Common input data'!$C$7+F157*'Common input data'!$D$7,IF($E$1="GTP100 with fb",F155+F156*'Common input data'!$C$8+F157*'Common input data'!$D$8,F155+F156*'Common input data'!$C$9+F157*'Common input data'!$D$9))))</f>
        <v>6.8568791043138555</v>
      </c>
      <c r="G154" s="137"/>
      <c r="H154" s="137"/>
      <c r="I154" s="138"/>
      <c r="J154" s="138"/>
      <c r="K154" s="107"/>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64"/>
      <c r="AS154" s="64"/>
      <c r="AT154" s="64"/>
      <c r="AU154" s="64"/>
      <c r="AV154" s="64"/>
      <c r="AW154" s="64"/>
      <c r="AX154" s="64"/>
      <c r="AY154" s="64"/>
      <c r="AZ154" s="64"/>
      <c r="BA154" s="64"/>
      <c r="BB154" s="64"/>
      <c r="BC154" s="64"/>
      <c r="BD154" s="64"/>
      <c r="BE154" s="64"/>
      <c r="BF154" s="64"/>
      <c r="BG154" s="64"/>
      <c r="BH154" s="64"/>
      <c r="BI154" s="64"/>
      <c r="BJ154" s="64"/>
      <c r="BK154" s="64"/>
      <c r="BL154" s="64"/>
      <c r="BM154" s="64"/>
      <c r="BN154" s="64"/>
      <c r="BO154" s="64"/>
      <c r="BP154" s="64"/>
      <c r="BQ154" s="64"/>
      <c r="BR154" s="64"/>
      <c r="BS154" s="64"/>
      <c r="BT154" s="64"/>
      <c r="BU154" s="64"/>
      <c r="BV154" s="64"/>
      <c r="BW154" s="64"/>
      <c r="BX154" s="64"/>
      <c r="BY154" s="64"/>
      <c r="BZ154" s="64"/>
      <c r="CA154" s="64"/>
      <c r="CB154" s="64"/>
      <c r="CC154" s="64"/>
      <c r="CD154" s="64"/>
      <c r="CE154" s="64"/>
      <c r="CF154" s="64"/>
      <c r="CG154" s="64"/>
      <c r="CH154" s="64"/>
      <c r="CI154" s="64"/>
      <c r="CJ154" s="64"/>
      <c r="CK154" s="64"/>
      <c r="CL154" s="64"/>
      <c r="CM154" s="64"/>
      <c r="CN154" s="64"/>
      <c r="CO154" s="64"/>
      <c r="CP154" s="64"/>
      <c r="CQ154" s="64"/>
      <c r="CR154" s="64"/>
      <c r="CS154" s="64"/>
      <c r="CT154" s="64"/>
      <c r="CU154" s="64"/>
      <c r="CV154" s="64"/>
      <c r="CW154" s="64"/>
      <c r="CX154" s="64"/>
      <c r="CY154" s="64"/>
      <c r="CZ154" s="64"/>
      <c r="DA154" s="64"/>
      <c r="DB154" s="64"/>
      <c r="DC154" s="64"/>
      <c r="DD154" s="64"/>
      <c r="DE154" s="64"/>
      <c r="DF154" s="64"/>
      <c r="DG154" s="64"/>
      <c r="DH154" s="64"/>
      <c r="DI154" s="64"/>
      <c r="DJ154" s="64"/>
      <c r="DK154" s="64"/>
      <c r="DL154" s="64"/>
      <c r="DM154" s="64"/>
      <c r="DN154" s="64"/>
      <c r="DO154" s="64"/>
      <c r="DP154" s="64"/>
      <c r="DQ154" s="64"/>
      <c r="DR154" s="64"/>
      <c r="DS154" s="64"/>
      <c r="DT154" s="64"/>
      <c r="DU154" s="64"/>
      <c r="DV154" s="64"/>
      <c r="DW154" s="64"/>
      <c r="DX154" s="64"/>
      <c r="DY154" s="64"/>
      <c r="DZ154" s="64"/>
      <c r="EA154" s="64"/>
      <c r="EB154" s="64"/>
      <c r="EC154" s="64"/>
      <c r="ED154" s="64"/>
      <c r="EE154" s="64"/>
      <c r="EF154" s="64"/>
      <c r="EG154" s="64"/>
      <c r="EH154" s="64"/>
      <c r="EI154" s="64"/>
      <c r="EJ154" s="64"/>
      <c r="EK154" s="64"/>
      <c r="EL154" s="64"/>
      <c r="EM154" s="64"/>
      <c r="EN154" s="64"/>
      <c r="EO154" s="64"/>
      <c r="EP154" s="64"/>
      <c r="EQ154" s="64"/>
      <c r="ER154" s="64"/>
      <c r="ES154" s="64"/>
      <c r="ET154" s="64"/>
      <c r="EU154" s="64"/>
      <c r="EV154" s="64"/>
      <c r="EW154" s="64"/>
      <c r="EX154" s="64"/>
      <c r="EY154" s="64"/>
      <c r="EZ154" s="64"/>
      <c r="FA154" s="64"/>
      <c r="FB154" s="64"/>
      <c r="FC154" s="64"/>
      <c r="FD154" s="64"/>
      <c r="FE154" s="64"/>
      <c r="FF154" s="64"/>
      <c r="FG154" s="64"/>
      <c r="FH154" s="64"/>
      <c r="FI154" s="64"/>
      <c r="FJ154" s="64"/>
      <c r="FK154" s="64"/>
      <c r="FL154" s="64"/>
      <c r="FM154" s="64"/>
      <c r="FN154" s="64"/>
      <c r="FO154" s="64"/>
      <c r="FP154" s="64"/>
      <c r="FQ154" s="64"/>
      <c r="FR154" s="64"/>
      <c r="FS154" s="64"/>
      <c r="FT154" s="64"/>
      <c r="FU154" s="64"/>
      <c r="FV154" s="64"/>
      <c r="FW154" s="64"/>
      <c r="FX154" s="64"/>
      <c r="FY154" s="64"/>
      <c r="FZ154" s="64"/>
      <c r="GA154" s="64"/>
      <c r="GB154" s="64"/>
      <c r="GC154" s="64"/>
      <c r="GD154" s="64"/>
      <c r="GE154" s="64"/>
      <c r="GF154" s="64"/>
      <c r="GG154" s="64"/>
      <c r="GH154" s="64"/>
      <c r="GI154" s="64"/>
      <c r="GJ154" s="64"/>
      <c r="GK154" s="64"/>
      <c r="GL154" s="64"/>
      <c r="GM154" s="64"/>
      <c r="GN154" s="64"/>
      <c r="GO154" s="64"/>
      <c r="GP154" s="64"/>
      <c r="GQ154" s="64"/>
      <c r="GR154" s="64"/>
      <c r="GS154" s="64"/>
      <c r="GT154" s="64"/>
      <c r="GU154" s="64"/>
      <c r="GV154" s="64"/>
      <c r="GW154" s="64"/>
      <c r="GX154" s="64"/>
      <c r="GY154" s="64"/>
      <c r="GZ154" s="64"/>
      <c r="HA154" s="64"/>
      <c r="HB154" s="64"/>
      <c r="HC154" s="64"/>
      <c r="HD154" s="64"/>
      <c r="HE154" s="64"/>
      <c r="HF154" s="64"/>
      <c r="HG154" s="64"/>
      <c r="HH154" s="64"/>
      <c r="HI154" s="64"/>
      <c r="HJ154" s="64"/>
      <c r="HK154" s="64"/>
      <c r="HL154" s="64"/>
      <c r="HM154" s="64"/>
      <c r="HN154" s="64"/>
      <c r="HO154" s="64"/>
      <c r="HP154" s="64"/>
      <c r="HQ154" s="64"/>
      <c r="HR154" s="64"/>
      <c r="HS154" s="64"/>
      <c r="HT154" s="64"/>
      <c r="HU154" s="64"/>
      <c r="HV154" s="64"/>
      <c r="HW154" s="64"/>
      <c r="HX154" s="64"/>
      <c r="HY154" s="64"/>
      <c r="HZ154" s="64"/>
      <c r="IA154" s="64"/>
      <c r="IB154" s="64"/>
      <c r="IC154" s="64"/>
      <c r="ID154" s="64"/>
      <c r="IE154" s="64"/>
      <c r="IF154" s="64"/>
      <c r="IG154" s="64"/>
      <c r="IH154" s="64"/>
      <c r="II154" s="64"/>
      <c r="IJ154" s="64"/>
      <c r="IK154" s="64"/>
      <c r="IL154" s="64"/>
      <c r="IM154" s="64"/>
      <c r="IN154" s="64"/>
      <c r="IO154" s="64"/>
      <c r="IP154" s="64"/>
      <c r="IQ154" s="64"/>
      <c r="IR154" s="64"/>
      <c r="IS154" s="64"/>
      <c r="IT154" s="64"/>
      <c r="IU154" s="64"/>
      <c r="IV154" s="64"/>
      <c r="IW154" s="64"/>
      <c r="IX154" s="64"/>
      <c r="IY154" s="64"/>
      <c r="IZ154" s="64"/>
      <c r="JA154" s="64"/>
      <c r="JB154" s="64"/>
      <c r="JC154" s="64"/>
      <c r="JD154" s="64"/>
      <c r="JE154" s="64"/>
      <c r="JF154" s="64"/>
      <c r="JG154" s="64"/>
      <c r="JH154" s="64"/>
      <c r="JI154" s="64"/>
      <c r="JJ154" s="64"/>
      <c r="JK154" s="64"/>
      <c r="JL154" s="64"/>
      <c r="JM154" s="64"/>
      <c r="JN154" s="64"/>
      <c r="JO154" s="64"/>
      <c r="JP154" s="64"/>
      <c r="JQ154" s="64"/>
      <c r="JR154" s="64"/>
      <c r="JS154" s="64"/>
      <c r="JT154" s="64"/>
      <c r="JU154" s="64"/>
      <c r="JV154" s="64"/>
      <c r="JW154" s="64"/>
      <c r="JX154" s="64"/>
      <c r="JY154" s="64"/>
      <c r="JZ154" s="64"/>
      <c r="KA154" s="64"/>
      <c r="KB154" s="64"/>
      <c r="KC154" s="64"/>
      <c r="KD154" s="64"/>
      <c r="KE154" s="64"/>
      <c r="KF154" s="64"/>
      <c r="KG154" s="64"/>
      <c r="KH154" s="64"/>
      <c r="KI154" s="64"/>
      <c r="KJ154" s="64"/>
      <c r="KK154" s="64"/>
      <c r="KL154" s="64"/>
      <c r="KM154" s="64"/>
      <c r="KN154" s="64"/>
      <c r="KO154" s="64"/>
      <c r="KP154" s="64"/>
      <c r="KQ154" s="64"/>
      <c r="KR154" s="64"/>
      <c r="KS154" s="64"/>
      <c r="KT154" s="64"/>
      <c r="KU154" s="64"/>
      <c r="KV154" s="64"/>
      <c r="KW154" s="64"/>
      <c r="KX154" s="64"/>
      <c r="KY154" s="64"/>
      <c r="KZ154" s="64"/>
      <c r="LA154" s="64"/>
      <c r="LB154" s="64"/>
      <c r="LC154" s="64"/>
      <c r="LD154" s="64"/>
      <c r="LE154" s="64"/>
      <c r="LF154" s="64"/>
      <c r="LG154" s="64"/>
      <c r="LH154" s="64"/>
      <c r="LI154" s="64"/>
      <c r="LJ154" s="64"/>
      <c r="LK154" s="64"/>
      <c r="LL154" s="64"/>
      <c r="LM154" s="64"/>
      <c r="LN154" s="64"/>
      <c r="LO154" s="64"/>
      <c r="LP154" s="64"/>
      <c r="LQ154" s="64"/>
      <c r="LR154" s="64"/>
      <c r="LS154" s="64"/>
      <c r="LT154" s="64"/>
      <c r="LU154" s="64"/>
      <c r="LV154" s="64"/>
      <c r="LW154" s="64"/>
      <c r="LX154" s="64"/>
      <c r="LY154" s="64"/>
      <c r="LZ154" s="64"/>
      <c r="MA154" s="64"/>
      <c r="MB154" s="64"/>
      <c r="MC154" s="64"/>
      <c r="MD154" s="64"/>
      <c r="ME154" s="64"/>
      <c r="MF154" s="64"/>
      <c r="MG154" s="64"/>
      <c r="MH154" s="64"/>
      <c r="MI154" s="64"/>
      <c r="MJ154" s="64"/>
      <c r="MK154" s="64"/>
      <c r="ML154" s="64"/>
      <c r="MM154" s="64"/>
      <c r="MN154" s="64"/>
      <c r="MO154" s="64"/>
      <c r="MP154" s="64"/>
      <c r="MQ154" s="64"/>
      <c r="MR154" s="64"/>
      <c r="MS154" s="64"/>
      <c r="MT154" s="64"/>
    </row>
    <row r="155" spans="1:358" x14ac:dyDescent="0.3">
      <c r="A155" s="144"/>
      <c r="B155" s="142"/>
      <c r="C155" s="83" t="s">
        <v>164</v>
      </c>
      <c r="D155" s="354"/>
      <c r="E155" s="83"/>
      <c r="F155" s="278">
        <f>SUM(G155:J155)/(1-'Common input data'!$B$136)</f>
        <v>2.7680659450494516</v>
      </c>
      <c r="G155" s="85">
        <f>SUMPRODUCT('Input data processed products'!D$46:AB$46,'Input data processed products'!D$55:AB$55)</f>
        <v>2.3112593505445069</v>
      </c>
      <c r="H155" s="85">
        <f>'Input data processed products'!H$67</f>
        <v>0.1</v>
      </c>
      <c r="I155" s="90">
        <f>'Common input data'!B$90</f>
        <v>0.05</v>
      </c>
      <c r="J155" s="90">
        <f>'Common input data'!C$98</f>
        <v>0.03</v>
      </c>
      <c r="K155" s="107"/>
    </row>
    <row r="156" spans="1:358" x14ac:dyDescent="0.3">
      <c r="A156" s="174"/>
      <c r="B156" s="85"/>
      <c r="C156" s="83" t="s">
        <v>165</v>
      </c>
      <c r="D156" s="354"/>
      <c r="E156" s="83"/>
      <c r="F156" s="278">
        <f>SUM(G156:J156)/(1-'Common input data'!$B$136)</f>
        <v>6.8316926748048817E-2</v>
      </c>
      <c r="G156" s="85">
        <f>SUMPRODUCT('Input data processed products'!D$46:AB$46,'Input data processed products'!D$56:AB$56)</f>
        <v>6.1485234073243938E-2</v>
      </c>
      <c r="H156" s="85">
        <v>0</v>
      </c>
      <c r="I156" s="90">
        <v>0</v>
      </c>
      <c r="J156" s="90">
        <v>0</v>
      </c>
      <c r="K156" s="107"/>
    </row>
    <row r="157" spans="1:358" x14ac:dyDescent="0.3">
      <c r="A157" s="174"/>
      <c r="B157" s="85"/>
      <c r="C157" s="84" t="s">
        <v>166</v>
      </c>
      <c r="D157" s="592"/>
      <c r="E157" s="100"/>
      <c r="F157" s="521">
        <f>SUM(G157:J157)/(1-'Common input data'!$B$136)</f>
        <v>5.9263008383582004E-3</v>
      </c>
      <c r="G157" s="85">
        <f>SUMPRODUCT('Input data processed products'!D$46:AB$46,'Input data processed products'!D$57:AB$57)</f>
        <v>5.3336707545223808E-3</v>
      </c>
      <c r="H157" s="85">
        <v>0</v>
      </c>
      <c r="I157" s="90">
        <v>0</v>
      </c>
      <c r="J157" s="90">
        <v>0</v>
      </c>
      <c r="K157" s="107"/>
    </row>
    <row r="158" spans="1:358" s="316" customFormat="1" x14ac:dyDescent="0.3">
      <c r="A158" s="311" t="s">
        <v>509</v>
      </c>
      <c r="B158" s="313"/>
      <c r="C158" s="314"/>
      <c r="D158" s="356"/>
      <c r="E158" s="281"/>
      <c r="F158" s="590" t="s">
        <v>859</v>
      </c>
      <c r="G158" s="313"/>
      <c r="H158" s="313"/>
      <c r="I158" s="315"/>
      <c r="J158" s="315"/>
      <c r="K158" s="107"/>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4"/>
      <c r="AV158" s="64"/>
      <c r="AW158" s="64"/>
      <c r="AX158" s="64"/>
      <c r="AY158" s="64"/>
      <c r="AZ158" s="64"/>
      <c r="BA158" s="64"/>
      <c r="BB158" s="64"/>
      <c r="BC158" s="64"/>
      <c r="BD158" s="64"/>
      <c r="BE158" s="64"/>
      <c r="BF158" s="64"/>
      <c r="BG158" s="64"/>
      <c r="BH158" s="64"/>
      <c r="BI158" s="64"/>
      <c r="BJ158" s="64"/>
      <c r="BK158" s="64"/>
      <c r="BL158" s="64"/>
      <c r="BM158" s="64"/>
      <c r="BN158" s="64"/>
      <c r="BO158" s="64"/>
      <c r="BP158" s="64"/>
      <c r="BQ158" s="64"/>
      <c r="BR158" s="64"/>
      <c r="BS158" s="64"/>
      <c r="BT158" s="64"/>
      <c r="BU158" s="64"/>
      <c r="BV158" s="64"/>
      <c r="BW158" s="64"/>
      <c r="BX158" s="64"/>
      <c r="BY158" s="64"/>
      <c r="BZ158" s="64"/>
      <c r="CA158" s="64"/>
      <c r="CB158" s="64"/>
      <c r="CC158" s="64"/>
      <c r="CD158" s="64"/>
      <c r="CE158" s="64"/>
      <c r="CF158" s="64"/>
      <c r="CG158" s="64"/>
      <c r="CH158" s="64"/>
      <c r="CI158" s="64"/>
      <c r="CJ158" s="64"/>
      <c r="CK158" s="64"/>
      <c r="CL158" s="64"/>
      <c r="CM158" s="64"/>
      <c r="CN158" s="64"/>
      <c r="CO158" s="64"/>
      <c r="CP158" s="64"/>
      <c r="CQ158" s="64"/>
      <c r="CR158" s="64"/>
      <c r="CS158" s="64"/>
      <c r="CT158" s="64"/>
      <c r="CU158" s="64"/>
      <c r="CV158" s="64"/>
      <c r="CW158" s="64"/>
      <c r="CX158" s="64"/>
      <c r="CY158" s="64"/>
      <c r="CZ158" s="64"/>
      <c r="DA158" s="64"/>
      <c r="DB158" s="64"/>
      <c r="DC158" s="64"/>
      <c r="DD158" s="64"/>
      <c r="DE158" s="64"/>
      <c r="DF158" s="64"/>
      <c r="DG158" s="64"/>
      <c r="DH158" s="64"/>
      <c r="DI158" s="64"/>
      <c r="DJ158" s="64"/>
      <c r="DK158" s="64"/>
      <c r="DL158" s="64"/>
      <c r="DM158" s="64"/>
      <c r="DN158" s="64"/>
      <c r="DO158" s="64"/>
      <c r="DP158" s="64"/>
      <c r="DQ158" s="64"/>
      <c r="DR158" s="64"/>
      <c r="DS158" s="64"/>
      <c r="DT158" s="64"/>
      <c r="DU158" s="64"/>
      <c r="DV158" s="64"/>
      <c r="DW158" s="64"/>
      <c r="DX158" s="64"/>
      <c r="DY158" s="64"/>
      <c r="DZ158" s="64"/>
      <c r="EA158" s="64"/>
      <c r="EB158" s="64"/>
      <c r="EC158" s="64"/>
      <c r="ED158" s="64"/>
      <c r="EE158" s="64"/>
      <c r="EF158" s="64"/>
      <c r="EG158" s="64"/>
      <c r="EH158" s="64"/>
      <c r="EI158" s="64"/>
      <c r="EJ158" s="64"/>
      <c r="EK158" s="64"/>
      <c r="EL158" s="64"/>
      <c r="EM158" s="64"/>
      <c r="EN158" s="64"/>
      <c r="EO158" s="64"/>
      <c r="EP158" s="64"/>
      <c r="EQ158" s="64"/>
      <c r="ER158" s="64"/>
      <c r="ES158" s="64"/>
      <c r="ET158" s="64"/>
      <c r="EU158" s="64"/>
      <c r="EV158" s="64"/>
      <c r="EW158" s="64"/>
      <c r="EX158" s="64"/>
      <c r="EY158" s="64"/>
      <c r="EZ158" s="64"/>
      <c r="FA158" s="64"/>
      <c r="FB158" s="64"/>
      <c r="FC158" s="64"/>
      <c r="FD158" s="64"/>
      <c r="FE158" s="64"/>
      <c r="FF158" s="64"/>
      <c r="FG158" s="64"/>
      <c r="FH158" s="64"/>
      <c r="FI158" s="64"/>
      <c r="FJ158" s="64"/>
      <c r="FK158" s="64"/>
      <c r="FL158" s="64"/>
      <c r="FM158" s="64"/>
      <c r="FN158" s="64"/>
      <c r="FO158" s="64"/>
      <c r="FP158" s="64"/>
      <c r="FQ158" s="64"/>
      <c r="FR158" s="64"/>
      <c r="FS158" s="64"/>
      <c r="FT158" s="64"/>
      <c r="FU158" s="64"/>
      <c r="FV158" s="64"/>
      <c r="FW158" s="64"/>
      <c r="FX158" s="64"/>
      <c r="FY158" s="64"/>
      <c r="FZ158" s="64"/>
      <c r="GA158" s="64"/>
      <c r="GB158" s="64"/>
      <c r="GC158" s="64"/>
      <c r="GD158" s="64"/>
      <c r="GE158" s="64"/>
      <c r="GF158" s="64"/>
      <c r="GG158" s="64"/>
      <c r="GH158" s="64"/>
      <c r="GI158" s="64"/>
      <c r="GJ158" s="64"/>
      <c r="GK158" s="64"/>
      <c r="GL158" s="64"/>
      <c r="GM158" s="64"/>
      <c r="GN158" s="64"/>
      <c r="GO158" s="64"/>
      <c r="GP158" s="64"/>
      <c r="GQ158" s="64"/>
      <c r="GR158" s="64"/>
      <c r="GS158" s="64"/>
      <c r="GT158" s="64"/>
      <c r="GU158" s="64"/>
      <c r="GV158" s="64"/>
      <c r="GW158" s="64"/>
      <c r="GX158" s="64"/>
      <c r="GY158" s="64"/>
      <c r="GZ158" s="64"/>
      <c r="HA158" s="64"/>
      <c r="HB158" s="64"/>
      <c r="HC158" s="64"/>
      <c r="HD158" s="64"/>
      <c r="HE158" s="64"/>
      <c r="HF158" s="64"/>
      <c r="HG158" s="64"/>
      <c r="HH158" s="64"/>
      <c r="HI158" s="64"/>
      <c r="HJ158" s="64"/>
      <c r="HK158" s="64"/>
      <c r="HL158" s="64"/>
      <c r="HM158" s="64"/>
      <c r="HN158" s="64"/>
      <c r="HO158" s="64"/>
      <c r="HP158" s="64"/>
      <c r="HQ158" s="64"/>
      <c r="HR158" s="64"/>
      <c r="HS158" s="64"/>
      <c r="HT158" s="64"/>
      <c r="HU158" s="64"/>
      <c r="HV158" s="64"/>
      <c r="HW158" s="64"/>
      <c r="HX158" s="64"/>
      <c r="HY158" s="64"/>
      <c r="HZ158" s="64"/>
      <c r="IA158" s="64"/>
      <c r="IB158" s="64"/>
      <c r="IC158" s="64"/>
      <c r="ID158" s="64"/>
      <c r="IE158" s="64"/>
      <c r="IF158" s="64"/>
      <c r="IG158" s="64"/>
      <c r="IH158" s="64"/>
      <c r="II158" s="64"/>
      <c r="IJ158" s="64"/>
      <c r="IK158" s="64"/>
      <c r="IL158" s="64"/>
      <c r="IM158" s="64"/>
      <c r="IN158" s="64"/>
      <c r="IO158" s="64"/>
      <c r="IP158" s="64"/>
      <c r="IQ158" s="64"/>
      <c r="IR158" s="64"/>
      <c r="IS158" s="64"/>
      <c r="IT158" s="64"/>
      <c r="IU158" s="64"/>
      <c r="IV158" s="64"/>
      <c r="IW158" s="64"/>
      <c r="IX158" s="64"/>
      <c r="IY158" s="64"/>
      <c r="IZ158" s="64"/>
      <c r="JA158" s="64"/>
      <c r="JB158" s="64"/>
      <c r="JC158" s="64"/>
      <c r="JD158" s="64"/>
      <c r="JE158" s="64"/>
      <c r="JF158" s="64"/>
      <c r="JG158" s="64"/>
      <c r="JH158" s="64"/>
      <c r="JI158" s="64"/>
      <c r="JJ158" s="64"/>
      <c r="JK158" s="64"/>
      <c r="JL158" s="64"/>
      <c r="JM158" s="64"/>
      <c r="JN158" s="64"/>
      <c r="JO158" s="64"/>
      <c r="JP158" s="64"/>
      <c r="JQ158" s="64"/>
      <c r="JR158" s="64"/>
      <c r="JS158" s="64"/>
      <c r="JT158" s="64"/>
      <c r="JU158" s="64"/>
      <c r="JV158" s="64"/>
      <c r="JW158" s="64"/>
      <c r="JX158" s="64"/>
      <c r="JY158" s="64"/>
      <c r="JZ158" s="64"/>
      <c r="KA158" s="64"/>
      <c r="KB158" s="64"/>
      <c r="KC158" s="64"/>
      <c r="KD158" s="64"/>
      <c r="KE158" s="64"/>
      <c r="KF158" s="64"/>
      <c r="KG158" s="64"/>
      <c r="KH158" s="64"/>
      <c r="KI158" s="64"/>
      <c r="KJ158" s="64"/>
      <c r="KK158" s="64"/>
      <c r="KL158" s="64"/>
      <c r="KM158" s="64"/>
      <c r="KN158" s="64"/>
      <c r="KO158" s="64"/>
      <c r="KP158" s="64"/>
      <c r="KQ158" s="64"/>
      <c r="KR158" s="64"/>
      <c r="KS158" s="64"/>
      <c r="KT158" s="64"/>
      <c r="KU158" s="64"/>
      <c r="KV158" s="64"/>
      <c r="KW158" s="64"/>
      <c r="KX158" s="64"/>
      <c r="KY158" s="64"/>
      <c r="KZ158" s="64"/>
      <c r="LA158" s="64"/>
      <c r="LB158" s="64"/>
      <c r="LC158" s="64"/>
      <c r="LD158" s="64"/>
      <c r="LE158" s="64"/>
      <c r="LF158" s="64"/>
      <c r="LG158" s="64"/>
      <c r="LH158" s="64"/>
      <c r="LI158" s="64"/>
      <c r="LJ158" s="64"/>
      <c r="LK158" s="64"/>
      <c r="LL158" s="64"/>
      <c r="LM158" s="64"/>
      <c r="LN158" s="64"/>
      <c r="LO158" s="64"/>
      <c r="LP158" s="64"/>
      <c r="LQ158" s="64"/>
      <c r="LR158" s="64"/>
      <c r="LS158" s="64"/>
      <c r="LT158" s="64"/>
      <c r="LU158" s="64"/>
      <c r="LV158" s="64"/>
      <c r="LW158" s="64"/>
      <c r="LX158" s="64"/>
      <c r="LY158" s="64"/>
      <c r="LZ158" s="64"/>
      <c r="MA158" s="64"/>
      <c r="MB158" s="64"/>
      <c r="MC158" s="64"/>
      <c r="MD158" s="64"/>
      <c r="ME158" s="64"/>
      <c r="MF158" s="64"/>
      <c r="MG158" s="64"/>
      <c r="MH158" s="64"/>
      <c r="MI158" s="64"/>
      <c r="MJ158" s="64"/>
      <c r="MK158" s="64"/>
      <c r="ML158" s="64"/>
      <c r="MM158" s="64"/>
      <c r="MN158" s="64"/>
      <c r="MO158" s="64"/>
      <c r="MP158" s="64"/>
      <c r="MQ158" s="64"/>
      <c r="MR158" s="64"/>
      <c r="MS158" s="64"/>
      <c r="MT158" s="64"/>
    </row>
    <row r="159" spans="1:358" s="408" customFormat="1" x14ac:dyDescent="0.3">
      <c r="A159" s="419" t="s">
        <v>1</v>
      </c>
      <c r="B159" s="140">
        <f>'Input data processed products'!C48</f>
        <v>1</v>
      </c>
      <c r="C159" s="325" t="s">
        <v>473</v>
      </c>
      <c r="D159" s="407"/>
      <c r="E159" s="325"/>
      <c r="F159" s="770">
        <f>IF($E$1="GWP100 without fb",F160+F161*'Common input data'!$C$5+F162*'Common input data'!$D$5,IF($E$1="GWP100 with fb",F160+F161*'Common input data'!$C$6+F162*'Common input data'!$D$6,IF($E$1="GTP100 without fb",F160+F161*'Common input data'!$C$7+F162*'Common input data'!$D$7,IF($E$1="GTP100 with fb",F160+F161*'Common input data'!$C$8+F162*'Common input data'!$D$8,F160+F161*'Common input data'!$C$9+F162*'Common input data'!$D$9))))</f>
        <v>2.8929136796250363</v>
      </c>
      <c r="G159" s="137"/>
      <c r="H159" s="137"/>
      <c r="I159" s="138"/>
      <c r="J159" s="138"/>
      <c r="K159" s="107"/>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64"/>
      <c r="AW159" s="64"/>
      <c r="AX159" s="64"/>
      <c r="AY159" s="64"/>
      <c r="AZ159" s="64"/>
      <c r="BA159" s="64"/>
      <c r="BB159" s="64"/>
      <c r="BC159" s="64"/>
      <c r="BD159" s="64"/>
      <c r="BE159" s="64"/>
      <c r="BF159" s="64"/>
      <c r="BG159" s="64"/>
      <c r="BH159" s="64"/>
      <c r="BI159" s="64"/>
      <c r="BJ159" s="64"/>
      <c r="BK159" s="64"/>
      <c r="BL159" s="64"/>
      <c r="BM159" s="64"/>
      <c r="BN159" s="64"/>
      <c r="BO159" s="64"/>
      <c r="BP159" s="64"/>
      <c r="BQ159" s="64"/>
      <c r="BR159" s="64"/>
      <c r="BS159" s="64"/>
      <c r="BT159" s="64"/>
      <c r="BU159" s="64"/>
      <c r="BV159" s="64"/>
      <c r="BW159" s="64"/>
      <c r="BX159" s="64"/>
      <c r="BY159" s="64"/>
      <c r="BZ159" s="64"/>
      <c r="CA159" s="64"/>
      <c r="CB159" s="64"/>
      <c r="CC159" s="64"/>
      <c r="CD159" s="64"/>
      <c r="CE159" s="64"/>
      <c r="CF159" s="64"/>
      <c r="CG159" s="64"/>
      <c r="CH159" s="64"/>
      <c r="CI159" s="64"/>
      <c r="CJ159" s="64"/>
      <c r="CK159" s="64"/>
      <c r="CL159" s="64"/>
      <c r="CM159" s="64"/>
      <c r="CN159" s="64"/>
      <c r="CO159" s="64"/>
      <c r="CP159" s="64"/>
      <c r="CQ159" s="64"/>
      <c r="CR159" s="64"/>
      <c r="CS159" s="64"/>
      <c r="CT159" s="64"/>
      <c r="CU159" s="64"/>
      <c r="CV159" s="64"/>
      <c r="CW159" s="64"/>
      <c r="CX159" s="64"/>
      <c r="CY159" s="64"/>
      <c r="CZ159" s="64"/>
      <c r="DA159" s="64"/>
      <c r="DB159" s="64"/>
      <c r="DC159" s="64"/>
      <c r="DD159" s="64"/>
      <c r="DE159" s="64"/>
      <c r="DF159" s="64"/>
      <c r="DG159" s="64"/>
      <c r="DH159" s="64"/>
      <c r="DI159" s="64"/>
      <c r="DJ159" s="64"/>
      <c r="DK159" s="64"/>
      <c r="DL159" s="64"/>
      <c r="DM159" s="64"/>
      <c r="DN159" s="64"/>
      <c r="DO159" s="64"/>
      <c r="DP159" s="64"/>
      <c r="DQ159" s="64"/>
      <c r="DR159" s="64"/>
      <c r="DS159" s="64"/>
      <c r="DT159" s="64"/>
      <c r="DU159" s="64"/>
      <c r="DV159" s="64"/>
      <c r="DW159" s="64"/>
      <c r="DX159" s="64"/>
      <c r="DY159" s="64"/>
      <c r="DZ159" s="64"/>
      <c r="EA159" s="64"/>
      <c r="EB159" s="64"/>
      <c r="EC159" s="64"/>
      <c r="ED159" s="64"/>
      <c r="EE159" s="64"/>
      <c r="EF159" s="64"/>
      <c r="EG159" s="64"/>
      <c r="EH159" s="64"/>
      <c r="EI159" s="64"/>
      <c r="EJ159" s="64"/>
      <c r="EK159" s="64"/>
      <c r="EL159" s="64"/>
      <c r="EM159" s="64"/>
      <c r="EN159" s="64"/>
      <c r="EO159" s="64"/>
      <c r="EP159" s="64"/>
      <c r="EQ159" s="64"/>
      <c r="ER159" s="64"/>
      <c r="ES159" s="64"/>
      <c r="ET159" s="64"/>
      <c r="EU159" s="64"/>
      <c r="EV159" s="64"/>
      <c r="EW159" s="64"/>
      <c r="EX159" s="64"/>
      <c r="EY159" s="64"/>
      <c r="EZ159" s="64"/>
      <c r="FA159" s="64"/>
      <c r="FB159" s="64"/>
      <c r="FC159" s="64"/>
      <c r="FD159" s="64"/>
      <c r="FE159" s="64"/>
      <c r="FF159" s="64"/>
      <c r="FG159" s="64"/>
      <c r="FH159" s="64"/>
      <c r="FI159" s="64"/>
      <c r="FJ159" s="64"/>
      <c r="FK159" s="64"/>
      <c r="FL159" s="64"/>
      <c r="FM159" s="64"/>
      <c r="FN159" s="64"/>
      <c r="FO159" s="64"/>
      <c r="FP159" s="64"/>
      <c r="FQ159" s="64"/>
      <c r="FR159" s="64"/>
      <c r="FS159" s="64"/>
      <c r="FT159" s="64"/>
      <c r="FU159" s="64"/>
      <c r="FV159" s="64"/>
      <c r="FW159" s="64"/>
      <c r="FX159" s="64"/>
      <c r="FY159" s="64"/>
      <c r="FZ159" s="64"/>
      <c r="GA159" s="64"/>
      <c r="GB159" s="64"/>
      <c r="GC159" s="64"/>
      <c r="GD159" s="64"/>
      <c r="GE159" s="64"/>
      <c r="GF159" s="64"/>
      <c r="GG159" s="64"/>
      <c r="GH159" s="64"/>
      <c r="GI159" s="64"/>
      <c r="GJ159" s="64"/>
      <c r="GK159" s="64"/>
      <c r="GL159" s="64"/>
      <c r="GM159" s="64"/>
      <c r="GN159" s="64"/>
      <c r="GO159" s="64"/>
      <c r="GP159" s="64"/>
      <c r="GQ159" s="64"/>
      <c r="GR159" s="64"/>
      <c r="GS159" s="64"/>
      <c r="GT159" s="64"/>
      <c r="GU159" s="64"/>
      <c r="GV159" s="64"/>
      <c r="GW159" s="64"/>
      <c r="GX159" s="64"/>
      <c r="GY159" s="64"/>
      <c r="GZ159" s="64"/>
      <c r="HA159" s="64"/>
      <c r="HB159" s="64"/>
      <c r="HC159" s="64"/>
      <c r="HD159" s="64"/>
      <c r="HE159" s="64"/>
      <c r="HF159" s="64"/>
      <c r="HG159" s="64"/>
      <c r="HH159" s="64"/>
      <c r="HI159" s="64"/>
      <c r="HJ159" s="64"/>
      <c r="HK159" s="64"/>
      <c r="HL159" s="64"/>
      <c r="HM159" s="64"/>
      <c r="HN159" s="64"/>
      <c r="HO159" s="64"/>
      <c r="HP159" s="64"/>
      <c r="HQ159" s="64"/>
      <c r="HR159" s="64"/>
      <c r="HS159" s="64"/>
      <c r="HT159" s="64"/>
      <c r="HU159" s="64"/>
      <c r="HV159" s="64"/>
      <c r="HW159" s="64"/>
      <c r="HX159" s="64"/>
      <c r="HY159" s="64"/>
      <c r="HZ159" s="64"/>
      <c r="IA159" s="64"/>
      <c r="IB159" s="64"/>
      <c r="IC159" s="64"/>
      <c r="ID159" s="64"/>
      <c r="IE159" s="64"/>
      <c r="IF159" s="64"/>
      <c r="IG159" s="64"/>
      <c r="IH159" s="64"/>
      <c r="II159" s="64"/>
      <c r="IJ159" s="64"/>
      <c r="IK159" s="64"/>
      <c r="IL159" s="64"/>
      <c r="IM159" s="64"/>
      <c r="IN159" s="64"/>
      <c r="IO159" s="64"/>
      <c r="IP159" s="64"/>
      <c r="IQ159" s="64"/>
      <c r="IR159" s="64"/>
      <c r="IS159" s="64"/>
      <c r="IT159" s="64"/>
      <c r="IU159" s="64"/>
      <c r="IV159" s="64"/>
      <c r="IW159" s="64"/>
      <c r="IX159" s="64"/>
      <c r="IY159" s="64"/>
      <c r="IZ159" s="64"/>
      <c r="JA159" s="64"/>
      <c r="JB159" s="64"/>
      <c r="JC159" s="64"/>
      <c r="JD159" s="64"/>
      <c r="JE159" s="64"/>
      <c r="JF159" s="64"/>
      <c r="JG159" s="64"/>
      <c r="JH159" s="64"/>
      <c r="JI159" s="64"/>
      <c r="JJ159" s="64"/>
      <c r="JK159" s="64"/>
      <c r="JL159" s="64"/>
      <c r="JM159" s="64"/>
      <c r="JN159" s="64"/>
      <c r="JO159" s="64"/>
      <c r="JP159" s="64"/>
      <c r="JQ159" s="64"/>
      <c r="JR159" s="64"/>
      <c r="JS159" s="64"/>
      <c r="JT159" s="64"/>
      <c r="JU159" s="64"/>
      <c r="JV159" s="64"/>
      <c r="JW159" s="64"/>
      <c r="JX159" s="64"/>
      <c r="JY159" s="64"/>
      <c r="JZ159" s="64"/>
      <c r="KA159" s="64"/>
      <c r="KB159" s="64"/>
      <c r="KC159" s="64"/>
      <c r="KD159" s="64"/>
      <c r="KE159" s="64"/>
      <c r="KF159" s="64"/>
      <c r="KG159" s="64"/>
      <c r="KH159" s="64"/>
      <c r="KI159" s="64"/>
      <c r="KJ159" s="64"/>
      <c r="KK159" s="64"/>
      <c r="KL159" s="64"/>
      <c r="KM159" s="64"/>
      <c r="KN159" s="64"/>
      <c r="KO159" s="64"/>
      <c r="KP159" s="64"/>
      <c r="KQ159" s="64"/>
      <c r="KR159" s="64"/>
      <c r="KS159" s="64"/>
      <c r="KT159" s="64"/>
      <c r="KU159" s="64"/>
      <c r="KV159" s="64"/>
      <c r="KW159" s="64"/>
      <c r="KX159" s="64"/>
      <c r="KY159" s="64"/>
      <c r="KZ159" s="64"/>
      <c r="LA159" s="64"/>
      <c r="LB159" s="64"/>
      <c r="LC159" s="64"/>
      <c r="LD159" s="64"/>
      <c r="LE159" s="64"/>
      <c r="LF159" s="64"/>
      <c r="LG159" s="64"/>
      <c r="LH159" s="64"/>
      <c r="LI159" s="64"/>
      <c r="LJ159" s="64"/>
      <c r="LK159" s="64"/>
      <c r="LL159" s="64"/>
      <c r="LM159" s="64"/>
      <c r="LN159" s="64"/>
      <c r="LO159" s="64"/>
      <c r="LP159" s="64"/>
      <c r="LQ159" s="64"/>
      <c r="LR159" s="64"/>
      <c r="LS159" s="64"/>
      <c r="LT159" s="64"/>
      <c r="LU159" s="64"/>
      <c r="LV159" s="64"/>
      <c r="LW159" s="64"/>
      <c r="LX159" s="64"/>
      <c r="LY159" s="64"/>
      <c r="LZ159" s="64"/>
      <c r="MA159" s="64"/>
      <c r="MB159" s="64"/>
      <c r="MC159" s="64"/>
      <c r="MD159" s="64"/>
      <c r="ME159" s="64"/>
      <c r="MF159" s="64"/>
      <c r="MG159" s="64"/>
      <c r="MH159" s="64"/>
      <c r="MI159" s="64"/>
      <c r="MJ159" s="64"/>
      <c r="MK159" s="64"/>
      <c r="ML159" s="64"/>
      <c r="MM159" s="64"/>
      <c r="MN159" s="64"/>
      <c r="MO159" s="64"/>
      <c r="MP159" s="64"/>
      <c r="MQ159" s="64"/>
      <c r="MR159" s="64"/>
      <c r="MS159" s="64"/>
      <c r="MT159" s="64"/>
    </row>
    <row r="160" spans="1:358" x14ac:dyDescent="0.3">
      <c r="A160" s="144"/>
      <c r="B160" s="142"/>
      <c r="C160" s="83" t="s">
        <v>164</v>
      </c>
      <c r="D160" s="354"/>
      <c r="E160" s="83"/>
      <c r="F160" s="278">
        <f>SUM(G160:J160)/(1-'Common input data'!$B$138)</f>
        <v>1.9278432519199509</v>
      </c>
      <c r="G160" s="85">
        <f>SUMPRODUCT('Input data processed products'!D$48:AB$48,'Input data processed products'!D$55:AB$55)</f>
        <v>0.912894224285554</v>
      </c>
      <c r="H160" s="85">
        <f>'Input data processed products'!I$67</f>
        <v>0.8</v>
      </c>
      <c r="I160" s="90">
        <f>'Common input data'!B$90</f>
        <v>0.05</v>
      </c>
      <c r="J160" s="90">
        <f>'Common input data'!C$98</f>
        <v>0.03</v>
      </c>
      <c r="K160" s="107"/>
    </row>
    <row r="161" spans="1:358" x14ac:dyDescent="0.3">
      <c r="A161" s="174"/>
      <c r="B161" s="85"/>
      <c r="C161" s="83" t="s">
        <v>165</v>
      </c>
      <c r="D161" s="354"/>
      <c r="E161" s="83"/>
      <c r="F161" s="278">
        <f>SUM(G161:J161)/(1-'Common input data'!$B$138)</f>
        <v>1.3410482249007228E-2</v>
      </c>
      <c r="G161" s="85">
        <f>SUMPRODUCT('Input data processed products'!D$48:AB$48,'Input data processed products'!D$56:AB$56)</f>
        <v>1.2471748491576722E-2</v>
      </c>
      <c r="H161" s="85">
        <v>0</v>
      </c>
      <c r="I161" s="90">
        <v>0</v>
      </c>
      <c r="J161" s="90">
        <v>0</v>
      </c>
      <c r="K161" s="107"/>
    </row>
    <row r="162" spans="1:358" x14ac:dyDescent="0.3">
      <c r="A162" s="174"/>
      <c r="B162" s="85"/>
      <c r="C162" s="84" t="s">
        <v>166</v>
      </c>
      <c r="D162" s="592"/>
      <c r="E162" s="100"/>
      <c r="F162" s="521">
        <f>SUM(G162:J162)/(1-'Common input data'!$B$138)</f>
        <v>1.7084363464390595E-3</v>
      </c>
      <c r="G162" s="85">
        <f>SUMPRODUCT('Input data processed products'!D$48:AB$48,'Input data processed products'!D$57:AB$57)</f>
        <v>1.5888458021883253E-3</v>
      </c>
      <c r="H162" s="85">
        <v>0</v>
      </c>
      <c r="I162" s="90">
        <v>0</v>
      </c>
      <c r="J162" s="90">
        <v>0</v>
      </c>
      <c r="K162" s="107"/>
    </row>
    <row r="163" spans="1:358" s="316" customFormat="1" x14ac:dyDescent="0.3">
      <c r="A163" s="311" t="s">
        <v>530</v>
      </c>
      <c r="B163" s="313"/>
      <c r="C163" s="314"/>
      <c r="D163" s="356"/>
      <c r="E163" s="281"/>
      <c r="F163" s="590" t="s">
        <v>860</v>
      </c>
      <c r="G163" s="313"/>
      <c r="H163" s="313"/>
      <c r="I163" s="315"/>
      <c r="J163" s="315"/>
      <c r="K163" s="107"/>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4"/>
      <c r="CA163" s="64"/>
      <c r="CB163" s="64"/>
      <c r="CC163" s="64"/>
      <c r="CD163" s="64"/>
      <c r="CE163" s="64"/>
      <c r="CF163" s="64"/>
      <c r="CG163" s="64"/>
      <c r="CH163" s="64"/>
      <c r="CI163" s="64"/>
      <c r="CJ163" s="64"/>
      <c r="CK163" s="64"/>
      <c r="CL163" s="64"/>
      <c r="CM163" s="64"/>
      <c r="CN163" s="64"/>
      <c r="CO163" s="64"/>
      <c r="CP163" s="64"/>
      <c r="CQ163" s="64"/>
      <c r="CR163" s="64"/>
      <c r="CS163" s="64"/>
      <c r="CT163" s="64"/>
      <c r="CU163" s="64"/>
      <c r="CV163" s="64"/>
      <c r="CW163" s="64"/>
      <c r="CX163" s="64"/>
      <c r="CY163" s="64"/>
      <c r="CZ163" s="64"/>
      <c r="DA163" s="64"/>
      <c r="DB163" s="64"/>
      <c r="DC163" s="64"/>
      <c r="DD163" s="64"/>
      <c r="DE163" s="64"/>
      <c r="DF163" s="64"/>
      <c r="DG163" s="64"/>
      <c r="DH163" s="64"/>
      <c r="DI163" s="64"/>
      <c r="DJ163" s="64"/>
      <c r="DK163" s="64"/>
      <c r="DL163" s="64"/>
      <c r="DM163" s="64"/>
      <c r="DN163" s="64"/>
      <c r="DO163" s="64"/>
      <c r="DP163" s="64"/>
      <c r="DQ163" s="64"/>
      <c r="DR163" s="64"/>
      <c r="DS163" s="64"/>
      <c r="DT163" s="64"/>
      <c r="DU163" s="64"/>
      <c r="DV163" s="64"/>
      <c r="DW163" s="64"/>
      <c r="DX163" s="64"/>
      <c r="DY163" s="64"/>
      <c r="DZ163" s="64"/>
      <c r="EA163" s="64"/>
      <c r="EB163" s="64"/>
      <c r="EC163" s="64"/>
      <c r="ED163" s="64"/>
      <c r="EE163" s="64"/>
      <c r="EF163" s="64"/>
      <c r="EG163" s="64"/>
      <c r="EH163" s="64"/>
      <c r="EI163" s="64"/>
      <c r="EJ163" s="64"/>
      <c r="EK163" s="64"/>
      <c r="EL163" s="64"/>
      <c r="EM163" s="64"/>
      <c r="EN163" s="64"/>
      <c r="EO163" s="64"/>
      <c r="EP163" s="64"/>
      <c r="EQ163" s="64"/>
      <c r="ER163" s="64"/>
      <c r="ES163" s="64"/>
      <c r="ET163" s="64"/>
      <c r="EU163" s="64"/>
      <c r="EV163" s="64"/>
      <c r="EW163" s="64"/>
      <c r="EX163" s="64"/>
      <c r="EY163" s="64"/>
      <c r="EZ163" s="64"/>
      <c r="FA163" s="64"/>
      <c r="FB163" s="64"/>
      <c r="FC163" s="64"/>
      <c r="FD163" s="64"/>
      <c r="FE163" s="64"/>
      <c r="FF163" s="64"/>
      <c r="FG163" s="64"/>
      <c r="FH163" s="64"/>
      <c r="FI163" s="64"/>
      <c r="FJ163" s="64"/>
      <c r="FK163" s="64"/>
      <c r="FL163" s="64"/>
      <c r="FM163" s="64"/>
      <c r="FN163" s="64"/>
      <c r="FO163" s="64"/>
      <c r="FP163" s="64"/>
      <c r="FQ163" s="64"/>
      <c r="FR163" s="64"/>
      <c r="FS163" s="64"/>
      <c r="FT163" s="64"/>
      <c r="FU163" s="64"/>
      <c r="FV163" s="64"/>
      <c r="FW163" s="64"/>
      <c r="FX163" s="64"/>
      <c r="FY163" s="64"/>
      <c r="FZ163" s="64"/>
      <c r="GA163" s="64"/>
      <c r="GB163" s="64"/>
      <c r="GC163" s="64"/>
      <c r="GD163" s="64"/>
      <c r="GE163" s="64"/>
      <c r="GF163" s="64"/>
      <c r="GG163" s="64"/>
      <c r="GH163" s="64"/>
      <c r="GI163" s="64"/>
      <c r="GJ163" s="64"/>
      <c r="GK163" s="64"/>
      <c r="GL163" s="64"/>
      <c r="GM163" s="64"/>
      <c r="GN163" s="64"/>
      <c r="GO163" s="64"/>
      <c r="GP163" s="64"/>
      <c r="GQ163" s="64"/>
      <c r="GR163" s="64"/>
      <c r="GS163" s="64"/>
      <c r="GT163" s="64"/>
      <c r="GU163" s="64"/>
      <c r="GV163" s="64"/>
      <c r="GW163" s="64"/>
      <c r="GX163" s="64"/>
      <c r="GY163" s="64"/>
      <c r="GZ163" s="64"/>
      <c r="HA163" s="64"/>
      <c r="HB163" s="64"/>
      <c r="HC163" s="64"/>
      <c r="HD163" s="64"/>
      <c r="HE163" s="64"/>
      <c r="HF163" s="64"/>
      <c r="HG163" s="64"/>
      <c r="HH163" s="64"/>
      <c r="HI163" s="64"/>
      <c r="HJ163" s="64"/>
      <c r="HK163" s="64"/>
      <c r="HL163" s="64"/>
      <c r="HM163" s="64"/>
      <c r="HN163" s="64"/>
      <c r="HO163" s="64"/>
      <c r="HP163" s="64"/>
      <c r="HQ163" s="64"/>
      <c r="HR163" s="64"/>
      <c r="HS163" s="64"/>
      <c r="HT163" s="64"/>
      <c r="HU163" s="64"/>
      <c r="HV163" s="64"/>
      <c r="HW163" s="64"/>
      <c r="HX163" s="64"/>
      <c r="HY163" s="64"/>
      <c r="HZ163" s="64"/>
      <c r="IA163" s="64"/>
      <c r="IB163" s="64"/>
      <c r="IC163" s="64"/>
      <c r="ID163" s="64"/>
      <c r="IE163" s="64"/>
      <c r="IF163" s="64"/>
      <c r="IG163" s="64"/>
      <c r="IH163" s="64"/>
      <c r="II163" s="64"/>
      <c r="IJ163" s="64"/>
      <c r="IK163" s="64"/>
      <c r="IL163" s="64"/>
      <c r="IM163" s="64"/>
      <c r="IN163" s="64"/>
      <c r="IO163" s="64"/>
      <c r="IP163" s="64"/>
      <c r="IQ163" s="64"/>
      <c r="IR163" s="64"/>
      <c r="IS163" s="64"/>
      <c r="IT163" s="64"/>
      <c r="IU163" s="64"/>
      <c r="IV163" s="64"/>
      <c r="IW163" s="64"/>
      <c r="IX163" s="64"/>
      <c r="IY163" s="64"/>
      <c r="IZ163" s="64"/>
      <c r="JA163" s="64"/>
      <c r="JB163" s="64"/>
      <c r="JC163" s="64"/>
      <c r="JD163" s="64"/>
      <c r="JE163" s="64"/>
      <c r="JF163" s="64"/>
      <c r="JG163" s="64"/>
      <c r="JH163" s="64"/>
      <c r="JI163" s="64"/>
      <c r="JJ163" s="64"/>
      <c r="JK163" s="64"/>
      <c r="JL163" s="64"/>
      <c r="JM163" s="64"/>
      <c r="JN163" s="64"/>
      <c r="JO163" s="64"/>
      <c r="JP163" s="64"/>
      <c r="JQ163" s="64"/>
      <c r="JR163" s="64"/>
      <c r="JS163" s="64"/>
      <c r="JT163" s="64"/>
      <c r="JU163" s="64"/>
      <c r="JV163" s="64"/>
      <c r="JW163" s="64"/>
      <c r="JX163" s="64"/>
      <c r="JY163" s="64"/>
      <c r="JZ163" s="64"/>
      <c r="KA163" s="64"/>
      <c r="KB163" s="64"/>
      <c r="KC163" s="64"/>
      <c r="KD163" s="64"/>
      <c r="KE163" s="64"/>
      <c r="KF163" s="64"/>
      <c r="KG163" s="64"/>
      <c r="KH163" s="64"/>
      <c r="KI163" s="64"/>
      <c r="KJ163" s="64"/>
      <c r="KK163" s="64"/>
      <c r="KL163" s="64"/>
      <c r="KM163" s="64"/>
      <c r="KN163" s="64"/>
      <c r="KO163" s="64"/>
      <c r="KP163" s="64"/>
      <c r="KQ163" s="64"/>
      <c r="KR163" s="64"/>
      <c r="KS163" s="64"/>
      <c r="KT163" s="64"/>
      <c r="KU163" s="64"/>
      <c r="KV163" s="64"/>
      <c r="KW163" s="64"/>
      <c r="KX163" s="64"/>
      <c r="KY163" s="64"/>
      <c r="KZ163" s="64"/>
      <c r="LA163" s="64"/>
      <c r="LB163" s="64"/>
      <c r="LC163" s="64"/>
      <c r="LD163" s="64"/>
      <c r="LE163" s="64"/>
      <c r="LF163" s="64"/>
      <c r="LG163" s="64"/>
      <c r="LH163" s="64"/>
      <c r="LI163" s="64"/>
      <c r="LJ163" s="64"/>
      <c r="LK163" s="64"/>
      <c r="LL163" s="64"/>
      <c r="LM163" s="64"/>
      <c r="LN163" s="64"/>
      <c r="LO163" s="64"/>
      <c r="LP163" s="64"/>
      <c r="LQ163" s="64"/>
      <c r="LR163" s="64"/>
      <c r="LS163" s="64"/>
      <c r="LT163" s="64"/>
      <c r="LU163" s="64"/>
      <c r="LV163" s="64"/>
      <c r="LW163" s="64"/>
      <c r="LX163" s="64"/>
      <c r="LY163" s="64"/>
      <c r="LZ163" s="64"/>
      <c r="MA163" s="64"/>
      <c r="MB163" s="64"/>
      <c r="MC163" s="64"/>
      <c r="MD163" s="64"/>
      <c r="ME163" s="64"/>
      <c r="MF163" s="64"/>
      <c r="MG163" s="64"/>
      <c r="MH163" s="64"/>
      <c r="MI163" s="64"/>
      <c r="MJ163" s="64"/>
      <c r="MK163" s="64"/>
      <c r="ML163" s="64"/>
      <c r="MM163" s="64"/>
      <c r="MN163" s="64"/>
      <c r="MO163" s="64"/>
      <c r="MP163" s="64"/>
      <c r="MQ163" s="64"/>
      <c r="MR163" s="64"/>
      <c r="MS163" s="64"/>
      <c r="MT163" s="64"/>
    </row>
    <row r="164" spans="1:358" s="408" customFormat="1" x14ac:dyDescent="0.3">
      <c r="A164" s="419" t="s">
        <v>1</v>
      </c>
      <c r="B164" s="140">
        <f>'Input data processed products'!C50</f>
        <v>1</v>
      </c>
      <c r="C164" s="325" t="s">
        <v>473</v>
      </c>
      <c r="D164" s="407"/>
      <c r="E164" s="325"/>
      <c r="F164" s="770">
        <f>IF($E$1="GWP100 without fb",F165+F166*'Common input data'!$C$5+F167*'Common input data'!$D$5,IF($E$1="GWP100 with fb",F165+F166*'Common input data'!$C$6+F167*'Common input data'!$D$6,IF($E$1="GTP100 without fb",F165+F166*'Common input data'!$C$7+F167*'Common input data'!$D$7,IF($E$1="GTP100 with fb",F165+F166*'Common input data'!$C$8+F167*'Common input data'!$D$8,F165+F166*'Common input data'!$C$9+F167*'Common input data'!$D$9))))</f>
        <v>4.2814565563617482</v>
      </c>
      <c r="G164" s="137"/>
      <c r="H164" s="137"/>
      <c r="I164" s="138"/>
      <c r="J164" s="138"/>
      <c r="K164" s="107"/>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c r="AI164" s="64"/>
      <c r="AJ164" s="64"/>
      <c r="AK164" s="64"/>
      <c r="AL164" s="64"/>
      <c r="AM164" s="64"/>
      <c r="AN164" s="64"/>
      <c r="AO164" s="64"/>
      <c r="AP164" s="64"/>
      <c r="AQ164" s="64"/>
      <c r="AR164" s="64"/>
      <c r="AS164" s="64"/>
      <c r="AT164" s="64"/>
      <c r="AU164" s="64"/>
      <c r="AV164" s="64"/>
      <c r="AW164" s="64"/>
      <c r="AX164" s="64"/>
      <c r="AY164" s="64"/>
      <c r="AZ164" s="64"/>
      <c r="BA164" s="64"/>
      <c r="BB164" s="64"/>
      <c r="BC164" s="64"/>
      <c r="BD164" s="64"/>
      <c r="BE164" s="64"/>
      <c r="BF164" s="64"/>
      <c r="BG164" s="64"/>
      <c r="BH164" s="64"/>
      <c r="BI164" s="64"/>
      <c r="BJ164" s="64"/>
      <c r="BK164" s="64"/>
      <c r="BL164" s="64"/>
      <c r="BM164" s="64"/>
      <c r="BN164" s="64"/>
      <c r="BO164" s="64"/>
      <c r="BP164" s="64"/>
      <c r="BQ164" s="64"/>
      <c r="BR164" s="64"/>
      <c r="BS164" s="64"/>
      <c r="BT164" s="64"/>
      <c r="BU164" s="64"/>
      <c r="BV164" s="64"/>
      <c r="BW164" s="64"/>
      <c r="BX164" s="64"/>
      <c r="BY164" s="64"/>
      <c r="BZ164" s="64"/>
      <c r="CA164" s="64"/>
      <c r="CB164" s="64"/>
      <c r="CC164" s="64"/>
      <c r="CD164" s="64"/>
      <c r="CE164" s="64"/>
      <c r="CF164" s="64"/>
      <c r="CG164" s="64"/>
      <c r="CH164" s="64"/>
      <c r="CI164" s="64"/>
      <c r="CJ164" s="64"/>
      <c r="CK164" s="64"/>
      <c r="CL164" s="64"/>
      <c r="CM164" s="64"/>
      <c r="CN164" s="64"/>
      <c r="CO164" s="64"/>
      <c r="CP164" s="64"/>
      <c r="CQ164" s="64"/>
      <c r="CR164" s="64"/>
      <c r="CS164" s="64"/>
      <c r="CT164" s="64"/>
      <c r="CU164" s="64"/>
      <c r="CV164" s="64"/>
      <c r="CW164" s="64"/>
      <c r="CX164" s="64"/>
      <c r="CY164" s="64"/>
      <c r="CZ164" s="64"/>
      <c r="DA164" s="64"/>
      <c r="DB164" s="64"/>
      <c r="DC164" s="64"/>
      <c r="DD164" s="64"/>
      <c r="DE164" s="64"/>
      <c r="DF164" s="64"/>
      <c r="DG164" s="64"/>
      <c r="DH164" s="64"/>
      <c r="DI164" s="64"/>
      <c r="DJ164" s="64"/>
      <c r="DK164" s="64"/>
      <c r="DL164" s="64"/>
      <c r="DM164" s="64"/>
      <c r="DN164" s="64"/>
      <c r="DO164" s="64"/>
      <c r="DP164" s="64"/>
      <c r="DQ164" s="64"/>
      <c r="DR164" s="64"/>
      <c r="DS164" s="64"/>
      <c r="DT164" s="64"/>
      <c r="DU164" s="64"/>
      <c r="DV164" s="64"/>
      <c r="DW164" s="64"/>
      <c r="DX164" s="64"/>
      <c r="DY164" s="64"/>
      <c r="DZ164" s="64"/>
      <c r="EA164" s="64"/>
      <c r="EB164" s="64"/>
      <c r="EC164" s="64"/>
      <c r="ED164" s="64"/>
      <c r="EE164" s="64"/>
      <c r="EF164" s="64"/>
      <c r="EG164" s="64"/>
      <c r="EH164" s="64"/>
      <c r="EI164" s="64"/>
      <c r="EJ164" s="64"/>
      <c r="EK164" s="64"/>
      <c r="EL164" s="64"/>
      <c r="EM164" s="64"/>
      <c r="EN164" s="64"/>
      <c r="EO164" s="64"/>
      <c r="EP164" s="64"/>
      <c r="EQ164" s="64"/>
      <c r="ER164" s="64"/>
      <c r="ES164" s="64"/>
      <c r="ET164" s="64"/>
      <c r="EU164" s="64"/>
      <c r="EV164" s="64"/>
      <c r="EW164" s="64"/>
      <c r="EX164" s="64"/>
      <c r="EY164" s="64"/>
      <c r="EZ164" s="64"/>
      <c r="FA164" s="64"/>
      <c r="FB164" s="64"/>
      <c r="FC164" s="64"/>
      <c r="FD164" s="64"/>
      <c r="FE164" s="64"/>
      <c r="FF164" s="64"/>
      <c r="FG164" s="64"/>
      <c r="FH164" s="64"/>
      <c r="FI164" s="64"/>
      <c r="FJ164" s="64"/>
      <c r="FK164" s="64"/>
      <c r="FL164" s="64"/>
      <c r="FM164" s="64"/>
      <c r="FN164" s="64"/>
      <c r="FO164" s="64"/>
      <c r="FP164" s="64"/>
      <c r="FQ164" s="64"/>
      <c r="FR164" s="64"/>
      <c r="FS164" s="64"/>
      <c r="FT164" s="64"/>
      <c r="FU164" s="64"/>
      <c r="FV164" s="64"/>
      <c r="FW164" s="64"/>
      <c r="FX164" s="64"/>
      <c r="FY164" s="64"/>
      <c r="FZ164" s="64"/>
      <c r="GA164" s="64"/>
      <c r="GB164" s="64"/>
      <c r="GC164" s="64"/>
      <c r="GD164" s="64"/>
      <c r="GE164" s="64"/>
      <c r="GF164" s="64"/>
      <c r="GG164" s="64"/>
      <c r="GH164" s="64"/>
      <c r="GI164" s="64"/>
      <c r="GJ164" s="64"/>
      <c r="GK164" s="64"/>
      <c r="GL164" s="64"/>
      <c r="GM164" s="64"/>
      <c r="GN164" s="64"/>
      <c r="GO164" s="64"/>
      <c r="GP164" s="64"/>
      <c r="GQ164" s="64"/>
      <c r="GR164" s="64"/>
      <c r="GS164" s="64"/>
      <c r="GT164" s="64"/>
      <c r="GU164" s="64"/>
      <c r="GV164" s="64"/>
      <c r="GW164" s="64"/>
      <c r="GX164" s="64"/>
      <c r="GY164" s="64"/>
      <c r="GZ164" s="64"/>
      <c r="HA164" s="64"/>
      <c r="HB164" s="64"/>
      <c r="HC164" s="64"/>
      <c r="HD164" s="64"/>
      <c r="HE164" s="64"/>
      <c r="HF164" s="64"/>
      <c r="HG164" s="64"/>
      <c r="HH164" s="64"/>
      <c r="HI164" s="64"/>
      <c r="HJ164" s="64"/>
      <c r="HK164" s="64"/>
      <c r="HL164" s="64"/>
      <c r="HM164" s="64"/>
      <c r="HN164" s="64"/>
      <c r="HO164" s="64"/>
      <c r="HP164" s="64"/>
      <c r="HQ164" s="64"/>
      <c r="HR164" s="64"/>
      <c r="HS164" s="64"/>
      <c r="HT164" s="64"/>
      <c r="HU164" s="64"/>
      <c r="HV164" s="64"/>
      <c r="HW164" s="64"/>
      <c r="HX164" s="64"/>
      <c r="HY164" s="64"/>
      <c r="HZ164" s="64"/>
      <c r="IA164" s="64"/>
      <c r="IB164" s="64"/>
      <c r="IC164" s="64"/>
      <c r="ID164" s="64"/>
      <c r="IE164" s="64"/>
      <c r="IF164" s="64"/>
      <c r="IG164" s="64"/>
      <c r="IH164" s="64"/>
      <c r="II164" s="64"/>
      <c r="IJ164" s="64"/>
      <c r="IK164" s="64"/>
      <c r="IL164" s="64"/>
      <c r="IM164" s="64"/>
      <c r="IN164" s="64"/>
      <c r="IO164" s="64"/>
      <c r="IP164" s="64"/>
      <c r="IQ164" s="64"/>
      <c r="IR164" s="64"/>
      <c r="IS164" s="64"/>
      <c r="IT164" s="64"/>
      <c r="IU164" s="64"/>
      <c r="IV164" s="64"/>
      <c r="IW164" s="64"/>
      <c r="IX164" s="64"/>
      <c r="IY164" s="64"/>
      <c r="IZ164" s="64"/>
      <c r="JA164" s="64"/>
      <c r="JB164" s="64"/>
      <c r="JC164" s="64"/>
      <c r="JD164" s="64"/>
      <c r="JE164" s="64"/>
      <c r="JF164" s="64"/>
      <c r="JG164" s="64"/>
      <c r="JH164" s="64"/>
      <c r="JI164" s="64"/>
      <c r="JJ164" s="64"/>
      <c r="JK164" s="64"/>
      <c r="JL164" s="64"/>
      <c r="JM164" s="64"/>
      <c r="JN164" s="64"/>
      <c r="JO164" s="64"/>
      <c r="JP164" s="64"/>
      <c r="JQ164" s="64"/>
      <c r="JR164" s="64"/>
      <c r="JS164" s="64"/>
      <c r="JT164" s="64"/>
      <c r="JU164" s="64"/>
      <c r="JV164" s="64"/>
      <c r="JW164" s="64"/>
      <c r="JX164" s="64"/>
      <c r="JY164" s="64"/>
      <c r="JZ164" s="64"/>
      <c r="KA164" s="64"/>
      <c r="KB164" s="64"/>
      <c r="KC164" s="64"/>
      <c r="KD164" s="64"/>
      <c r="KE164" s="64"/>
      <c r="KF164" s="64"/>
      <c r="KG164" s="64"/>
      <c r="KH164" s="64"/>
      <c r="KI164" s="64"/>
      <c r="KJ164" s="64"/>
      <c r="KK164" s="64"/>
      <c r="KL164" s="64"/>
      <c r="KM164" s="64"/>
      <c r="KN164" s="64"/>
      <c r="KO164" s="64"/>
      <c r="KP164" s="64"/>
      <c r="KQ164" s="64"/>
      <c r="KR164" s="64"/>
      <c r="KS164" s="64"/>
      <c r="KT164" s="64"/>
      <c r="KU164" s="64"/>
      <c r="KV164" s="64"/>
      <c r="KW164" s="64"/>
      <c r="KX164" s="64"/>
      <c r="KY164" s="64"/>
      <c r="KZ164" s="64"/>
      <c r="LA164" s="64"/>
      <c r="LB164" s="64"/>
      <c r="LC164" s="64"/>
      <c r="LD164" s="64"/>
      <c r="LE164" s="64"/>
      <c r="LF164" s="64"/>
      <c r="LG164" s="64"/>
      <c r="LH164" s="64"/>
      <c r="LI164" s="64"/>
      <c r="LJ164" s="64"/>
      <c r="LK164" s="64"/>
      <c r="LL164" s="64"/>
      <c r="LM164" s="64"/>
      <c r="LN164" s="64"/>
      <c r="LO164" s="64"/>
      <c r="LP164" s="64"/>
      <c r="LQ164" s="64"/>
      <c r="LR164" s="64"/>
      <c r="LS164" s="64"/>
      <c r="LT164" s="64"/>
      <c r="LU164" s="64"/>
      <c r="LV164" s="64"/>
      <c r="LW164" s="64"/>
      <c r="LX164" s="64"/>
      <c r="LY164" s="64"/>
      <c r="LZ164" s="64"/>
      <c r="MA164" s="64"/>
      <c r="MB164" s="64"/>
      <c r="MC164" s="64"/>
      <c r="MD164" s="64"/>
      <c r="ME164" s="64"/>
      <c r="MF164" s="64"/>
      <c r="MG164" s="64"/>
      <c r="MH164" s="64"/>
      <c r="MI164" s="64"/>
      <c r="MJ164" s="64"/>
      <c r="MK164" s="64"/>
      <c r="ML164" s="64"/>
      <c r="MM164" s="64"/>
      <c r="MN164" s="64"/>
      <c r="MO164" s="64"/>
      <c r="MP164" s="64"/>
      <c r="MQ164" s="64"/>
      <c r="MR164" s="64"/>
      <c r="MS164" s="64"/>
      <c r="MT164" s="64"/>
    </row>
    <row r="165" spans="1:358" x14ac:dyDescent="0.3">
      <c r="C165" s="83" t="s">
        <v>164</v>
      </c>
      <c r="D165" s="354"/>
      <c r="E165" s="83"/>
      <c r="F165" s="278">
        <f>SUM(G165:J165)/(1-'Common input data'!$B$140)</f>
        <v>1.2612327532161285</v>
      </c>
      <c r="G165" s="85">
        <f>SUMPRODUCT('Input data processed products'!D$50:AB$50,'Input data processed products'!D$55:AB$55)</f>
        <v>0.87492658945004786</v>
      </c>
      <c r="H165" s="85">
        <f>'Input data processed products'!J$67</f>
        <v>0.3</v>
      </c>
      <c r="I165" s="90">
        <f>'Common input data'!B$90</f>
        <v>0.05</v>
      </c>
      <c r="J165" s="90">
        <f>'Common input data'!C$98</f>
        <v>0.03</v>
      </c>
      <c r="K165" s="107"/>
    </row>
    <row r="166" spans="1:358" x14ac:dyDescent="0.3">
      <c r="A166" s="144"/>
      <c r="B166" s="142"/>
      <c r="C166" s="83" t="s">
        <v>165</v>
      </c>
      <c r="D166" s="354"/>
      <c r="E166" s="83"/>
      <c r="F166" s="278">
        <f>SUM(G166:J166)/(1-'Common input data'!$B$140)</f>
        <v>6.4530561709707279E-2</v>
      </c>
      <c r="G166" s="85">
        <f>SUMPRODUCT('Input data processed products'!D$50:AB$50,'Input data processed products'!D$56:AB$56)</f>
        <v>6.4207908901158739E-2</v>
      </c>
      <c r="H166" s="85">
        <v>0</v>
      </c>
      <c r="I166" s="90">
        <v>0</v>
      </c>
      <c r="J166" s="90">
        <v>0</v>
      </c>
      <c r="K166" s="107"/>
    </row>
    <row r="167" spans="1:358" ht="15" thickBot="1" x14ac:dyDescent="0.35">
      <c r="A167" s="172"/>
      <c r="B167" s="101"/>
      <c r="C167" s="100" t="s">
        <v>166</v>
      </c>
      <c r="D167" s="357"/>
      <c r="E167" s="358"/>
      <c r="F167" s="478">
        <f>SUM(G167:J167)/(1-'Common input data'!$B$140)</f>
        <v>2.772431896025412E-3</v>
      </c>
      <c r="G167" s="101">
        <f>SUMPRODUCT('Input data processed products'!D$50:AB$50,'Input data processed products'!D$57:AB$57)</f>
        <v>2.758569736545285E-3</v>
      </c>
      <c r="H167" s="101">
        <v>0</v>
      </c>
      <c r="I167" s="108">
        <v>0</v>
      </c>
      <c r="J167" s="108">
        <v>0</v>
      </c>
      <c r="K167" s="107"/>
    </row>
  </sheetData>
  <mergeCells count="1">
    <mergeCell ref="G4:H4"/>
  </mergeCells>
  <dataValidations count="2">
    <dataValidation type="list" allowBlank="1" showInputMessage="1" showErrorMessage="1" sqref="E2:E3">
      <formula1>"Yes, No"</formula1>
    </dataValidation>
    <dataValidation type="list" allowBlank="1" showInputMessage="1" showErrorMessage="1" sqref="E1">
      <formula1>"GWP100 without fb, GWP100 with fb, GTP100 without fb, GTP100 with fb, GTP climate goal"</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108</vt:i4>
      </vt:variant>
    </vt:vector>
  </HeadingPairs>
  <TitlesOfParts>
    <vt:vector size="126" baseType="lpstr">
      <vt:lpstr>Guide to the material</vt:lpstr>
      <vt:lpstr>Table of contents</vt:lpstr>
      <vt:lpstr>Meat and eggs</vt:lpstr>
      <vt:lpstr>Dairy products</vt:lpstr>
      <vt:lpstr>Fish and seafood</vt:lpstr>
      <vt:lpstr>Grains, oil crops, sugar</vt:lpstr>
      <vt:lpstr>Vegetables, roots, legumes</vt:lpstr>
      <vt:lpstr>Fruits, berries, cocoa, coffee</vt:lpstr>
      <vt:lpstr>Processed products</vt:lpstr>
      <vt:lpstr>Common input data</vt:lpstr>
      <vt:lpstr>Input data meat and eggs</vt:lpstr>
      <vt:lpstr>Input data dairy products</vt:lpstr>
      <vt:lpstr>Input data fish and seafood</vt:lpstr>
      <vt:lpstr>Input data plant-based products</vt:lpstr>
      <vt:lpstr>Input data processed products</vt:lpstr>
      <vt:lpstr>Excluded data</vt:lpstr>
      <vt:lpstr>Maintenance of data</vt:lpstr>
      <vt:lpstr>Reference list</vt:lpstr>
      <vt:lpstr>'Excluded data'!_Ref501010803</vt:lpstr>
      <vt:lpstr>'Excluded data'!_Ref501632987</vt:lpstr>
      <vt:lpstr>'Input data processed products'!_Ref501704412</vt:lpstr>
      <vt:lpstr>'Common input data'!_Toc505255448</vt:lpstr>
      <vt:lpstr>AlaskaPollock</vt:lpstr>
      <vt:lpstr>Apple</vt:lpstr>
      <vt:lpstr>AverageFishAndSeafood</vt:lpstr>
      <vt:lpstr>Avocado</vt:lpstr>
      <vt:lpstr>Banana</vt:lpstr>
      <vt:lpstr>Barley</vt:lpstr>
      <vt:lpstr>Beans</vt:lpstr>
      <vt:lpstr>Beef</vt:lpstr>
      <vt:lpstr>Beer</vt:lpstr>
      <vt:lpstr>BellPepper</vt:lpstr>
      <vt:lpstr>Biscuits</vt:lpstr>
      <vt:lpstr>Broccoli</vt:lpstr>
      <vt:lpstr>Buns</vt:lpstr>
      <vt:lpstr>'Dairy products'!Butter</vt:lpstr>
      <vt:lpstr>Carrot</vt:lpstr>
      <vt:lpstr>Cauliflower</vt:lpstr>
      <vt:lpstr>ChickenMeat</vt:lpstr>
      <vt:lpstr>Cider</vt:lpstr>
      <vt:lpstr>Cocoa</vt:lpstr>
      <vt:lpstr>CocoaDrinkPowder</vt:lpstr>
      <vt:lpstr>Cod</vt:lpstr>
      <vt:lpstr>Coffee</vt:lpstr>
      <vt:lpstr>CommonInputData</vt:lpstr>
      <vt:lpstr>'Dairy products'!Cream</vt:lpstr>
      <vt:lpstr>'Dairy products'!CremeFraiche</vt:lpstr>
      <vt:lpstr>CrispBread</vt:lpstr>
      <vt:lpstr>Cucumber</vt:lpstr>
      <vt:lpstr>'Dairy products'!DessertCheese</vt:lpstr>
      <vt:lpstr>Eggs</vt:lpstr>
      <vt:lpstr>EuropeanPlaice</vt:lpstr>
      <vt:lpstr>ExcludedData</vt:lpstr>
      <vt:lpstr>FishAndSeafood</vt:lpstr>
      <vt:lpstr>FollowUpFormula</vt:lpstr>
      <vt:lpstr>FruitsBerriesCocoaAndCoffee</vt:lpstr>
      <vt:lpstr>GrainsAverage</vt:lpstr>
      <vt:lpstr>GrainsOilCropsAndSugar</vt:lpstr>
      <vt:lpstr>'Dairy products'!HardCheese</vt:lpstr>
      <vt:lpstr>Herring</vt:lpstr>
      <vt:lpstr>Hoki</vt:lpstr>
      <vt:lpstr>IcebergLettuce</vt:lpstr>
      <vt:lpstr>IceCream</vt:lpstr>
      <vt:lpstr>InputFishAndSeafood</vt:lpstr>
      <vt:lpstr>InputMeatAndEggs</vt:lpstr>
      <vt:lpstr>InputMilkAndDairy</vt:lpstr>
      <vt:lpstr>InputPlantBasedProducts</vt:lpstr>
      <vt:lpstr>InputProcessedProducts</vt:lpstr>
      <vt:lpstr>Juice</vt:lpstr>
      <vt:lpstr>Kiwifruit</vt:lpstr>
      <vt:lpstr>Leek</vt:lpstr>
      <vt:lpstr>Lemon</vt:lpstr>
      <vt:lpstr>LowFatMargarine</vt:lpstr>
      <vt:lpstr>Mackerel</vt:lpstr>
      <vt:lpstr>Maintenance_of_data</vt:lpstr>
      <vt:lpstr>Margarine</vt:lpstr>
      <vt:lpstr>MeatAndEggs</vt:lpstr>
      <vt:lpstr>Melon</vt:lpstr>
      <vt:lpstr>'Dairy products'!MilkAndDairy</vt:lpstr>
      <vt:lpstr>MilkChocolate</vt:lpstr>
      <vt:lpstr>'Dairy products'!MilkPowder</vt:lpstr>
      <vt:lpstr>MineralWater</vt:lpstr>
      <vt:lpstr>NorthernPrawn</vt:lpstr>
      <vt:lpstr>Oats</vt:lpstr>
      <vt:lpstr>Olive</vt:lpstr>
      <vt:lpstr>Onion</vt:lpstr>
      <vt:lpstr>Orange</vt:lpstr>
      <vt:lpstr>Pangasius</vt:lpstr>
      <vt:lpstr>Pasta</vt:lpstr>
      <vt:lpstr>'Dairy products'!PastMilk</vt:lpstr>
      <vt:lpstr>Pastries</vt:lpstr>
      <vt:lpstr>Pear</vt:lpstr>
      <vt:lpstr>Peas</vt:lpstr>
      <vt:lpstr>'Fruits, berries, cocoa, coffee'!PlantBasedProducts</vt:lpstr>
      <vt:lpstr>'Vegetables, roots, legumes'!PlantBasedProducts</vt:lpstr>
      <vt:lpstr>PlantBasedProducts</vt:lpstr>
      <vt:lpstr>PorkMeat</vt:lpstr>
      <vt:lpstr>Potato</vt:lpstr>
      <vt:lpstr>PotatoCrisps</vt:lpstr>
      <vt:lpstr>ProcessedProducts</vt:lpstr>
      <vt:lpstr>RainbowTrout</vt:lpstr>
      <vt:lpstr>Rapeseed</vt:lpstr>
      <vt:lpstr>Raspberry</vt:lpstr>
      <vt:lpstr>'Dairy products'!RawMilk</vt:lpstr>
      <vt:lpstr>'Reference list'!ReferenceList</vt:lpstr>
      <vt:lpstr>Rice</vt:lpstr>
      <vt:lpstr>Rusks</vt:lpstr>
      <vt:lpstr>Rye</vt:lpstr>
      <vt:lpstr>Saithe</vt:lpstr>
      <vt:lpstr>Salmon</vt:lpstr>
      <vt:lpstr>SaltedRoe</vt:lpstr>
      <vt:lpstr>Soda</vt:lpstr>
      <vt:lpstr>SpringBarley</vt:lpstr>
      <vt:lpstr>SpringWheat</vt:lpstr>
      <vt:lpstr>SquashDrink</vt:lpstr>
      <vt:lpstr>Strawberry</vt:lpstr>
      <vt:lpstr>Sugar</vt:lpstr>
      <vt:lpstr>Tomato</vt:lpstr>
      <vt:lpstr>VegetablesRootCropsAndLegumes</vt:lpstr>
      <vt:lpstr>Wheat</vt:lpstr>
      <vt:lpstr>WheatBread</vt:lpstr>
      <vt:lpstr>WheatRyeBread</vt:lpstr>
      <vt:lpstr>WhiteCabbage</vt:lpstr>
      <vt:lpstr>WinterBarley</vt:lpstr>
      <vt:lpstr>WinterWheat</vt:lpstr>
      <vt:lpstr>'Dairy products'!Yogurt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2019-03-04T13:51:42Z</dcterms:modified>
</cp:coreProperties>
</file>