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1"/>
  <fileSharing readOnlyRecommended="1"/>
  <workbookPr autoCompressPictures="0"/>
  <mc:AlternateContent xmlns:mc="http://schemas.openxmlformats.org/markup-compatibility/2006">
    <mc:Choice Requires="x15">
      <x15ac:absPath xmlns:x15ac="http://schemas.microsoft.com/office/spreadsheetml/2010/11/ac" url="/Volumes/MRMS/TUGraz/ASSpC/"/>
    </mc:Choice>
  </mc:AlternateContent>
  <xr:revisionPtr revIDLastSave="0" documentId="13_ncr:1_{C20DCAB9-9CCC-C04D-91F6-38117D5BE0F5}" xr6:coauthVersionLast="41" xr6:coauthVersionMax="41" xr10:uidLastSave="{00000000-0000-0000-0000-000000000000}"/>
  <bookViews>
    <workbookView xWindow="0" yWindow="460" windowWidth="28800" windowHeight="16280" xr2:uid="{00000000-000D-0000-FFFF-FFFF00000000}"/>
  </bookViews>
  <sheets>
    <sheet name="author info" sheetId="13" r:id="rId1"/>
    <sheet name="sprayed concrete" sheetId="1" r:id="rId2"/>
    <sheet name="limestone" sheetId="4" r:id="rId3"/>
    <sheet name="gravel" sheetId="6" r:id="rId4"/>
    <sheet name="sand" sheetId="7" r:id="rId5"/>
    <sheet name="fly ash" sheetId="9" r:id="rId6"/>
    <sheet name="BFS" sheetId="10" r:id="rId7"/>
    <sheet name="CEM I_II" sheetId="12" r:id="rId8"/>
    <sheet name="admixtures" sheetId="11" r:id="rId9"/>
    <sheet name="Lists" sheetId="5" r:id="rId10"/>
  </sheets>
  <externalReferences>
    <externalReference r:id="rId11"/>
  </externalReferenc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Z26" i="11" l="1"/>
  <c r="Z25" i="11"/>
  <c r="AI47" i="10"/>
  <c r="AH47" i="10"/>
  <c r="AG47" i="10"/>
  <c r="AB47" i="10"/>
  <c r="AA47" i="10"/>
  <c r="W47" i="10"/>
  <c r="U47" i="10"/>
  <c r="T47" i="10"/>
  <c r="S47" i="10"/>
  <c r="V47" i="10"/>
  <c r="AI46" i="10"/>
  <c r="AH46" i="10"/>
  <c r="AG46" i="10"/>
  <c r="AA46" i="10"/>
  <c r="W46" i="10"/>
  <c r="U46" i="10"/>
  <c r="T46" i="10"/>
  <c r="S46" i="10"/>
  <c r="AB46" i="10"/>
  <c r="V46" i="10"/>
  <c r="AI65" i="10"/>
  <c r="AG65" i="10"/>
  <c r="AB65" i="10"/>
  <c r="AA65" i="10"/>
  <c r="W65" i="10"/>
  <c r="V65" i="10"/>
  <c r="U65" i="10"/>
  <c r="T65" i="10"/>
  <c r="S65" i="10"/>
  <c r="AI89" i="9"/>
  <c r="AH89" i="9"/>
  <c r="AG89" i="9"/>
  <c r="AB89" i="9"/>
  <c r="AA89" i="9"/>
  <c r="W89" i="9"/>
  <c r="V89" i="9"/>
  <c r="U89" i="9"/>
  <c r="T89" i="9"/>
  <c r="S89" i="9"/>
  <c r="T19" i="10"/>
  <c r="T18" i="10"/>
  <c r="T17" i="10"/>
  <c r="S19" i="10"/>
  <c r="S18" i="10"/>
  <c r="S17" i="10"/>
  <c r="W19" i="10"/>
  <c r="W18" i="10"/>
  <c r="W17" i="10"/>
  <c r="AI19" i="10"/>
  <c r="AI18" i="10"/>
  <c r="AI17" i="10"/>
  <c r="AH19" i="10"/>
  <c r="AH18" i="10"/>
  <c r="AG19" i="10"/>
  <c r="AG18" i="10"/>
  <c r="AG17" i="10"/>
  <c r="AB19" i="10"/>
  <c r="AB18" i="10"/>
  <c r="AB17" i="10"/>
  <c r="V19" i="10"/>
  <c r="V18" i="10"/>
  <c r="V17" i="10"/>
  <c r="U17" i="10"/>
  <c r="AA19" i="10"/>
  <c r="AA18" i="10"/>
  <c r="AA17" i="10"/>
  <c r="AI9" i="10"/>
  <c r="AI8" i="10"/>
  <c r="AI7" i="10"/>
  <c r="AG9" i="10"/>
  <c r="AG8" i="10"/>
  <c r="AG7" i="10"/>
  <c r="AB9" i="10"/>
  <c r="AB8" i="10"/>
  <c r="AB7" i="10"/>
  <c r="V9" i="10"/>
  <c r="V8" i="10"/>
  <c r="V7" i="10"/>
  <c r="W7" i="10"/>
  <c r="W8" i="10"/>
  <c r="W9" i="10"/>
  <c r="T9" i="10"/>
  <c r="T8" i="10"/>
  <c r="T7" i="10"/>
  <c r="S9" i="10"/>
  <c r="S8" i="10"/>
  <c r="S7" i="10"/>
  <c r="AA9" i="10"/>
  <c r="AA8" i="10"/>
  <c r="AA7" i="10"/>
  <c r="W70" i="9"/>
  <c r="W69" i="9"/>
  <c r="W68" i="9"/>
  <c r="T70" i="9"/>
  <c r="T69" i="9"/>
  <c r="T68" i="9"/>
  <c r="S70" i="9"/>
  <c r="S69" i="9"/>
  <c r="S68" i="9"/>
  <c r="V70" i="9"/>
  <c r="V69" i="9"/>
  <c r="V68" i="9"/>
  <c r="U70" i="9"/>
  <c r="U69" i="9"/>
  <c r="U68" i="9"/>
  <c r="AA33" i="9"/>
  <c r="AA32" i="9"/>
  <c r="AA31" i="9"/>
  <c r="AA30" i="9"/>
  <c r="AA29" i="9"/>
  <c r="T36" i="9"/>
  <c r="T35" i="9"/>
  <c r="T34" i="9"/>
  <c r="S36" i="9"/>
  <c r="S35" i="9"/>
  <c r="S34" i="9"/>
  <c r="W36" i="9"/>
  <c r="W35" i="9"/>
  <c r="W34" i="9"/>
  <c r="AI36" i="9"/>
  <c r="AI35" i="9"/>
  <c r="AI34" i="9"/>
  <c r="AH36" i="9"/>
  <c r="AH35" i="9"/>
  <c r="AG36" i="9"/>
  <c r="AG35" i="9"/>
  <c r="AG34" i="9"/>
  <c r="AB36" i="9"/>
  <c r="AB34" i="9"/>
  <c r="V36" i="9"/>
  <c r="V35" i="9"/>
  <c r="V34" i="9"/>
  <c r="U34" i="9"/>
  <c r="AA36" i="9"/>
  <c r="AA35" i="9"/>
  <c r="AA34" i="9"/>
  <c r="AI14" i="9"/>
  <c r="AI13" i="9"/>
  <c r="AI12" i="9"/>
  <c r="AH13" i="9"/>
  <c r="AG14" i="9"/>
  <c r="AG13" i="9"/>
  <c r="AG12" i="9"/>
  <c r="AB14" i="9"/>
  <c r="AB13" i="9"/>
  <c r="AB12" i="9"/>
  <c r="W14" i="9"/>
  <c r="V14" i="9"/>
  <c r="W13" i="9"/>
  <c r="V13" i="9"/>
  <c r="W12" i="9"/>
  <c r="V12" i="9"/>
  <c r="AA14" i="9"/>
  <c r="AA13" i="9"/>
  <c r="AA12" i="9"/>
  <c r="T14" i="9"/>
  <c r="T13" i="9"/>
  <c r="T12" i="9"/>
  <c r="S14" i="9"/>
  <c r="S13" i="9"/>
  <c r="S12" i="9"/>
  <c r="T59" i="7"/>
  <c r="S59" i="7"/>
  <c r="W59" i="7"/>
  <c r="AH59" i="7"/>
  <c r="AG59" i="7"/>
  <c r="AB59" i="7"/>
  <c r="V59" i="7"/>
  <c r="U59" i="7"/>
  <c r="AA59" i="7"/>
  <c r="AG52" i="6"/>
  <c r="AF52" i="6"/>
  <c r="AB52" i="6"/>
  <c r="T52" i="6"/>
  <c r="S52" i="6"/>
  <c r="W52" i="6"/>
  <c r="V52" i="6"/>
  <c r="U52" i="6"/>
  <c r="AA52" i="6"/>
  <c r="W31" i="6"/>
  <c r="T31" i="6"/>
  <c r="S31" i="6"/>
  <c r="W30" i="6"/>
  <c r="T30" i="6"/>
  <c r="S30" i="6"/>
  <c r="W29" i="6"/>
  <c r="T29" i="6"/>
  <c r="S29" i="6"/>
  <c r="W28" i="6"/>
  <c r="T28" i="6"/>
  <c r="S28" i="6"/>
  <c r="AC27" i="6"/>
  <c r="W27" i="6"/>
  <c r="T27" i="6"/>
  <c r="S27" i="6"/>
  <c r="W36" i="7"/>
  <c r="S36" i="7"/>
  <c r="T36" i="7"/>
  <c r="W35" i="7"/>
  <c r="S35" i="7"/>
  <c r="T35" i="7"/>
  <c r="W34" i="7"/>
  <c r="S34" i="7"/>
  <c r="T34" i="7"/>
  <c r="W33" i="7"/>
  <c r="S33" i="7"/>
  <c r="T33" i="7"/>
  <c r="AC32" i="7"/>
  <c r="W32" i="7"/>
  <c r="S32" i="7"/>
  <c r="T32" i="7"/>
  <c r="AA50" i="6"/>
  <c r="AA49" i="6"/>
  <c r="AA48" i="6"/>
  <c r="AA47" i="6"/>
  <c r="AA46" i="6"/>
  <c r="AA51" i="7"/>
  <c r="AA43" i="6"/>
  <c r="AA42" i="6"/>
  <c r="AA41" i="6"/>
  <c r="AA57" i="7"/>
  <c r="AA56" i="7"/>
  <c r="AA55" i="7"/>
  <c r="AA54" i="7"/>
  <c r="AA53" i="7"/>
  <c r="AA50" i="7"/>
  <c r="AA49" i="7"/>
  <c r="AA48" i="7"/>
  <c r="W68" i="6"/>
  <c r="T68" i="6"/>
  <c r="S68" i="6"/>
  <c r="W67" i="6"/>
  <c r="T67" i="6"/>
  <c r="S67" i="6"/>
  <c r="W66" i="6"/>
  <c r="T66" i="6"/>
  <c r="S66" i="6"/>
  <c r="W65" i="6"/>
  <c r="T65" i="6"/>
  <c r="S65" i="6"/>
  <c r="S80" i="7"/>
  <c r="T80" i="7"/>
  <c r="W80" i="7"/>
  <c r="W79" i="7"/>
  <c r="T79" i="7"/>
  <c r="S79" i="7"/>
  <c r="W78" i="7"/>
  <c r="W77" i="7"/>
  <c r="S78" i="7"/>
  <c r="S77" i="7"/>
  <c r="T78" i="7"/>
  <c r="T77" i="7"/>
  <c r="W71" i="6"/>
  <c r="T71" i="6"/>
  <c r="S71" i="6"/>
  <c r="W70" i="6"/>
  <c r="T70" i="6"/>
  <c r="S70" i="6"/>
  <c r="W83" i="7"/>
  <c r="W82" i="7"/>
  <c r="S83" i="7"/>
  <c r="S82" i="7"/>
  <c r="T83" i="7"/>
  <c r="T82" i="7"/>
  <c r="AW73" i="6"/>
  <c r="AE73" i="6"/>
  <c r="AX84" i="7"/>
  <c r="AF84" i="7"/>
  <c r="Z99" i="7"/>
  <c r="V67" i="7"/>
  <c r="V66" i="7"/>
  <c r="V65" i="7"/>
  <c r="V64" i="7"/>
  <c r="V63" i="7"/>
  <c r="V62" i="7"/>
  <c r="AH58" i="7"/>
  <c r="W58" i="7"/>
  <c r="V58" i="7"/>
  <c r="T58" i="7"/>
  <c r="S58" i="7"/>
  <c r="AF51" i="6"/>
  <c r="T51" i="6"/>
  <c r="S51" i="6"/>
  <c r="W51" i="6"/>
  <c r="V5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R6" authorId="0" shapeId="0" xr:uid="{00000000-0006-0000-0000-000001000000}">
      <text>
        <r>
          <rPr>
            <b/>
            <sz val="10"/>
            <color indexed="81"/>
            <rFont val="Calibri"/>
            <family val="2"/>
          </rPr>
          <t>Atmospheric acidification</t>
        </r>
      </text>
    </comment>
    <comment ref="N9" authorId="0" shapeId="0" xr:uid="{00000000-0006-0000-0000-000002000000}">
      <text>
        <r>
          <rPr>
            <b/>
            <sz val="10"/>
            <color indexed="81"/>
            <rFont val="Calibri"/>
            <family val="2"/>
          </rPr>
          <t>Tunsim=Norwegian University of Science and Technology</t>
        </r>
      </text>
    </comment>
    <comment ref="R9" authorId="0" shapeId="0" xr:uid="{00000000-0006-0000-0000-000003000000}">
      <text>
        <r>
          <rPr>
            <b/>
            <sz val="10"/>
            <color indexed="81"/>
            <rFont val="Calibri"/>
            <family val="2"/>
          </rPr>
          <t>Terrestrial acidification</t>
        </r>
      </text>
    </comment>
    <comment ref="A11" authorId="0" shapeId="0" xr:uid="{00000000-0006-0000-0000-000004000000}">
      <text>
        <r>
          <rPr>
            <b/>
            <sz val="10"/>
            <color indexed="81"/>
            <rFont val="Calibri"/>
            <family val="2"/>
          </rPr>
          <t>For this SLR purposes this paper has a low quality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U4" authorId="0" shapeId="0" xr:uid="{00000000-0006-0000-0600-000001000000}">
      <text>
        <r>
          <rPr>
            <b/>
            <sz val="10"/>
            <color indexed="81"/>
            <rFont val="Calibri"/>
            <family val="2"/>
          </rPr>
          <t>CEM I 42,5</t>
        </r>
      </text>
    </comment>
    <comment ref="S10" authorId="0" shapeId="0" xr:uid="{00000000-0006-0000-0600-000002000000}">
      <text>
        <r>
          <rPr>
            <b/>
            <sz val="10"/>
            <color indexed="81"/>
            <rFont val="Calibri"/>
            <family val="2"/>
          </rPr>
          <t xml:space="preserve">Standard deviation: 1.54E-3 </t>
        </r>
      </text>
    </comment>
    <comment ref="T10" authorId="0" shapeId="0" xr:uid="{00000000-0006-0000-0600-000003000000}">
      <text>
        <r>
          <rPr>
            <b/>
            <sz val="10"/>
            <color indexed="81"/>
            <rFont val="Calibri"/>
            <family val="2"/>
          </rPr>
          <t xml:space="preserve">Stnadard deviation: 2.2E-4
</t>
        </r>
      </text>
    </comment>
    <comment ref="U10" authorId="0" shapeId="0" xr:uid="{00000000-0006-0000-0600-000004000000}">
      <text>
        <r>
          <rPr>
            <b/>
            <sz val="10"/>
            <color indexed="81"/>
            <rFont val="Calibri"/>
            <family val="2"/>
          </rPr>
          <t>Standard deviation 0.141</t>
        </r>
      </text>
    </comment>
    <comment ref="W10" authorId="0" shapeId="0" xr:uid="{00000000-0006-0000-0600-000005000000}">
      <text>
        <r>
          <rPr>
            <b/>
            <sz val="10"/>
            <color indexed="81"/>
            <rFont val="Calibri"/>
            <family val="2"/>
          </rPr>
          <t>Standard deviation: 3.17E-5</t>
        </r>
      </text>
    </comment>
    <comment ref="AB10" authorId="0" shapeId="0" xr:uid="{00000000-0006-0000-0600-000006000000}">
      <text>
        <r>
          <rPr>
            <b/>
            <sz val="10"/>
            <color indexed="81"/>
            <rFont val="Calibri"/>
            <family val="2"/>
          </rPr>
          <t>Standard deviaiton: 6.05 E-3</t>
        </r>
      </text>
    </comment>
    <comment ref="U13" authorId="0" shapeId="0" xr:uid="{00000000-0006-0000-0600-000007000000}">
      <text>
        <r>
          <rPr>
            <b/>
            <sz val="10"/>
            <color indexed="81"/>
            <rFont val="Calibri"/>
            <family val="2"/>
          </rPr>
          <t>grey cement</t>
        </r>
      </text>
    </comment>
    <comment ref="U18" authorId="0" shapeId="0" xr:uid="{00000000-0006-0000-0600-000008000000}">
      <text>
        <r>
          <rPr>
            <b/>
            <sz val="10"/>
            <color indexed="81"/>
            <rFont val="Calibri"/>
            <family val="2"/>
          </rPr>
          <t xml:space="preserve">CEM I
</t>
        </r>
      </text>
    </comment>
    <comment ref="U30" authorId="0" shapeId="0" xr:uid="{00000000-0006-0000-0600-000009000000}">
      <text>
        <r>
          <rPr>
            <b/>
            <sz val="10"/>
            <color indexed="81"/>
            <rFont val="Calibri"/>
            <family val="2"/>
          </rPr>
          <t>CEM II/A-LL 32.5 R</t>
        </r>
      </text>
    </comment>
    <comment ref="U31" authorId="0" shapeId="0" xr:uid="{00000000-0006-0000-0600-00000A000000}">
      <text>
        <r>
          <rPr>
            <b/>
            <sz val="10"/>
            <color indexed="81"/>
            <rFont val="Calibri"/>
            <family val="2"/>
          </rPr>
          <t>CEM I 42.5 N</t>
        </r>
      </text>
    </comment>
    <comment ref="U32" authorId="0" shapeId="0" xr:uid="{00000000-0006-0000-0600-00000B000000}">
      <text>
        <r>
          <rPr>
            <b/>
            <sz val="10"/>
            <color indexed="81"/>
            <rFont val="Calibri"/>
            <family val="2"/>
          </rPr>
          <t>CEM I 52.5R</t>
        </r>
      </text>
    </comment>
    <comment ref="S35" authorId="0" shapeId="0" xr:uid="{00000000-0006-0000-0600-00000C000000}">
      <text>
        <r>
          <rPr>
            <b/>
            <sz val="10"/>
            <color indexed="81"/>
            <rFont val="Calibri"/>
            <family val="2"/>
          </rPr>
          <t>standard deviation 1.00</t>
        </r>
      </text>
    </comment>
    <comment ref="T35" authorId="0" shapeId="0" xr:uid="{00000000-0006-0000-0600-00000D000000}">
      <text>
        <r>
          <rPr>
            <b/>
            <sz val="10"/>
            <color indexed="81"/>
            <rFont val="Calibri"/>
            <family val="2"/>
          </rPr>
          <t>Standard deviation 0.18</t>
        </r>
      </text>
    </comment>
    <comment ref="U35" authorId="0" shapeId="0" xr:uid="{00000000-0006-0000-0600-00000E000000}">
      <text>
        <r>
          <rPr>
            <b/>
            <sz val="10"/>
            <color indexed="81"/>
            <rFont val="Calibri"/>
            <family val="2"/>
          </rPr>
          <t>Standard deviation: 74.05</t>
        </r>
      </text>
    </comment>
    <comment ref="V35" authorId="0" shapeId="0" xr:uid="{00000000-0006-0000-0600-00000F000000}">
      <text>
        <r>
          <rPr>
            <b/>
            <sz val="10"/>
            <color indexed="81"/>
            <rFont val="Calibri"/>
            <family val="2"/>
          </rPr>
          <t>Standard deviation: 8.34 E-6</t>
        </r>
      </text>
    </comment>
    <comment ref="W35" authorId="0" shapeId="0" xr:uid="{00000000-0006-0000-0600-000010000000}">
      <text>
        <r>
          <rPr>
            <b/>
            <sz val="10"/>
            <color indexed="81"/>
            <rFont val="Calibri"/>
            <family val="2"/>
          </rPr>
          <t>Standard deviation: 0.03</t>
        </r>
      </text>
    </comment>
    <comment ref="X35" authorId="0" shapeId="0" xr:uid="{00000000-0006-0000-0600-000011000000}">
      <text>
        <r>
          <rPr>
            <b/>
            <sz val="10"/>
            <color indexed="81"/>
            <rFont val="Calibri"/>
            <family val="2"/>
          </rPr>
          <t>standard deviation: 1.03 E-3</t>
        </r>
      </text>
    </comment>
    <comment ref="Y35" authorId="0" shapeId="0" xr:uid="{00000000-0006-0000-0600-000012000000}">
      <text>
        <r>
          <rPr>
            <b/>
            <sz val="10"/>
            <color indexed="81"/>
            <rFont val="Calibri"/>
            <family val="2"/>
          </rPr>
          <t>Standard deviation: 217.67</t>
        </r>
      </text>
    </comment>
    <comment ref="U40" authorId="0" shapeId="0" xr:uid="{00000000-0006-0000-0600-000013000000}">
      <text>
        <r>
          <rPr>
            <b/>
            <sz val="10"/>
            <color indexed="81"/>
            <rFont val="Calibri"/>
            <family val="2"/>
          </rPr>
          <t xml:space="preserve">0.93495 cradle to gate - CEM I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U6" authorId="0" shapeId="0" xr:uid="{00000000-0006-0000-0700-000001000000}">
      <text>
        <r>
          <rPr>
            <b/>
            <sz val="10"/>
            <color indexed="81"/>
            <rFont val="Calibri"/>
            <family val="2"/>
          </rPr>
          <t>per kg plasticizer</t>
        </r>
      </text>
    </comment>
    <comment ref="Z6" authorId="0" shapeId="0" xr:uid="{00000000-0006-0000-0700-000002000000}">
      <text>
        <r>
          <rPr>
            <b/>
            <sz val="10"/>
            <color indexed="81"/>
            <rFont val="Calibri"/>
            <family val="2"/>
          </rPr>
          <t>per kg plasticizer</t>
        </r>
      </text>
    </comment>
    <comment ref="U7" authorId="0" shapeId="0" xr:uid="{00000000-0006-0000-0700-000003000000}">
      <text>
        <r>
          <rPr>
            <b/>
            <sz val="10"/>
            <color indexed="81"/>
            <rFont val="Calibri"/>
            <family val="2"/>
          </rPr>
          <t>per kg of SP - 2006 EPD</t>
        </r>
      </text>
    </comment>
    <comment ref="Z7" authorId="0" shapeId="0" xr:uid="{00000000-0006-0000-0700-000004000000}">
      <text>
        <r>
          <rPr>
            <b/>
            <sz val="10"/>
            <color indexed="81"/>
            <rFont val="Calibri"/>
            <family val="2"/>
          </rPr>
          <t>per kg of SP</t>
        </r>
      </text>
    </comment>
    <comment ref="S9" authorId="0" shapeId="0" xr:uid="{00000000-0006-0000-0700-000005000000}">
      <text>
        <r>
          <rPr>
            <b/>
            <sz val="10"/>
            <color indexed="81"/>
            <rFont val="Calibri"/>
            <family val="2"/>
          </rPr>
          <t>per kg of admixture: not clear which type</t>
        </r>
      </text>
    </comment>
    <comment ref="U10" authorId="0" shapeId="0" xr:uid="{00000000-0006-0000-0700-000006000000}">
      <text>
        <r>
          <rPr>
            <b/>
            <sz val="10"/>
            <color indexed="81"/>
            <rFont val="Calibri"/>
            <family val="2"/>
          </rPr>
          <t>per kg of plasticizer</t>
        </r>
      </text>
    </comment>
    <comment ref="U14" authorId="0" shapeId="0" xr:uid="{00000000-0006-0000-0700-000007000000}">
      <text>
        <r>
          <rPr>
            <b/>
            <sz val="10"/>
            <color indexed="81"/>
            <rFont val="Calibri"/>
            <family val="2"/>
          </rPr>
          <t>per kg of SP - 2010 EPD</t>
        </r>
      </text>
    </comment>
    <comment ref="U15" authorId="0" shapeId="0" xr:uid="{00000000-0006-0000-0700-000008000000}">
      <text>
        <r>
          <rPr>
            <b/>
            <sz val="10"/>
            <color indexed="81"/>
            <rFont val="Calibri"/>
            <family val="2"/>
          </rPr>
          <t>per kg or air entraining agent</t>
        </r>
      </text>
    </comment>
    <comment ref="U17" authorId="0" shapeId="0" xr:uid="{00000000-0006-0000-0700-000009000000}">
      <text>
        <r>
          <rPr>
            <b/>
            <sz val="10"/>
            <color indexed="81"/>
            <rFont val="Calibri"/>
            <family val="2"/>
          </rPr>
          <t>per kg of water reducing agent</t>
        </r>
      </text>
    </comment>
    <comment ref="U19" authorId="0" shapeId="0" xr:uid="{00000000-0006-0000-0700-00000A000000}">
      <text>
        <r>
          <rPr>
            <b/>
            <sz val="10"/>
            <color indexed="81"/>
            <rFont val="Calibri"/>
            <family val="2"/>
          </rPr>
          <t xml:space="preserve">per kg of admixture
</t>
        </r>
      </text>
    </comment>
    <comment ref="U24" authorId="0" shapeId="0" xr:uid="{00000000-0006-0000-0700-00000B000000}">
      <text>
        <r>
          <rPr>
            <b/>
            <sz val="10"/>
            <color indexed="81"/>
            <rFont val="Calibri"/>
            <family val="2"/>
          </rPr>
          <t>per kg of admixture</t>
        </r>
      </text>
    </comment>
    <comment ref="S25" authorId="0" shapeId="0" xr:uid="{00000000-0006-0000-0700-00000C000000}">
      <text>
        <r>
          <rPr>
            <b/>
            <sz val="10"/>
            <color indexed="81"/>
            <rFont val="Calibri"/>
            <family val="2"/>
          </rPr>
          <t>per kg of superplasticizer PCE</t>
        </r>
      </text>
    </comment>
    <comment ref="S26" authorId="0" shapeId="0" xr:uid="{00000000-0006-0000-0700-00000D000000}">
      <text>
        <r>
          <rPr>
            <b/>
            <sz val="10"/>
            <color indexed="81"/>
            <rFont val="Calibri"/>
            <family val="2"/>
          </rPr>
          <t>per kg of plasticizer</t>
        </r>
      </text>
    </comment>
    <comment ref="U28" authorId="0" shapeId="0" xr:uid="{00000000-0006-0000-0700-00000E000000}">
      <text>
        <r>
          <rPr>
            <b/>
            <sz val="10"/>
            <color indexed="81"/>
            <rFont val="Calibri"/>
            <family val="2"/>
          </rPr>
          <t>per liter of superplasticizer with polycarboxylate as primary raw material</t>
        </r>
      </text>
    </comment>
    <comment ref="U29" authorId="0" shapeId="0" xr:uid="{00000000-0006-0000-0700-00000F000000}">
      <text>
        <r>
          <rPr>
            <b/>
            <sz val="10"/>
            <color indexed="81"/>
            <rFont val="Calibri"/>
            <family val="2"/>
          </rPr>
          <t>per liter of set accelerating agent with calcium nitrate as primary raw material</t>
        </r>
      </text>
    </comment>
    <comment ref="U30" authorId="0" shapeId="0" xr:uid="{00000000-0006-0000-0700-000010000000}">
      <text>
        <r>
          <rPr>
            <b/>
            <sz val="10"/>
            <color indexed="81"/>
            <rFont val="Calibri"/>
            <family val="2"/>
          </rPr>
          <t>per liter of mid range water reducing agent with calcium nitrate as primary raw material</t>
        </r>
      </text>
    </comment>
    <comment ref="U31" authorId="0" shapeId="0" xr:uid="{00000000-0006-0000-0700-000011000000}">
      <text>
        <r>
          <rPr>
            <b/>
            <sz val="10"/>
            <color indexed="81"/>
            <rFont val="Calibri"/>
            <family val="2"/>
          </rPr>
          <t>per liter of water reducing agent with lignin as primary raw material</t>
        </r>
      </text>
    </comment>
    <comment ref="U32" authorId="0" shapeId="0" xr:uid="{00000000-0006-0000-0700-000012000000}">
      <text>
        <r>
          <rPr>
            <b/>
            <sz val="10"/>
            <color indexed="81"/>
            <rFont val="Calibri"/>
            <family val="2"/>
          </rPr>
          <t>per kg of plasticizer - 2006 EPD</t>
        </r>
      </text>
    </comment>
    <comment ref="N35" authorId="0" shapeId="0" xr:uid="{00000000-0006-0000-0700-000013000000}">
      <text>
        <r>
          <rPr>
            <b/>
            <sz val="10"/>
            <color indexed="81"/>
            <rFont val="Calibri"/>
            <family val="2"/>
          </rPr>
          <t>EFCA is onde of the members involved in this software, so they prbably also use their data</t>
        </r>
      </text>
    </comment>
  </commentList>
</comments>
</file>

<file path=xl/sharedStrings.xml><?xml version="1.0" encoding="utf-8"?>
<sst xmlns="http://schemas.openxmlformats.org/spreadsheetml/2006/main" count="7908" uniqueCount="2372">
  <si>
    <t>SYSTEMATIC LITERATURE REVIEW</t>
  </si>
  <si>
    <t>Data extraction</t>
  </si>
  <si>
    <t>Authors</t>
  </si>
  <si>
    <t xml:space="preserve">Country </t>
  </si>
  <si>
    <t>Year</t>
  </si>
  <si>
    <t>Journal title</t>
  </si>
  <si>
    <t>Goal</t>
  </si>
  <si>
    <t>Title</t>
  </si>
  <si>
    <t>Sweden</t>
  </si>
  <si>
    <t>No</t>
  </si>
  <si>
    <t>Stripple, Håkan
Boström, Lars
Ellison, Tommy
Ewertson, Cathrine
Lund, Peter
Melander, Robert</t>
  </si>
  <si>
    <t>Tunnelling and Underground Space and Technology</t>
  </si>
  <si>
    <t>Evaluation of two different drainage systems for rock tunnels</t>
  </si>
  <si>
    <t>"In this study, a new type of drainage, Rockdrain, was studied and compared with the present drainage system."</t>
  </si>
  <si>
    <t>Functional unit</t>
  </si>
  <si>
    <t>m2 of drainage area during 60 years (which is traditional drainage system's lifespan)</t>
  </si>
  <si>
    <t>Data source</t>
  </si>
  <si>
    <t>not mentioned</t>
  </si>
  <si>
    <t>-</t>
  </si>
  <si>
    <t>EP (kgPO4eq/fu)</t>
  </si>
  <si>
    <t>GWP (kgCO2eq/fu)</t>
  </si>
  <si>
    <t>ODP (kgCFC11eq/fu)</t>
  </si>
  <si>
    <t>CEDnren (MJeq/fu)</t>
  </si>
  <si>
    <t>CEDren (MJeq/fu)</t>
  </si>
  <si>
    <t>CED total (MJeq/fu)</t>
  </si>
  <si>
    <t>Conventional: 1421</t>
  </si>
  <si>
    <t>Pretot, Sylvie
Collet, Florence
Garnier, Charles</t>
  </si>
  <si>
    <t>France</t>
  </si>
  <si>
    <t>Building and Environment</t>
  </si>
  <si>
    <t>Life cycle assessment of a hemp concrete wall: Impact of thickness and coating</t>
  </si>
  <si>
    <t>"...this study concerns the LCA of an environmentally friendly material used for building construction, hemp concrete"</t>
  </si>
  <si>
    <t>Ecoinvent (version not mentioned, but assumed to be 2.2)</t>
  </si>
  <si>
    <t>Life cycle phases</t>
  </si>
  <si>
    <t>Cradle-to-grave</t>
  </si>
  <si>
    <t>Not clearly stated. Assumed to be cradle to grave - but no EOL loads are accounted for - "The analysis was performed using a 60 year perspective and an assumed lifetime of 60 years for today’s standard system and 120 years for the Rockdrain system. The maintenance is performed by installing new drainage at the end of the lifetime. This maintenance has been allocated annually over the 60 years"</t>
  </si>
  <si>
    <t>Impact distribution method - if any</t>
  </si>
  <si>
    <t xml:space="preserve">mass allocation </t>
  </si>
  <si>
    <t>Abiotic depletion (kg antimonyeq/fu)</t>
  </si>
  <si>
    <t>Conventional: 0,0738</t>
  </si>
  <si>
    <t>Rockdrain: 0,0532</t>
  </si>
  <si>
    <t>Rockdrain: 813,8</t>
  </si>
  <si>
    <t>Rockdrain: 0,261</t>
  </si>
  <si>
    <t>Conventional: 0,408</t>
  </si>
  <si>
    <t>Rockdrain: 0,0421</t>
  </si>
  <si>
    <t>Conventional: 0,0931</t>
  </si>
  <si>
    <t xml:space="preserve">Rockdrain: 78,8 </t>
  </si>
  <si>
    <t>Conventional: 114,1</t>
  </si>
  <si>
    <t>Total: 0,0014</t>
  </si>
  <si>
    <t>Total: 0,00251</t>
  </si>
  <si>
    <t>Total: -0,016</t>
  </si>
  <si>
    <t>Total: 0,0000815</t>
  </si>
  <si>
    <t>Total: 5,41</t>
  </si>
  <si>
    <t>Total: 0,00306</t>
  </si>
  <si>
    <t>Raw production for the wall (A1-A3): 0,152</t>
  </si>
  <si>
    <t>Raw production for the wall (A1-A3): 1,06E-03</t>
  </si>
  <si>
    <t>Raw production for the wall (A1-A3): 1,82E-03</t>
  </si>
  <si>
    <t>Raw production for the wall (A1-A3): 0,0000402</t>
  </si>
  <si>
    <t>Raw production for the wall (A1-A3): 4,267</t>
  </si>
  <si>
    <t>Raw production for the wall (A1-A3): 0,00274</t>
  </si>
  <si>
    <t>The functional unit is first defined per m2 and its thermal performance is described by a thermal resistance of 2.78m2 K/W - wood used for the structure, indoor and outdoor coating (sand+lime) were included in the functional unit (27cm thickness)</t>
  </si>
  <si>
    <t>Hemp concrete only (hemp shiv+binder - A1-A3): 2,43219</t>
  </si>
  <si>
    <t>Huang, Lizhen
Bohne, Rolf André
Bruland, Amund
Jakobsen, Pål Drevland
Lohne, Jardar</t>
  </si>
  <si>
    <t>Norway</t>
  </si>
  <si>
    <t>The International Journal of Life Cycle Assessment</t>
  </si>
  <si>
    <t>Life cycle assessment of Norwegian road tunnel</t>
  </si>
  <si>
    <t>"This study aims to answer the following questions: 1. What is the level of environmental impacts produced by a standard Norwegian road tunnel? 2. What are the hot spots and improvement opportunities of Norwegian road tunnels?"</t>
  </si>
  <si>
    <t>‘1-m standard Norwegian road tunnelwith 100-year lifetime’-The standard Norwegian road tunnel is defined as a tunnel with 67-m2 cross section and 3-km length</t>
  </si>
  <si>
    <t>"construction, operation and maintenance stages"</t>
  </si>
  <si>
    <t>Impact assessment method</t>
  </si>
  <si>
    <t>Not stated - indicators choice followed French standards NF P 01-010</t>
  </si>
  <si>
    <t>The ReCiPe Midpoint (E) V1.06</t>
  </si>
  <si>
    <t>Not clearly stated. "The calcula- tion factors used for the impact assessment are the same as the factors used in the International Environmental Product Declara- tion (EPD) system"</t>
  </si>
  <si>
    <t>Total: 81,9</t>
  </si>
  <si>
    <t>Total: 1,1</t>
  </si>
  <si>
    <t>Total: 83,7</t>
  </si>
  <si>
    <t>POCP (kgC2H4eq/fu)</t>
  </si>
  <si>
    <t>Total: 10700</t>
  </si>
  <si>
    <t>AP (kgSO2eq/fu)</t>
  </si>
  <si>
    <t>Shotcrete (only construction phase): 1321,45</t>
  </si>
  <si>
    <t>Ecoinvent v2.2 (background data), Tenders, Tunsim, on-site data collection (personal communication at Tovetunnel 2013), handbooks (foreground data)</t>
  </si>
  <si>
    <t>Amin Hosseini, S. M.
de la Fuente, Albert
Pons, Oriol</t>
  </si>
  <si>
    <r>
      <t xml:space="preserve">Amin Hosseini, S. M., de la Fuente, A., &amp; Pons, O. (2016). Multi-criteria decision-making method for assessing the sustainability of post-disaster temporary housing units technologies: A case study in Bam, 2003. </t>
    </r>
    <r>
      <rPr>
        <i/>
        <sz val="10"/>
        <color theme="1"/>
        <rFont val="Calibri"/>
        <family val="2"/>
        <scheme val="minor"/>
      </rPr>
      <t/>
    </r>
  </si>
  <si>
    <t>Spain</t>
  </si>
  <si>
    <t>Sustainable Cities and Society</t>
  </si>
  <si>
    <t>This paper aims to reconsider four technologies suggested for THUs after the Bam earthquake to determine suitable options and to evaluate the sus- tainability of each technology.</t>
  </si>
  <si>
    <t>"manufacturing, construction and demolition"</t>
  </si>
  <si>
    <t>Inventory of Carbon and Energy (Hammond and Jones, 2011) - authors used values for concrete (general)</t>
  </si>
  <si>
    <t>for a combined sustainability index assessment, FU=1m2 of each THU design / for sprayed concrete specifically, considering embodied energy and carbon, functional unit assessed is 1 kg</t>
  </si>
  <si>
    <t>kg</t>
  </si>
  <si>
    <t>m2</t>
  </si>
  <si>
    <t>m3</t>
  </si>
  <si>
    <t>Ecoinvent</t>
  </si>
  <si>
    <t>Gabi</t>
  </si>
  <si>
    <t>Version</t>
  </si>
  <si>
    <t>2.2</t>
  </si>
  <si>
    <t>3.1</t>
  </si>
  <si>
    <t>3.2</t>
  </si>
  <si>
    <t>3.x</t>
  </si>
  <si>
    <t>A</t>
  </si>
  <si>
    <t>B</t>
  </si>
  <si>
    <t>A1-A3</t>
  </si>
  <si>
    <t>none spec</t>
  </si>
  <si>
    <t>A1-C5</t>
  </si>
  <si>
    <t>A-D</t>
  </si>
  <si>
    <t>C2G</t>
  </si>
  <si>
    <t xml:space="preserve">Anastasiou, E.K. 
Liapis, A. 
Papayianni, I. </t>
  </si>
  <si>
    <t>Greece</t>
  </si>
  <si>
    <t>Resources, Conservation and Recycling</t>
  </si>
  <si>
    <t>Comparative life cycle assessment of concrete road pavements using industrial by-products as alternative materials</t>
  </si>
  <si>
    <t>"The functional unit selected was 1km of two lane urban road of low traffic load with a total width of 7.3m. The pavements are assumed to require a reconstruction of the asphalt surface layer every 20 years."</t>
  </si>
  <si>
    <t>Cradle-to-Grave</t>
  </si>
  <si>
    <t>no environmental impact allocation 
&amp; 
economic value allocation</t>
  </si>
  <si>
    <t>IPCC(2007)GWPimpact method</t>
  </si>
  <si>
    <t>Portugal</t>
  </si>
  <si>
    <t>Journal of Cleaner Production</t>
  </si>
  <si>
    <t>Transportation Research Part D: Transport and Environment</t>
  </si>
  <si>
    <t>Cement and Concrete Composites</t>
  </si>
  <si>
    <t>Energy Conversion and Management</t>
  </si>
  <si>
    <t>Waste Management</t>
  </si>
  <si>
    <t>Application of life-cycle assessment to early stage building design for reduced embodied environmental impacts</t>
  </si>
  <si>
    <t>Basbagill, J.
Flager, F.
Lepech, M.
Fischer, M.</t>
  </si>
  <si>
    <t>USA</t>
  </si>
  <si>
    <t>Reducing the environmental impact of concrete and asphalt: a scenario approach</t>
  </si>
  <si>
    <t>Netherlands</t>
  </si>
  <si>
    <t>Environmentally appraising different pavement and construction scenarios: A comparative analysis for a typical local road</t>
  </si>
  <si>
    <t>Celauro, Clara 
Corriere, Ferdinando
Guerrieri, Marco
Lo Casto, Barbara</t>
  </si>
  <si>
    <t>Italy</t>
  </si>
  <si>
    <t>Mechanical properties, durability, and life-cycle assessment of self-consolidating concrete mixtures made with blended portland cements containing fly ash and limestone powder</t>
  </si>
  <si>
    <t>Life cycle assessment of a fluidized bed system for steam production</t>
  </si>
  <si>
    <t xml:space="preserve">Çetinkaya, Eda 
Rosen, Marc A.
Dinçer, Ibrahim </t>
  </si>
  <si>
    <t>Canada</t>
  </si>
  <si>
    <t>LCA allocation procedure used as an incitative method for waste recycling: An application to mineral additions in concrete</t>
  </si>
  <si>
    <t>Blankendaal, Tom
Schuur, Peter
Voordijk, Hans</t>
  </si>
  <si>
    <t>Chen, C.
Habert, G.
Bouzidi, Y.
Jullien, A.
Ventura, A.</t>
  </si>
  <si>
    <t>The nexus among employment opportunities, life-cycle costs, and carbon emissions: a case study of sustainable building maintenance in Hong Kong</t>
  </si>
  <si>
    <t>Hong Kong</t>
  </si>
  <si>
    <t xml:space="preserve">Chiang, Yat Hung 
Li, Jing 
Zhou, Lu 
Wong, Francis K.W. 
Lam, Patrick T.I. </t>
  </si>
  <si>
    <t>A closed-loop life cycle assessment of recycled aggregate concrete utilization in China</t>
  </si>
  <si>
    <t>China</t>
  </si>
  <si>
    <t xml:space="preserve">Ding, Tao 
Xiao, Jianzhuang 
Tam, Vivian W.Y. </t>
  </si>
  <si>
    <t xml:space="preserve">Dong, Ya Hong  
Ng, S. Thomas 
Kwan, Albert H.K. 
Wu, Siu Kei </t>
  </si>
  <si>
    <t>Substituting local data for overseas life cycle inventories e a case study of concrete products in Hong Kong</t>
  </si>
  <si>
    <t>A plant based LCA of high-strength prestressed concrete elements and the assessment of a practical ecological variant</t>
  </si>
  <si>
    <t xml:space="preserve">Dossche, Charlotte 
Boel, Veerle 
De Corte, Wouter 
Van den Heede, Philip 
De Belie, Nele </t>
  </si>
  <si>
    <t>Belgium</t>
  </si>
  <si>
    <t>Environmental assessment of popular single-family house construction alternatives in Jordan</t>
  </si>
  <si>
    <t>El Hanandeh, Ali</t>
  </si>
  <si>
    <t>Australia</t>
  </si>
  <si>
    <t>Comparative life cycle environmental assessment of flue gas desulphurization technologies in China</t>
  </si>
  <si>
    <t>Feng, Chao 
Gao, Xuenong 
Tang, Yuting 
Zhang, Yuansheng</t>
  </si>
  <si>
    <t>Simulating operational alternatives for future cement production</t>
  </si>
  <si>
    <t>Gäbel, Karin
Tillmann, Anne-Marie</t>
  </si>
  <si>
    <t>Giama, E.
Papadopoulos, A.M.</t>
  </si>
  <si>
    <t>Assessment tools for the environmental evaluation of concrete, plaster and brick elements production</t>
  </si>
  <si>
    <t>The environmental credentials of hydraulic lime-pozzolan concretes</t>
  </si>
  <si>
    <t xml:space="preserve">Grist, Ellen R. 
Paine, Kevin A. 
Heath, Andrew  
Norman, James
Pinder, Henry </t>
  </si>
  <si>
    <t>UK</t>
  </si>
  <si>
    <t>Development of a depletion indicator for natural resources used in concrete</t>
  </si>
  <si>
    <t>Habert, G.
Bouzidi, Y.
Chen, C.
Jullien, A.</t>
  </si>
  <si>
    <t>Lowering the global warming impact of bridge rehabilitations by using Ultra High Performance Fibre Reinforced Concretes</t>
  </si>
  <si>
    <t>Habert, G.
Denarié, E.
Šajna, A.
Rossi, P.</t>
  </si>
  <si>
    <t>Realizing CO2 emission reduction through industrial symbiosis: A cement production case study for Kawasaki</t>
  </si>
  <si>
    <t>Japan</t>
  </si>
  <si>
    <t>Hashimoto, Shizuka 
Fujita, Tsuyoshi 
Geng, Yong 
Nagasawa, Emiri</t>
  </si>
  <si>
    <t>Construction and Building Materials</t>
  </si>
  <si>
    <t>Food and Bioproducts Processing</t>
  </si>
  <si>
    <t>The use of basalt aggregates in the production of concrete for the prefabrication industry: Environmental impact assessment, interpretation and improvement</t>
  </si>
  <si>
    <t xml:space="preserve">Ingrao, Carlo 
Lo Giudice, Agata 
Tricase, Caterina 
Mbohwa, Charles 
Rana, Roberto </t>
  </si>
  <si>
    <t>Life cycle assessment analysis of active and passive acid mine drainage treatment technologies</t>
  </si>
  <si>
    <t xml:space="preserve">Hengen, Tyler J. 
Squillace, Maria K. 
O’Sullivan, Aisling D. 
Stone,  James J. </t>
  </si>
  <si>
    <t>Can nanotechnology be ‘green’? Comparing efficacy of nano and microparticles in cementitious materials</t>
  </si>
  <si>
    <t xml:space="preserve">Jayapalan, Amal R. 
Lee, Bo Yeon 
Kurtis, Kimberly E. </t>
  </si>
  <si>
    <t>Enhancing flowability and sustainability of ultra high performance concrete incorporating high replacement levels of industrial slags</t>
  </si>
  <si>
    <t xml:space="preserve">Kim, Heeae 
Koh, Taehoon 
Pyo, Sukhoon </t>
  </si>
  <si>
    <t>South Korea</t>
  </si>
  <si>
    <t>An attributional and consequential life cycle assessment of substituting concrete with bricks</t>
  </si>
  <si>
    <t>Kua, Harn Wei 
Kamath, Susmita</t>
  </si>
  <si>
    <t>Singapore</t>
  </si>
  <si>
    <t>The life cycle inventory study of cement manufacture in China</t>
  </si>
  <si>
    <t xml:space="preserve">Celik, Kemal 
Meral, Cagla 
Gursel, A. Petek 
Mehta, Kumar
Horvath, Arpad
Monteiro, Paulo J.M. </t>
  </si>
  <si>
    <t xml:space="preserve">Li, Chen 
Nie, Zuoren
Cui, Suping 
Gong, Xianzheng 
Wang, Zhihong 
Meng, Xiance </t>
  </si>
  <si>
    <t>Environmental impact analysis of blast furnace slag applied to ordinary Portland cement production</t>
  </si>
  <si>
    <t xml:space="preserve">Li, Yao
Liu, Yu
Gong, Xianzheng
Nie, Zuoren
Cui, Suping 
Wang, Zhihong 
Chen, Wenjuan </t>
  </si>
  <si>
    <t>Designing more sustainable and greener self-compacting concrete</t>
  </si>
  <si>
    <t xml:space="preserve">Long, Guangcheng 
Gao, Yu
Xie, Youjun </t>
  </si>
  <si>
    <t>Comparative life cycle assessment of ceramic brick, concrete brick and cast-in-place reinforced concrete exterior walls</t>
  </si>
  <si>
    <t>Canada
Sweden
Switzerland
Brazil</t>
  </si>
  <si>
    <t>Maia de Souza, Danielle 
Lafontaine, Mia 
Charron-Doucet, François 
Chappert, Benoit 
Kicak, Karine 
Duarte, Fernanda 
Lima, Luis</t>
  </si>
  <si>
    <t>Economic analysis and LCA of an advanced industrial-scale raw sugar juice purification procedure</t>
  </si>
  <si>
    <t>Serbia</t>
  </si>
  <si>
    <t>Maravić, Nikola 
Kiss, Ferenc  
Šereš, Laslo
Bogdanović, Branislav 
Bogdanović, Biljana 
Šereš, Zita</t>
  </si>
  <si>
    <t>Comparison indices for design and proportioning of concrete mixtures taking environmental impacts into account</t>
  </si>
  <si>
    <t>Miller, Sabbie A. 
Monteiro, Paulo J.M.  
Ostertag, Claudia P. 
Horvath, Arpad</t>
  </si>
  <si>
    <t>Environmental evaluation of two scenarios for the selection of materials for asphalt wearing courses</t>
  </si>
  <si>
    <t>Slovenia</t>
  </si>
  <si>
    <t xml:space="preserve">Mladenovič, Ana 
Turk, Janez 
Kovač, Jaka 
Mauko, Alenka 
Cotič, Zvonko </t>
  </si>
  <si>
    <t>Assessment of the sustainability potential of concrete and concrete structures considering their environmental impact, performance and lifetime</t>
  </si>
  <si>
    <t>Germany</t>
  </si>
  <si>
    <t>Müller, Harald S.
Haist, Michael  
Vogel, Michael</t>
  </si>
  <si>
    <t>Cements with a high limestone content – Mechanical properties, durability and ecological characteristics of the concrete</t>
  </si>
  <si>
    <t>Palm, Sebastian 
Proske, Tilo 
Rezvani, Moien  
Hainer, Stefan 
Müller, Christoph
Graubner, Carl-Alexander</t>
  </si>
  <si>
    <t xml:space="preserve">Pretot, Sylvie 
Collet, Florence 
Garnier, Charles </t>
  </si>
  <si>
    <t>Randl, N.
Steiner, T.
Ofner, S.
Baumgartner, E.
Mészöly, T.</t>
  </si>
  <si>
    <t>Austria</t>
  </si>
  <si>
    <t>Development of UHPC mixtures from an ecological point of view</t>
  </si>
  <si>
    <t>A fuzzy-based approach for characterization of uncertainties in emergy synthesis: an example of paved road system</t>
  </si>
  <si>
    <t>Reza, Bahareh 
Sadiq, Rehan 
Hewage, Kasun</t>
  </si>
  <si>
    <t>Comparative life cycle assessment of reactive MgO and Portland cement production</t>
  </si>
  <si>
    <t>Ruan, S.
Unluer, C.</t>
  </si>
  <si>
    <t>Evaluation of the environmental performance of lime production in Cuba</t>
  </si>
  <si>
    <t>Cuba</t>
  </si>
  <si>
    <t xml:space="preserve">Sagastume Gutiérrez, Alexis 
Van Caneghem, Jo
Cogollos Martínez, Juan B.  
Vandecasteele, Carlo </t>
  </si>
  <si>
    <t>Assessing the environmental and economic potential of Limestone Calcined Clay Cement in Cuba</t>
  </si>
  <si>
    <t>Cuba
Switzerland</t>
  </si>
  <si>
    <t>Sánchez Berriel, S.
Favier, A.
Rosa Domíngez, E.
Sánchez Machado, I.R.
Heierli, U.
Scrivener, K.
Martirena Hernández, F.
Habert, G.</t>
  </si>
  <si>
    <t>International Journal of Sustainable Built Environment</t>
  </si>
  <si>
    <t>Environmental and economic assessment of pavement construction and management practices for enhancing pavement sustainability</t>
  </si>
  <si>
    <t xml:space="preserve">Santos, João
Flintsch, Gerardo 
Ferreira, Adelino </t>
  </si>
  <si>
    <t>France
USA
Portugal</t>
  </si>
  <si>
    <t>France
Germany
Belgium</t>
  </si>
  <si>
    <t>The limits of partial life cycle assessment studies in road construction practices: A case study on the use of hydrated lime in Hot Mix Asphalt</t>
  </si>
  <si>
    <t xml:space="preserve">Schlegel, T. 
Puiatti, D. 
Ritter, H.-J. 
Lesueur, D. 
Denayer, C. 
Shtiza, A. </t>
  </si>
  <si>
    <t>Renewable and Sustainable Energy Reviews</t>
  </si>
  <si>
    <t>Quantifying CO2 emissions from China’s cement industry</t>
  </si>
  <si>
    <t xml:space="preserve">Shen, Weiguo
Cao, Liu 
Li, Qiu 
Zhang, Wensheng 
Wang,  Guiming 
Li, Chaochao </t>
  </si>
  <si>
    <t>Material use for electricity generation with carbon dioxide capture and storage: Extending life cycle analysis indices for material accounting</t>
  </si>
  <si>
    <t xml:space="preserve">Singh, Bhawna 
Bouman, Evert A. 
Strømman, Anders H. 
Hertwich, Edgar G.  </t>
  </si>
  <si>
    <t>A cradle to gate LCA framework for emissions and energy reduction in concrete pavement mixture design</t>
  </si>
  <si>
    <t>Smith, Scott H.
Durham, Stephan A.</t>
  </si>
  <si>
    <t>Comparative Life Cycle Assessment of ceramic versus concrete roof tiles in the Brazilian context</t>
  </si>
  <si>
    <t>Brazil</t>
  </si>
  <si>
    <t>Maia de Souza, Danielle 
Lafontaine, Mia 
Charron-Doucet, François 
Bengoa, Xavier
Chappert, Benoit 
Duarte, Fernanda
Lima, Luis</t>
  </si>
  <si>
    <t>Comparative sustainability assessment of warm-mix asphalts: A thermodynamic based hybrid life cycle analysis</t>
  </si>
  <si>
    <t>Tatari, Omer
Nazzal, Munir
Kucukvar, Murat</t>
  </si>
  <si>
    <t>Comparative environmental life-cycle analysis of concretes using biomass and coal fly ashes as partial cement replacement material</t>
  </si>
  <si>
    <t xml:space="preserve">Teixeira, Elisabete R. 
Mateus, Ricardo 
Camões, Aires F. 
Bragança, Luís 
Branco, Fernando G. </t>
  </si>
  <si>
    <t>Environmental evaluation of green concretes versus conventional concrete by means of LCA</t>
  </si>
  <si>
    <t xml:space="preserve">Turk, Janez
Cotič, Zvonko
Mladenovič, Ana 
Šajna, Aljoša </t>
  </si>
  <si>
    <t>Embodied impacts of traditional clay versus modern concrete houses in a tropical regime</t>
  </si>
  <si>
    <t xml:space="preserve">Utama, N. Agya 
Mclellan, Ben C. 
Gheewala, Shabbir H. 
Ishihara, Keiichi N. </t>
  </si>
  <si>
    <t>Comparative LCA of sewage sludge valorisation as both fuel and raw material substitute in clinker production</t>
  </si>
  <si>
    <t xml:space="preserve">Valderrama, Cesar 
Granados, Ricard  
Cortina, Jose Luis  
Gasol, Carles M. 
Guillem, Manel 
Josa, Alejandro </t>
  </si>
  <si>
    <t>Journal of Hazardous Materials</t>
  </si>
  <si>
    <t>Environmental Impact Assessments Review</t>
  </si>
  <si>
    <t>CO2 uptake performance and life cycle assessment of CaO-based sorbents prepared from waste oyster shells blended with PMMA nanosphere scaffolds</t>
  </si>
  <si>
    <t>Taiwan</t>
  </si>
  <si>
    <t xml:space="preserve">Wang, TsingHai 
Xiao, Da-Cheng 
Huang, Chih-Hung
Hsieh, Yi-Kong 
Tan, Chung-Sung 
Wang, Chu-Fang </t>
  </si>
  <si>
    <t>Comparative study of cement manufacturing with different strength grades using the coupled LCA and partial LCC methods—A case study in China</t>
  </si>
  <si>
    <t xml:space="preserve">Yang, Dong 
Fan, Lin 
Shi, Feng 
Li, Qian 
Wan, Yajing </t>
  </si>
  <si>
    <t>Effect of supplementary cementitious materials on reduction of CO2 emissions from concrete</t>
  </si>
  <si>
    <t xml:space="preserve">Yang, Keun-Hyeok 
Jung, Yeon-Back 
Cho, Myung-Sug 
Tae, Sung-Ho </t>
  </si>
  <si>
    <t>Carbonation and CO2 uptake of concrete</t>
  </si>
  <si>
    <t xml:space="preserve">Yang, Keun-Hyeok 
Seo, Eun-A
Tae, Sung-Ho </t>
  </si>
  <si>
    <t>Environmental and economic analyses of recycled asphalt concrete mixtures based on material production and potential performance</t>
  </si>
  <si>
    <t xml:space="preserve">Yang, Rebekah
Kang, Seunggu
Ozer, Hasan 
Al-Qadi, Imad L. </t>
  </si>
  <si>
    <t>Life cycle assessment of pavement: Methodology and case study</t>
  </si>
  <si>
    <t>Yu, Bin
Lu, Qing</t>
  </si>
  <si>
    <t>In the present paper, a comparative life cycle assessment was carried out for six different concrete road pavements. The parameters for the comparative LCA were three types of binders; a pozzolanic Portland cement, a new hydraulic road binder and a mixed-type binder consisting of Portland cement and fly ash, as well as two different aggregates; crushed limestoneandsteel slag.</t>
  </si>
  <si>
    <t>Raw Material Acquisition, Building Material Production, Operation (Maintenance, Repair, Replacement) - NOT included are On-Site Construction, Transport and Demolition</t>
  </si>
  <si>
    <t>ReCiPe endpoint method</t>
  </si>
  <si>
    <t>SimaPro 7.3</t>
  </si>
  <si>
    <t>In this paper, measures are evaluated to reduce the environmental impact of concrete and asphalt.</t>
  </si>
  <si>
    <t>according to invoices of Royal BAM Group (construction firm North Western Europe):
27.298 m3 Timber
828.916 m3 Concrete
63.746 tons Bricks
1.551.970 tons Asphalt</t>
  </si>
  <si>
    <t>The aim of this work is to carry out a comparative analysis of environmental impacts for different scenarios of a typical local road.</t>
  </si>
  <si>
    <t>PaLATE</t>
  </si>
  <si>
    <t>this work is primarily focused on the analysis of the material production, construction and maintenance phases. The components of the use phase and end-of-life phase are not considered in this analysis</t>
  </si>
  <si>
    <t>For the purpose of the proposed paper, a road length of 1 km was assumed as the functional unit of analysis ... on a typical Italian two-lane rural road (two-lane single carriageway), having a lane width of 3.50mand paved shoulders of 1.25meach (foreslopes rounding of 1.50mwidth were also considered adjacent to the paved shoulders)</t>
  </si>
  <si>
    <t>The functional unit, measured in cubic meter of ready-mixed concrete, is the basis for comparison throughout the study</t>
  </si>
  <si>
    <t>This paper reports the composition and properties of highly flowable self-consolidating concrete (SCC) mixtures made of high proportions of cement replacement materials such as fly ash and pulverized limestone instead of high dosage of a plasticizing agent or viscosity-modifying chemical admixtures.</t>
  </si>
  <si>
    <t>GreenConcrete LCA tool</t>
  </si>
  <si>
    <t>A life cycle assessment (LCA) is reported of a fluidized bed steam plant utilized in a textile factory in Torbali, Izmir, Turkey.</t>
  </si>
  <si>
    <t>1 fluidized bed steam plant utilized in a textile factory over 30 years of operation</t>
  </si>
  <si>
    <t>coal mining, coal transportation, coal cleaning, plant operation, limestone use for desulfurization, and landfill of ash and calcium sulfate ... coal mining, transportation, decommissioning of the plant and landfilling of solid wastes such as ash and calcium sulfate</t>
  </si>
  <si>
    <t>other articles</t>
  </si>
  <si>
    <t>no environmental impact allocation 
&amp; 
mass allocation
&amp; 
economic value allocation</t>
  </si>
  <si>
    <t>cradle-to-gate</t>
  </si>
  <si>
    <t>The binding equivalent value has been chosen as the functional unit: BE = cem+k · SCM where BE is the binding equivalent value (eq.kg/m3), based on the targeted strength properties of the cement concrete</t>
  </si>
  <si>
    <t>EcoInvent 
&amp; 
Inputs and outputs data used are from Althaus (2003) for Iron production (primary process) and Dunlap (2003) for slag treatment (secondary process), ATILH (2002) for French CEM I production, Sokka et al. (2005) and Dones et al. (2007) for coal power plants (primary process) and Surschiste (2009) for fly ash treatment (secondary process).</t>
  </si>
  <si>
    <t xml:space="preserve">CML pressure-oriented method (Guinée et al., 2002)
&amp; 
cumulative energy demand method (CED)
</t>
  </si>
  <si>
    <t>In this study, the environmental impacts of two different Supplementary Cementitious Materials (SCM), blast furnace slag and fly ash, are considered using Life Cycle Assessment methodology through a study of the influence of different allocation procedures on environmental impacts of SCM in concrete. Three allocation procedures are tested.</t>
  </si>
  <si>
    <t>With Hong Kong as the case study, this paper illustrates how existing residential buildings can be repaired and maintained using alternative materials, in order to minimize life-cycle labor inputs, costs, or carbon emissions.</t>
  </si>
  <si>
    <t>cradle-to-site</t>
  </si>
  <si>
    <t xml:space="preserve">Inventory of Carbon and Energy (ICE) database (University of Bath)
&amp; 
Chinese Academy of Engineering, the Environmental Protection Bureau, the State Scientific and Technological Commission, and the Energy Research Institute of National Development and Reform Commission
</t>
  </si>
  <si>
    <t>We applied the methodology to maintenance works carried out for a typical residential flat development in South Bay Road, Hong Kong Island in 2008. Our sample flat (floor area: 284 square meters) had four bedrooms, three bathrooms, a living room, a dining room, a spacious kitchen, and two rooms for maids.</t>
  </si>
  <si>
    <t>This paper studies the potential environmental impact of recycled coarse aggregate (RCA) for concrete production in China.</t>
  </si>
  <si>
    <t>Cradle-to-cradle</t>
  </si>
  <si>
    <t>The functional unit is chosen as 1m3 of concrete. The mix pro- portion of NAC and RAC is determined so that both concrete types have similar compressive strength and workability.</t>
  </si>
  <si>
    <t xml:space="preserve">IPCC (2007)’s global warming potential (GWP) impact method
&amp; 
cumulative energy demand method (CED)
</t>
  </si>
  <si>
    <t>1 m3</t>
  </si>
  <si>
    <t>All LCI data used in this study were site-specific data, based on recent technologies and normal production conditions. The inventory data were collected from interviews with local operators and manufacturers, or obtained from database developed by China Centre of National Material Life Cycle Assessment (CNMLCA, 2010) in Beijing University of Technology. The output of emissions from Chinese electricity, coal, diesel and cement production in this study were all taken from this database (Di et al., 2007; Li et al., 2014).</t>
  </si>
  <si>
    <t>This study investigates the changes caused by replacing overseas LCIs with local data and provides suggestions based ona case study of concrete production in Hong Kong.</t>
  </si>
  <si>
    <t>...the goal of the study is to present a specific example of the application of LCA in the concrete industry.</t>
  </si>
  <si>
    <t>Ecoinvent 2.0</t>
  </si>
  <si>
    <t>the functional unit was set to be one m3 of finished concrete product with a service life of 50 years.</t>
  </si>
  <si>
    <t>mass allocation 
&amp; 
economic value allocation
&amp; 
allocation on basis of estimation</t>
  </si>
  <si>
    <t>In this study, the six most popular construction configurations for a single family house in Jordan are assessed using “cradle to grave” life cycle methodology</t>
  </si>
  <si>
    <t>The functional unit chosen for this study is the whole unit (three bedroom single-family house with a floor area of 144m2) located in Irbid, Jordan, over the entire life span (50years) of the building.</t>
  </si>
  <si>
    <t>ReCiPe Midpoint (H) LCIA method</t>
  </si>
  <si>
    <t>UT Center for Clean Products
&amp; 
Medgar et al.
&amp; 
ELCD Database 2.0</t>
  </si>
  <si>
    <t>This study is a comparative life cycle assessment (LCA) for two widely used flue gas desulphurization (FGD) technologies in China, namely, the circulating fluidized bed flue gas desulfurization (CFB-FGD) and the wet limestone flue gas desulfurization (WFGD).</t>
  </si>
  <si>
    <t>The functional unit of the study is 7000 h, the annual operating time of the FGD system</t>
  </si>
  <si>
    <t>Production-Transport-Manufactoring-Operation</t>
  </si>
  <si>
    <t>EDIP method (Hauschild and Wenzel, 1998)</t>
  </si>
  <si>
    <t>To support decisions on product and process development options and strategic planning, information on the consequences of planned changes are needed. For this purpose a flexible model for cement manufacturing has been developed.</t>
  </si>
  <si>
    <t>NO IMPACT ASSESSMENT</t>
  </si>
  <si>
    <t>other articles
&amp; 
local data</t>
  </si>
  <si>
    <t>1000 kg cement</t>
  </si>
  <si>
    <t>This paper presents the environmental impacts deriving from the environmental evaluation analysis of
the most widely used construction materials, on the base of two environmental assessment method- ologies: the Life Cycle Analysis (LCA) and the Carbon Footprint Analysis</t>
  </si>
  <si>
    <t>Industrial Producers
&amp; 
SimaPro
&amp; 
GEMIS</t>
  </si>
  <si>
    <t>CML 2 baseline method 2000
&amp; 
Eco Indicator 95 method</t>
  </si>
  <si>
    <t>1 kg building material</t>
  </si>
  <si>
    <t>extraction of raw materials - production incl. transport</t>
  </si>
  <si>
    <t>This research considers the compressive strength, embodied CO2, embodied energy and binder intensity of hydraulic lime-pozzolan concretes, in comparison with those of Portland-cement based concretes of equivalent 28-day compressive strength. Production</t>
  </si>
  <si>
    <t>mass allocation 
&amp; 
economic value allocation</t>
  </si>
  <si>
    <t>1 m3 of concrete</t>
  </si>
  <si>
    <t>not stated</t>
  </si>
  <si>
    <t>The objective of this study is to propose a reliable and clear indicator that could assess the present state of depletion of local bulk resources in different regions.</t>
  </si>
  <si>
    <t>CML 01</t>
  </si>
  <si>
    <t>USGS
&amp; 
SFIC, IFF
&amp; 
UNICEM</t>
  </si>
  <si>
    <t>The objective of the present study is to evaluate the global warming impact of bridge rehabilitations with different types of UHPFRC and to compare them to more standard solutions, both on the basis of the bridge rehabilitation performed in Slovenia. Life Cycle Assessment (LCA) methodology is used.</t>
  </si>
  <si>
    <t>In this study the functional unit is the rehabilitation of a specific bridge in Slovenia (Log Cezsoški, nearby Bovec)</t>
  </si>
  <si>
    <t>from "partial demolition" of the old bridge to maintenace of the new one. Not included: site work, final demolition of new bridge</t>
  </si>
  <si>
    <t>ecoinvent</t>
  </si>
  <si>
    <t xml:space="preserve">no environmental impact allocation 
</t>
  </si>
  <si>
    <t>This article is one effort to examine the present and potential performances of CO2 emission reduction though industrial symbiosis by employing a case study approach and life cycle CO2 analysis for alterna- tive industrial symbiosis scenarios. ... The main focus of this paper is to calculate the total CO2 emission for different scenarios by adopting a life cycle CO2 analysis method.</t>
  </si>
  <si>
    <t>Industrial Producers
&amp; 
other articles</t>
  </si>
  <si>
    <t>Production of 348,000 t (a year) concrete</t>
  </si>
  <si>
    <t>not clearly stated, seems like cradle-to-grave or production-to-grave</t>
  </si>
  <si>
    <t>In this study, a life cycle assessment (LCA) was conducted to evaluate the environmental impacts associated with the construction, operation and maintenance of different AMD treatment options typically employed.</t>
  </si>
  <si>
    <t>1 kg acidity removed per day</t>
  </si>
  <si>
    <t>SimaPro 7.3, Ecoinvent</t>
  </si>
  <si>
    <t>...encompassing raw materials including including extraction and processing for mined materials, trans- portation for all materials, construction including earth excavation and/or substrate emplacement, and process energy required for pumping and processing</t>
  </si>
  <si>
    <t>ReCiPe 2008</t>
  </si>
  <si>
    <t>This study aims at environmentally assessing the most significant input and output flows related to the production of concrete using basalt aggregates. For this purpose, Life Cycle Assessment (LCA) was applied according to the ISO 14040:2006 and 14044:2006.</t>
  </si>
  <si>
    <t>All data used were collected on site based on observations during site visits, review of documents and interviews with technical personnel and management. They were processed by using SimaPro 7.3.3, accessing the Ecoinvent v.2.2 database</t>
  </si>
  <si>
    <t>Impact 2002+ method</t>
  </si>
  <si>
    <t>1 m3 of concrete produced</t>
  </si>
  <si>
    <t>because of the absence of co-products in all the phases of the examined concrete production system, no allocation was done.</t>
  </si>
  <si>
    <t>The current research investigates the effect of chemically inert nano and microparticles (i.e., titanium dioxide (TiO2) and calcium carbonate (limestone)) on early age properties and behavior of cement-based materials.</t>
  </si>
  <si>
    <t>SimaPro
&amp; 
BEES</t>
  </si>
  <si>
    <t>1000 kg of the cementitious mixture</t>
  </si>
  <si>
    <t>cradle-to-grave</t>
  </si>
  <si>
    <t>BEES assessment method</t>
  </si>
  <si>
    <t>UHPC mixtures for 1 m3 in volume</t>
  </si>
  <si>
    <t>This research developed eco-friendly UHPC by adopting industrial slags and LP to achieve high flowability and minimize strength loss. Particle packing analysis was carried out first to effectively substitute cement and natural aggregates in UHPC. To investigate the effects of industrial slags and LP in UHPC, flowability and com- pressive strength at various ages were investigated. In addition, sustainability of the developed eco-friendly UHPC was quantified.</t>
  </si>
  <si>
    <t>This study examined the environmental impacts of replacing concrete with bricks.</t>
  </si>
  <si>
    <t>cradle-to-grave, without use-phase</t>
  </si>
  <si>
    <t>1 kg of clay bricks
&amp; 
1 kg of ready mix concrete</t>
  </si>
  <si>
    <t>To make clear the environmental damages and potential improvements of Chinese cement industry, the detailed life cycle inventory (LCI) of cement manufacture with direct input and output in the boundary of cement plant as well as corresponded transport is conducted. The</t>
  </si>
  <si>
    <t>1 t of Portland Ordinary cement
&amp; 
1 t of clinker</t>
  </si>
  <si>
    <t>measured on-site</t>
  </si>
  <si>
    <t>1 kg cement with compressive strength of 42.5 MPa</t>
  </si>
  <si>
    <t>This study was conducted based on the ISO 14040/14044 standards to analyze the environmental impact caused by blast furnace slag utilization for ordinary Portland cement production in typical plants in Beijing. In addition, sensitivity analysis of resource consumption, transport distance, the allocation methods and life cycle impact assessment model were discussed in detail.</t>
  </si>
  <si>
    <t>stated cradle-to-grave, but looks like cradle-to-gate (last phase = production)</t>
  </si>
  <si>
    <t xml:space="preserve">cradle-to-gate 
(of cement production), which involved cement production, BFS production, ore mining, transportation and energy generation, but did not involve the use and disposal phases
</t>
  </si>
  <si>
    <t>measured from modern cement plants in Beijing
&amp; 
Ecoinvent database (Ecoinvent, 2010)
&amp; 
Sino-center database (CNMLCA, 2013)
&amp; 
other authors</t>
  </si>
  <si>
    <t>other authors
&amp; 
CML 01</t>
  </si>
  <si>
    <t>mass allocation 
&amp; 
economic value allocation
&amp; 
allocation with Iron element flow</t>
  </si>
  <si>
    <t>The present paper focuses on understanding the relationship between the mixing proportion parameters of self-compacting concrete (SCC) and its environmental impact and thus developing more greener SCC.</t>
  </si>
  <si>
    <t>1 m3 of SCC</t>
  </si>
  <si>
    <t>extraction of raw materials, transportation to the site, construction processes and so on but not post-installation operations, e.g., demolition, because these are generally not significan</t>
  </si>
  <si>
    <t>other authors</t>
  </si>
  <si>
    <t>With the aim to contribute to more all-embracing assessments in the construction sector, this study aims to compare three different wall types commonly used in Brazil, according to their environmental performances: ceramic brick, concrete brick and cast-in- place reinforced concrete exterior walls.</t>
  </si>
  <si>
    <t>“construction and maintenance of one square meter - one meter (length) per one meter (height) - of exterior wall, above ground,with a life span of 40 years in Brazil”.</t>
  </si>
  <si>
    <t>IMPACT 2002+ (version Q2.2)
&amp; 
(ReCiPe)</t>
  </si>
  <si>
    <t>Brazilian Nacional Ceramic Industry Association (ANICER)
&amp; 
Ecoinvent v2.2
&amp; 
other authors
&amp; 
expert judgement</t>
  </si>
  <si>
    <t>The goal of this study was to evaluate an economic and environmental justification of the applied modifications on an existing raw sugar juice purification process.</t>
  </si>
  <si>
    <t>limited to the beet sugar’s production chain (no use and eol phase)</t>
  </si>
  <si>
    <t>1 Mg of beet sugar of a standard quality manufactured in sugar plant JSC “Sajkaska”</t>
  </si>
  <si>
    <t xml:space="preserve">measured on-site
&amp; 
Ecoinvent v2.2
</t>
  </si>
  <si>
    <t>economic value allocation</t>
  </si>
  <si>
    <t>IPCC 2007 GWP 100a method</t>
  </si>
  <si>
    <t>In this research, methods for assessing environmental impacts with mechanical properties concurrently for design of non-reinforced concrete are presented. Tools for assessing envi- ronmental impacts based on the volume of material needed as defined by several material properties and design parameters, such as required moment of inertia and cross-sectional area, are investigated.</t>
  </si>
  <si>
    <t>cradle-to-gate
(the extraction of cement and concrete raw materials, major material production and preparation processes, transportation of materials within the system, mixing of concrete at the batching plant, and ends at the gate of the concrete plant with the final product being the concrete mixture ready to be used at the construction site)</t>
  </si>
  <si>
    <t xml:space="preserve">GreenConcrete LCA tool (Gursel and Horvath)
&amp; 
other authors
</t>
  </si>
  <si>
    <t>cut off allocation
&amp; 
economic value allocation</t>
  </si>
  <si>
    <t>The goal of this study was to compare the environmental impacts of two alternatives for the construction of asphalt wearing courses. One alternative is conventional, whereas the other is based on the utilization of EAF C slag aggregate.</t>
  </si>
  <si>
    <t>production and placing stages (not included: operation and maintenance; also no EOL)</t>
  </si>
  <si>
    <t>CML 2001</t>
  </si>
  <si>
    <t>this paper outlines the three basic possibilities to increase the sustainability of a structure, i.e. methods to assess and reduce the environmental impact of concrete, means to increase the performance of concrete and design con- cepts which increase the possible lifetime of a concrete structure.</t>
  </si>
  <si>
    <t>production of 1m3 of concrete</t>
  </si>
  <si>
    <t>not stated; looks like cradle-to-gate or just production of raw materials</t>
  </si>
  <si>
    <t>...this study concerns the LCA of an environmentally friendly material used for building construction, hemp concrete</t>
  </si>
  <si>
    <t>The aim of the present study is to develop and analyze Portland limestone cements with high limestone content of up to 65 wt.-% for the production of sustainable concrete structures in both labo- ratory and plant scales. In this article, mainly results of cements with 50 wt.-% limestone are shown.</t>
  </si>
  <si>
    <t>1 kg of diff materials</t>
  </si>
  <si>
    <t>GaBi
&amp; 
Ökobau.dat 2010
&amp; 
Netzwerk Lebenszyklusdaten
&amp; 
EFCA</t>
  </si>
  <si>
    <t>In this study, the environmental aspects due to transportation of raw materials to the concrete plant are not included in the database and the re-absorption of carbon dioxide was ignored.</t>
  </si>
  <si>
    <t>In the first part of the present study, UHPC mixtures with steel fibers using different supplementary cementitious materials (SCMs) are investigated in comparison with a reference UHPC mixture. The goal is to reach similar properties of fresh and hardened concrete with a lower impact on the environment. To quantify this effect, in a second step PEI, GWP, AP, EP were considered in a quasi-life-cycle assessment (LCA) approach for UHPC</t>
  </si>
  <si>
    <t>other authors
&amp; 
Ecoinvent (2013)
&amp; 
WECOBIS</t>
  </si>
  <si>
    <t>1m3 compacted concrete</t>
  </si>
  <si>
    <t>in this paper, fuzzy-based methods have been explored to estimate and propagate different sources of uncertainties embedded in the emergy analysis process.</t>
  </si>
  <si>
    <t>The functional unit was defined as the construction, maintenance, rehabilitation, and use of a 1 km, 2-lane road over the period of 50 years.</t>
  </si>
  <si>
    <t>Athena (Canadian Database)</t>
  </si>
  <si>
    <t>from design to construction, maintenance/rehabilitation, and operation phase</t>
  </si>
  <si>
    <t>This study evaluates the environmental impacts of reactive MgO production and provides a comparison with PC production using a life-cycle assessment (LCA) approach.</t>
  </si>
  <si>
    <t>Eco-indicator 99</t>
  </si>
  <si>
    <t>1 tonne of cement (PC or MgO cement)</t>
  </si>
  <si>
    <t>other authors
&amp; 
SimaPro 7</t>
  </si>
  <si>
    <t>Athena Impact Estimator ???</t>
  </si>
  <si>
    <t>This paper quantifies the environmental impacts of lime production in Cuba by means of LCA methodology in a cradle-to-gate evaluation. It also aims at establishing a benchmark for improvement by comparing the environmental impact of this industry in Cuba with a plant in an industrialized country.</t>
  </si>
  <si>
    <t>production of 1 t of Ca(OH)2</t>
  </si>
  <si>
    <t>measured on-site
&amp; 
Ecoinvent report No.7 (Kellenberger et al., 2007)
&amp; 
other authors</t>
  </si>
  <si>
    <t>CML (Guinée et al., 2002)</t>
  </si>
  <si>
    <t>Lime Plant No. 1</t>
  </si>
  <si>
    <t>Lime Plant No. 2</t>
  </si>
  <si>
    <t>KFN (Kalkfabrik Netstal)</t>
  </si>
  <si>
    <t>Human Toxicity (kg 1,4-dichlorbenzene-eq/fu)</t>
  </si>
  <si>
    <t>In this paper, a method was developed to assess the details of the economic and environ- mental potential of the specific Limestone Calcined Clays Cement LC3 technology in the Cuban context. A comparison with traditional Portland cement and the current commercial blended cement with zeolite (PPC) sold in Cubawas made.</t>
  </si>
  <si>
    <t>1 tonne of cement</t>
  </si>
  <si>
    <t>IPCC 2013 methodology</t>
  </si>
  <si>
    <t>measured on-site
&amp; 
The cement Sustainability initiative (WBCSDWorld Business Council for Sustainable Development, Cement Sustainability Initiative, 2013) and the Intergovernmental Panel for Climate Change (IPCC, 2015) 
&amp; 
Ecoinvent (Frischknecht et al., 2007)</t>
  </si>
  <si>
    <t>The main objectives of this paper are (1) to investigate from a lifecycle perspective the extent to which several pavement engineer- ing solutions, namely hot in-plant recycling mixtures, WMA, cold central plant recycling (CCPR) and preventive treatments, are effi- cient in improving the environmental and economic dimensions of pavement infrastructure sustainability, when applied either sep- arately or in combination, in the construction and management of a road pavement structure and (2) raise awareness ...</t>
  </si>
  <si>
    <t>a 1 km long one-way road pavement section of an Interstate highway in Virginia, USA, with 2 lanes, each of which is 3.66 m wide.</t>
  </si>
  <si>
    <t>TRACI 2.0 (Bare, 2011)</t>
  </si>
  <si>
    <t>‘cut-off’ allocation</t>
  </si>
  <si>
    <t>This paper presents a comparative Life Cycle Assessment (LCA) for the use of HMA (Hot Mix Asphalt) without hydrated lime (classical HMA) and with hydrated lime (modified HMA) for the lifetime of a highway.</t>
  </si>
  <si>
    <t>1 km of French road surface (wearing course) with a width of 3.5m(representing a road surface of 3500m2) and a functional life of 50 years</t>
  </si>
  <si>
    <t>Lime: EuLA/ESSAC
&amp; 
other materials:
Ecoinvent 2.0
PE International
GaBi 4.4
BioIntelligence/Eurobitume
ELCD</t>
  </si>
  <si>
    <t>CML 2001-Nov 2009</t>
  </si>
  <si>
    <t>...so in this paper, a life cycle assessment is used to assess the footprint of the China cement industry, six sources of carbon emission from cement industry is calculated, and the carbon emission from four perspectives is assessed, a holistic approach with six steps is proposed to reduce the carbon emission of the cement industry.</t>
  </si>
  <si>
    <t>USGS, IEA, UN, IOR, IPCC, China Cement Association 
&amp; 
U.S. Department of Energy
&amp;
other authors</t>
  </si>
  <si>
    <t>1 t of clinker, portland cement and average cement</t>
  </si>
  <si>
    <t>In this study, we present a procedure to extract the intermedi- ate information on material evaluation and perform a systematic life cycle material use analysis. The approach is then used to analyze electricity systems including electricity generation and transmission, with and without post-combustion carbon capture and storage (CCS) technology.</t>
  </si>
  <si>
    <t>1 kWh of electricity to the end user</t>
  </si>
  <si>
    <t>Ecoinvent 2.2</t>
  </si>
  <si>
    <t>ReCiPe v1.03 (2009)</t>
  </si>
  <si>
    <t>This paper presents a cradle-to-gate framework for design engineers and concrete ready-mix producers to implement in an effort to optimize mixture designs across economic, environmental, and mechanical performance criteria.</t>
  </si>
  <si>
    <t>US Cement Industry Annual Yearbook
&amp; 
other authors
&amp; 
US census Bureau, USGS, PCA, EPA</t>
  </si>
  <si>
    <t>The functional unit for this assessment was selected to be 1 linear miles (kilometers) as one linear mile constitutes four twelve-foot lanes and four ten-foot shoulders with respec- tive depths of one foot and ten inches</t>
  </si>
  <si>
    <t>The aim of this study is to compare the life cycle impacts of ceramic roof tiles with equivalent concrete tiles in the Brazilian context.</t>
  </si>
  <si>
    <t>coverage of 1 m2 of roof with tiles, for a duration of 20 years in Brazil</t>
  </si>
  <si>
    <t>IMPACT 2002 + VQ2.2</t>
  </si>
  <si>
    <t>mix of economic and mass allocation: 
"A correction based on volume (11.5%) was added to account for the mass and energy balance that is ignored by the economic allocation."</t>
  </si>
  <si>
    <t>In this study, a thermodynamic based hybrid life cycle assessment model was developed to evaluate the environmental impacts of different types of WMA pavements and compare it to that of a conventional hot mix asphalt (HMA) one.</t>
  </si>
  <si>
    <t>materials extraction and processing of pavement materials, transportation of pavement materials, ready mixtures, and recycled asphalt, asphalt mixing, and placement of mixtures</t>
  </si>
  <si>
    <t>a two-lane highway with a total width of 7.2 m and a length of 1 km</t>
  </si>
  <si>
    <t>Life cycle phases - add. Information</t>
  </si>
  <si>
    <t>Functional unit - add. Information</t>
  </si>
  <si>
    <t>Data source - add. Information</t>
  </si>
  <si>
    <t>Life Cycle Phases</t>
  </si>
  <si>
    <t>functional Unit</t>
  </si>
  <si>
    <t>other</t>
  </si>
  <si>
    <t>4.4</t>
  </si>
  <si>
    <t>NA</t>
  </si>
  <si>
    <t>t</t>
  </si>
  <si>
    <t>km</t>
  </si>
  <si>
    <t>piece</t>
  </si>
  <si>
    <t>m</t>
  </si>
  <si>
    <t>2.0</t>
  </si>
  <si>
    <t>Based both in the abovementioned context and methodological approach, the main goal of this study was to quantify and compare the potential environmental impacts resulting from the production of 1 m3 of concrete, using different types of binder: i) Portland cement; ii) Portland cement and coal fly ashes, iii) Portland cement and biomass flay ash; iv) and Portland cement, coal and biomass fly ashes.</t>
  </si>
  <si>
    <t>fU</t>
  </si>
  <si>
    <t>measured on-site
&amp; 
SimaPro 7.3.3 
&amp; 
Ecoinvent report V2.2 (Hischier et al., 2010)</t>
  </si>
  <si>
    <t>CML 2 baseline 2000 V2.05
&amp; 
CED V1.08</t>
  </si>
  <si>
    <t>The goal of this study is to compare the production of green concretes with that of conven- tional concrete, taking into account the environmental point of view.</t>
  </si>
  <si>
    <t>production of one cubic metre of concrete of the specified strength class and ready-for-use.</t>
  </si>
  <si>
    <t>GaBi professional + extensions
&amp; 
Ecoinvent 2.2
&amp; 
PE International
&amp; 
other authors
&amp; 
experts</t>
  </si>
  <si>
    <t>system expansion</t>
  </si>
  <si>
    <t>This study focuses on two commonly used building envelope materials in Indonesia, the more traditional clay roof and clay bricks, and the more recently popular concrete block and concrete roof.</t>
  </si>
  <si>
    <t>one typical stand-alone residential house with a 40-year lifetime</t>
  </si>
  <si>
    <t>production of materials from extraction through processing and transportation to the construction site, and the construction itself</t>
  </si>
  <si>
    <t>CML 2 baseline 2000</t>
  </si>
  <si>
    <t>Industrial Partners
&amp; 
measured on-site
&amp; 
GEMIS 4.4
&amp; 
SimaPro 7.1
&amp; 
other authors</t>
  </si>
  <si>
    <t>The goal of the present study was to assess and compare the environmental performance of fuel and raw material substitution, in the Cementos Molins plant, using urban sewage sludge.</t>
  </si>
  <si>
    <t>production of 1 kg of clinker</t>
  </si>
  <si>
    <t>SimaPro 7.2
&amp; 
SimaPro libraries (System and Unit processes, Buwal250, DK Input Output, Idemat, 2001; Industry data)
&amp; 
Ecoinvent Professional database, 2009
&amp; 
ecoinvent database (v2.1)</t>
  </si>
  <si>
    <t>2.1</t>
  </si>
  <si>
    <t>IPCC 100 years (IPCC, 2007)
&amp; 
CML 2000
&amp; 
CExD (Boesch et al., 2007)
&amp; 
Eco-indicator 99 method</t>
  </si>
  <si>
    <t>In this paper, we demonstrate a means of simultaneously solving two serious environmental issues by reutilization of calcinated mixture of pulverized waste oyster shells blending with poly(methyl methacry- late) (PMMA) nanospheres to prepare CaO-based sorbents for CO2 capture.</t>
  </si>
  <si>
    <t>Emission Factor Report (ID: 213919)
&amp; 
other authors
&amp; 
SimaPro 7.0
&amp; 
Ecoinvent</t>
  </si>
  <si>
    <t>ReCiPe analysis method</t>
  </si>
  <si>
    <t>1 tonne of sorbent prepared</t>
  </si>
  <si>
    <t>This paper aims to assess the environmental impacts and economic cost of different selected cement products.</t>
  </si>
  <si>
    <t>1 t of cement with different strength grades</t>
  </si>
  <si>
    <t>IMPACT2002+ method</t>
  </si>
  <si>
    <t>The present study examined the effectiveness of supplementary cementitious materials (SCMs) such as ground granulated blast-furnace slag (GGBS), fly ash (FA), and silica fume (SF), in reducing CO2 emissions from ordinary Portland cement (OPC) concrete.</t>
  </si>
  <si>
    <t>cradle to preconstruction: (1) procurement of all constituents in a materials inventory taken from cradle to gate, (2) transportation of the constituents to a ready-mixed concrete plant, (3) in-plant production of the concrete, and (4) transportation of the concrete to a work site</t>
  </si>
  <si>
    <t>Korean LCI database (KEITI)
&amp; 
Japanese Society of Civil Engineering (JSCE) LCI database (Sakai and Kawai, 2006)</t>
  </si>
  <si>
    <t>survey of the China United Cement Corporation
&amp; 
other authors</t>
  </si>
  <si>
    <t>This study developed a reliable procedure to assess the carbon dioxide (CO2) uptake of concrete by carbonation during the service life of a structure and by the recycling of concrete after demolition.</t>
  </si>
  <si>
    <t>Actual survey data obtained in 2012 in South Korea on the surrounding environment
&amp; 
Korean lifecycle inventory (LCI) database (2014)</t>
  </si>
  <si>
    <t>The objective of this study is to conduct a sustainability evaluation of flexible pavements constructed with recycled contents (RAP and RAS; recycled asphalt pavement recycled asphalt shingles), with the ultimate goal of providing an objective guidance to agencies aimed at evaluating the benefits and risks of using more recycled materials in their pavements.</t>
  </si>
  <si>
    <t>Material, Construction, Use; without Maintenance and EOL</t>
  </si>
  <si>
    <t>The functional unit of this study is four-lane-miles (1.6 km)
of a 4-in. (102 mm) asphalt overlay expected to last 15 years by satisfying design and performance criteria in Illinois</t>
  </si>
  <si>
    <t>Emission Factor Report (ID: 213919)
&amp; 
US-Ecoinvent 2.2 (US-EI 2.2)
&amp; 
Industrial Partners, surveys
&amp; 
other authors</t>
  </si>
  <si>
    <t>TRACI 2.1
&amp; 
CED</t>
  </si>
  <si>
    <t>A life cycle assessment model is built to estimate the environmental implications of pavements using material, distribution, construction, congestion, usage, and end of life modules.</t>
  </si>
  <si>
    <t>the functional unit is a one kilometer overlay system over an existing PCC pavement with four lanes in two directions that would provide satisfactory performance over a 40-year period</t>
  </si>
  <si>
    <t>Portland Cement Association (Marceau et al., 2007)
&amp; 
Swedish Environmental Research Institute (Stripple, 2001)
&amp; 
Athena Institute (2006)
&amp; 
(EPA) NONROAD 2008 model</t>
  </si>
  <si>
    <t>The functional unit is the construction of a surface course of a road pavement over a length of 600 m (with a thickness of 3 cm)</t>
  </si>
  <si>
    <t>measured on-site
&amp; 
GaBi (“professional + extended” dataset)</t>
  </si>
  <si>
    <t>EcoInvent
&amp; 
US PCA
&amp; 
local data</t>
  </si>
  <si>
    <t>The goal of the proposed methodology is to enable designers to understand the relative environmental impact implications of building component decisions. ... A second goal of the methodology is to create an automated or semi-automated process that provides environmental impact feedback on many building designs.</t>
  </si>
  <si>
    <t>Industrial Partners
&amp; 
SimaPro 7.1</t>
  </si>
  <si>
    <t>SimaPro
&amp; 
Athena EcoCalculator</t>
  </si>
  <si>
    <t>whole building</t>
  </si>
  <si>
    <t>"calculated based on IPPC guidelines"</t>
  </si>
  <si>
    <t>Babbitt, Callie W.
Lindner, Angela S.</t>
  </si>
  <si>
    <t>A life cycle comparison of disposal and beneficial use of coal combustion products in Florida - Part 2: impact assessment of disposal and beneficial use options</t>
  </si>
  <si>
    <t>Biswas, Wahidul K</t>
  </si>
  <si>
    <t>Carbon footprint and embodied energy assessment of a civil works program in a residential estate of Western Australia</t>
  </si>
  <si>
    <t>Chong, Dan
Wang, Yuhong</t>
  </si>
  <si>
    <t>Impacts of flexible pavement design and management decisions on life cycle energy consumption and carbon footprint</t>
  </si>
  <si>
    <t>Collins, Frank</t>
  </si>
  <si>
    <t>Inclusion of carbonation during the life cycle of built and recycled concrete: influence on their carbon footprint</t>
  </si>
  <si>
    <t>F. Mendoza, Joan-Manuel
Oliver-Solà, Jordi
Gabarrell, Xavier
Josa, Alejandro
Rieradevall, Joan</t>
  </si>
  <si>
    <t>Life cycle assessment of granite application in sidewalks</t>
  </si>
  <si>
    <t>Flower, David J M
Sanjayan, Jay G</t>
  </si>
  <si>
    <t>Green house gas emissions due to concrete manufacture</t>
  </si>
  <si>
    <t>García-Segura, Tatiana
Yepes, Víctor
Alcalá, Julián</t>
  </si>
  <si>
    <t>Life cycle greenhouse gas emissions of blended cement concrete including carbonation and durability</t>
  </si>
  <si>
    <t>Gursel, Aysegul Petek
Ostertag, Claudia</t>
  </si>
  <si>
    <t>Comparative life-cycle impact assessment of concrete manufacturing in Singapore</t>
  </si>
  <si>
    <t>Habert, Guillaume</t>
  </si>
  <si>
    <t>A method for allocation according to the economic behaviour in the EU-ETS for by-products used in cement industry</t>
  </si>
  <si>
    <t>Kucukvar, Murat
Noori, Mehdi
Egilmez, Gokhan
Tatari, Omer</t>
  </si>
  <si>
    <t>Stochastic decision modeling for sustainable pavement designs</t>
  </si>
  <si>
    <t>Kucukvar, Murat
Tatari, Omer</t>
  </si>
  <si>
    <t>Towards a triple bottom-line sustainability assessment of the U.S. construction industry</t>
  </si>
  <si>
    <t>Li, Chen
Cui, Suping
Nie, Zuoren
Gong, Xianzheng
Wang, Zhihong
Itsubo, Norihiro</t>
  </si>
  <si>
    <t>The LCA of portland cement production in China</t>
  </si>
  <si>
    <t>Margallo, María
Aldaco, Rubén
Irabien, Ángel</t>
  </si>
  <si>
    <t>Clean Technology and Environmental Policy</t>
  </si>
  <si>
    <t>Environmental management of bottom ash from municipal solid waste incineration based on a life cycle assessment approach</t>
  </si>
  <si>
    <t>Oliver-Solà, Jordi
Josa, Alejandro
Rieradevall, Joan
Gabarrell, Xavier</t>
  </si>
  <si>
    <t>Environmental optimization of concrete sidewalks in urban areas</t>
  </si>
  <si>
    <t>Pang, Bo
Yang, Pengchao
Wang, Yuanfeng
Kendall, Alissa
Xie, Huibing
Zhang, Yurong</t>
  </si>
  <si>
    <t>Life cycle environmental impact assessment of a bridge with different strengthening schemes</t>
  </si>
  <si>
    <t>Petit-Boix, Anna
Sanjuan-Delmás, David
Gasol, Carles M
Villalba, Gara
Suárez-Ojeda, María Eugenia
Gabarrell, Xavier
Josa, Alejandro
Rieradevall, Joan</t>
  </si>
  <si>
    <t>Water Resource Management</t>
  </si>
  <si>
    <t>Environmental Assessment of Sewer Construction in Small to Medium Sized Cities Using Life Cycle Assessment</t>
  </si>
  <si>
    <t>Pushkar, Svetlana
Verbitsky, Oleg</t>
  </si>
  <si>
    <t>Materials and Structures</t>
  </si>
  <si>
    <t>Effects of different allocation approaches for modeling mineral additives in blended cements on environmental damage from five concrete mixtures in Israel</t>
  </si>
  <si>
    <t>Reza, Bahareh
Sadiq, Rehan
Hewage, Kasun</t>
  </si>
  <si>
    <t>Emergy-based life cycle assessment (Em-LCA) for sustainability appraisal of infrastructure systems: a case study on paved roads</t>
  </si>
  <si>
    <t>Strazza, Carlo
Del Borghi, Adriana
Blengini, Gian Andrea
Gallo, Michela</t>
  </si>
  <si>
    <t>Definition of the methodology for a Sector EPD (Environmental Product Declaration): case study of the average Italian cement</t>
  </si>
  <si>
    <t>Strömberg, Larissa
Paulsen, Jacob</t>
  </si>
  <si>
    <t>Russia</t>
  </si>
  <si>
    <t>LCA application to Russian Conditions</t>
  </si>
  <si>
    <t>Tait, Michael W
Cheung, Wai M</t>
  </si>
  <si>
    <t>A comparative cradle-to-gate life cycle assessment of three concrete mix designs</t>
  </si>
  <si>
    <t>Zhang, Jingliang
Cheng, Jack C P
Lo, Irene M C</t>
  </si>
  <si>
    <t>Life cycle carbon footprint measurement of Portland cement and ready mix concrete for a city with local scarcity of resources like Hong Kong</t>
  </si>
  <si>
    <t>Zhang, Yu-Rong
Wu, Wen-Jie
Wang, Yuan-Feng</t>
  </si>
  <si>
    <t>Bridge life cycle assessment with data uncertainty</t>
  </si>
  <si>
    <t>To assess opportunities for reducing impacts associated with four CCP materials considered in this study, fly ash, bottom ash, boiler slag, and flue gas desulfurization (FGD) material, this paper reports results of expanding a life cycle inventory of raw material and emissions (part 1 of this series of papers) by performing life cycle impact assessment on five scenarios of CCP management.</t>
  </si>
  <si>
    <t>coal mining and preparation, coal combustion, CCP disposal, and CCP beneficial use (also includes disposal of CCP)</t>
  </si>
  <si>
    <t>The functional unit was “per 1,000 kg of coal combusted,”</t>
  </si>
  <si>
    <t>CML2001
&amp;
Environmental Design of Industrial Products 1997 midpoint impact assessment method (EDIP97)
&amp;
Heirarchist and Individualist levels of the Eco-indicator 99 end point method</t>
  </si>
  <si>
    <t>The goal is to compare the carbon footprint and embodied energy of a three-dimensional cross section of a 100-msection of road constructed using virgin and recycled materials.</t>
  </si>
  <si>
    <t>manufacturing and transportation of construction materials, the construction stage and the use/maintenance stage; does not take into account the use of the roads (i.e. movement of vehicles) and disposal of the road construction materials</t>
  </si>
  <si>
    <t>construction of a 100-m road section</t>
  </si>
  <si>
    <t>Industrial Partners
&amp;
other authors
&amp;
Australian LCA database (RMIT 2007)</t>
  </si>
  <si>
    <t>IPCC 1996</t>
  </si>
  <si>
    <t>The study aims to develop a methodological frame- work to estimate life cycle energy consumption and green- house gas (GHG) emissions related to pavement design and management decisions. Another objective is to apply the framework to the design and management of flexible highway pavement in Hong Kong.</t>
  </si>
  <si>
    <t>1000-m pavement section with different traffic levels.</t>
  </si>
  <si>
    <t>SimaPro 6.0 database (PRé Sustainability 2015)
&amp;
Athena Research Institute (Meil 2006)
&amp;
other authors</t>
  </si>
  <si>
    <t>cut off method (for EOL)</t>
  </si>
  <si>
    <t>IPCC 2007
or
IPCC 2014</t>
  </si>
  <si>
    <t>The objective of this paper is to examine the contribution of carbonation to the estimation of equivalent CO2 emissions over the life cycle of a concrete structure.</t>
  </si>
  <si>
    <t>a built concrete bridge located in Melbourne</t>
  </si>
  <si>
    <t>other authors
&amp;
Australian National Greenhouse Accounts (NGA) Factors Workbook (Commonwealth of Australia 2008)</t>
  </si>
  <si>
    <t>The paper aims to quantify the environmental impact that sidewalks can contribute to the urban space if no environmental criteria are applied in sidewalk design.</t>
  </si>
  <si>
    <t>CML Baseline 2001</t>
  </si>
  <si>
    <t>The functional unit is 1 m2 of sidewalk placed in a standard location in central Barcelona (Spain). It includes all pavement layers required for supporting pedestrians and light motorized traffic over a timeframe of 45 years</t>
  </si>
  <si>
    <t>material production, sidewalk construction, sidewalk deconstruction, and material transportation (includes waste transportation to final disposal but not the disposal itself).</t>
  </si>
  <si>
    <t>Industrial Partners
&amp;
local authorities
&amp;
other authors
&amp;
EcoConcrete LCA tool
&amp;
GaBi 4.3
&amp;
EcoInvent 1.2</t>
  </si>
  <si>
    <t xml:space="preserve">no environmental impact allocation </t>
  </si>
  <si>
    <t>The aim of this study was to provide hard data collected from a number of quarries and concrete manufacturing plants so that accurate estimates can be made for concretes in ESD (environmentally sustainable design).</t>
  </si>
  <si>
    <t>Industrial Partners
&amp;
Australian Greenhouse Office Factors and Methods Workbook</t>
  </si>
  <si>
    <t>production of coarse and fine aggregates and admixtures, raw materials transport, concrete batching and transport, and on-site placement activities</t>
  </si>
  <si>
    <t>one cubic meter of concrete in structure</t>
  </si>
  <si>
    <t>The aim of this study is to determine if the reduction in production emissions of blended cements com- pensates for the reduced durability and CO2 capture.</t>
  </si>
  <si>
    <t>a reinforced concrete column during its service life and after demolition and reuse as gravel filling material (cradle-to-grave)</t>
  </si>
  <si>
    <t>1 RC column. The column is 3 m high, and the cross- section is 30×30 cm2. Steel reinforcement consisted of four 20-mm diameter steel bars. The concrete cover is 30 mm</t>
  </si>
  <si>
    <t>The purpose of this study is to quantify and suggest alternatives for reducing the embodied energy and life-cycle impacts of concrete consumption in Singapore on the basis of current trading volumes of these materials from Singapore’s importers.</t>
  </si>
  <si>
    <t>ReCiPe</t>
  </si>
  <si>
    <t>m3 of ordinary Portland cement (OPC) concrete consumed in Singapore</t>
  </si>
  <si>
    <t>from extraction of raw materials to the end product at plant gate, including transportation impacts (cradle to gate)</t>
  </si>
  <si>
    <t>other authors
&amp;
Green Concrete LCA tool</t>
  </si>
  <si>
    <t>Switzerland</t>
  </si>
  <si>
    <t>This study presents a new allocation method, based on the fact that both cement and the alterna- tive materials, GBFS and FA, are produced by energy- intensive industries (cement iron and coal) which are all subjected to the European Union Greenhouse Gas Emission Trading System.</t>
  </si>
  <si>
    <t>functional unit used is a mass of SCM that provides the same mechanical properties as 1 kg of cement</t>
  </si>
  <si>
    <t>EcoInvent (2003)</t>
  </si>
  <si>
    <t>This study aims to answer the following questions: 1. What is the level of environmental impacts produced by a standard Norwegian road tunnel? 2. What are the hot spots and improvement opportunities of Norwegian road tunnels?</t>
  </si>
  <si>
    <t>construction, operation and maintenance stages</t>
  </si>
  <si>
    <t>1-m standard Norwegian road tunnel with 100-year lifetime;
The standard Norwegian road tunnel is defined as a tunnel with 67-m2 cross section and 3-km length</t>
  </si>
  <si>
    <t>the aim of this study is to develop TBL(Triple-Bottom-Line)- oriented sustainability assessment model to evaluate the envi- ronmental and socio-economic impacts of pavements con- structed with different types of WMA mixtures and compare themto a conventional Hot-mix Asphalt (HMA).</t>
  </si>
  <si>
    <t>materials extraction and processing, transportation of pavement materials, asphalt mixing process, and construction of pavements (use phase is not included)</t>
  </si>
  <si>
    <t>one-km pavement</t>
  </si>
  <si>
    <t>World Input Output Database (WIOD)
&amp;
National Authorities</t>
  </si>
  <si>
    <t>Therefore, the overarching goal of this study is to quantify the overall environmental, economic, and social impacts of the U.S. construction sectors using an economic input–output-based sustainability assessment framework.</t>
  </si>
  <si>
    <t>In this paper, to find the appropriate ways to reduce emissions and to save energy and natural resources for Chinese cement industry, the comparative analysis of China and Japan was executed.</t>
  </si>
  <si>
    <t>“1 t of portland cement” and “1 t of portland cement with 42.5 MPa of strength grade”</t>
  </si>
  <si>
    <t>measured on-site
&amp;
calculation by estimated coefficients
&amp;
derivation by mass and heat balance principle
further:
CNMLCA 2012
&amp;
JCA 2010
&amp;
JEMAI 2012
&amp;
other authors</t>
  </si>
  <si>
    <t>CML (Heijungs et al. 1992)</t>
  </si>
  <si>
    <t>In this study, the life cycle assessment approach was used to evaluate and compare ash solidification with ash recycling in Portland cement production as a clinker and gypsum substitute.</t>
  </si>
  <si>
    <t>Functional Unit: From the incineration of 1 t of MSW, 57.5 kg of BA was generated (AEVERSU 2011). Because the function of the system is to treat ashes, all of the data are in reference to 57.5 kg of ashes.</t>
  </si>
  <si>
    <t>ash transport and ash treatment;
Internal transport in the complex, the construction of major capital equipment, and the maintenance and operation of support equipment were excluded from the study.</t>
  </si>
  <si>
    <t>Industrial Partners
&amp;
other authors
&amp;
GaBi 4.4</t>
  </si>
  <si>
    <t>environmental burden (EB) approach</t>
  </si>
  <si>
    <t>This study attempts to quantify the potential environmental impacts of three most usually installed types of concrete- based sidewalks in the case of Barcelona and nearby cities and that are also commonly used in many countries with subsequent variations and adaptations; to identify which type is environmentally preferable based on certain func- tionality; to compile an inventory of materials and processes; and to assess the potential environmental savings to be gained in matching each type of sidewalk use to the specific functionality that it fulfills.</t>
  </si>
  <si>
    <t>The functional unit is 1 m2 of sidewalk, including all pavement layers extending from the compacted soil (subgrade) to the surface (top layer), over a timeframe of 45 years.</t>
  </si>
  <si>
    <t>EcoConcrete LCA tool (CEMBUREAU, BIBM, EFCA, ERMCO, EUROFER, UEPG 2003)
&amp;
Ecoinvent 1.2 database (Ecoinvent 2006)</t>
  </si>
  <si>
    <t>1.2</t>
  </si>
  <si>
    <t>CML 2 Baseline 2000</t>
  </si>
  <si>
    <t>raw materials extraction - transport - factory - transport - site - transport (final disposal excluded)</t>
  </si>
  <si>
    <t>The goal of this study is to conduct a quantitative assessment of environmental impacts from a highway bridge’s life cycle, to calculate energy consumption, to track emissions, and fi- nally to compare four kinds of strengthening methods in terms of their environmental impacts to guide retrofit and repair of existing bridges.</t>
  </si>
  <si>
    <t>ELCD (2012)
&amp;
other authors
&amp;
World Steel Association</t>
  </si>
  <si>
    <t>1 m unit length of the bridge system in the longitudinal direction with a life span of 100 years</t>
  </si>
  <si>
    <t>The main goal of this study was to quantify the environmental impacts of a sewer system and to determine the most environmentally friendly design strategy for small to medium sized cities.</t>
  </si>
  <si>
    <t>In the case of constructive solutions, the DU (Declared Unit) is one linear metre of pipe with diameters of 110, 300, 800 and 1,200 mm over a time period of 100 years.
The functional unit (FU) is defined as the infrastructure necessary for the collection and transportation of 1 m3 of wastewater in small to medium sized cities in a year.</t>
  </si>
  <si>
    <t>materials extraction, pipe production, transport, installation and demolition 
The use and maintenance stages were excluded. Furthermore, it was assumed that, after demolition, the pipes were left at the construction site.</t>
  </si>
  <si>
    <t>CML 2 baseline 2000 method V2.05</t>
  </si>
  <si>
    <t>Ecoinvent 2.2 (Ecoinvent 2009)</t>
  </si>
  <si>
    <t>Israel</t>
  </si>
  <si>
    <t>The goal of the present study is to evaluate environmental damage from five con- crete mixtures with cements accepted in Israel: CEM I (Portland), CEM II/A-S (Portland-slag), CEM II/A-V (Portland-fly ash), II/A-M(S-V) (Port- land-composite), and CEM II/A-L (Portland-lime- stone).</t>
  </si>
  <si>
    <t>hierarchical ReCiPe2008 method</t>
  </si>
  <si>
    <t>one cubic meter of concrete with a 30 MPa 28-day compressive strength</t>
  </si>
  <si>
    <t>Ecoinvent
&amp;
other authors</t>
  </si>
  <si>
    <t>The major goal of this study is to evaluate environmental and associated socio-economic impacts of a road system over its life cycle (cradle to grave) using emergy synthesis.</t>
  </si>
  <si>
    <t>The functional unit for this comparative analysis can be defined as the construction, maintenance, rehabilitation, and use of a 2-lane roadway that serves as an access to the housing project, over the period of 50 years. (Length = 1150m bzw. 2450m)</t>
  </si>
  <si>
    <t>Athena Impact Estimator for Highways</t>
  </si>
  <si>
    <t>polluter-pays allocation method</t>
  </si>
  <si>
    <t>The objective of this paper is to describe the process of development of an appropriate methodology for a type III label that can be used by a trade association, namely “Sector Environmental Product Declaration” (EPD).</t>
  </si>
  <si>
    <t>production of 1 ton of representative average cement</t>
  </si>
  <si>
    <t>a method coherent with the EPD requirements has been selected, following the principles inserted in the document “Supporting Annexes for Envi- ronmental Product Declarations, EPD” (2008)</t>
  </si>
  <si>
    <t>SimaPro 7.1 
&amp;
Industrial Partners
&amp;
EPD</t>
  </si>
  <si>
    <t>This study also aims to show possibilities for applying LCA methodology, as accepted in the ISO standards series 14040, and as applied to Russian conditions. The main purpose was to investigate a possibility of using the existing environmental impact assessment as the inventory stage in the LCA. ... The overall objective of this LCA study was to assess the potential environmental effects of the different stages of the wastewater facility life cycle.</t>
  </si>
  <si>
    <t>This unit has been defined as treatment of the sewage from 200,000 inhabitants (Q = 110,000 mS/day) during one year.</t>
  </si>
  <si>
    <t>The study started with the production of building materials for the wastewater facility building and ended with demolition and waste treatment of this object. (cradle to grave)</t>
  </si>
  <si>
    <t>Industrial Partners
&amp;
SimaPro 5.0 databases
&amp;
other authors
&amp;
MosvodocanalNIIproject</t>
  </si>
  <si>
    <t>The characterisation method was taken from CML Guide, 1992
&amp;
Eco-indicator 95</t>
  </si>
  <si>
    <t>The aim of this study was to obtain the overall en- vironmental impact, with a particular focus on carbon dioxide (CO2) emissions of three concrete mix designs</t>
  </si>
  <si>
    <t>Eco-indicator 99
&amp;
EPD 2008
&amp;
Ecopoints 97</t>
  </si>
  <si>
    <t>1 m3 concrete produced</t>
  </si>
  <si>
    <t>EcoInvent 3.1</t>
  </si>
  <si>
    <t>raw material extraction, manufacturing, and transport until the material reaches the construction site (cradle-to-site)</t>
  </si>
  <si>
    <t>This study aims to quantify the embodied carbon footprint of building construction materials used in Hong Kong with the consider- ation of local factors and to investigate how the region- specific characteristic would affect the result.</t>
  </si>
  <si>
    <t>Industrial Partners
&amp;
CLCD 2009
&amp;
JEMAI 2011
&amp;
CLCD 2008 and 2011
&amp;
Ecoinvent 2007 and 2010</t>
  </si>
  <si>
    <t>IPCC Guideline (Gómez et al. 2006)</t>
  </si>
  <si>
    <t>1 kg cement
&amp;
1 kg / 1 m3 of concrete</t>
  </si>
  <si>
    <t>This paper is intended to provide a comprehensive environmental impact assessment of bridge with data uncertainty, by assigning prob- ability distributions on the considered parameters, assessing the variability in the acquisition of inventory and identifying the key parameters with significant environmental impacts.</t>
  </si>
  <si>
    <t>a bridge located in Shanxi Province, China, with 568 m in length</t>
  </si>
  <si>
    <t>eco-indicator 99 (Goedkoop and Spriensma 2001)</t>
  </si>
  <si>
    <t>United States Geological Survey (USGS) data
&amp;
WRI 
&amp;
World Business Council for Sustainable Development
&amp;
GFN
&amp;
other authors</t>
  </si>
  <si>
    <t>U.S. construction industry:
"per $M output of each construction sector"</t>
  </si>
  <si>
    <t>not clearly stated, seams like gate-to-gate (maybe cradle-to-gate)</t>
  </si>
  <si>
    <t>not stated; seems like cradle-to-gate; use and disposal are excluded</t>
  </si>
  <si>
    <t>Ecoinvent+GaBi</t>
  </si>
  <si>
    <t>kg / m3</t>
  </si>
  <si>
    <t>A life cycle comparison of disposal and beneficial use of coal combustion products in Florida - Part 1: Methodology and inventory of materials, energy, and emissions</t>
  </si>
  <si>
    <t>The objective of this paper is to present a life cycle inventory considering two cases of CCP management, including the stages of coal mining and preparation, coal combustion, CCP disposal, and CCP ben- eficial use.</t>
  </si>
  <si>
    <t>'per 1000 kg of coal combusted.'</t>
  </si>
  <si>
    <t>Industrial Partners
&amp;
measured on-site
&amp;
ETH-ESU
&amp;
Buwal 250
&amp;
Franklin Associates
&amp;
U.S. EPA
&amp;
American Coal Ash Association (ACAA) 
&amp;
Electric Power Research Institute (EPRI)</t>
  </si>
  <si>
    <t>mass allocation 
&amp;
system expansion</t>
  </si>
  <si>
    <t>Energy performances and life cycle assessment of an Italian wind farm</t>
  </si>
  <si>
    <t>Ardente, Fulvio
Beccali, Marco
Cellura, Maurizio
Lo Brano, Valerio</t>
  </si>
  <si>
    <t>Towards regenerative and positive impact architecture: A comparison of two net zero energy buildings</t>
  </si>
  <si>
    <t>Energy and Buildings</t>
  </si>
  <si>
    <t>Energy Procedia</t>
  </si>
  <si>
    <t>Attia, Shady</t>
  </si>
  <si>
    <t>Applying life cycle thinking to reduce greenhouse gas emissions from road projects</t>
  </si>
  <si>
    <t>Barandica, Jesús M.
Fernández-Sánchez, Gonzalo
Berzosa, Álvaro
Delgado, Juan A.
Acosta, Francisco J.</t>
  </si>
  <si>
    <t>Environmental assessment of roads constructed with and without bottom ash from municipal solid waste incineration</t>
  </si>
  <si>
    <t>Birgisdóttir, H.
Pihl, K.A.
Bhander, G.
Hauschild, M.Z.
Christensen, T.H.</t>
  </si>
  <si>
    <t>The changing role of life cycle phases, subsystems and materials in the LCA of low energy buildings</t>
  </si>
  <si>
    <t>Blengini, Gian Andrea
Di Carlo, Tiziana</t>
  </si>
  <si>
    <t>Resources and waste management in Turin (Italy): the role of recycled aggregates in the sustainable supply mix</t>
  </si>
  <si>
    <t>Blengini, Gian Andrea
Garbarino, Elena</t>
  </si>
  <si>
    <t>Life cycle assessment of construction and demolition waste management</t>
  </si>
  <si>
    <t>Butera, Stefania
Christensen, Thomas H.
Astrup, Thomas F.</t>
  </si>
  <si>
    <t>Life Cycle Assessment of an Apartment Building: Comparison of an Attributional and Consequential Approach</t>
  </si>
  <si>
    <t>Buyle, Matthias
Braet, Johan
Audenaert, Amaryllis</t>
  </si>
  <si>
    <t>Improving the environmental performance of an earthwork project using cleaner production strategies</t>
  </si>
  <si>
    <t>Cabello Eras, Juan José
Gutiérrez, Alexis Sagastume
Capote, Danny Hernández
Hens, Luc
Vandecasteele, Carlo</t>
  </si>
  <si>
    <t>Carpenter, A.C.
Gardner, K.H.
Fopiano, J.
Benson, C.H.
Edil, T.B.</t>
  </si>
  <si>
    <t>Life cycle based risk assessment of recycled materials in roadway construction</t>
  </si>
  <si>
    <t>The embodied air pollutant emissions and water footprints of buildings in China: a quantification using disaggregated input–output life cycle inventory model</t>
  </si>
  <si>
    <t>Chang, Yuan
Huang, Zhiye
Ries, Robert J.
Masanet, Eric</t>
  </si>
  <si>
    <t>Environmental impacts of building materials and building services components for commercial buildings in Hong Kong</t>
  </si>
  <si>
    <t>Chau, C.K.
Yik, F.W.H.
Hui, W.K.
Liu, H.C.
Yu, H.K.</t>
  </si>
  <si>
    <t>Energy</t>
  </si>
  <si>
    <t>Solar Energy</t>
  </si>
  <si>
    <t>Life cycle assessment on using recycled materials for rehabilitating asphalt pavements</t>
  </si>
  <si>
    <t>Chiu, Chui-Te
Hsu, Tseng-Hsing
Yang, Wan-Fa</t>
  </si>
  <si>
    <t>Construction and demolition waste management – a holistic evaluation of environmental performance</t>
  </si>
  <si>
    <t>Dahlbo, Helena
Bachér, John
Lähtinen, Katja
Jouttijärvi, Timo
Suoheimo, Pirke
Mattila, Tuomas
Sironen, Susanna
Myllymaa, Tuuli
Saramäki, Kaarina</t>
  </si>
  <si>
    <t>Life cycle assessment of a ventilated facade with PCM in its air chamber</t>
  </si>
  <si>
    <t>de Gracia, Alvaro
Navarro, Lidia
Castell, Albert
Boer, Dieter
Cabeza, Luisa F.</t>
  </si>
  <si>
    <t>Exergetic life-cycle assessment (ELCA) for resource consumption evaluation in the built environment</t>
  </si>
  <si>
    <t>De Meester, B.
Dewulf, J.
Verbeke, S.
Janssens, A.
Van Langenhove, H.</t>
  </si>
  <si>
    <t>Design of a multipurpose “zero energy consumption” building according to European Directive 2010/31/EU: Life cycle assessment</t>
  </si>
  <si>
    <t>Desideri, Umberto
Arcioni, Livia
Leonardi, Daniela
Cesaretti, Luca
Perugini, Perla
Agabitini, Elena
Evangelisti, Nicola</t>
  </si>
  <si>
    <t>El Bachawati, Makram
Manneh, Rima
Belarbi, Rafik
Dandres, Thomas
Nassab, Carla
El Zakhem, Henri</t>
  </si>
  <si>
    <t>Cradle-to-gate Life Cycle Assessment of traditional gravel ballasted, white reflective, and vegetative roofs: A Lebanese case study</t>
  </si>
  <si>
    <t>Lebanon</t>
  </si>
  <si>
    <t>Sustainable management and supply of natural and recycled aggregates in a medium-size integrated plant</t>
  </si>
  <si>
    <t>Faleschini, Flora
Zanini, Mariano Angelo
Pellegrino, Carlo
Pasinato, Stefano</t>
  </si>
  <si>
    <t>Air versus terrestrial transport modalities: An energy and environmental comparison</t>
  </si>
  <si>
    <t>Federici, M.
Ulgiati, S.
Basosi, R.</t>
  </si>
  <si>
    <t>Eco-efficiency analysis of the life cycle of interior partition walls: a comparison of alternative solutions</t>
  </si>
  <si>
    <t>Ferrández-García, Antonio
Ibáñez-Forés, Valeria
Bovea, María D.</t>
  </si>
  <si>
    <t>Environmental Science &amp; Policy</t>
  </si>
  <si>
    <t>Journal of Building Engineering</t>
  </si>
  <si>
    <t>Procedia Engineering</t>
  </si>
  <si>
    <t>Economic and environmental savings of structural buildings refurbishment with demolition and reconstruction - A Portuguese benchmarking</t>
  </si>
  <si>
    <t>Ferreira, J.
Duarte Pinheiro, M.
de Brito, J.</t>
  </si>
  <si>
    <t>Evaluation of the steel slag incorporation as coarse aggregate for road construction: technical requirements and environmental impact assessment</t>
  </si>
  <si>
    <t>Ferreira, Victor J.
Sáez-De-Guinoa Vilaplana, Aitana
García-Armingol, Tatiana
Aranda-Usón, Alfonso
Lausín-González, Cristina
López-Sabirón, Ana M.
Ferreira, Germán</t>
  </si>
  <si>
    <t>Recycled airport pavements for achieving environmental sustainability: An Italian case study</t>
  </si>
  <si>
    <t>Giustozzi, Filippo
Toraldo, Emanuele
Crispino, Maurizio</t>
  </si>
  <si>
    <t>Assessing Environmental Impact of Green Buildings through LCA Methods: A comparison between Reinforced Concrete and Wood Structures in the European Context</t>
  </si>
  <si>
    <t>Guardigli, Luca
Monari, Filippo
Bragadin, Marco Alvise</t>
  </si>
  <si>
    <t>A life-cycle approach to environmental, mechanical, and durability properties of “green” concrete mixes with rice husk ash</t>
  </si>
  <si>
    <t>Gursel, Aysegul Petek
Maryman, Helena
Ostertag, Claudia</t>
  </si>
  <si>
    <t>Impact of Singapore's importers on life-cycle assessment of concrete</t>
  </si>
  <si>
    <t>An environmental evaluation of geopolymer based concrete production: reviewing current research trends</t>
  </si>
  <si>
    <t>Habert, G.
d’Espinose de Lacaillerie, J.B.
Roussel, N.</t>
  </si>
  <si>
    <t>Reducing environmental impact by increasing the strength of concrete: quantification of the improvement to concrete bridges</t>
  </si>
  <si>
    <t>Habert, Guillaume
Arribe, David
Dehove, Thibault
Espinasse, Ludovic
Le Roy, Robert</t>
  </si>
  <si>
    <t>When more is better – Comparative LCA of wall systems with stone</t>
  </si>
  <si>
    <t>Ioannidou, D.
Zerbi, S.
Habert, G.</t>
  </si>
  <si>
    <t>Comparison of embodied energies of Ordinary Portland Cement with Bayer-derived geopolymer products</t>
  </si>
  <si>
    <t>Jamieson, Evan
McLellan, Benjamin
van Riessen, Arie
Nikraz, Hamid</t>
  </si>
  <si>
    <t>Carbon footprint comparison of innovative techniques in the construction and maintenance of road infrastructure in The Netherlands</t>
  </si>
  <si>
    <t>Keijzer, E.E.
Leegwater, G.A.
de Vos-Effting, S.E.
de Wit, M.S.</t>
  </si>
  <si>
    <t>Chile</t>
  </si>
  <si>
    <t>Energy &amp; Environmental Science</t>
  </si>
  <si>
    <t>International Journal of Pavement Research and Technology</t>
  </si>
  <si>
    <t>Renewable Energy</t>
  </si>
  <si>
    <t>Relevance of simplifications in LCA of building components</t>
  </si>
  <si>
    <t>Kellenberger, Daniel
Althaus, Hans-Jörg</t>
  </si>
  <si>
    <t>Impact of alkalinity sources on the life-cycle energy efficiency of mineral carbonation technologies</t>
  </si>
  <si>
    <t>Kirchofer, Abby
Brandt, Adam
Krevor, Samuel
Prigiobbe, Valentina
Wilcox, Jennifer</t>
  </si>
  <si>
    <t>Ecologically based hybrid life cycle analysis of continuously reinforced concrete and hot-mix asphalt pavements</t>
  </si>
  <si>
    <t>Evaluation of photovoltaic-green and other roofing systems by means of ReCiPe and multiple life cycle–based environmental indicators</t>
  </si>
  <si>
    <t>Lamnatou, Chr.
Chemisana, D.</t>
  </si>
  <si>
    <t>Photovoltaic-green roofs: a life cycle assessment approach with emphasis on warm months of Mediterranean climate</t>
  </si>
  <si>
    <t>A new life cycle impact assessment approach for buildings</t>
  </si>
  <si>
    <t>Li, Zhuguo</t>
  </si>
  <si>
    <t>Life cycle assessment for concrete kerbs manufactured with recycled aggregates</t>
  </si>
  <si>
    <t>López Gayarre, Fernando
González Pérez, José
López-Colina Pérez, Carlos
Serrano López, Miguel
López Martínez, Alfonso</t>
  </si>
  <si>
    <t>A Study on Life Cycle Assessment of Energy Retrofit Strategies for Residential Buildings in Turkey</t>
  </si>
  <si>
    <t>Mangan, Suzi Dilara
Oral, Gül Koçlar</t>
  </si>
  <si>
    <t>Comparative environmental assessment of natural and recycled aggregate concrete</t>
  </si>
  <si>
    <t>Marinković, S.
Radonjanin, V.
Malešev, M.
Ignjatović, I.</t>
  </si>
  <si>
    <t>Geospatial characterization of building material stocks for the life cycle assessment of end-of-life scenarios at the urban scale</t>
  </si>
  <si>
    <t>Mastrucci, Alessio
Marvuglia, Antonino
Popovici, Emil
Leopold, Ulrich
Benetto, Enrico</t>
  </si>
  <si>
    <t>Quantifying the environmental burdens of the hot mix asphalt (HMA) pavements and the production of warm mix asphalt (WMA)</t>
  </si>
  <si>
    <t>Mazumder, Mithil
Sriraman, Vedaraman
Kim, Hyun Hwan
Lee, Soon-Jae</t>
  </si>
  <si>
    <t>Environmental impacts of natural and conventional building materials: a case study on earth plasters</t>
  </si>
  <si>
    <t>Melià, Paco
Ruggieri, Gianluca
Sabbadini, Sergio
Dotelli, Giovanni</t>
  </si>
  <si>
    <t>Planning strategies for promoting environmentally suitable pedestrian pavements in cities</t>
  </si>
  <si>
    <t>Mendoza, Joan-Manuel F.
Oliver-Solà, Jordi
Gabarrell, Xavier
Rieradevall, Joan
Josa, Alejandro</t>
  </si>
  <si>
    <t>Opportunities for environmentally improved asphalt recycling: the example of Sweden</t>
  </si>
  <si>
    <t>Miliutenko, Sofiia
Björklund, Anna
Carlsson, Annica</t>
  </si>
  <si>
    <t>Construction solutions for energy efficient single-family house based on its life cycle multi-criteria analysis: a case study</t>
  </si>
  <si>
    <t>Motuzienė, Violeta
Rogoža, Artur
Lapinskienė, Vilūnė
Vilutienė, Tatjana</t>
  </si>
  <si>
    <t>Life-cycle impacts of the use of industrial by-products in road and earth construction</t>
  </si>
  <si>
    <t>Mroueh, Ulla-Maija
Eskola, Paula
Laine-Ylijoki, Jutta</t>
  </si>
  <si>
    <t>Sustainability based on LCM of residential dwellings: A case study in Catalonia, Spain</t>
  </si>
  <si>
    <t>Ortiz, Oscar
Bonnet, Cécile
Bruno, Joan Carles
Castells, Francesc</t>
  </si>
  <si>
    <t>The environmental impact of the construction phase: An application to composite walls from a life cycle perspective</t>
  </si>
  <si>
    <t>Ortiz, Oscar
Pasqualino, Jorgelina C.
Díez, Gloria
Castells, Francesc</t>
  </si>
  <si>
    <t>Life cycle assessment model applied to housing in Chile</t>
  </si>
  <si>
    <t>Oyarzo, Juan
Peuportier, Bruno</t>
  </si>
  <si>
    <t>Life cycle assessment of a community hydroelectric power system in rural Thailand</t>
  </si>
  <si>
    <t>Thailand</t>
  </si>
  <si>
    <t>Pascale, Andrew
Urmee, Tania
Moore, Andrew</t>
  </si>
  <si>
    <t>Habitat International</t>
  </si>
  <si>
    <t>Procedia Economics and Finance</t>
  </si>
  <si>
    <t>Applied Energy</t>
  </si>
  <si>
    <t>Life cycle assessment applied to the comparative evaluation of single family houses in the French context</t>
  </si>
  <si>
    <t>Peuportier, B.L.P</t>
  </si>
  <si>
    <t>Environmental impacts of prefabricated school buildings in Catalonia</t>
  </si>
  <si>
    <t>Pons, Oriol
Wadel, Gerardo</t>
  </si>
  <si>
    <t>Embodied and Construction Phase Greenhouse Gas Emissions of a Low-energy Residential building</t>
  </si>
  <si>
    <t>Pöyry, Amalia
Säynäjoki, Antti
Heinonen, Jukka
Junnonen, Juha-Matti
Junnila, Seppo</t>
  </si>
  <si>
    <t>Evaluation of the environmental impact of experimental buildings with different constructive systems using Material Flow Analysis and Life Cycle Assessment</t>
  </si>
  <si>
    <t>Rincón, Lídia
Castell, Albert
Pérez, Gabriel
Solé, Cristian
Boer, Dieter
Cabeza, Luisa F.</t>
  </si>
  <si>
    <t>Environmental performance of recycled rubber as drainage layer in extensive green roofs. A comparative Life Cycle Assessment</t>
  </si>
  <si>
    <t>Rincón, Lídia
Coma, Julià
Pérez, Gabriel
Castell, Albert
Boer, Dieter
Cabeza, Luisa F.</t>
  </si>
  <si>
    <t>Carbon footprint of coarse aggregate in Brazilian construction</t>
  </si>
  <si>
    <t>Rossi, Efigênia
Sales, Almir</t>
  </si>
  <si>
    <t>Sensitivity of the LCA allocation procedure for BFS recycled into pavement structures</t>
  </si>
  <si>
    <t>Sayagh, Shahinaz
Ventura, Anne
Hoang, Tung
François, Denis
Jullien, Agnès</t>
  </si>
  <si>
    <t>Scheuer, Chris
Keoleian, Gregory A
Reppe, Peter</t>
  </si>
  <si>
    <t>Life cycle energy and environmental performance of a new university building: modeling challenges and design implications</t>
  </si>
  <si>
    <t>Environmental evaluation of concrete made from recycled concrete aggregate implementing life cycle assessment</t>
  </si>
  <si>
    <t>Serres, Nicolas
Braymand, Sandrine
Feugeas, Françoise</t>
  </si>
  <si>
    <t>A detailed analysis of the embodied energy and carbon emissions of steel-construction residential buildings in China</t>
  </si>
  <si>
    <t>Su, Xing
Zhang, Xu</t>
  </si>
  <si>
    <t>Life cycle energy balance of residential buildings: A case study on hypothetical building models in Finland</t>
  </si>
  <si>
    <t>Finland</t>
  </si>
  <si>
    <t>Takano, Atsushi
Pal, Sudip Kumar
Kuittinen, Matti
Alanne, Kari</t>
  </si>
  <si>
    <t>The effect of material selection on life cycle energy balance: A case study on a hypothetical building model in Finland</t>
  </si>
  <si>
    <t>Takano, Atsushi
Pal, Sudip Kumar
Kuittinen, Matti
Alanne, Kari
Hughes, Mark
Winter, Stefan</t>
  </si>
  <si>
    <t>Multicriteria optimization of natural and recycled aggregate concrete for structural use</t>
  </si>
  <si>
    <t>Tošić, Nikola
Marinković, Snežana
Dašić, Tina
Stanić, Miloš</t>
  </si>
  <si>
    <t>The goal of this study is to compare the production of green concretes with that of conventional concrete, taking into account the environmental point of view.</t>
  </si>
  <si>
    <t>Environmental comparison of two alternative road pavement rehabilitation techniques: cold-in-place-recycling versus traditional reconstruction</t>
  </si>
  <si>
    <t>Turk, Janez
Mauko Pranjić, Alenka
Mladenovič, Ana
Cotič, Zvonko
Jurjavčič, Primož</t>
  </si>
  <si>
    <t>Comparative Life Cycle Analysis of Materials in Wastewater Piping Systems</t>
  </si>
  <si>
    <t>Vahidi, Ehsan
Jin, Enze
Das, Maithilee
Singh, Mansukh
Zhao, Fu</t>
  </si>
  <si>
    <t>A service life based global warming potential for high-volume fly ash concrete exposed to carbonation</t>
  </si>
  <si>
    <t>Van den Heede, Philip
De Belie, Nele</t>
  </si>
  <si>
    <t>Life cycle assessment of the end-of-life phase of a residential building</t>
  </si>
  <si>
    <t>Vitale, Pierluca
Arena, Noemi
Di Gregorio, Fabrizio
Arena, Umberto</t>
  </si>
  <si>
    <t>Life-cycle assessment of airport pavement design alternatives for energy and environmental impacts</t>
  </si>
  <si>
    <t>Wang, Hao
Thakkar, Chinmay
Chen, Xiaodan
Murrel, Scott</t>
  </si>
  <si>
    <t>Effects of aggregate reuse for overpass reconstruction-extension projects on energy conservation and greenhouse gas reduction: A case study from Shanghai City</t>
  </si>
  <si>
    <t>Wang, Shoubing
Xu, Ziran
Zhang, Weiqian
Fan, Zhengqiu
Feng, Shuqing
Liu, Yan</t>
  </si>
  <si>
    <t>Estimation of carbon dioxide emission in highway construction: a case study in southwest region of China</t>
  </si>
  <si>
    <t>Wang, Xianwei
Duan, Zhengyu
Wu, Lingsheng
Yang, Dongyuan</t>
  </si>
  <si>
    <t>Environmental impact assessment on the construction and operation of municipal solid waste sanitary landfills in developing countries: China case study</t>
  </si>
  <si>
    <t>Yang, Na
Damgaard, Anders
Lü, Fan
Shao, Li-Ming
Brogaard, Line Kai-Sørensen
He, Pin-Jing</t>
  </si>
  <si>
    <t>Life cycle assessment of building materials: Comparative analysis of energy and environmental impacts and evaluation of the eco-efficiency improvement potential</t>
  </si>
  <si>
    <t>Zabalza Bribián, Ignacio
Valero Capilla, Antonio
Aranda Usón, Alfonso</t>
  </si>
  <si>
    <t>Life cycle assessment of cost-optimized buttress earth-retaining walls: A parametric study</t>
  </si>
  <si>
    <t>Zastrow, Phillip
Molina-Moreno, Francisca
García-Segura, Tatiana
Martí, José V.
Yepes, Víctor</t>
  </si>
  <si>
    <t>Carbon footprint analysis of two different types of hydropower schemes: comparing earth-rockfill dams and concrete gravity dams using hybrid life cycle assessment</t>
  </si>
  <si>
    <t>Zhang, Sherong
Pang, Bohui
Zhang, Zongliang</t>
  </si>
  <si>
    <t>Assessment of embodied carbon emissions for building construction in China: Comparative case studies using alternative methods</t>
  </si>
  <si>
    <t>Zhang, Xiaocun
Wang, Fenglai</t>
  </si>
  <si>
    <t>Clean Technologies and Environmental Policy</t>
  </si>
  <si>
    <t>Life cycle sustainability assessment (LCSA) for selection of sewer pipe materials</t>
  </si>
  <si>
    <t>Akhtar, Sharmin
Reza, Bahareh
Hewage, Kasun
Shahriar, Anjuman
Zargar, Amin
Sadiq, Rehan</t>
  </si>
  <si>
    <t>Land use impact assessment in the construction sector: an analysis of LCIA models and case study application</t>
  </si>
  <si>
    <t>Allacker, Karen
Souza, Danielle Maia de
Sala, Serenella</t>
  </si>
  <si>
    <t>Atmaca, Adem</t>
  </si>
  <si>
    <t>Life cycle assessment and cost analysis of residential buildings in south east of Turkey: part 1---review and methodology</t>
  </si>
  <si>
    <t>Turkey</t>
  </si>
  <si>
    <t>Energy-saving policies and low-energy residential buildings: an LCA case study to support decision makers in Piedmont (Italy)</t>
  </si>
  <si>
    <t>The environmental impact of container pipeline transport compared to road transport. Case study in the Antwerp Harbor region and some general extrapolations</t>
  </si>
  <si>
    <t>Braet, Johan</t>
  </si>
  <si>
    <t>Life cycle assessment as a decision support tool for bridge procurement: environmental impact comparison among five bridge designs</t>
  </si>
  <si>
    <t>Theoretical Foundations of Chemical Engineering</t>
  </si>
  <si>
    <t>Reduction of primary energy and CO2 emissions through selection and environmental evaluation of building materials</t>
  </si>
  <si>
    <t>Eštoková, A
Porhinčák, M</t>
  </si>
  <si>
    <t>Du, Guangli
Safi, Mohammed
Pettersson, Lars
Karoumi, Raid</t>
  </si>
  <si>
    <t>Environmental analysis of two building material alternatives in structures with the aim of sustainable construction</t>
  </si>
  <si>
    <t>Estokova, Adriana
Porhincak, Milan</t>
  </si>
  <si>
    <t>Environmental Assessment of Freight Transportation in the U.S. (11 pp)</t>
  </si>
  <si>
    <t>Horvath, Arpad</t>
  </si>
  <si>
    <t>Road LCA: the dedicated ECORCE tool and database</t>
  </si>
  <si>
    <t>Jullien, Agnès
Dauvergne, Michel
Proust, Chantal</t>
  </si>
  <si>
    <t>Comparative LCA of recycled and conventional concrete for structural applications</t>
  </si>
  <si>
    <t>Knoeri, Christof
Sanyé-Mengual, Esther
Althaus, Hans-Joerg</t>
  </si>
  <si>
    <t>Sustainability evaluation framework for building cooling systems: a comparative study of snow storage and conventional chiller systems</t>
  </si>
  <si>
    <t>Kumar, Venkatesh
Hewage, Kasun
Haider, Husnain
Sadiq, Rehan</t>
  </si>
  <si>
    <t>Comparison of generic and product-specific Life Cycle Assessment databases: application to construction materials used in building LCA studies</t>
  </si>
  <si>
    <t>Lasvaux, Sébastien
Habert, Guillaume
Peuportier, Bruno
Chevalier, Jacques</t>
  </si>
  <si>
    <t>Life cycle assessment of construction and demolition waste management systems: a Spanish case study</t>
  </si>
  <si>
    <t>Mercante, Irma T
Bovea, María D
Ibáñez-Forés, Valeria
Arena, Alejandro P</t>
  </si>
  <si>
    <t>Life cycle environmental impact of different replacement options for a typical old flat roof</t>
  </si>
  <si>
    <t>Napolano, Loredana
Menna, Costantino
Asprone, Domenico
Prota, Andrea
Manfredi, Gaetano</t>
  </si>
  <si>
    <t>Integrated Structural Analysis and Life Cycle Assessment of Equivalent Trench-Pipe Systems for Sewerage</t>
  </si>
  <si>
    <t>Petit-Boix, Anna
Roigé, Núria
de la Fuente, Albert
Pujadas, Pablo
Gabarrell, Xavier
Rieradevall, Joan
Josa, Alejandro</t>
  </si>
  <si>
    <t>Ecology profile of the german high-speed rail passenger transport system, ICE</t>
  </si>
  <si>
    <t>Rozycki, Christian von
Koeser, Heinz
Schwarz, Henning</t>
  </si>
  <si>
    <t>Schuurmans, Agnes
Rouwette, Rob
Vonk, Nico
Broers, Joris
Rijnsburger, Hester
Pietersen, Hans</t>
  </si>
  <si>
    <t>LCA of Finer Sand in Concrete (5 pp)</t>
  </si>
  <si>
    <t>Analysis of material solutions for design of construction details of foundation, wall and floor for energy and environmental impacts</t>
  </si>
  <si>
    <t>Sedláková, Anna
Vilčeková, Silvia
Krídlová Burdová, Eva</t>
  </si>
  <si>
    <t>Life cycle assessment of mini-hydropower plants in Thailand</t>
  </si>
  <si>
    <t>Suwanit, Wannarat
Gheewala, Shabbir H.</t>
  </si>
  <si>
    <t>Life cycle assessment and life cycle costing of road infrastructure in residential neighbourhoods</t>
  </si>
  <si>
    <t>Trigaux, Damien
Wijnants, Lien
De Troyer, Frank
Allacker, Karen</t>
  </si>
  <si>
    <t>CML 01
&amp;
new ADP indicator</t>
  </si>
  <si>
    <t xml:space="preserve">1 m3 of concrete in the Ile-de-France region </t>
  </si>
  <si>
    <t>not stated; seems like cradle-to-gate</t>
  </si>
  <si>
    <t>The aim of this paper is to evaluate and compare four typical sewer pipe materials [i.e., concrete, polyvinyl chloride (PVC), vitrified clay, and ductile iron] and identify sustainable solutions.</t>
  </si>
  <si>
    <t>The functional unit had been defined as the 3 m length and 400 mm diameter of sewer pipes of different materials with the same design life of 100 years</t>
  </si>
  <si>
    <t>Eco- indicator 99 assessment method</t>
  </si>
  <si>
    <t>SimaPro 7.1
&amp;
emergy database (Odum 1996)</t>
  </si>
  <si>
    <t>This paper compares several operational land use impact assessment models,which are subsequently implemented in an LCA case study comparing a building constructed using timber frame versus a solid structure.</t>
  </si>
  <si>
    <t>Ecoinvent database (version 2.2) (Ecoinvent 2012)
&amp;
surveys
&amp;
other authors</t>
  </si>
  <si>
    <t>1m2 floor area, heated to an average daily temperature of 18 °C, per year 
(house has a floor area of 150 m2 and a heated (protected) volume of 370 m3. The life span of the dwelling is assumed to be 60 years)</t>
  </si>
  <si>
    <t>Eco-Indicator 99 (EI99) (Goedkoop and Spriensma 2000)
ReCiPe (Goedkoop et al. 2012)
IMPACT 2002+ (Humbert et al. 2012; Jolliet et al. 2003)
&amp;
further on land use:
ReCiPe midpoint (Goedkoop et al. 2012)
EPS2000 (Steen 1999)
EI99 endpoint (Goedkoop and Spriensma 2000)
ReCiPe endpoint (De Schryver and Goedkoop 2009) 
Swiss Ecoscarcity (Frischknecht et al. 2008)</t>
  </si>
  <si>
    <t>Inventory of Carbon and Energy (ICE) Version 2.0 (Bastos et al. 2014)
&amp;
actual energy consumption records obtained from utility bills and questionnaires</t>
  </si>
  <si>
    <t>Life-cycle assessment and cost analysis of residential buildings
in South East of Turkey: part 2—a case study</t>
  </si>
  <si>
    <t>This paper is the second part of the study on the life-cycle energy (LCEA), emissions (LCCO2A) and cost (LCCA) assessment of two residential buildings constructed in urban and rural areas.</t>
  </si>
  <si>
    <t>building construction, operation and demolition phases</t>
  </si>
  <si>
    <t>two actual buildings located in Gaziantep, Turkey
per square meter over a 50-year lifespan</t>
  </si>
  <si>
    <t>In order to quantify the energy and material inputs and environmental releases associated with each stage of construction sector, life cycle energy, greenhouse gas emissions, and cost analysis of contemporary residential buildings have been conducted within two parts.</t>
  </si>
  <si>
    <t>1 m2/year of a building (250m2 (of which 192m2 are heated) over 70 years)</t>
  </si>
  <si>
    <t>measured on-site
&amp;
other authors
&amp;
econinvent 2 database</t>
  </si>
  <si>
    <t>A low-energy family house recently built in Northern Italy was selected by Regione Piemonte as an outstanding example of resource efficient building. ... As the building was claimed to be sustainable on the basis of its outstanding energy-saving performance, an ex post life cycle assessment (LCA) was set up to understand whether, and to what extent, the positive judgement could be confirmed in a life cycle perspective.</t>
  </si>
  <si>
    <t>EOL: system expansion</t>
  </si>
  <si>
    <t>IPCC (1996) 
&amp;
Frischknecht and Jungbluth (2007b)</t>
  </si>
  <si>
    <t>This paper compares the environmental impact of two alternative container transportation methods over a 25-year time period for a specific trajectory and transport volume in the Antwerp harbor.</t>
  </si>
  <si>
    <t>The functional unit used in this paper is a complete transport concept able to transport two million containers per year (one million in each direction) in the Antwerp harbor from the right bank to the left and vice versa over a time period of 25 years.</t>
  </si>
  <si>
    <t>Ecolizer method (2009)
for sensitivity analysis:
ReCiPe Endpoint (H) V1.03/Europe ReCiPe H/H method 
&amp; 
IPCC 2007 GWP 100a V1.02 method</t>
  </si>
  <si>
    <t>expert interviews
for sensitivity analysis:
Ecoinvent 2.2</t>
  </si>
  <si>
    <t>ReCiPe (H)</t>
  </si>
  <si>
    <t>This paper comprehensively analyzed 20 types of environmental indicators among five proposed bridge designs, which remedies the absence of full spectrum of environmental indicators in the current state of the art.</t>
  </si>
  <si>
    <t>The whole bridge of the same span length and width is chosen as the functional unit under the identical design criterion of 100-year life span. (The bridge is 320 m long and 22.5 m wide, carrying two traffic lanes in each direction.)</t>
  </si>
  <si>
    <t>“cutoff” method (Ekvall and Tillman 1997; Nicholson et al. 2009)</t>
  </si>
  <si>
    <t>EcoInvent v2.2</t>
  </si>
  <si>
    <t>Slovakia</t>
  </si>
  <si>
    <t>In this paper, the environmental assessment of building materials in selected building in the Slovak Republic using life cycle assessment data is presented.</t>
  </si>
  <si>
    <t>A conventional single family house in Slovakia. The selected bungalow-styled building consisted of 4 habitable rooms, kitchen, larder, bathroom, toilet and boiler room. The build up area of 178m2 also included the area of gutter sidewalk and porch, useful area was 129.9 m2 and floorage (living area) equalled 84.3 m2. The total building volume was 725m3</t>
  </si>
  <si>
    <t>IBO (Institut fur Baubiologie und Bauökologie—Austrian Institute for Building Biology and Building Ecology) database</t>
  </si>
  <si>
    <t>not clearly stated; GWP: cradle-to-gate; others "production and use phase" -&gt; confusing
also the sentence "The values of GWP do not include the data from the last phase of the life cycle of the material (cradle to gate boundaries)" does not make sense, since cradle to gate excludes not only the last phase of the life cycle</t>
  </si>
  <si>
    <t>The objective of this case study was to analyze the embodied energy and embodied CO2 and SO2 emissions in two material alternatives of the typical masonry family- house built by conventional construction techniques with the aim of the selecting the better one with potentially reduced environmental impact.</t>
  </si>
  <si>
    <t>Two slovakian houses, (176m2 floor area; 855m3 cubature ...)</t>
  </si>
  <si>
    <t>IBO (2008)</t>
  </si>
  <si>
    <t>This study compares CO2, NOx, PM10, and CO emissions from road, rail, and air transportation of goods in the conti- nental U.S.</t>
  </si>
  <si>
    <t>It includes the manufacturing, use, maintenance, and end-of-life (EOL) of vehicles, the construction, operation, main- tenance, and EOL of transportation infrastructure, as well as oil exploration, fuel refining, and fuel distribution. (cradle-to-grave)</t>
  </si>
  <si>
    <t>ton-mile of freight activity</t>
  </si>
  <si>
    <t xml:space="preserve">mass allocation 
&amp;
mass acc. to esstimation </t>
  </si>
  <si>
    <t>BTS (2004)
&amp;
other authors</t>
  </si>
  <si>
    <t>This paper presents a specific tool called “ECORCE” (French acronym for ECO-comparator applied to Road Construction andMaintenance) dedicated to the road pavement life cycle assessment. This tool aims to reduce the consumption of materials, water, and energy by means of evaluating impacts.</t>
  </si>
  <si>
    <t>ELCD (2003)
&amp;
IISI, UNPG, Eurobitume, ECORCE2, UPC, ATHIL
&amp;
other authors</t>
  </si>
  <si>
    <t>The functional unit is then a highway section of 1-km length, 2 lanes, and 30-year service life, with a maximum capacity of 2000 trucks</t>
  </si>
  <si>
    <t>We analysed the life cycle impacts of 12 recycled concrete (RC) mixtures with two different cement types and compared it with corresponding conventional concretes (CC) for three structural applications.</t>
  </si>
  <si>
    <t>system expansion and substitution</t>
  </si>
  <si>
    <t>1m3 of concrete of a specific strength class at the construction site</t>
  </si>
  <si>
    <t>ecoinvent database version 2.2</t>
  </si>
  <si>
    <t>ecoindicator 99
&amp;
Ecological Scarcity 2006</t>
  </si>
  <si>
    <t>In this study, a framework based on the life cycle assessment approach is developed to assess the environmental impacts of different building cooling systems, namely conventional snow storage system, watertight snow storage system, high-density snow storage system, and the conventional chiller cooling system.</t>
  </si>
  <si>
    <t>3.0</t>
  </si>
  <si>
    <t>TRACI 2.1</t>
  </si>
  <si>
    <t>cradle-to-grave; (without repair, retrofit and replacement)</t>
  </si>
  <si>
    <t>Industrial Partners
&amp;
Ecoinvent v3.0</t>
  </si>
  <si>
    <t xml:space="preserve">whole cooling system, meeting 230 MWh/yr of energy demand </t>
  </si>
  <si>
    <t>France
Switzerland</t>
  </si>
  <si>
    <t>this paper assesses numerical and methodological differences of two existing LCA databases for building LCAs: the ecoinvent generic database and one Environmental Product Declaration (EPD) database developed in France.</t>
  </si>
  <si>
    <t>ecoinvent version 2.01 database
&amp;
EPD database</t>
  </si>
  <si>
    <t>2.01</t>
  </si>
  <si>
    <t>mass allocation
&amp;
economic value allocation</t>
  </si>
  <si>
    <t>1 kg of different building materials ("1 kg for each construction product")</t>
  </si>
  <si>
    <t>Life Cycle Impact Assessment (LCIA) indicators of the EN 15804 standard</t>
  </si>
  <si>
    <t>The aim of this study is to develop and analyse a life cycle inventory of construction and demolition waste (C&amp;DW) management systems based on primary data collected directly from Spanish enterprises involved in the life cycle of this type of waste material.</t>
  </si>
  <si>
    <t>1 t of C&amp;DW as the functional unit</t>
  </si>
  <si>
    <t>all stages from the temporary storage of waste in containers to its recovery or disposal on landfills (on-site storage - collection and transport - sorting and transfer plant - recovery - final disposal)</t>
  </si>
  <si>
    <t>Industrial Partners
&amp;
Ecoinvent (SCLCI 2008) database to configure the inventory of minority materials, fuel and electricity</t>
  </si>
  <si>
    <t>CML (Guinée 2002)</t>
  </si>
  <si>
    <t>The factors for calculated indicators are given in Guinée et al. (2002)  --&gt;CML</t>
  </si>
  <si>
    <t>The present study assesses the life cycle environmental impacts of differ- ent replacement options for a typical old flat roof belonging to amasonry building. Three different structural options are con- sidered: reinforced concrete joists and hollow clay blocks, steel joists and concrete slab, and reinforced concrete joists and polystyrene panels.</t>
  </si>
  <si>
    <t>IMPACT2002+ methodology</t>
  </si>
  <si>
    <t>The net flat roofing area to be replaced, which repre- sents the functional unit of the LCAanalysis, equals 25.00m2 (5×5 m), whereas the thickness of the externalmasonry walls is equal to 40 cm. The assumed live loads are equal to 1.00 kN/m2 and a lifetime of 60 years for the new flat roofing systems is considered.</t>
  </si>
  <si>
    <t>Ecoinvent 3
&amp;
IDEMAT2001
&amp;
ELCD 2006
&amp;
Industrial Partners
&amp;
BULWAL250</t>
  </si>
  <si>
    <t>recycling:
open loop, closed loop and cutoff</t>
  </si>
  <si>
    <t>The main goal of this paper is to define optimal sewer designs that comply with structural requirements and minimize the environmental impacts by combining LCA and mechanical parameters.</t>
  </si>
  <si>
    <t>1 linear metre of sewer pipe with different alternative materials (concrete, PVC or HDPE) and standard diameters of 300, 500 and 1000 mm, which serve to transport 0.072, 0.282 and 1.791m3/s of wastewater, respectively.</t>
  </si>
  <si>
    <t>pipe production, installation (excluded: operation and maintenance, demolition, EOL)</t>
  </si>
  <si>
    <t>CML IA method (Guinée et al. 2002) 
&amp;
Cumulative Energy Demand V1.08 (CED) (Hischier et al. 2010)</t>
  </si>
  <si>
    <t>ecoinvent database 2.2 (Swiss Centre for Life Cycle Inventories 2009)
&amp;
data on the diesel consumption: MetaBase ITeC 2010</t>
  </si>
  <si>
    <t>A screening LCA, called ecology profile, of the German high-speed passenger train system, the ICE, is presented here, based on a study con- ducted by the University of Halle and the Deutsche Bahn AG, the major German rail operator.</t>
  </si>
  <si>
    <t>100 person kilometres</t>
  </si>
  <si>
    <t>Industrial Partners
&amp;
GEMIS 4.0
&amp;
other authors</t>
  </si>
  <si>
    <t>allocation based on train kilometres</t>
  </si>
  <si>
    <t>not clearly stated:
GEMIS 4.0 CED factors;
MIPS indicator defined by the Wuppertal Institute;
CO 2 emissions acc. to GEMIS 4.0</t>
  </si>
  <si>
    <t>not clearly stated; seems cradle-to-maintenance/retrofitting</t>
  </si>
  <si>
    <t>Goal of the LCA was to identify the environmental benefits and drawbacks of the application of finer sand in concrete, and to advice on the stimulation of the use of sand in concrete.</t>
  </si>
  <si>
    <t>'The production of 1 m3 ready-mixed concrete B25 expo- sure class 2, consistency class 3, in applications where no additional constructive measures (like reinforcement) are required'.</t>
  </si>
  <si>
    <t>Industrial Partners
&amp;
DIK LCA- database
&amp;
IVAM 4 database
&amp;
other authors</t>
  </si>
  <si>
    <t>CML (Guinée et al. (2002))
&amp;
experimental characterisation method for land use Lindeijer et al. (2002)</t>
  </si>
  <si>
    <t>The goal of this paper is to assess alternative material solutions for the construction details of foundation, wall and floor to support decisions at the design phase of a project.</t>
  </si>
  <si>
    <t>IBO ecological onstruction component catalogue (Waltjen 2008)</t>
  </si>
  <si>
    <t>m2 of (Sockel-detail) 
socket (foundation, wall, floor)</t>
  </si>
  <si>
    <t>not stated;
OI3-indicator (2011) (consists of Embodied Energy, CO2 and SO2)</t>
  </si>
  <si>
    <t>CML 2001 baseline methodology</t>
  </si>
  <si>
    <t>1 MWh electricity produced from mini- hydropower plants in Thailand, and the life span of the power plants is 50 years</t>
  </si>
  <si>
    <t>The goal of this research is to evaluate the environmental impacts of mini-hydropower plants in Thailand via LCA perspective and to provide the environmental information from cradle to gate of electricity production from existing mini-hydropower plants in Thailand.</t>
  </si>
  <si>
    <t>preparation before construction, construction of mini-hydropower plant, transport, operation and maintenance, and demolition</t>
  </si>
  <si>
    <t>measured on-site
&amp;
Industrial Partners
&amp;
ecoinvent database</t>
  </si>
  <si>
    <t>The objective of this paper is to assess the life cycle financial and environmental impact of road infrastructure in residential neighbourhoods and to analyse the relative contribution of road infrastructure in the total impact of neighbourhoods.</t>
  </si>
  <si>
    <t>per metre road of the entire road section (including one or more lanes); lifespan of 60 years</t>
  </si>
  <si>
    <t>Ecoinvent database (version 2.2)
&amp;
other authors</t>
  </si>
  <si>
    <t>not clearly stated; according to Allacker et al. 2013 and Gschösser (2011)</t>
  </si>
  <si>
    <t>per square metre of floor area of the buildings</t>
  </si>
  <si>
    <t>This paper aims to evaluate the energy and the environmental performances of the electricity production of a wind farm.</t>
  </si>
  <si>
    <t>production of 1kWh of electricity</t>
  </si>
  <si>
    <t>Industrial Partners
&amp;
other authors
&amp;
ANPA Italian environmental database 2.0
&amp;
Boustead Consulting environmental database 4.4
&amp;
GEMIS 4.3</t>
  </si>
  <si>
    <t>In this paper, we compare two state of the art buildings to address the critical steps in the transition from the negative impact reduction architecture to the positive impact regenerative architecture, utilizing life cycle analysis.</t>
  </si>
  <si>
    <t>Belgium
USA</t>
  </si>
  <si>
    <t>other authors
&amp;
Industrial Partners
&amp;
simulation models
&amp;
ecoinvent database
&amp;
University de Lausanne</t>
  </si>
  <si>
    <t>1 m2/year</t>
  </si>
  <si>
    <t>The primary objective of this study is to achieve a first integral approach to the GHG emissions linked directly and indirectly to road construction, using current available technology and information.</t>
  </si>
  <si>
    <t>Materials extraction, materials production, road construction, maintenance (use,repair)
(cradle-to-grave without dismantling)</t>
  </si>
  <si>
    <t>1 km of built road</t>
  </si>
  <si>
    <t>other authors
&amp;
IHOBE 2010</t>
  </si>
  <si>
    <t>not clearly stated; "using the calculation rules proposed by the national regulatory body (CNE, 2009)"</t>
  </si>
  <si>
    <t>not stated; "The allocation of emissions to those responsible for pollution is also considered but exceeds the scope of the present paper."</t>
  </si>
  <si>
    <t>1 km asphalted road in Denmark with a service life of 100 years</t>
  </si>
  <si>
    <t>Denmark</t>
  </si>
  <si>
    <t>The goal of the life cycle assessment is to evaluate the resource consumption and environmental impacts related to the different stages in the life cycle of a traditional secondary road in Denmark.</t>
  </si>
  <si>
    <t>design, construction and operation and maintenance (cradle-to-grave without demolition)</t>
  </si>
  <si>
    <t>Industrial Partners
&amp;
other authors
&amp;
Environmental Design of Industrial Products database
&amp;
Energi E2</t>
  </si>
  <si>
    <t>Adetailed Life Cycle Assessment (LCA) has been conducted on a lowenergy family house recently built in Northern Italy.</t>
  </si>
  <si>
    <t>1m2/year</t>
  </si>
  <si>
    <t>Ecoinvent 2 database
&amp;
Industrial Partners
&amp;
measured on-site
&amp;
other authors</t>
  </si>
  <si>
    <t>EOL: avoided products approach</t>
  </si>
  <si>
    <t>Mid-point indicators: GER, NRE, GWPf, GWPb, OD, AP, EP, POCP
&amp;
Eco-Indicator 99 (EI99H/A), Ecological Footprint (EF) and Environmental Priority Strategy (EPS2000)</t>
  </si>
  <si>
    <t>The paper presents a research aimed at analysing energy and environmental implications of the C&amp;DWrecycling chain in the administrative territory of Provincia di Torino in Northern Italy, with 2.25 million inhabitants and yearly generation of 1.8 million tons of C&amp;DW.</t>
  </si>
  <si>
    <t>all life cycle stages prior to the product becoming waste have been excluded
(Avoided landfill - Collection - Recycling - Delivery of RA - Avoided products (steel and NA)</t>
  </si>
  <si>
    <t>1 t of collected and recycled C&amp;DW</t>
  </si>
  <si>
    <t>database of Provincia di Torino
&amp;
Industrial Partners
&amp;
Ecoinvent 2.0</t>
  </si>
  <si>
    <t>IMPACT 2002+
&amp;
further for land-use:
ECO-INDICATOR 99</t>
  </si>
  <si>
    <t>The functional unit was management of 1 Mg mineral, source separated C&amp;DW, which is either utilised in road construction as a substitute for natural aggregates, or landfilled</t>
  </si>
  <si>
    <t>The overall aim of this paper is to quantify, based on LCA, the potential environmental impacts associated with C&amp;DW utilisation in road construction.</t>
  </si>
  <si>
    <t>The system boundaries extended from the construction, demolition or renovation site (however excluding the demolition phase itself) until final disposal of all residues. (From after demolition to EOL ((a)utilisation in road construction or (b)landfill))</t>
  </si>
  <si>
    <t>ILCD-recommended midpoint categories (Hauschild et al., 2013):
IPCC 2007
WMO 1999
Humbert
Dreicer
ReCiPe midpoint
Accumulated Exceedance
CML
USEtox</t>
  </si>
  <si>
    <t>This study conducts a screening LCA of an apartment located in Buggenhout, Belgium, according to the two main approaches, respectively attributional (ALCA) and consequential (CLCA). The aim is to identify and compare possible differences in results between the two approaches when applied on the same case.</t>
  </si>
  <si>
    <t>ReCiPe Endpoint method egalitarian version (1.08)</t>
  </si>
  <si>
    <t>Ecoinvent 3</t>
  </si>
  <si>
    <t>whole building
&amp;
thermal performance of the materials - a U-value of 0,3 W/m²K is the reference</t>
  </si>
  <si>
    <t>allocation based on caloric value
&amp;
system expansion</t>
  </si>
  <si>
    <t>This study presents the life cycle assessment of an earthwork project.</t>
  </si>
  <si>
    <t>km2</t>
  </si>
  <si>
    <t>Simapro 7.3 and the ecoinvent database</t>
  </si>
  <si>
    <t>CML method</t>
  </si>
  <si>
    <t>the overall scope of the study includes the earthwork stage of the construction process: preconstruction, construction and exploitation</t>
  </si>
  <si>
    <t>This paper uses a life-cycle assessment (LCA) framework to characterize comparative environmental impacts from the use of virgin
aggregate and recycled materials in roadway construction.</t>
  </si>
  <si>
    <t>1km2 of excavated terrace filled up with materials with sufficient resistance</t>
  </si>
  <si>
    <t>The scenario used in this paper is based on portions of a field scale project, constructed along a highway in Lodi, Wisconsin (USA), that used multiple industrial by-prod- ucts for roadway stabilization
-&gt; roadway with length of 305m</t>
  </si>
  <si>
    <t>measured on-site
&amp;
PaLATE (is based on the US Depart- ment of Commerce census data)
&amp;
US EPA, 2003</t>
  </si>
  <si>
    <t>not clearly stated; but seems like cradle to grave</t>
  </si>
  <si>
    <t>This study employed a disaggregated IeO LCI model that divides the construction sector in China into thirteen building sub-sectors to fill the national inventory data gap in building embodied emissions and water footprints.</t>
  </si>
  <si>
    <t>IPCC Fourth Assessment Report (AR4)</t>
  </si>
  <si>
    <t>1-m2 building in China</t>
  </si>
  <si>
    <t>sector allocation: based on econimic value</t>
  </si>
  <si>
    <t>This paper intends to bridge this gap by reporting overall lifecycle environmental profiles of buildings as well as the ranking orders of environmental impacts of all the building materials and building services materials and components for commercial buildings.</t>
  </si>
  <si>
    <t>cradle-to-site + construction on-site (excluded: use phase, demolition and EOL)</t>
  </si>
  <si>
    <t>IVAM
&amp;
IDEMAT 2001
&amp;
ETH-ESU 96
&amp;
BUWAL 250
&amp;
Franklin US LCI
&amp;
industry data accessible through SimaPro</t>
  </si>
  <si>
    <t>per square meter construction floor area (CFA) for the five differ- ent types of buildings</t>
  </si>
  <si>
    <t>This research performed life cycle inventory with proposed recycled material formulas and service records and incorporated the database provided by Eco-indicator 99 to study the eco-burden presented by using recycled materials to rehabilitate asphalt pavements. Three recycled materials (recycled HMA, AR, and Glassphalt) and the traditional hot mix asphalt are compared.</t>
  </si>
  <si>
    <t>pavement maintenance (consists mainly of production in a hot mix plant and work on site)</t>
  </si>
  <si>
    <t>other authors
&amp;
database provided in Eco-indicator 99</t>
  </si>
  <si>
    <t>300 t of asphalt pavement material which milling/overlaying one lane-kilometer of asphalt pavement</t>
  </si>
  <si>
    <t>The aim of the study was to assess the performance of the common Finnish C&amp;DW management system against this target, thus identifying the environmental and eco- nomic impacts of the system and the effects brought about by changes in the waste composition.</t>
  </si>
  <si>
    <t>other authors
&amp;
Industrial Partners</t>
  </si>
  <si>
    <t>other authors
&amp;
Industrial Partners
&amp;
Ecoinvent V.2.2 and V.3</t>
  </si>
  <si>
    <t>2.2 and 3.0</t>
  </si>
  <si>
    <t>one tonne of C&amp;DW generated</t>
  </si>
  <si>
    <t>C&amp;D waste generation, source seperation and collection (after disposal till reuse without transport)
pretreatment-treatment(landfill)-recovery/utilisation-avoided production</t>
  </si>
  <si>
    <t>The aim of this study is to evaluate the environmental
impact of using a VDSF with PCM in a location with con- tinental-Mediterranean weather conditions.</t>
  </si>
  <si>
    <t>EcoInvent 2009</t>
  </si>
  <si>
    <t>manufacturing, dismantling and operational phases (cradle-to-grave)</t>
  </si>
  <si>
    <t>cubicles with inner dimensions 2.4m/2.4m/5.1m</t>
  </si>
  <si>
    <t>This paper envisages a quantification of all energy and material needs for a family dwelling, both for the construction aspects (‘embodied energy and materials’) and usage aspects.</t>
  </si>
  <si>
    <t>production of construction materials, transport and building activities, end-of-life demolition and recycling, production of heating installation components, and annual demand for heating. (cradle-to-grave)</t>
  </si>
  <si>
    <t>other authors
&amp;
ecoinvent database</t>
  </si>
  <si>
    <t>1.1</t>
  </si>
  <si>
    <t>eXoinvent method developed by De Meester et al.</t>
  </si>
  <si>
    <t>1 building over a lifetime of 75 years</t>
  </si>
  <si>
    <t>This paper presents the results of the life cycle assessment (LCA) of the “zero energy consumption” building for a useful life of 50 years.</t>
  </si>
  <si>
    <t>Ecoinvent database</t>
  </si>
  <si>
    <t>Eco-Indicator 99</t>
  </si>
  <si>
    <t>not clearly stated, seems like a whole building</t>
  </si>
  <si>
    <t>Ecoinvent library, version 3.1 (Ecoinvent, 2015)</t>
  </si>
  <si>
    <t>The goal of this research is to analyze and compare the potential environmental impacts of TGBR, WRR, EGR, and IGR. (=different roofings)</t>
  </si>
  <si>
    <t>“The construction and installation of a roofing system to cover a surface of 834 m2 for 45 years”</t>
  </si>
  <si>
    <t>cradle-to-gate (from extraction to installation of the roof)</t>
  </si>
  <si>
    <t>IMPACT 2002+</t>
  </si>
  <si>
    <t>This work gives some insights on the environmental impact assessment of the aggregates’ industry in the Italian context, through a comparative assessment of the environmental loads of natural and recycled aggregates’ pro- ductive chains.</t>
  </si>
  <si>
    <t>1ton of produced aggregate</t>
  </si>
  <si>
    <t>measured on-site
&amp;
Industrial Partners</t>
  </si>
  <si>
    <t>CML 2002 Method</t>
  </si>
  <si>
    <t>different boundaries:
extraction of raw materials - transport/convenying - plant operation
&amp;
C&amp;DW storage and seperation - volumetrical reduction  -transport/convenying - plant operation</t>
  </si>
  <si>
    <t>mass allocation
&amp;
EOL: zero burden assumption</t>
  </si>
  <si>
    <t>The present study applies an LCA-like approach, by taking into account all the energy and materials directly and indirectly required to make and operate infrastructures (i.e. tunnels, railways, highways) and vehicles. Efficiency and environmental loading are assessed by means of Material Flow Accounting, Embodied Energy Analysis and Emergy Synthesis methods.</t>
  </si>
  <si>
    <t>p-kms and t-kms</t>
  </si>
  <si>
    <t>no LCA:
just Material Flow Accounting (MFA) [13] Embodied Energy Analysis (EEA) [14], and Emergy Synthesis (ES)</t>
  </si>
  <si>
    <t>construction of infrastructure, construction of vehicles, operational phase</t>
  </si>
  <si>
    <t>mass allocation</t>
  </si>
  <si>
    <t>This paper presents an eco-efficiency analysis of the entire life cycle of 10 alternative solutions that can be used for interior partition walls that are variants on five building solutions commonly used in Spain (gypsum plasterboard system, hollow clay brick system, hollow concrete block system, autoclaved aerated concrete block system and gypsum block system).</t>
  </si>
  <si>
    <t>The declared functional unit is 1m2 of partitionwall systemover
a period of 60 years; with 35dBA + capable of braering 70 kg/m2</t>
  </si>
  <si>
    <t>Ecoinvent (Ecoinvent v2, 2007)</t>
  </si>
  <si>
    <t>Eco-Indicator 99 (Goedkoop and Spriensma, 2000)
&amp;
EPS2000 (Steen, 1999a,b) 
&amp;
ReCiPe (2014)</t>
  </si>
  <si>
    <t>his work used the life cycle approach in two complementary approaches: a literature review that theoretically compares different LCA works for refur- bished and new buildings; and a real LCA and LCC case study for a classified ancient Portuguese building located in Lisbon, where real refurbishment is compared with hypothetical demolition, followed by complete reconstruction on the same site, respecting the same architecture, constraints and demands, and using re- inforced concrete and clay brick walls.</t>
  </si>
  <si>
    <t>m2 of construction; service life 50 years</t>
  </si>
  <si>
    <t>GaBi databases (2012)</t>
  </si>
  <si>
    <t>demolitions and the construction phase, from a cradle- to-gate perspective</t>
  </si>
  <si>
    <t>This work analyses the environmental impact of using electric arc furnace slags as secondary raw ma- terial in pavement and its comparison with the traditional materials used in road construction.</t>
  </si>
  <si>
    <t>construction stage of the pavement. Therefore, the use and disposal stages are excluded</t>
  </si>
  <si>
    <t>1 m2 of pavement</t>
  </si>
  <si>
    <t>SIMAPRO v7.3 software containing data bases</t>
  </si>
  <si>
    <t>the cut-off criterion used by authors in
previous studies (Ferreira et al., 2015)</t>
  </si>
  <si>
    <t>CML (2001)</t>
  </si>
  <si>
    <t>The paper focuses on construction techniques and the development of innovative materials for the achievement of environmental sustainability on airfield pavements.</t>
  </si>
  <si>
    <t>shows emissions (CO2, CO, etc) for "sand &amp;gravel", "cement", "concrete additives" and "water"</t>
  </si>
  <si>
    <t>The functional unit is therefore represented by the entire process of paving the airport taxiway</t>
  </si>
  <si>
    <t>PaLATE database (Horvath, 2004)</t>
  </si>
  <si>
    <t>shotcrete is part of the refurbishment</t>
  </si>
  <si>
    <t>The goal of this paper is to make a comparison between two different construction technologies through Life Cycle Assessment methods, trying to understand the potentialities and the limitations of the available LCA tools.</t>
  </si>
  <si>
    <t>openLCA (GreeDeltaTD)
&amp;
Ecoinvent, swiss database
&amp;
NREL, free USdatabase by NREL
&amp;
ELCD</t>
  </si>
  <si>
    <t>enclose a single level space of 200 m2:
the total floor area is 230 m2, (the ground floor is 95 m2, the first floor is 77 m2, andthe second floor 58 m2) and the total height is9,5 m.</t>
  </si>
  <si>
    <t>The focus of this study is to analyze the performance of ternary- and quaternary-RHA blend concrete mixes in terms of their durability, mechanical properties, and global warming potential (GWP) and criteria air pollutants.</t>
  </si>
  <si>
    <t>per cubic meter of the concrete mix</t>
  </si>
  <si>
    <t>This study quantifies and suggests alternatives for reducing the embodied energy and environmental impacts of cement and aggregate consumption in concrete products being utilized in Singapore.</t>
  </si>
  <si>
    <t>A1-A4</t>
  </si>
  <si>
    <t>cradle-to-gate;
raw materials extraction, production processes, and transportation of raw materials to production facilities as well as transportation of end-products (cement and aggregates) from the production facility in the importing country to the Port of Singapore.</t>
  </si>
  <si>
    <t>other authors
&amp;
IPCC guidelines (IPCC, 2006)
&amp;
Cement Sustainability Initiative (CSI, 2011)</t>
  </si>
  <si>
    <t>per m3 of concrete</t>
  </si>
  <si>
    <t>In this study we carry out a detailed environmental evaluation of geopolymer concrete production using the Life Cycle Assessment methodology.</t>
  </si>
  <si>
    <t>cradle-to-gate; just constituents production</t>
  </si>
  <si>
    <t>1 cubic metre of concrete with a given compressive strength in the hardened state</t>
  </si>
  <si>
    <t>CML01</t>
  </si>
  <si>
    <t>mass allocation
&amp;
economic value allocation
&amp;
no allocation</t>
  </si>
  <si>
    <t>other authors
&amp;
ecoinvent database (Kellenberger/Althaus 2003)</t>
  </si>
  <si>
    <t>Freshwater ecotoxicity (kg 1,4-dichlorbenzene-eq/fu)</t>
  </si>
  <si>
    <t>Marine ecotoxicity (kg 1,4-dichlorbenzene-eq/fu)</t>
  </si>
  <si>
    <t>To know whether the improvement in concrete strength will produce a significant difference on the structure scale, this study evaluates the environmental consequences of using high performance concrete instead of ordinary concrete for a bridge.</t>
  </si>
  <si>
    <t>the chosen functional unit is the crossing of a four-lane divided highway with a two-lane road over a one-hundred year time period.</t>
  </si>
  <si>
    <t>production-construction-maintenance-demolition</t>
  </si>
  <si>
    <t>Ecoinvent database (Kellenberger et al., 2007)
&amp;
other authors
&amp;
ATILH 2002</t>
  </si>
  <si>
    <t>CML pressure-oriented method (Guinée et al., 2002)</t>
  </si>
  <si>
    <t>EOL: cut-off approach</t>
  </si>
  <si>
    <t>The objective of this paper is to compare the most commonly usedwall systems with stone in an attempt to determine the best use for this material from an environmental point of view.</t>
  </si>
  <si>
    <t>Ecoinvent v2.2 database</t>
  </si>
  <si>
    <t>1 m2 of wall serving the same structural and thermal functions andwith a similar external aspect of stone</t>
  </si>
  <si>
    <t>from the extraction of stone up to (and including) the construction site</t>
  </si>
  <si>
    <t>CML (1992)</t>
  </si>
  <si>
    <t>mass allocation
&amp;
allocation per m2</t>
  </si>
  <si>
    <t>In this paper, we have used published and newly-determined data, following closely with accepted life cycle assessment procedures, to evaluate the embodied energy of a new class of geopolymers, namely Bayer-derived geopolymers.</t>
  </si>
  <si>
    <t>ton of concrete</t>
  </si>
  <si>
    <t>not clearly stated; seems cradle-to-gate; without any transport</t>
  </si>
  <si>
    <t>no impact allocation
&amp;
mass allocation
&amp;
economic vlaue allocation</t>
  </si>
  <si>
    <t>NO  IMPACT ASSESSMENT, just embodied energy</t>
  </si>
  <si>
    <t>The aim of this research was to develop insight for policy makers and researchers on the potential impact of existing and nearly operative innovative techniques in road infrastructure.</t>
  </si>
  <si>
    <t>1 m2 of a certain road type on a typical Dutch road for one average year</t>
  </si>
  <si>
    <t>all stages from cradle (winning of materials) to grave (end of life, recycling)</t>
  </si>
  <si>
    <t>Dutch National Road Authority
&amp;
experts
&amp;
database Ecoinvent 2.0</t>
  </si>
  <si>
    <t>IPCC 2007 GWP100</t>
  </si>
  <si>
    <t>The main objective is the determination of the relevance of materials and processes often neglected in simplified LCA of building components which aim at providing results of similar quality as comprehensive assessments with less effort.</t>
  </si>
  <si>
    <t>1m2 of opaque building component with similar heat transfer rate over 80 years</t>
  </si>
  <si>
    <t>CED (Frischknecht et al. 2005)
&amp;
eco-indicator 99</t>
  </si>
  <si>
    <t>other authors
&amp;
SIA
&amp;
Ecoinvent 1.1</t>
  </si>
  <si>
    <t>This study builds a holistic, transparent life cycle assessment model of a variety of aqueous mineral carbonation processes using a hybrid process model and economic input–output life cycle assessment approach (hybrid EIO-LCA).</t>
  </si>
  <si>
    <t>mineral carbonation of 1000 ton per day (t per day) of CO2</t>
  </si>
  <si>
    <t>EIO-LCA tool from Carnegie Mellon University</t>
  </si>
  <si>
    <t>An ecologically-based hybrid life cycle assessment model is used to evaluate the resource consumption and atmospheric emissions of continuously reinforced concrete and a hot- mix asphalt pavements.</t>
  </si>
  <si>
    <t>materials extraction and processing, transportation of pavement materials to mixing plant, mixing plant operations, transportation of mixtures to the construc- tion site, and placement of the pavements.</t>
  </si>
  <si>
    <t>1 km of CRCP and HMA with equivalent performance designs based on American Association of State Highway and Transportation Official</t>
  </si>
  <si>
    <t>other authors
&amp;
National Renewable Energy Laboratory, 2010
&amp;
EPA (1995; 2000)</t>
  </si>
  <si>
    <t>The present study regards the evaluation of a PV-green roof along with other roof configurations: PV-gravel, green (extensive and intensive), gravel.</t>
  </si>
  <si>
    <t>material manufacturing, material transportation, use/maintenance and disposal</t>
  </si>
  <si>
    <t>The functional unit is the whole roofing system (300m2) while for the comparison of the PV roofs, on a total life-cycle basis, the functional unit is the kWh of produced electricity.</t>
  </si>
  <si>
    <t>Eco-Indicator99
&amp;
IMPACT 2002+
&amp;
CED (Frischknecht et al., 2007)</t>
  </si>
  <si>
    <t>SimaPro 8 and ecoinvent 3 database</t>
  </si>
  <si>
    <t>The present study evaluates the environmental profile of a PV-green roof (PV panels over a soil/plant layer) and other roofing systems (PV-bitumen, PV-gravel, gravel, extensive green and intensive green).</t>
  </si>
  <si>
    <t>The whole roofing system (300 m2) is used as functional unit</t>
  </si>
  <si>
    <t>cradle-to-grave; also recycling within the sensitivity analysis</t>
  </si>
  <si>
    <t>EcoInvent 2007; version not clearly stated but seems to be 2.0</t>
  </si>
  <si>
    <t>GWP:
IPCC 2013 GWP 20a V1.00
IPCC 2013 GWP 100a V1.00 
IPCC 2013 GWP 500a V1.00 
&amp;
ReCiPe Endpoint (H) V1.10/Europe ReCiPe H/A 
&amp;
Ecological footprint V1.01
&amp;
USEtox V1.03/ Europe 2004</t>
  </si>
  <si>
    <t>A+B</t>
  </si>
  <si>
    <t>shows emissions (CO2, CO, etc) for "crushed gravel", "portland cement", "blast furnace slyg cement" and "fly ash cement"</t>
  </si>
  <si>
    <t>Japanese version of the damage-oriented life cycle impact assessment method, named LIME; suggested by The LCA National Project (Japan Environmental Management Association for Industry)</t>
  </si>
  <si>
    <t>This study examines factors resulting in an environment burden (local EB) in the region where a building is located, and suggests a
method for assessing it.</t>
  </si>
  <si>
    <t>one store building + attached infrastructure</t>
  </si>
  <si>
    <t>prorduction of raw materials, construction, use and maintenance</t>
  </si>
  <si>
    <t>other authors
&amp;
LCA program developed by the Architecture Institute of Japan (AIJ)</t>
  </si>
  <si>
    <t>A study on the use of sand aggregates from an energetic and environmental point of view is presented hereby.</t>
  </si>
  <si>
    <t>whole life cycle of the product, from the extraction or joining of the raw material, the energy and other material consumption, up to the use, final treatment, waste management and maintenance along the useful life of the product;
demolition processes were not included</t>
  </si>
  <si>
    <t>mid-point method is used, following Bare et al. (2000)
&amp;
CML method</t>
  </si>
  <si>
    <t>In this study based on life cycle energy and environmental performance, the alternatives related to energy retrofit strategies were evaluated in order to improve the energy performance of the existing residential buildings.</t>
  </si>
  <si>
    <t>product stage and use stage</t>
  </si>
  <si>
    <t>shows EE und Ecarbon for gravel</t>
  </si>
  <si>
    <t>6.0</t>
  </si>
  <si>
    <t>GABI 6.0 LCA software 
&amp;
Inventory of Energy and Carbon (ICE) version 2.0</t>
  </si>
  <si>
    <t xml:space="preserve">not clearly stated, seems like a whole building </t>
  </si>
  <si>
    <t>The main purpose of this study is to determine the potentials of recycled aggregate concrete (con- crete made with recycled concrete aggregate) for structural applications and to compare the environmental impact of the production of two types of ready-mixed concrete: natural aggregate con- crete (NAC) made entirely with river aggregate and recycled aggregate concrete (RAC) made with natural fine and recycled coarse aggregate.</t>
  </si>
  <si>
    <t>raw material extraction and material production including transport to site</t>
  </si>
  <si>
    <t>1m3 of ready-mixed NAC and RAC</t>
  </si>
  <si>
    <t>Industrial Partners
&amp;
GEMIS data base (Öko-Institut, 2007)</t>
  </si>
  <si>
    <t>CML method (Guinée et al., 2001a,b)</t>
  </si>
  <si>
    <t>Luxembourg</t>
  </si>
  <si>
    <t>The goal of this paper is the development of a framework for the characterization of building material stocks and the assessment of the potential environmental impact associated with the end-of-life of buildings at the urban scale to support decision on waste management strategies.</t>
  </si>
  <si>
    <t>square meter of useful floor surface</t>
  </si>
  <si>
    <t>CML 2 baseline 2000 (Guinée et al., 2002)</t>
  </si>
  <si>
    <t>SimaPro 7.3.3 and the database Ecoinvent 2.2 (Ecoinvent Centre, 2010)
&amp;
other authors</t>
  </si>
  <si>
    <t>end of life</t>
  </si>
  <si>
    <t>C</t>
  </si>
  <si>
    <t>The aim of this study is to quantify the environmental burdens of four phases (material, construction, mainte- nance and use) of hot mix asphalt (HMA) pavement in terms of energy, air emissions and water emissions using the LCA model and to compare the impacts among those phases.</t>
  </si>
  <si>
    <t>material, construction, maintenance and use</t>
  </si>
  <si>
    <t>The functional unit studied is (a) 1 km of asphalt pavement with, (b) maximum grain size of asphalt being 20 mm, (c) road width being 8.5 m (traffic lanes 2 ? 3.75 m + inner shoulder 1 m) (d) the maintenance strategy used as being 80 mm overlay (e) a time scale 50 years and (f) 20,000 vehicles/day</t>
  </si>
  <si>
    <t>This study compares the environmental impacts of earthen plasters (based on clay) with those of con- ventional industrial plasters (based on cement or hydraulic lime) from a life cycle perspective.</t>
  </si>
  <si>
    <t>1 m2 of wall</t>
  </si>
  <si>
    <t>no allocation needed</t>
  </si>
  <si>
    <t>SimaPro 7.3.3 software
&amp;
Industrial Partners (foreground)
&amp;
EcoInvent 2.0 (background)</t>
  </si>
  <si>
    <t>Cumulative Energy Demand CED version 1.08
Greenhouse Gas Protocol GGP version 1.01
Ecological Footprint EF version 1.01
&amp;
ReCiPe (2009)</t>
  </si>
  <si>
    <t>This paper examines the relevance of incorporating comprehensive life-cycle environmen- tal data into the design and management of pedestrian pavements to minimize the impact on the built environment.</t>
  </si>
  <si>
    <t>one square meter of sidewalk located in central Barcelona, Spain, that supports pedestrian and (sporadic) light motorized traffic over a period of 45 years.</t>
  </si>
  <si>
    <t>CML baseline 2001</t>
  </si>
  <si>
    <t>GaBi 4.4
&amp;
EcoInvent 2.1</t>
  </si>
  <si>
    <t>This study identified and evaluated potential ways of improving the life cycle environmental performance of asphalt recycling in Sweden.</t>
  </si>
  <si>
    <t>CED (Frischknecht et al 2007)
&amp;
ReCipe (H) method (Goedkoop et al., 2009)</t>
  </si>
  <si>
    <t>1 ton of RAP</t>
  </si>
  <si>
    <t>other authors
&amp;
expert interviews
&amp;
SimaPro
&amp;
EcoInvent version 2.0</t>
  </si>
  <si>
    <t>C2-D</t>
  </si>
  <si>
    <t>Collection/Transport - Reuse/Recycling - Recovered Resources</t>
  </si>
  <si>
    <t xml:space="preserve">no impact allocation </t>
  </si>
  <si>
    <t>Lithuania</t>
  </si>
  <si>
    <t>In this study we estimate the environmental impacts of three alternative types of envelopes (masonry, log and timber frame) of an energy efficient single-family house, simultaneously identifying the most rational alternative according to the considered criteria (reduction of expenses, non-renewable primary energy, Green House Gases and ozone layer depletion).</t>
  </si>
  <si>
    <t>IMPACT 2002+ v2.10</t>
  </si>
  <si>
    <t>Production/Construction - Operation/Maintenance - Dismantling/Recycling - Transport</t>
  </si>
  <si>
    <t>1m2 of the heated floor area. A single-family house in Lithuania with its subsequent use has been calculated over a 100-year period.</t>
  </si>
  <si>
    <t>SimaPro 7.2</t>
  </si>
  <si>
    <t>production, transport, placement, use</t>
  </si>
  <si>
    <t>A life cylce impact assessment procedure for comparison and evaluation of alternative road and earth constructions was developed</t>
  </si>
  <si>
    <t>one km section of road</t>
  </si>
  <si>
    <t>The aim of this research is to use sustainability indicators in the pre-construction and operation (use and maintenance) phases and also to promote and support the adoption of the LCM within the construction industry.</t>
  </si>
  <si>
    <t>Preconstruction,operation; no dismantling phase</t>
  </si>
  <si>
    <t>m2 usable floor area of a dwelling with a projected 50-year life span; total area of 160m2 with two storeys and is made mainly of brick</t>
  </si>
  <si>
    <t>CML 2 method (2001)</t>
  </si>
  <si>
    <t>Ecoinvent Database V1.3</t>
  </si>
  <si>
    <t>1.3</t>
  </si>
  <si>
    <t>The aim of this paper is to develop and apply several criteria for the building sector that help decision making at the design and construction stages, thereby allowing the selection of sustainable building materials, reducing the environmental impact of the materials used, minimizing the amount of waste generated, and increasing the percentage of this waste that is recycled.</t>
  </si>
  <si>
    <t>construction of 1m2 horizon- tal living area over the period of 50 years (y), when the reference building is assessed, and the construction of 1m2 ver- tical area over the period of 50 years (y) for the composite walls assessment</t>
  </si>
  <si>
    <t>Cradle-to-Grave; waste treatment</t>
  </si>
  <si>
    <t>This study concerns single family housing in Chile. The aim of this work is to develop knowledge in order to define and prepare implementation of design procedures to minimize the environmental impacts without reducing the level of comfort in such buildings.</t>
  </si>
  <si>
    <t>database PR/PCT 08 (iTECa)
&amp;
ecoinvent V2.01 (2007) database</t>
  </si>
  <si>
    <t>a typical single family house, providing dwelling for a standard family with a satisfactory level of comfort for different durations: 30, 50, 80 and 100 years.</t>
  </si>
  <si>
    <t>all phases</t>
  </si>
  <si>
    <t>ECOINVENT (Frischknecht et al., 1996; Frischknecht et al., 2004)</t>
  </si>
  <si>
    <t xml:space="preserve">(Frischknecht et al., 2004)
&amp;
CML (Guinée et al., 2001)
&amp;
(Forster et al., 2007) 
&amp;
(Goedkoop and Spriemsma, 2000) </t>
  </si>
  <si>
    <t>This study iteratively applies life cycle assessment (LCA) to a 3 kW community hydroelectric system located in Huai Kra Thing (HKT) village in rural Thailand.</t>
  </si>
  <si>
    <t>GaBi 4</t>
  </si>
  <si>
    <t>one kWh of electrical energy available for consumption by the villagers at the point of connection to community building internal wiring</t>
  </si>
  <si>
    <t>4</t>
  </si>
  <si>
    <t>A life cycle simulation tool has been developed and linked with thermal insulation</t>
  </si>
  <si>
    <t>Ökoinventare database
&amp;
European REGENER project</t>
  </si>
  <si>
    <t>a whole building</t>
  </si>
  <si>
    <t>Heijungs 1992</t>
  </si>
  <si>
    <t>This article analyzes a large sample of school buildings by classifying them in groups and studying in depth a smaller but representative sample of each group.</t>
  </si>
  <si>
    <t>1 school</t>
  </si>
  <si>
    <t>ITEC, 2010
&amp;
CIES 2001</t>
  </si>
  <si>
    <t>In this study, by using the life cycle assessment (LCA), we assess the greenhouse gas emissions related to the materials and construction of a low-energy multi-storey residential building in Finland.</t>
  </si>
  <si>
    <t>GWP100</t>
  </si>
  <si>
    <t>ecoinvent v.2.0 database</t>
  </si>
  <si>
    <t>m2 of a buliding</t>
  </si>
  <si>
    <t>materials + construction</t>
  </si>
  <si>
    <t>in this study, five different facade con- structive systems are evaluated with MFA and LCA to compare them from an environmental point of view.</t>
  </si>
  <si>
    <t>manufacturing, operational and disposal phases</t>
  </si>
  <si>
    <t>EcoInvent 2006</t>
  </si>
  <si>
    <t>1 cubicle; interior volume 2.40 / 2.40 / 2.40 m</t>
  </si>
  <si>
    <t>This paper evaluates the environmental performance of green roofs in which the drainage layer is made of rubber crumbs, a recycled material the use of which is still experimental for this purpose.</t>
  </si>
  <si>
    <t>EcoInvent database</t>
  </si>
  <si>
    <t>experimental roofs on cubicles: "the functional unit identified is 9m2 of roofing system"</t>
  </si>
  <si>
    <t>This research measures the carbon dioxide equivalent emissions (CO2?e) of the extraction, transport and crushing process of coarse aggregate in Brazil. The goal is to quantify the carbon footprint and identify the critical stages of those activities.</t>
  </si>
  <si>
    <t>m3 coarse aggregate; The stone analysed was basalt</t>
  </si>
  <si>
    <t>The purpose of this paper is twofold: to investigate the problems involved when performing an envi- ronmental assessment of various pavements structures and to establish the method applied to solutions proposed by official French guidelines.</t>
  </si>
  <si>
    <t>manufacturing processes of main materials; (ii) material transports and road works equipment; (iii) mixing processes; and (iv) road works processes</t>
  </si>
  <si>
    <t>mass allocation
&amp;
arbitrary allocation</t>
  </si>
  <si>
    <t>They are calculated over a 30-year service period
Lane width is set at 3.5m and pavement length at 1km.</t>
  </si>
  <si>
    <t>IPCC 2007
&amp;
Goedkoop 1996 (EcoIndicator 95)
&amp;
Huijbregts et al 2000</t>
  </si>
  <si>
    <t>7300m2, six-story building with a projected 75 year life
span, located on the University of Michigan campus</t>
  </si>
  <si>
    <t>A recently completed University of Michigan building was selected as a case study to fulfill the following specific objectives:
• Compile an inventory of installed and replacement build- ing materials and operational characteristics.
• Model burdens associated with material use and opera- tional burdens includingwater services, utilizing available data and building simulation software.
• Assess life cycle distributions of burdens in several envi- ronmental impact categories.</t>
  </si>
  <si>
    <t>DEAM database
&amp;
Swiss Agency for the Environment, Forests and Landscape 
&amp;
SimaPro software 
&amp;
Franklin Associates report</t>
  </si>
  <si>
    <t>Leiden University, C.f.E.S., Guide to LCA, Part 2b: Operational Annex, Leiden University, Centre for Environmental Science, Leiden, NL, 2000</t>
  </si>
  <si>
    <t>EOL: “Second Allocation Method” [EPA]</t>
  </si>
  <si>
    <t>These study aims to quantify environmental impacts associated with mixing compositions of concrete made of waste materials by using LCA.</t>
  </si>
  <si>
    <t>m3 of product</t>
  </si>
  <si>
    <t>EPD
CML
EDIP
BEES</t>
  </si>
  <si>
    <t>French Aggregates Association (UNPG)
&amp;
French National Union of Admixtures for Concrete and Mortar (SYNAD)
&amp;
ecoinvent database</t>
  </si>
  <si>
    <t>EOL: arbitrary allocation</t>
  </si>
  <si>
    <t>shows contribution of "aggregates" to impact indicators</t>
  </si>
  <si>
    <t>in this study, an embodied energy consumption and carbon emissions of the residential buildings model was created to study three steel-construction residential buildings in China.</t>
  </si>
  <si>
    <t>1m2 area</t>
  </si>
  <si>
    <t>LCA software BESLCI developed by Tongji University
&amp;
other authors</t>
  </si>
  <si>
    <t>frame structure, building envelop, and onsite construction.</t>
  </si>
  <si>
    <t>The objective of this study was to investigate the life cycle primary energy balance of residential building types: detached house, row house, townhouse and apartment block, in a Finnish context.</t>
  </si>
  <si>
    <t>The entire building life cycle, the production, operation (including maintenance) and end of life (EoL) stages, was covered, and the net primary energy benefits resulting from the reuse and recycling of materials exiting the system boundary was described as a potential resource for future use</t>
  </si>
  <si>
    <t>Net heated floor area</t>
  </si>
  <si>
    <t>3.01</t>
  </si>
  <si>
    <t>ecoinvent
&amp;
IDA ICE
&amp;
other authors</t>
  </si>
  <si>
    <t>The objective of this study was to demonstrate how the selection of building material affects the life cycle primary energy balance of a building in a Finnish context</t>
  </si>
  <si>
    <t>production, operation (including maintenance) and EoL stages. In addition, the net primary energy benefits resulting from the reuse and recycling of materials exiting the system boundary was described as a potential resource for future use</t>
  </si>
  <si>
    <t>The goal of this study was to determine the optimal choice of aggregate type and transport scenario in concrete production, employing a mul- ticriteria optimization method taking into account technical, economical and environmental limits and constraints.</t>
  </si>
  <si>
    <t>m3 of concrete</t>
  </si>
  <si>
    <t>measured on-site
&amp;
Industrial Partners
&amp;
other authors
&amp;
ETH-ESU 96 database
&amp;
GEMIS</t>
  </si>
  <si>
    <t>CML method (Guinee et al., 2002)</t>
  </si>
  <si>
    <t>shows emissions (CO2, CO, etc) for "crushed stone", "cement", "river aggregate" and "recycled aggregate" per kg;
and contribution to impacts for "aggregate"</t>
  </si>
  <si>
    <t>In this study, two different road pavement rehabilitation techniques have been compared by means of LCA, both with a com- parable extension of road service life of 20 years</t>
  </si>
  <si>
    <t>The functional unit for the performed LCA was defined as the
rehabilitation of approximately 40,000 m2 of pavement, with a design life of 20 years.</t>
  </si>
  <si>
    <t>excavation of the existing pavement (to its full depth) -
transport  -
production of the crushed virgin aggregate - 
transport of crushed virgin aggregate from the nearest source in order to construct a new sub-base -
use of all required non-road mobile machinery during the rehabilitation process</t>
  </si>
  <si>
    <t>4.0</t>
  </si>
  <si>
    <t>GaBi 4.0 (Thinkstep) dataset (“professional + extension”)
&amp;
other authors
&amp;
EPD 2012</t>
  </si>
  <si>
    <t>In this paper, a comparative life cycle analysis (LCA) was performed for four different types of wastewater pipe materials: composite fiber reinforced Polymer (FRP), PVC, ductile iron, and concrete.</t>
  </si>
  <si>
    <t>The functional unit in our analysis was defined as the infrastructure needed for the collection and transportation of one cubic meter of waste water from a city for a period of 50 years.</t>
  </si>
  <si>
    <t>from raw materials to the use stage</t>
  </si>
  <si>
    <t>SimaPro 7.1.8 software
&amp;
EcoInvent</t>
  </si>
  <si>
    <t>This LCA was conducted to quantify the theoretical reduction in greenhouse gas emissions that could result from using the proposed HVFA concrete composition in- stead of traditional OPC concrete or FA concrete conforming to the k-value concept.</t>
  </si>
  <si>
    <t>IPCC 2007 GWP 100a</t>
  </si>
  <si>
    <t>functional unit (column with design load: 1500 kN, height: 2.5 m, cross-section: rectangular)</t>
  </si>
  <si>
    <t>Ecoinvent database v2.0
&amp;
EFCA (2010)</t>
  </si>
  <si>
    <t>not clearly stated; seems like cradle-use</t>
  </si>
  <si>
    <t>C+D</t>
  </si>
  <si>
    <t>selective demolition, preliminary sorting and collection of main components of the building, together with the processes of sorting, recycling and/or disposal of main fractions of the demolition waste</t>
  </si>
  <si>
    <t>Goal of the study was to assess the environmental performance of the overall end-of-life phase of a specific residen- tial building, with a particular focus on the management of the generated demolition waste.</t>
  </si>
  <si>
    <t>multifam- ily dwelling of three levels, typical of the South of Italy (1550m2)</t>
  </si>
  <si>
    <t>other authors
&amp;
Industrial Partners
&amp;
Ecoinvent 3.01</t>
  </si>
  <si>
    <t>Impact 2002+, v2.11 (Jolliet et al., 2003)</t>
  </si>
  <si>
    <t>The objective of this study is to quantify energy and environmental impact of runway pavement design alternatives using life-cycle assessment approach.</t>
  </si>
  <si>
    <t>material, construction and maintenance</t>
  </si>
  <si>
    <t>one-mile runway with 200-ft width that is designed to carry the aircraft traffic mix in the analysis period at the major hub airport</t>
  </si>
  <si>
    <t>IPCC, 2007</t>
  </si>
  <si>
    <t>other authors
&amp;
Industrial Partners
&amp;
measured on-site</t>
  </si>
  <si>
    <t>shows emissions CO2eq for sand/gravel and crushed stone based on other authors for 1 ton of material</t>
  </si>
  <si>
    <t>Using the life cycle in- ventory (LCI) method, the energy consumption and the GHG emissions are investigated for two different kinds of reconstruction and extension projects for overpasses in Shanghai City, using virgin and re- generated aggregates, respectively.</t>
  </si>
  <si>
    <t>A1-A4 + C</t>
  </si>
  <si>
    <t>A-C without construction and use phase</t>
  </si>
  <si>
    <t>one ton of aggregate</t>
  </si>
  <si>
    <t>China Energy Statistical Yearbook 2013</t>
  </si>
  <si>
    <t>IPCC 1995</t>
  </si>
  <si>
    <t>raw material production, material transportation and onsite construction</t>
  </si>
  <si>
    <t>This study proposed an empirical method to es- timate carbon dioxide (CO2) emission which was generated from highway construction based on four real projects in southwest region of China.</t>
  </si>
  <si>
    <t>not stated; seems like different whole bridges, tunnels, roads</t>
  </si>
  <si>
    <t>An inventory of material and energy consumption during the construction and operation (C&amp;O) of a typ- ical sanitary landfill site in China was calculated based on Chinese industrial standards for landfill management and design reports.</t>
  </si>
  <si>
    <t>Manufacture-site prep.-construction-operation</t>
  </si>
  <si>
    <t>The functional unit was one tonne of waste disposed of in the landfill site.</t>
  </si>
  <si>
    <t>Ecoinvent, 2010</t>
  </si>
  <si>
    <t>EDIP 2003 method (Hauschild and Potting, 2004)</t>
  </si>
  <si>
    <t>This paper presents the results of an LCA study comparing the most commonly used building materials with some eco-materials using three different impact categories. The aim is to deepen the knowledge of energy and environmental specifications of building materials, analysing their possibilities for improvement and providing guidelines for materials selection in the eco-design of new buildings and rehabilitation of existing buildings.</t>
  </si>
  <si>
    <t>IPCC 2007 methodology</t>
  </si>
  <si>
    <t>One kg of material</t>
  </si>
  <si>
    <t>material manufacture, the transport from production plant to building site, the construction and demolition of the building, and the final disposal of the product</t>
  </si>
  <si>
    <t>Ecoinvent v2.0 database (2007)</t>
  </si>
  <si>
    <t>shows PED and GWP for cement and concrete</t>
  </si>
  <si>
    <t>In this paper life cycle assessments are carried out on 30 optimized earth-retaining walls of various heights (4e13 m) and involving different permissible soil stresses (0.2, 0.3 and 0.4 MPa) in Spain. Firstly,</t>
  </si>
  <si>
    <t>Ecoinvent database 3.2</t>
  </si>
  <si>
    <t>concrete production, steel production, transportation, use of machinery for installation and demolition, processing of landfill, and formwork production</t>
  </si>
  <si>
    <t>Thus, the functional unit of this linear infrastructure would be a linear meter of the installedwall for a specific height and permissible soil stress</t>
  </si>
  <si>
    <t>A+C</t>
  </si>
  <si>
    <t>this paper aims to study and compare the carbon footprints of two types of Nuozhadu hydropower schemes with the same scale: an earth-core rockfill dam (ECRD) and a concrete gravity dam (CGD).</t>
  </si>
  <si>
    <t>material production, transportation, construction, and the operation and maintenance phases for a period of 44 years.</t>
  </si>
  <si>
    <t>1 kWh of electricity production</t>
  </si>
  <si>
    <t>Industrial Partners
&amp;
Chinese Academy of Engineering (CAE), 
&amp;
China Institute of Atomic Energy (CIAE)
&amp;
Chinese Life Cycle Database (CLCD)
&amp;
European Reference Life Cycle Database (ELCD)</t>
  </si>
  <si>
    <t>the purpose of this study is to provide a broad perspective on the carbon footprint of building construction.</t>
  </si>
  <si>
    <t>materials manufacturing, materials transportation, and on-site construction work</t>
  </si>
  <si>
    <t>on-site work:
allocation based on working time</t>
  </si>
  <si>
    <t>Industrial Partners</t>
  </si>
  <si>
    <t>whole buildings</t>
  </si>
  <si>
    <t>Effect of construction materials on embodied energy and cost of buildings—A case study of residential houses in India up to 60m2 of plinth area</t>
  </si>
  <si>
    <t>Bansal, Deepak
Singh, Ramkishore
Sawhney, R.L.</t>
  </si>
  <si>
    <t>India</t>
  </si>
  <si>
    <t>Development of porous fired clay bricks with bio-based additives: Study of the environmental impacts by Life Cycle Assessment (LCA)</t>
  </si>
  <si>
    <t>Bories, Cecile
Vedrenne, Emeline
Paulhe-Massol, Anne
Vilarem, Gerard
Sablayrolles, Caroline</t>
  </si>
  <si>
    <t>LCA implementation in the selection of thermal enhanced mortars for energetic rehabilitation of school buildings</t>
  </si>
  <si>
    <t>Brás, Ana
Gomes, Vanessa</t>
  </si>
  <si>
    <t>A comparative study of environmental performance between prefabricated and traditional residential buildings in China</t>
  </si>
  <si>
    <t>Cao, Xinying
Li, Xiaodong
Zhu, Yimin
Zhang, Zhihui</t>
  </si>
  <si>
    <t>The embodied energy and emissions of a high-rise education building: A quantification using process-based hybrid life cycle inventory model</t>
  </si>
  <si>
    <t>Chang, Yuan
Ries, Robert J.
Lei, Shuhua</t>
  </si>
  <si>
    <t>A life cycle based environmental impacts assessment of construction materials used in road construction</t>
  </si>
  <si>
    <t>Chowdhury, Raja
Apul, Defne
Fry, Tim</t>
  </si>
  <si>
    <t>Cradle to site Life Cycle Assessment (LCA) of adobe bricks</t>
  </si>
  <si>
    <t>Christoforou, Elias
Kylili, Angeliki
Fokaides, Paris A.
Ioannou, Ioannis</t>
  </si>
  <si>
    <t>Life Cycle Impact Assessment of masonry system as inner walls: A case study in Brazil</t>
  </si>
  <si>
    <t>Condeixa, Karina
Haddad, Assed
Boer, Dieter</t>
  </si>
  <si>
    <t>Embodied energy and CO2 in UK dimension stone</t>
  </si>
  <si>
    <t>Crishna, N.
Banfill, P.F.G.
Goodsir, S.</t>
  </si>
  <si>
    <t>The greenhouse gas implications of using ground granulated blast furnace slag as a cement substitute</t>
  </si>
  <si>
    <t>Crossin, E.</t>
  </si>
  <si>
    <t>Sustainability based-approach to determine the concrete type and reinforcement configuration of TBM tunnels linings. Case study: Extension line to Barcelona Airport T1</t>
  </si>
  <si>
    <t>de la Fuente, A.
Blanco, A.
Armengou, J.
Aguado, A.</t>
  </si>
  <si>
    <t>Tunneling and Underground Space Technology</t>
  </si>
  <si>
    <t>Exploration of life cycle data calculation: Lessons from a Passivhaus case study</t>
  </si>
  <si>
    <t>Din, Asif
Brotas, Luisa</t>
  </si>
  <si>
    <t>Ding, Tao
Xiao, Jianzhuang
Tam, Vivian W.Y.</t>
  </si>
  <si>
    <t>Study on ecological cost-effectiveness for the thermal insulation of building external vertical walls in Poland</t>
  </si>
  <si>
    <t>Poland</t>
  </si>
  <si>
    <t>Dylewski, Robert
Adamczyk, Janusz</t>
  </si>
  <si>
    <t>Galán-Marín, C.
Rivera-Gómez, C.
García-Martínez, A.</t>
  </si>
  <si>
    <t>Embodied energy of conventional load-bearing walls versus natural stabilized earth blocks</t>
  </si>
  <si>
    <t>Integrating life cycle assessment and multi-objective optimization for economical and environmentally sustainable supply of aggregate</t>
  </si>
  <si>
    <t>Gan, Vincent J.L.
Cheng, Jack C.P.
Lo, Irene M.C.</t>
  </si>
  <si>
    <t>Life cycle energy analysis of museum buildings: A case study of museums in Hangzhou</t>
  </si>
  <si>
    <t>Ge, Jian
Luo, Xiaoyu
Hu, Jun
Chen, Shuqin</t>
  </si>
  <si>
    <t>Comparative environmental evaluation of aggregate production from recycled waste materials and virgin sources by LCA</t>
  </si>
  <si>
    <t>Hossain, Md. Uzzal
Poon, Chi Sun
Lo, Irene M.C.
Cheng, Jack C.P.</t>
  </si>
  <si>
    <t>A life-cycle energy analysis of building materials in the Negev desert</t>
  </si>
  <si>
    <t>Huberman, N.
Pearlmutter, D.</t>
  </si>
  <si>
    <t>Life Cycle Inventory analysis of a precast reinforced concrete shed for goods storage</t>
  </si>
  <si>
    <t>Ingrao, Carlo
Lo Giudice, Agata
Mbohwa, Charles
Clasadonte, Maria Teresa</t>
  </si>
  <si>
    <t>Integrated policies to promote sustainable use of steel slag for construction—A consequential life cycle embodied energy and greenhouse gas emission perspective</t>
  </si>
  <si>
    <t>Kua, H.W.</t>
  </si>
  <si>
    <t>Kua, Harn Wei
Kamath, Susmita</t>
  </si>
  <si>
    <t>Achieving environmentally friendly building envelope for Western Australia’s housing sector: A life cycle assessment approach</t>
  </si>
  <si>
    <t>Lawania, Krishna Kumar
Biswas, Wahidul K.</t>
  </si>
  <si>
    <t>Long, Guangcheng
Gao, Yu
Xie, Youjun</t>
  </si>
  <si>
    <t>Milford, Rachel L.
Allwood, Julian M.</t>
  </si>
  <si>
    <t>Assessing the CO2 impact of current and future rail track in the UK</t>
  </si>
  <si>
    <t>Environmental life cycle assessment of lightweight concrete to support recycled materials selection for sustainable design</t>
  </si>
  <si>
    <t>Napolano, Loredana
Menna, Costantino
Graziano, Sossio Fabio
Asprone, Domenico
D’Amore, Marco
de Gennaro, Roberto
Dondi, Michele</t>
  </si>
  <si>
    <t>Materials composition or energy characteristic – What is more important in environmental life cycle of buildings?</t>
  </si>
  <si>
    <t>Pajchrowski, Grzegorz
Noskowiak, Andrzej
Lewandowska, Anna
Strykowski, Wladyslaw</t>
  </si>
  <si>
    <t>A life cycle energy analysis of social housing in Brazil: Case study for the program “MY HOUSE MY LIFE”</t>
  </si>
  <si>
    <t>Paulsen, Jacob Silva
Sposto, Rosa Maria</t>
  </si>
  <si>
    <t>Global warming implications of facade parameters: A life cycle assessment of residential buildings in Bahrain</t>
  </si>
  <si>
    <t>Bahrain</t>
  </si>
  <si>
    <t>Radhi, Hassan
Sharples, Stephen</t>
  </si>
  <si>
    <t>Environmental Impact Assessment Review</t>
  </si>
  <si>
    <t>Development of an optimum design program (SUSB-OPTIMUM) for the life cycle CO2 assessment of an apartment house in Korea</t>
  </si>
  <si>
    <t>Roh, Seungjun
Tae, Sungho
Shin, Sungwoo
Woo, Jeehwan</t>
  </si>
  <si>
    <t>Cradle-to-gate sustainable target value design: integrating life cycle assessment and construction management for buildings</t>
  </si>
  <si>
    <t>Russell-Smith, Sarah V.
Lepech, Michael D.</t>
  </si>
  <si>
    <t>A Multi-Criteria Decision Analysis based assessment of walling materials in India</t>
  </si>
  <si>
    <t>Sabapathy, Ashwin
Maithel, Sameer</t>
  </si>
  <si>
    <t>Life cycle assessment of a wind farm and related externalities</t>
  </si>
  <si>
    <t>Schleisner, L</t>
  </si>
  <si>
    <t>Eco-burden in pavement maintenance: Effects from excess traffic growth and overload</t>
  </si>
  <si>
    <t>Sianipar, Corinthias P.M.
Dowaki, Kiyoshi</t>
  </si>
  <si>
    <t>Taborianski, Vanessa Montoro
Prado, Racine T.A.</t>
  </si>
  <si>
    <t>Methodology of CO2 emission evaluation in the life cycle of office building façades</t>
  </si>
  <si>
    <t>The development of apartment house life cycle CO2 simple assessment system using standard apartment houses of South Korea</t>
  </si>
  <si>
    <t>Tae, Sungho
Shin, Sungwoo
Woo, Jeehwan
Roh, Seungjun</t>
  </si>
  <si>
    <t>Environmental life cycle analysis of pipe materials for sewer systems</t>
  </si>
  <si>
    <t>Environmental assessment of green concrete containing natural zeolite on the global warming index in marine environments</t>
  </si>
  <si>
    <t>Valipour, Mahdi
Yekkalar, Mina
Shekarchi, Mohammad
Panahi, Somayeh</t>
  </si>
  <si>
    <t>Influence of active crack width control on the chloride penetration resistance and global warming potential of slabs made with fly ash+silica fume concrete</t>
  </si>
  <si>
    <t>Van den Heede, Philip
Maes, Mathias
De Belie, Nele</t>
  </si>
  <si>
    <t>GHG emission reduction performance of state-of-the-art green buildings: Review of two case studies</t>
  </si>
  <si>
    <t>Wang, Tao
Seo, Seongwon
Liao, Pin-Chao
Fang, Dongping</t>
  </si>
  <si>
    <t>Carbon emissions in the life cycle of urban building system in China—A case study of residential buildings</t>
  </si>
  <si>
    <t>You, Fang
Hu, Dan
Zhang, Haitao
Guo, Zhen
Zhao, Yanhua
Wang, Bennan
Yuan, Ye</t>
  </si>
  <si>
    <t>Ecological Complexity</t>
  </si>
  <si>
    <t>Life cycle assessment of High Speed Rail in China</t>
  </si>
  <si>
    <t>Yue, Ye
Wang, Tao
Liang, Sai
Yang, Jie
Hou, Ping
Qu, Shen
Zhou, Jun
Jia, Xiaoping
Wang, Hongtao
Xu, Ming</t>
  </si>
  <si>
    <t>The objective of this paper is to quantify the embodied energy and construction cost of residential houses of a particular typology, with different construction materials, to understand the effect of different building materials and variation in the embodied energy and construction cost of the buildings.</t>
  </si>
  <si>
    <t>per sqm of plinth area
(Plinth areas of these houses vary between 20 m2 and 60 m2)</t>
  </si>
  <si>
    <t>just Embodied Energy, no LCA</t>
  </si>
  <si>
    <t>ReCiPe v1.10</t>
  </si>
  <si>
    <t>production of 1m2 of porous tablets with a fixed thermal resistance</t>
  </si>
  <si>
    <t>After characterizing the porous bricks with biobased additives (vegetable and chemical ones) and measuring the insulating capacity of each sample, the aim of this part is to compare the environmental impacts of the five developed formulations.</t>
  </si>
  <si>
    <t>experiments
&amp;
Industrial Partners
&amp;
Ecoinvent 3.01</t>
  </si>
  <si>
    <t>The first aim of the present work is to assess the environmental impact of specific rendering mortars able to be applied in the vertical opaque envelopes of an existing school building from the 80’s built in Portugal, to reduce condensation effects and heat transfer.</t>
  </si>
  <si>
    <t>1 kg of mortar</t>
  </si>
  <si>
    <t>GaBi (version: NA)
&amp;
EcoInvent v2.2
&amp;
Industrial Partners</t>
  </si>
  <si>
    <t>CML 2 baseline 2000 V2.05</t>
  </si>
  <si>
    <t>(there is also a 2nd LCA on the use stage with the functional unit "per m2 and year". But for this LCA there are no details stated)</t>
  </si>
  <si>
    <t>This study considered two typical residential projects using the two technologies to conduct a fair comparison between prefabrication technology and cast-in-situ technology.</t>
  </si>
  <si>
    <t>material extraction, component manufacturing off site, transportation, construction and assembling on site</t>
  </si>
  <si>
    <t>measured on-site
&amp;
Industrial Partners
&amp;
interviews
&amp;
other authors</t>
  </si>
  <si>
    <t>according to CEPAS and BHIAS (both are impact assessment systems)</t>
  </si>
  <si>
    <t>per unit of floor area (m2)</t>
  </si>
  <si>
    <t>This study developed a process-based hybrid LCI model to calculate the embodied energy and emissions of a typical high-rise building in China, which has a frame-shear wall and reinforced concrete frame structure</t>
  </si>
  <si>
    <t>building materials-concrete batching plant-transport-building construction</t>
  </si>
  <si>
    <t>2007 China Input-Output Table (2007 Chinese economic benchmark statistics)</t>
  </si>
  <si>
    <t>This research performed life cycle inventory using proposed recycled material formulas and service records and incorporating the database provided by Eco-indicator 99 in order to study the eco-burden presented by using recycled materials to rehabilitate asphalt pavements.</t>
  </si>
  <si>
    <t>1-km asphalt road</t>
  </si>
  <si>
    <t>not clearly stated; seems like just the maintenance (without use)</t>
  </si>
  <si>
    <t>In the present study, a comparison of these byproducts (coal fly ash, coal bottom ash, and recycled concrete pavement (RCP)) with natural aggregates was carried out with respect to cost, environmental pollutants generated, and energy consumption.</t>
  </si>
  <si>
    <t>natural aggregate: Natural aggregate production, transportation, electricity consumption
(flyash: just Transportation, particulate matter generation from fly ash sintering and drying (FIRE))
(Bottom ash: just transportation)
RCP: RCP production (various resources), oil consumption, transportation</t>
  </si>
  <si>
    <t>Huijbregts et al. (2000) 
&amp;
database of CMLCA (2008)
&amp;
Houghton et al. (2001)</t>
  </si>
  <si>
    <t>1 embankment construction</t>
  </si>
  <si>
    <t>Cyprus</t>
  </si>
  <si>
    <t>1 kg of adobe bricks produced</t>
  </si>
  <si>
    <t>The goal of this study was to evaluate the environmental impact of adobe brick production system by investigating alter- native production scenarios.</t>
  </si>
  <si>
    <t>GaBi software (GaBi, 2013)
&amp;
Industrial Partners
&amp;
other authors</t>
  </si>
  <si>
    <t>This paper uses this methodology (LCA) to evaluate the impact of inner walls, considering as case study a traditional house in Brazil, made by: ceramic bricks masonry and sand and cement mortar.</t>
  </si>
  <si>
    <t>This study adopts a functional unit of 115m2 inner wall calculated by multi- plying the length by the height of the walls. (= inner walls of the house)</t>
  </si>
  <si>
    <t>extraction, construction, use-maintenance and demolition phases of the buildings</t>
  </si>
  <si>
    <t>shows contribution [%] of sand, lime, cement and brick to different impact indicators</t>
  </si>
  <si>
    <t>This paper reports a study aiming to understand the impact, in terms of energy use and greenhouse gases, of the quarrying and pro- cessing of natural stone used in the repair of traditional buildings and construction of new buildings.</t>
  </si>
  <si>
    <t>The functional unit adopted for this work is kilograms of car- bon dioxide equivalent per tonne of finished dimension stone
(kgCO2e/tonne) and it is assumed that the output product consists of regular blocks finished flat on all six faces, but without significant decorative treatment.</t>
  </si>
  <si>
    <t>Industrial Partners
&amp;
Defra/DECC 2009
&amp;
European Commission 2008
&amp;
World LP Gas Association 2008
&amp;
IFEU 2008</t>
  </si>
  <si>
    <t>‘‘Allocation, EcoInvent default’’ method</t>
  </si>
  <si>
    <t>EcoInvent database (2014) version 3</t>
  </si>
  <si>
    <t>sandstone</t>
  </si>
  <si>
    <t>granite</t>
  </si>
  <si>
    <t>slate</t>
  </si>
  <si>
    <t>Embodied Carbon(kg CO2-eq/fu)</t>
  </si>
  <si>
    <t>just Embodied CO2</t>
  </si>
  <si>
    <t>In this paper, this supply assumption is challenged through a market analysis. The environmental consequences of GGBFS supply conditions are assessed using a system expansion approach to life cycle assessment.</t>
  </si>
  <si>
    <t>one cubic metre of standard strength grade 32 MPa concrete for 50 years.</t>
  </si>
  <si>
    <t>other authors
&amp;
Australian Unit Process Life Cycle Inventory (AUPLCI, Grant, 2010)
&amp;
Ecoinvent 2.2
&amp;
Industrial Partners</t>
  </si>
  <si>
    <t>IPCC fourth assessment report (IPCC, 2007)</t>
  </si>
  <si>
    <t>shows GWP of different constituents for 1 m3 of concrete</t>
  </si>
  <si>
    <t>The aim of the present research is to develop a method for analysing the sustainability of different concrete and reinforcement configurations for segmental linings of TBM tunnels using the MIVES method (a multi-criteria decision making approach for assessing sustainability)</t>
  </si>
  <si>
    <t>extraction, transportation, receiving, and in-plant processing of the materials - fabrication and storage of the segments - transport and installation of the segments - maintenance that may be needed to repair defects detected during the transitional stages (manufacture, transportation and installation)</t>
  </si>
  <si>
    <t>1 km of tunnel</t>
  </si>
  <si>
    <t>Inventory of Carbon Energy version 2.0 (ICE, 2001)
&amp;
ITAtech 2015</t>
  </si>
  <si>
    <t>This paper explores embodied carbon analysis using building components to enhance the understanding of the sensitivity and categorisation of measurements to propose a methodology.</t>
  </si>
  <si>
    <t>1 passivhaus</t>
  </si>
  <si>
    <t>ICE database
&amp;
Green Guide to Specification</t>
  </si>
  <si>
    <t>cradle-to-cradle; but without construction, service and demolition phase</t>
  </si>
  <si>
    <t>A1-A3 + D</t>
  </si>
  <si>
    <t>1m3 of concrete</t>
  </si>
  <si>
    <t>Industrial Partners
&amp;
database developed by China Centre of National Material Life Cycle Assessment (CNMLCA, 2010) in Beijing University of Technology
&amp;
other authors</t>
  </si>
  <si>
    <t>IPCC (2007)’s global warming potential (GWP) impact method</t>
  </si>
  <si>
    <t>The paper proposes a method and an analysis of the ecological cost- effectiveness for the investment involving the thermal insulation of external vertical walls for two different buildings in five climate zones located in Poland.</t>
  </si>
  <si>
    <t>raw material acquisition - production - use</t>
  </si>
  <si>
    <t>As a functional unit for thermal insulation materials, 1 m3 of material was adopted. How- ever, for the building life cycle of the energy phaseethe production of 1 kWhof thermal energy depending on the heat source usedwas taken as a functional unit.</t>
  </si>
  <si>
    <t>other / m3</t>
  </si>
  <si>
    <t>Gabi 4 
&amp;
Umberto 5.0
&amp;
SimaPro 7.1</t>
  </si>
  <si>
    <t>This paper presents the results of embodied energy and global warming potential, using life cycle assessment (LCA) methodology, for load-bearing walls</t>
  </si>
  <si>
    <t>total surface of the walls (We evaluated a three-storey building whose total height is 9.90 m. The construction consists of three parallel walls each 8.00 m long. The distances between the walls are 3.00 m, 3.50 m, 4.00 m and 4.50 m)</t>
  </si>
  <si>
    <t>manufacture of building products - assembly and construction - maintenance and repair - dismantling and demolition - disposal and recycling
(without use)</t>
  </si>
  <si>
    <t>other authors
&amp;
ecoinvent v.2</t>
  </si>
  <si>
    <t>This study presents an integrated model based on life cycle assessment and multi-objective optimization to plan the optimal aggregate supplies from different sources.</t>
  </si>
  <si>
    <t>cradle-to-"transport to users"</t>
  </si>
  <si>
    <t>IPCC 2006
&amp;
EPA 2011
&amp;
Industrial Partners</t>
  </si>
  <si>
    <t>Impact 2002+ (Jolliet et al., 2003; Humbert et al., 2012)</t>
  </si>
  <si>
    <t>quarried aggregate</t>
  </si>
  <si>
    <t>recycled aggregate</t>
  </si>
  <si>
    <t>imported aggregate</t>
  </si>
  <si>
    <t>1 t aggregates</t>
  </si>
  <si>
    <t>terrestrial acidification</t>
  </si>
  <si>
    <t>Respiratory Effect (kg PM2.5-eq/fu)</t>
  </si>
  <si>
    <t>This study investigates and analyses the energy consumption of two museums in Hangzhou, China. Life cycle analysis (LCA) is used to calculate the energy consumption and greenhouse gas emissions in the life cycles</t>
  </si>
  <si>
    <t>production of building materials, site operation, operations and maintenance,
demolition and disposal</t>
  </si>
  <si>
    <t>whole museum</t>
  </si>
  <si>
    <t>The present study was conducted to assess and compare the environmental consequences of recycled aggregates production from C&amp;D waste and waste glass, and natural aggregate production from virgin materials by LCA by using case specific and first hand data.</t>
  </si>
  <si>
    <t>IMPACT 2002+ Method</t>
  </si>
  <si>
    <t>extraction, processing, transport to Hong Kong and then to use sites</t>
  </si>
  <si>
    <t>production of 1 t of natural fine aggregates from river sand and crushed stone vs. 1 t of recycled fine aggregates from C&amp;D waste and waste glass, and the produc- tion of 1 t of natural coarse aggregates from crushed stone vs. 1 t of recycled coarse aggregates from C&amp;D waste in Hong Kong</t>
  </si>
  <si>
    <t>Industrial Partners 
&amp;
China Light and Power (CLP) 
&amp;
Chinese Life Cycle Database (CLCD)
&amp;
ELCD database (European reference Life Cycle Database)</t>
  </si>
  <si>
    <t>shows also endpoint indicators</t>
  </si>
  <si>
    <t>natural fine (River Sand)</t>
  </si>
  <si>
    <t>natural fine (crushed stone)</t>
  </si>
  <si>
    <t>recycled fine (C&amp;D waste)</t>
  </si>
  <si>
    <t>recycled fine (waste glass)</t>
  </si>
  <si>
    <t>natural coarse (crushed stone)</t>
  </si>
  <si>
    <t>recycled coarse (C&amp;D waste)</t>
  </si>
  <si>
    <t>Carcinogens (kg C2H3Cl-eq/fu)</t>
  </si>
  <si>
    <t>Non-Carcinogens (kg C2H3Cl-eq/fu)</t>
  </si>
  <si>
    <t>Ionizing radiation (Bq C-14-eq/fu)</t>
  </si>
  <si>
    <t>Respiratory Organics (kgC2H4eq/fu)</t>
  </si>
  <si>
    <t>Aquatic Ecotoxicity (kg TEG water/fu)</t>
  </si>
  <si>
    <t>Terrestrial acid/nutri (kg SO2 eq/fu)</t>
  </si>
  <si>
    <t>Terrestrial Ecotoxicity (kg TEG soil/fu)</t>
  </si>
  <si>
    <t>Land occupation (m2org.arable/fu)</t>
  </si>
  <si>
    <t>aquatic acidification (kgSO2eq/fu)</t>
  </si>
  <si>
    <t>aquatic eutrophication (kgPO4 P-lim/fu)</t>
  </si>
  <si>
    <t>The objective of this study is to identify building materials which may optimize a building’s energy requirements over its entire life cycle, by analyzing both embodied and operational energy consumption in a climatically responsive building in the Negev desert region of southern Israel—comparing its actual material composition with a number of possible alternatives.</t>
  </si>
  <si>
    <t>pre-use and use phases</t>
  </si>
  <si>
    <t>For the building selected as a base case, the functional unit is the service provided by four student apartments of 28 m2 each, over 50 years</t>
  </si>
  <si>
    <t>other authors
&amp;
use-phase: Quick II software</t>
  </si>
  <si>
    <t>measured on-site
&amp;
Ecoinvent v.2.2 database</t>
  </si>
  <si>
    <t>According to this, the present paper aims at investigating the Life Cycle In- ventory (LCI) of a single-storey precast reinforced concrete shed devoted to the storage of non-perishable goods (no offices inside) and identifying the input material and the energy flow inventories associated with its life cycle.</t>
  </si>
  <si>
    <t>single-storey precast reinforced concrete shed was chosen as FU assuming a temporal horizon for its life of 55 years</t>
  </si>
  <si>
    <t>This study applied attributional and consequential life cycle assessment to deduce the net environmental impacts – measured in terms of global warming potential and embodied energy – due to replacing sand with steel slag.</t>
  </si>
  <si>
    <t>1 kg of sand</t>
  </si>
  <si>
    <t>no difference between mass allocation and economic value allocation for 1 kg of sand</t>
  </si>
  <si>
    <t>0,002 - 0,004</t>
  </si>
  <si>
    <t>0,003-0,006</t>
  </si>
  <si>
    <t>embodied energy:</t>
  </si>
  <si>
    <t>ecoinvent (2013)
&amp;
other authors
&amp;
Industrial Partners</t>
  </si>
  <si>
    <t>1 kg of clay bricks</t>
  </si>
  <si>
    <t>other authors
&amp;
Industrial Partners
&amp;
Ecoinvent 2010</t>
  </si>
  <si>
    <t>This paper has assessed the GHG emissions and EE consumption associated with the construction and use of a typical house in Perth for sixty building envelope options using a life cycle assessment (LCA) approach.</t>
  </si>
  <si>
    <t>a typical 4 x 2 x 2 house over 50 years</t>
  </si>
  <si>
    <t>The system bound- ary for this study is limited to use stage only.</t>
  </si>
  <si>
    <t>NatHERS accredited energy rating software (AccuRate, 2015; Aldawi et al., 2013a,b; Morrissey and Horne, 2011)
&amp;
AccuRate V2.0.2.13SP2
&amp;
Ecoinvent 2.2
&amp;
Australian Unit Process LCI (AusLCI) database library</t>
  </si>
  <si>
    <t>IPCC (2007)</t>
  </si>
  <si>
    <t>SCC (per m3)</t>
  </si>
  <si>
    <t>extraction of raw materials, transportation to the site, construction processes</t>
  </si>
  <si>
    <t>no real LCA</t>
  </si>
  <si>
    <t>This paper investigates the CO2 impact of current and future UK rail track and estimates the material, process and transport emissions associated with construction, maintenance and end-of-life activities for designs at high and low traffic loads.</t>
  </si>
  <si>
    <t>Material, manufacture, transport, use and disposal elements</t>
  </si>
  <si>
    <t>Network Rail 2009
&amp;
other authors
&amp;
Inventory of Carbon and Energy (Hammond and Jones, 2008)</t>
  </si>
  <si>
    <t>conversion factors from the Carbon Trust 2009</t>
  </si>
  <si>
    <t>m of track</t>
  </si>
  <si>
    <t>In this study, a Life Cycle Assessment (LCA) is performed for different LWAs (Light Weight Aggregates) manufactured with raw materials supplied by nature or waste. Then, the LCA is conducted on different concretes made of the different LWAs.</t>
  </si>
  <si>
    <t>concrete: 1m3 of lightweight concrete (C25/30 &amp; 1600kg/m3)
&amp;
LWAs: 1m3 of LWAs (density between 600 and 1010 kg/m3)</t>
  </si>
  <si>
    <t>Industrial Partners
&amp;
EcoInvent 2.2</t>
  </si>
  <si>
    <t>shows 4 damage (endpoint) indicators: Human Health, Ecosystem quality, climate change, resources
no midpoint indicators</t>
  </si>
  <si>
    <t>Within the scope of this article, the results of a comparative environmental Life Cycle Assessment (LCA) of four functionally equivalent buildings with different material structure, construction technology and energy standards have been presented. The main goal of the analyses has been providing the answer to the question, what is the key element, from the environmental point of view, in the life cycle of buildings and is it a common element regardless of the technology of construction and the energy standards.</t>
  </si>
  <si>
    <t>Ecoinvent 2.2
&amp;
other authors
&amp;
BAT reports
&amp;
Industrial Partners</t>
  </si>
  <si>
    <t>IMPACT 2002+
&amp;
eco-indicator 99 / E
&amp;
CML (Guinee et al 2002)
&amp;
IPCC</t>
  </si>
  <si>
    <t>materials necessary to construct a building with the usable area of 98.04m2</t>
  </si>
  <si>
    <t>The goal of this paper is to visualise the energy use (embod- ied and operational) during the life cycle of case study for a house in the social housing program.</t>
  </si>
  <si>
    <t>a standard house with 3.3 habitants (average number for the Brazilian family) and an internal floor area of 48 m2 with the service life of 50 years</t>
  </si>
  <si>
    <t>This work evaluates how the life cycle CO2 emissions of buildings are affected by facade parameters.</t>
  </si>
  <si>
    <t>The functional unit in this LCA, therefore, is the “external heat gain”, which can be represented by electricity consumed by the HVAC system.</t>
  </si>
  <si>
    <t>Materials Engineering Directorate in Bahrain (Materials Engineering Directorate, 2010; Radhi, 2009)
&amp;
Industrial Partners
&amp;
measured on-site
&amp;
IEA 2007
&amp;
UNFCCC 2011
&amp;
other authors
&amp;
BEES software</t>
  </si>
  <si>
    <t>The aim of this study was to develop and evaluate the applicability of an optimum design program (SUSB-OPTIMUM) for the life cycle CO2 assessment of an apartment house that can be readily utilized during the planning and design phases.</t>
  </si>
  <si>
    <t>standard house (84m2)</t>
  </si>
  <si>
    <t>SUSB-LCA (Sustainable Building Research Center of Hanyang Univ.)</t>
  </si>
  <si>
    <t>The goal of this work is to demonstrate a method to measure and manage the cradle-to-gate life cycle environmental impacts by linking environmental targets with modern con- struction management methods, to enable buildings to meet sustainable target values (STV).</t>
  </si>
  <si>
    <t>material extraction, manufacture, transport to site, and construction</t>
  </si>
  <si>
    <t>EcoIndicator 95</t>
  </si>
  <si>
    <t>EcoInvent v2.2 database
&amp;
measured on-site</t>
  </si>
  <si>
    <t>1 building project 
&amp;
1 infrastructure project</t>
  </si>
  <si>
    <t>The main objective of this paper is to present a comprehensive assessment of materials used for wall
construction by comparing one square meter of constructed wall for each of the materials.</t>
  </si>
  <si>
    <t>square meter wall</t>
  </si>
  <si>
    <t>no LCA:
just "Environmental Suitability Index (ESI)" based on embodied energy, life-cycle cost and re-usability</t>
  </si>
  <si>
    <t>This paper concentrates on the assessment of energy and emissions related to the production and manufacture of materials for an offshore wind farm as well as a wind farm on land based on a life cycle analysis (LCA) model.</t>
  </si>
  <si>
    <t>1 kg of material</t>
  </si>
  <si>
    <t>This study investigates the eco-burden effect of road construction in its maintenance phase along with the influence of above factors in shortening road life-cycle.</t>
  </si>
  <si>
    <t>Indonesia</t>
  </si>
  <si>
    <t>construction - operation - maintenance</t>
  </si>
  <si>
    <t>per lane per 1 km</t>
  </si>
  <si>
    <t>other authors
&amp;
Eco-Indcator99 database</t>
  </si>
  <si>
    <t>the aim is to help develop a methodology for evaluat- ing CO2 emissions generated during the life cycle of office building façades.</t>
  </si>
  <si>
    <t>a 494m2 façade, divided into four faces (North, South, East, and West), used along the building 60-year service life, in order to obtain a comfortable internal temper- ature in air conditioned areas of 24 °C, in business days when the building is used</t>
  </si>
  <si>
    <t>other authors
&amp;
databases from the SimaPro program</t>
  </si>
  <si>
    <t>Therefore, the purpose of this study is to develop an apartment house life cycle CO2 simple assessment system that can measure the CO2 emissions of a building even without construction material quantity calculation data or the results of energy consumption simulation analysis in construction planning and the basic design stages.</t>
  </si>
  <si>
    <t>"assessment of the Korea Green Home Certification System"</t>
  </si>
  <si>
    <t>apartment house</t>
  </si>
  <si>
    <t>Green Home Certification System of Korea</t>
  </si>
  <si>
    <t>Hossain, Md. Uzzal
Poon, Chi Sun
Lo, Irene M C
Cheng, Jack C P</t>
  </si>
  <si>
    <t>Kayo, Chihiro
Hashimoto, Seiji
Numata, Atsunori
Hamada, Masanori</t>
  </si>
  <si>
    <t>Kendall, Alissa
Keoleian, Gregory A
Lepech, Michael D</t>
  </si>
  <si>
    <t>In this paper, a comparative life cycle analysis (LCA) is performed for six different types of wastewater pipe materials: composite fiber reinforced polymer (FRP), PVC, high density polyethylene (HDPE), ductile iron, vitrified clay, and reinforced concrete.</t>
  </si>
  <si>
    <t>one kilometer sewer infrastructure needed for a small city with population of 25,000 people for a period of 50 years</t>
  </si>
  <si>
    <t>pipe manufacturing, transportation, installation, and use</t>
  </si>
  <si>
    <t>USEPA TRACI method</t>
  </si>
  <si>
    <t>Ecoinvent 3
&amp;
other authors</t>
  </si>
  <si>
    <t>Iran</t>
  </si>
  <si>
    <t>In this study, environmental impact of concrete containing zeolite and conventional one on the globalwarming potential are assessed by applying life-cycle assessment method.</t>
  </si>
  <si>
    <t>1m3 of concrete used in a structure with a service life of 15 years -in accordance with the information obtained from different organi- zations in the Persian Gulf region</t>
  </si>
  <si>
    <t>from material extraction to use</t>
  </si>
  <si>
    <t>measured on-site (field experiments)
&amp;
Industrial partners
&amp;
other authors</t>
  </si>
  <si>
    <t>GWP acc to Lippiatt,2007</t>
  </si>
  <si>
    <t>This LCA was conducted to quantify the reduction in greenhouse gas emissions that result from replacing 50% of concrete’s OPC with 40% FA and 10% SF fume while taking into account the differences in strength and durability with OPC concrete.</t>
  </si>
  <si>
    <t>a concrete slab (span: 5m, width: 1 m) located in a submerged marine environment carrying a variable load of 5 kN/m2</t>
  </si>
  <si>
    <t>China
Australia</t>
  </si>
  <si>
    <t>two buildings</t>
  </si>
  <si>
    <t>measured on-site
&amp;
Simulation
&amp;
Estimation
&amp;
other authors</t>
  </si>
  <si>
    <t>shows emissions CO2eq for sand, stone, cement, lime based on Australian and Chinese Inventory for 1 ton of material</t>
  </si>
  <si>
    <t>Two state- of-the-art green buildings located in China and Australia are studied to present the relationship between low GHG buildings and green buildings.</t>
  </si>
  <si>
    <t>materials preparation, building construction and reformation, building operation, building demolition as well as wastes treatment and recycling</t>
  </si>
  <si>
    <t>IPCC 2006</t>
  </si>
  <si>
    <t>per 100 m2 of a resedential buliding</t>
  </si>
  <si>
    <t>In order to understand the roles of urban building system in the global and regional climate changes, we set up an integrated model to analyze the carbon emissions of urban building system during its life cycle in this paper, which is called LCCE Model.</t>
  </si>
  <si>
    <t>China has built the world’s largest High Speed Rail (HSR) network. Its environmental impacts have been examined by the means of life cycle assessment (LCA) which describes the whole picture of the HSR system instead of single stages, with a case study for the high- speed railway that links Beijing and Shanghai.</t>
  </si>
  <si>
    <t>(1) vehicle, including vehicle manufacture, maintenance, and disposal; (2) infrastructure, including infrastructure construction; and (3) operation, including vehicle operation.</t>
  </si>
  <si>
    <t>The functional unit is per seat per kilometer traveled (SKM) or per passenger per kilometer traveled (PKM)</t>
  </si>
  <si>
    <t>Ecoinvent 3.0 database
&amp;
Chinese Ministry of Railways
&amp;
Chinese Core Life Cycle Database (CLCD)</t>
  </si>
  <si>
    <t>CML 2002
&amp;
ISCP 2010
&amp;
IPCC 2007
&amp;
IMPACT2002+
&amp;
local characterization factors from IKE (2012)</t>
  </si>
  <si>
    <t>Bhochhibhoya, Silu
Pizzol, Massimo
Achten, Wouter M J
Maskey, Ramesh Kumar
Zanetti, Michela
Cavalli, Raffaele</t>
  </si>
  <si>
    <t>Comparative life cycle assessment and life cycle costing of lodging in the Himalaya</t>
  </si>
  <si>
    <t>Life cycle assessment of nine recovery methods for end-of-life tyres</t>
  </si>
  <si>
    <t>Clauzade, Catherine
Osset, Philippe
Hugrel, Charlotte
Chappert, Aude
Durande, Maxime
Palluau, Magali</t>
  </si>
  <si>
    <t>Evaluation of environmental friendliness of concrete paving eco-blocks using LCA approach</t>
  </si>
  <si>
    <t>Journal of Wood Science</t>
  </si>
  <si>
    <t>Reductions in greenhouse gas emissions by using wood to protect against soil liquefaction</t>
  </si>
  <si>
    <t>Materials design for sustainability through life cycle modeling of engineered cementitious composites</t>
  </si>
  <si>
    <t>Cost-effective GHG mitigation strategies for Western Australia's housing sector: a life cycle management approach</t>
  </si>
  <si>
    <t>Lawania, Krishna Kumar
Biswas, Wahidul K</t>
  </si>
  <si>
    <t>Life cycle assessment of construction and renovation of sewer systems using a detailed inventory tool</t>
  </si>
  <si>
    <t>Morera, Serni
Remy, Christian
Comas, Joaquim
Corominas, Lluís</t>
  </si>
  <si>
    <t>Paleari, Michele
Lavagna, Monica
Campioli, Andrea</t>
  </si>
  <si>
    <t>The assessment of the relevance of building components and life phases for the environmental profile of nearly zero-energy buildings: life cycle assessment of a multifamily building in Italy</t>
  </si>
  <si>
    <t>Park, Jin-Young
Lee, Dong-Eun
Kim, Byung-Soo</t>
  </si>
  <si>
    <t>KSCE Journal of Engineering</t>
  </si>
  <si>
    <t>A study on analysis of the environmental load impact factors in the planning stage for highway project</t>
  </si>
  <si>
    <t>Optimization of CO2 emissions in the design phases of urban planning, based on geometric characteristics: a case study of a low-density urban area in Spain</t>
  </si>
  <si>
    <t>Sustainability Science</t>
  </si>
  <si>
    <t>Roldán-Fontana, J
Pacheco-Torres, R
Jadraque-Gago, E
Ordóñez, J</t>
  </si>
  <si>
    <t>Quantifying the greenhouse benefits of the use of wood products in two popular house designs in Sydney, Australia</t>
  </si>
  <si>
    <t>Ximenes, Fabiano A
Grant, Tim</t>
  </si>
  <si>
    <t>Zea Escamilla, Edwin
Habert, Guillaume</t>
  </si>
  <si>
    <t>Method and application of characterisation of life cycle impact data of construction materials using geographic information systems</t>
  </si>
  <si>
    <t>Nepal</t>
  </si>
  <si>
    <t>The main aim of the study is to assess the environ- mental and economic impacts of the lodging sector located in the Himalayan region of Nepal, from a life cycle perspective. The assessment should support decisionmaking in technology and material selection for minimal environmental and economic burden in future construction projects.</t>
  </si>
  <si>
    <t>raw material acquisition, manufacturing, con- struction, use, maintenance and material replacement</t>
  </si>
  <si>
    <t>Lodging of one additional guest per night</t>
  </si>
  <si>
    <t>ecoinvent v.3
&amp;
questionnaires with the owners of the buildings
&amp;
measured on-site</t>
  </si>
  <si>
    <t>IPCC 2013
&amp;
ReCiPe</t>
  </si>
  <si>
    <t>Aliapur decided to carry out a comparative environmental evaluation of the various recovery alternatives. In addition to comparing the different alternatives, this environmental evaluation aimed at identifying the strengths and weaknesses of each recovery method, and of the management of used tyres as a whole. Altogether, nine recovery methods for end-of-life tyres (ELT) were studied.</t>
  </si>
  <si>
    <t>D</t>
  </si>
  <si>
    <t>from storage of used tyres to granulation</t>
  </si>
  <si>
    <t>recovering one tonne of used, end-of-life tyres from a collection point</t>
  </si>
  <si>
    <t>no allocation issues had to be dealt within the context of this study.</t>
  </si>
  <si>
    <t>this study aims to assess and compare the environmental im- pacts and sustainability associated with the natural blocks manufactured with virgin materials and three generations of the eco-blocks manufactured with recycled C&amp;D waste and waste glass by the lifecycle assessment (LCA) techniques.</t>
  </si>
  <si>
    <t>IMPACT 2002+ method</t>
  </si>
  <si>
    <t>1 t of blocks production</t>
  </si>
  <si>
    <t>Industrial Partners
&amp;
China Light and Power (CLP) 
&amp;
Chinese Core Life Cycle Database (CLCD)
&amp;
other authors
&amp;
Ecoinvent 3.0</t>
  </si>
  <si>
    <t>mass allocation
&amp;
no allocation</t>
  </si>
  <si>
    <t>other authors
&amp;
Japan Environmental Management Association for Industry
&amp;
Ministry of the Environment of Japan</t>
  </si>
  <si>
    <t>per 100 m2 of improvement area</t>
  </si>
  <si>
    <t>not clearly stated; seems sometimes like cradle-to-grave, seems somtimes like just production or A</t>
  </si>
  <si>
    <t>We compared the greenhouse gas (GHG) emissions from a log pile (LP) to those from a sand compaction pile (SCP) and from cement deep mixing (CDM) as mea- sures against soil liquefaction, assuming that forest and waste management scenarios infl uence the GHG (CO2, CH4, and N2O) balance of wood.</t>
  </si>
  <si>
    <t>A framework is proposed to evaluate and enhance the design of ‘‘greener’’ materials that integrates material design, structural design, and life cycle modeling of the built system. This framework is applied to engineered cementitious composite materials, a fam- ily of high performance fiber-reinforced composites used as link slabs in a concrete bridge deck.</t>
  </si>
  <si>
    <t>US EPA
&amp;
other authors (shows list of sources for plasticizers, fly ash and the like</t>
  </si>
  <si>
    <t>bridge deck system over its 60-year life</t>
  </si>
  <si>
    <t>This paper has assessed possible GHG mitigation options for Western Australia’s houses, where energy-intensive clay brick walls and single-glazed windows are currently being used. A life cycle management framework has been used to determine cost-effective GHG emissions mitigation strategies.</t>
  </si>
  <si>
    <t>The functional unit for this study is the construction and use of a typical 4 x 2 x 2 house over a period of 50 years.</t>
  </si>
  <si>
    <t>limited to construction and use stage only</t>
  </si>
  <si>
    <t>AccuRate software</t>
  </si>
  <si>
    <t>The objective was to provide comprehensive life cy- cle inventories for the construction and renovation of sewers.</t>
  </si>
  <si>
    <t>construction and regular renovation of a sewer system of 1 km length during 70 years of operation</t>
  </si>
  <si>
    <t>ReCiPe (H) 1.09 (Goedkoop et al. 2013)</t>
  </si>
  <si>
    <t>Industrial Partners
&amp;
public database BEDEC from the Construction Technology Institute of Catalonia
&amp;
EcoInvent 3
&amp;
EcoInvent 2.1</t>
  </si>
  <si>
    <t>2.1 and 3</t>
  </si>
  <si>
    <t>This article underlines the necessity to go beyond the energy evaluations and move towards the environmental assessment in a life cycle perspective, by comparing the impacts due tobuildingmaterials and energyproductiondevices.</t>
  </si>
  <si>
    <t>1 m2 of net floor area in 1 year (1 m2y), upon a lifespan of 100 years</t>
  </si>
  <si>
    <t>EPD2008 method</t>
  </si>
  <si>
    <t>Ecoinvent 2.2
&amp;
Industrial Partners</t>
  </si>
  <si>
    <t>production + use phase</t>
  </si>
  <si>
    <t>Industrial Partners
&amp;
other authors
&amp;
Korean Ministry of Trade, Industry and Energy 
&amp;
Ministry of Environment
&amp;
"databases from other countries"</t>
  </si>
  <si>
    <t>construction</t>
  </si>
  <si>
    <t>??????
No REAL LCA
"environmental load"</t>
  </si>
  <si>
    <t>The objective of this research was to use Life Cycle Assessment (LCA) as a method of evaluating the envi- ronmental impact of urban planning.</t>
  </si>
  <si>
    <t>raw material supply (A1); transport (A2); manufacturing (A3); transport (A4); and construction/installation on-site processes (A5)</t>
  </si>
  <si>
    <t>Inventory of Carbon and Energy (ICE) 
&amp;
Environmental Product Declaration (EPD) provided by the manufacturers
&amp;
database of the Instituto de Tecnologı´a de la Construccio of Catalonia (ITEC 2012)</t>
  </si>
  <si>
    <t>per m2 of surface area</t>
  </si>
  <si>
    <t>This study determined the GHG outcomes of the extraction, manufacture, transport, use in construction, maintenance and disposal of wood products and other build- ing materials for two popular house designs in Sydney, Australia.</t>
  </si>
  <si>
    <t>the supply of base building elements for a domestic house (a single storey design and a two-storey design) located in Sydney</t>
  </si>
  <si>
    <t>Australian Life Cycle Inventory library
&amp;
ecoinvent library
&amp;
other authors
&amp;
Australian Steel Institute
&amp;
Australian Cement Industry Federation</t>
  </si>
  <si>
    <t>This research presents a methodology to characterize life cycle impact data (LCIA) of alternative construction ma- terials outside of the European context.</t>
  </si>
  <si>
    <t>The functional unit for the LCA was defined as an 18 m2 core shelter unit consisting of structural elements only</t>
  </si>
  <si>
    <t>SCLCI 2011
&amp;
other authors
&amp;
EcoInvent 2.7 [sic!]</t>
  </si>
  <si>
    <t>without use-phase; nothing else stated</t>
  </si>
  <si>
    <t>shows emissions (CO2, etc.) for sand, clay, limestone</t>
  </si>
  <si>
    <t>shows also CO2 emissions per fU of gravel and sand</t>
  </si>
  <si>
    <t>A1-C2</t>
  </si>
  <si>
    <t>shows contribution [%] of sand, aggregates, cement, admixtures to diff. Indicators</t>
  </si>
  <si>
    <t>shows emissions (CO2, CO, etc) for "fina ggregates" and "coarse aggregates" per kg in diff countries (China, Thailand, etc.)
and impacts for these  (ReCiPe)</t>
  </si>
  <si>
    <t>shows emmisions for aggregates, cement, superplasticizer</t>
  </si>
  <si>
    <t>shows contribution of crushed aggregates, gravel etc to impact categories</t>
  </si>
  <si>
    <t>shows contribution of natural aggregates to ecoindicator99 results</t>
  </si>
  <si>
    <t>cradle-to-site (excavation, manufacture and transport)</t>
  </si>
  <si>
    <t>shows emissionsfacors (CO2) for sand, gravel, fly ash etc. + sources</t>
  </si>
  <si>
    <t>A1-A3 + B</t>
  </si>
  <si>
    <t>shows GHG emission factor for "aggregates (stone, gravel, sand)" and crushed stone / gravel&amp;sand with sources</t>
  </si>
  <si>
    <t>Sand: ELCD / PE International
&amp; 
other materials:
Ecoinvent 2.0
PE International
GaBi 4.4
BioIntelligence/Eurobitume
ELCD</t>
  </si>
  <si>
    <t>Gravel: ELCD / PE International
&amp; 
other materials:
Ecoinvent 2.0
PE International
GaBi 4.4
BioIntelligence/Eurobitume
ELCD</t>
  </si>
  <si>
    <t>mineral extraction (MJ surplus/fu)</t>
  </si>
  <si>
    <t>Depletion of Minerals (t/fu)</t>
  </si>
  <si>
    <t>Human Toxicity - Air (kg 1,4-dichlorbenzene-eq/fu)</t>
  </si>
  <si>
    <t>Human Toxicity - Fresh Water (kg 1,4-dichlorbenzene-eq/fu)</t>
  </si>
  <si>
    <t>Air ecotoxicity (kg 1,4-dichlorbenzene-eq/fu)</t>
  </si>
  <si>
    <t>Depletion of Landfill Waste (m3/fU)</t>
  </si>
  <si>
    <t>Dust (kg/ton.fU)</t>
  </si>
  <si>
    <t>impact results for aggregate production per 1 km (1 km equals 940 tonnes of aggregate)
!! just material phase (A1-A3) !!</t>
  </si>
  <si>
    <t>shows also emissions (CO2, CO, etc) for "crushed aggregates", "recycled aggregates" and "cement"</t>
  </si>
  <si>
    <t>aggregates per m3 of NAC without transport to site
(1 m3 of NAC contains 1879kg of natural aggregates)</t>
  </si>
  <si>
    <t>aggregates per m3 of RAC without transport to the site
(1 m3 of RAC contains 1716kg of aggregates, of which 601 (0/4) are natural and 1115 (4/31,5) are recycled)</t>
  </si>
  <si>
    <t>aggregates per m3 of NAC without transport
(1 m3 of NAC contains 1920kg of natural aggregates)</t>
  </si>
  <si>
    <t>aggregates per m3 of RAC without transport
(1 m3 of RAC contains 1670kg of aggregates, of which 960 (0/4) are natural and 710 (0/10) are recycled)</t>
  </si>
  <si>
    <t>Case 1: recycled at fixed plant</t>
  </si>
  <si>
    <t>Case 2: recycled at mobile plant</t>
  </si>
  <si>
    <t>shows impacts for 1kg of fly ash, blast furnace slygand silica fume</t>
  </si>
  <si>
    <t>results for sand&amp;gravel
(1m3 concrete contains 1292kg gravel and 554kg sand)</t>
  </si>
  <si>
    <t>0,0472 [kg Sb-eq/fu]</t>
  </si>
  <si>
    <t>1: all aggregates from IdF</t>
  </si>
  <si>
    <t>2: sand from IdF and others from France</t>
  </si>
  <si>
    <t>3: No aggregates from France</t>
  </si>
  <si>
    <t>4: Natural Sand and recycled aggregates from France</t>
  </si>
  <si>
    <t>5: all recycled aggregates from IdF</t>
  </si>
  <si>
    <t>"Sand" (also shown for cement, gravel, fly  ash, plastizicer and transport
CML 01 [kg Sb-eq/fu]</t>
  </si>
  <si>
    <t>"Sand" (1m3 contains 890kg sand)
new ADP indicator [kg Sb-eq/fu]</t>
  </si>
  <si>
    <t>"Gravel" (also shown for sand, gravel, fly  ash, plastizicer and transport
CML 01 [kg Sb-eq/fu]</t>
  </si>
  <si>
    <t>"Gravel" (1m3 contains 970kg gravel)
new ADP indicator [kg Sb-eq/fu]</t>
  </si>
  <si>
    <t>extraction of raw materials - production incl. Transport</t>
  </si>
  <si>
    <t>1t natural aggregate high quality</t>
  </si>
  <si>
    <t>1t natural facility average</t>
  </si>
  <si>
    <t>1t recycled aggr. high quality</t>
  </si>
  <si>
    <t>1t natural aggregate low quality</t>
  </si>
  <si>
    <t>1t recycled aggr. low quality</t>
  </si>
  <si>
    <t>Eco-Toxicity (kg 1,4-dichlorbenzene-eq/fu)</t>
  </si>
  <si>
    <t>0,000000322 [kg R11eq]</t>
  </si>
  <si>
    <t>0,000000113 [kg R11eq]</t>
  </si>
  <si>
    <t>0,000000321 [kg R11eq]</t>
  </si>
  <si>
    <t>0,0000000837 [kg R11eq]</t>
  </si>
  <si>
    <t>0,000000154 [kg R11eq]</t>
  </si>
  <si>
    <t>shows bars with impact of the ingredients (among others: aggregates)</t>
  </si>
  <si>
    <t>Chinese I-O tables
&amp;
China Statistical Yearbook
&amp;
other authors
&amp;
China Engineering Network
&amp;
Shanghai Construction and Construction Material Industry</t>
  </si>
  <si>
    <t>m / m2</t>
  </si>
  <si>
    <t>ANICER
&amp; 
Ecoinvent 2.2</t>
  </si>
  <si>
    <t>ICE</t>
  </si>
  <si>
    <t>Life cycle energy (LCEA) and carbon dioxide emissions (LCCO2A) assessment of two residential buildings in Gaziantep, Turkey</t>
  </si>
  <si>
    <t>Atmaca, Adem
Atmaca, Nihat</t>
  </si>
  <si>
    <t>Bin, Xiao
Chenxia, Suo
Xiaofei, Yan</t>
  </si>
  <si>
    <t>Comparing Chinese Clean Coal Transformation Technologies with Life Cycle Inventory</t>
  </si>
  <si>
    <t>Procedia Environmental Sciences</t>
  </si>
  <si>
    <t>Castelo Branco, David A.
Moura, Maria Cecilia P.
Szklo, Alexandre
Schaeffer, Roberto</t>
  </si>
  <si>
    <t>Emissions reduction potential from CO2 capture: A life-cycle assessment of a Brazilian coal-fired power plant</t>
  </si>
  <si>
    <t>Energy Policy</t>
  </si>
  <si>
    <t>Consonni, S.
Giugliano, M.
Grosso, M.</t>
  </si>
  <si>
    <t>Alternative strategies for energy recovery from municipal solid waste: Part B: Emission and cost estimates</t>
  </si>
  <si>
    <t>Damtoft, J.S.
Lukasik, J.
Herfort, D.
Sorrentino, D.
Gartner, E.M.</t>
  </si>
  <si>
    <t>Cement and Concrete Research</t>
  </si>
  <si>
    <t>Sustainable development and climate change initiatives</t>
  </si>
  <si>
    <t>Heath, Andrew
Paine, Kevin
McManus, Marcelle</t>
  </si>
  <si>
    <t>Minimising the global warming potential of clay based geopolymers</t>
  </si>
  <si>
    <t>Huntzinger, Deborah N.
Eatmon, Thomas D.</t>
  </si>
  <si>
    <t>A life-cycle assessment of Portland cement manufacturing: comparing the traditional process with alternative technologies</t>
  </si>
  <si>
    <t>Jiménez, Cristián
Barra, Marilda
Josa, Alejandro
Valls, Susanna</t>
  </si>
  <si>
    <t>LCA of recycled and conventional concretes designed using the Equivalent Mortar Volume and classic methods</t>
  </si>
  <si>
    <t>Josa, Alejandro
Aguado, Antonio
Heino, Atte
Byars, Ewan
Cardim, Arnaldo</t>
  </si>
  <si>
    <t>Comparative analysis of available life cycle inventories of cement in the EU</t>
  </si>
  <si>
    <t>Assessing the Potential of Mineral Carbonation with Industrial Alkalinity Sources in the U.S</t>
  </si>
  <si>
    <t>Kirchofer, Abby
Brandt, Adam
Krevor, Sam
Prigiobbe, Valentina
Becker, Austin
Wilcox, Jennifer</t>
  </si>
  <si>
    <t>Lee, SangHyun
Park, WonJun
Lee, HanSeung</t>
  </si>
  <si>
    <t>Life cycle CO2 assessment method for concrete using CO2 balance and suggestion to decrease LCCO2 of concrete in South-Korean apartment</t>
  </si>
  <si>
    <t>Life cycle climate impacts of the US concrete pavement network</t>
  </si>
  <si>
    <t>Loijos, Alexander
Santero, Nicholas
Ochsendorf, John</t>
  </si>
  <si>
    <t>Identifying the potential for resource and embodied energy savings within the UK building sector</t>
  </si>
  <si>
    <t>Mandley, S.
Harmsen, R.
Worrell, E.</t>
  </si>
  <si>
    <t>Miller, Sabbie A.
Monteiro, Paulo J.M.
Ostertag, Claudia P.
Horvath, Arpad</t>
  </si>
  <si>
    <t>Concrete mixture proportioning for desired strength and reduced global warming potential</t>
  </si>
  <si>
    <t>Müller, Harald S.
Breiner, Raphael
Moffatt, Jack S.
Haist, Michael</t>
  </si>
  <si>
    <t>Design and Properties of Sustainable Concrete</t>
  </si>
  <si>
    <t>Oliveira, Lidiane Santana
Pacca, Sérgio Almeida
John, Vanderley Moacyr</t>
  </si>
  <si>
    <t>Variability in the life cycle of concrete block CO2 emissions and cumulative energy demand in the Brazilian Market</t>
  </si>
  <si>
    <t>Panepinto, D.
Blengini, G.A.
Genon, G.</t>
  </si>
  <si>
    <t>Economic and environmental comparison between two scenarios of waste management: MBT vs thermal treatment</t>
  </si>
  <si>
    <t>Skullestad, Julie Lyslo
Bohne, Rolf André
Lohne, Jardar</t>
  </si>
  <si>
    <t>High-rise Timber Buildings as a Climate Change Mitigation Measure – A Comparative LCA of Structural System Alternatives</t>
  </si>
  <si>
    <t>Life cycle assessment of the production of cement: A Brazilian case study</t>
  </si>
  <si>
    <t>Witik, Robert A.
Teuscher, Remy
Michaud, Véronique
Ludwig, Christian
Månson, Jan-Anders E.</t>
  </si>
  <si>
    <t>Carbon fibre reinforced composite waste: An environmental assessment of recycling, energy recovery and landfilling</t>
  </si>
  <si>
    <t>Composites Part A: Applied Science and Manufacturing</t>
  </si>
  <si>
    <t>Analyzing environmental hotspots of proposed landfill extension and advanced incineration facility in Hong Kong using life cycle assessment</t>
  </si>
  <si>
    <t>Woon, Kok Sin
Lo, Irene M.C.</t>
  </si>
  <si>
    <t>Yang, Keun-Hyeok
Lee, Kyung-Ho
Song, Jin-Kyu
Gong, Min-Ho</t>
  </si>
  <si>
    <t>Properties and sustainability of alkali-activated slag foamed concrete</t>
  </si>
  <si>
    <t>Implementing ternary supplementary cementing binder for reduction of the heat of hydration of concrete</t>
  </si>
  <si>
    <t>Yang, Keun-Hyeok
Moon, Gyu-Don
Jeon, Yong-Su</t>
  </si>
  <si>
    <t>Developing a CO2-e accounting method for quantification and analysis of embodied carbon in high-rise buildings</t>
  </si>
  <si>
    <t>Gan, Vincent J.L.
Cheng, Jack C.P.
Lo, Irene M.C.
Chan, C.M.</t>
  </si>
  <si>
    <t>Park, Junghoon
Tae, Sungho
Kim, Taehyung</t>
  </si>
  <si>
    <t>Life cycle CO2 assessment of concrete by compressive strength on construction site in Korea</t>
  </si>
  <si>
    <t>In this study, a method to assess LCCO2 emissions using the compressive strength of concrete is proposed</t>
  </si>
  <si>
    <t>S. Korea LCI Database; Inter-industry analysis; Japan Society of Civil Engineering (for air entraining and water reducing agent)</t>
  </si>
  <si>
    <t>Stafford, Fernanda N.
Raupp-Pereira, Fabiano
Labrincha, João A.
Hotza, Dachamir</t>
  </si>
  <si>
    <t>1 kg of gravel</t>
  </si>
  <si>
    <t>manufacturing, use and demolition phases</t>
  </si>
  <si>
    <t>In this paper, a life cycle energy (LCEA) and carbon dioxide emissions (LCCO2A) analysis of two residential buildings has been conducted. The study includes the literature review, the data used for such a comprehensive analysis, and method- ology and provides an application of the methodology that considers two actual residential buildings constructed in Gaziantep, Turkey.</t>
  </si>
  <si>
    <t>shows embodied energy and CO2-emission factor for purified fly ash and gravel based on ICE database</t>
  </si>
  <si>
    <t>Inventory of Carbon and Energy (ICE) Version 2.0
&amp;
Industrial Partners
&amp;
measured on-site
&amp;
estimation</t>
  </si>
  <si>
    <t>per square meter</t>
  </si>
  <si>
    <t xml:space="preserve">1 GJ of final energy </t>
  </si>
  <si>
    <t>coal mining, washing and selecting, transportation, transformation</t>
  </si>
  <si>
    <t>China Statistical Yearbook (2008), 
China Energy Statistical Yearbook (2008),
China Environment Yearbook (2007) and 
China Transportation Yearbook (2008)
&amp;
Industrial Partners</t>
  </si>
  <si>
    <t>CML</t>
  </si>
  <si>
    <t>Based on the methodology of life cycle inventory, the environmental impacts of five clean coal transformation technologies are evaluated</t>
  </si>
  <si>
    <t>The objective of this analysis is to estimate to what degree the use of CCS in a coal fired thermoelectric power plant truly contributes towards the reduction of greenhouse gas emissions.</t>
  </si>
  <si>
    <t>other authors
&amp;
CMLCA software</t>
  </si>
  <si>
    <t>1 kWh</t>
  </si>
  <si>
    <t xml:space="preserve">This two-part paper assesses four strategies for energy recovery from Municipal Solid Waste (MSW) by dedicated Waste-To-Energy (WTE) plants. </t>
  </si>
  <si>
    <t>1 t of MR (materials recovery by selective waste collection) residue
(unit mass of waste to be disposed of)</t>
  </si>
  <si>
    <t>CML 2001
&amp;
IPCC 2001</t>
  </si>
  <si>
    <t xml:space="preserve">from waste recovery to production of energy </t>
  </si>
  <si>
    <t>unproper LCA, no details stated, just on paragraph for the whole LCA</t>
  </si>
  <si>
    <t>Therefore, this study aims to develop a method used for the quantification and analysis of embodied carbon in high-rise buildings.</t>
  </si>
  <si>
    <t>GWP: (Forster et al., 2007)</t>
  </si>
  <si>
    <t>per meter square gross floor area</t>
  </si>
  <si>
    <t>other authors
&amp;
 W R I ,  2012
&amp;
Hong Kong Building Department,
Hong Kong Environment Protection Department</t>
  </si>
  <si>
    <t>cradle-to-mixer (without mixing, moulding and curing)</t>
  </si>
  <si>
    <t>Production of Portland cement (PC) binders contributes substantially to global CO2 production and various bodies including the Intergovernmental Panel on Climate Change (IPCC) have identified geo- polymers as alternative binders with the potential to reduce these emissions. The hypothesis of this research is to investigate whether this is a realistic proposition in the light of limited waste materials such as fly ash and ground granulated blast furnace slag commonly used as geopolymer precursors.</t>
  </si>
  <si>
    <t>EcoInvent
&amp;
other authors</t>
  </si>
  <si>
    <t>shows CML2 indicators for Metakaolin</t>
  </si>
  <si>
    <t>IPCC 2007 GWP 100a
&amp;
CML2</t>
  </si>
  <si>
    <t>kg of geopolymer binder /
kg of meta-clay</t>
  </si>
  <si>
    <t>In this paper LCA is used to evaluate the environmental impact of four cement manufacturing processes: (1) the production of traditional Portland cement, (2) blended cement (natural pozzolans), (3) cement where 100% ofwaste cement kiln dust is recycled into the kiln process, and (4) Portland cement produced when cement kiln dust (CKD) is used to sequester a portion of the process related CO2 emissions.</t>
  </si>
  <si>
    <t>rawmaterial acquisition, processing, and product manufacturing stages (+shipping)</t>
  </si>
  <si>
    <t>SimaPro libraries and databases
&amp;
other authors</t>
  </si>
  <si>
    <t>The functional unit of analysis in this study is the production of the equivalent of 20 bags (each bag - 100 lb) of general use Class I Portland cement (1t of finished product)</t>
  </si>
  <si>
    <t>Eco-indicator95</t>
  </si>
  <si>
    <t>The objective of this investigation is to environmentally evaluate three concrete design methods through a Life Cycle Assessment</t>
  </si>
  <si>
    <t>Two declared units (DUs) are defined in this study: (i) the production of 1m3 of class C35-S3-Dmax20-X0 concrete in a central mix plant, and (ii) the pro- duction of 1m3 of class C40-S3-Dmax20-X0 concrete in a central mix plant.</t>
  </si>
  <si>
    <t>EcoInvent 3.01
&amp;
EFCA (admixtures)
&amp;
other authors</t>
  </si>
  <si>
    <t>This paper conducts a comparative analysis of inventories of several different types of cement produced in Europe.</t>
  </si>
  <si>
    <t>Spain
UK</t>
  </si>
  <si>
    <t>1 kg of cement</t>
  </si>
  <si>
    <t>calculation acc. To IPCC guidelines</t>
  </si>
  <si>
    <t>shows emissions for different types of cement (Portland, BFS-cement, ashcement...)</t>
  </si>
  <si>
    <t>This study investigates a sustainable development method such as material, service life and reuse of concrete in terms of CO2 balance (emission–absorption) and LCCO2 (life cycle CO2) of concrete to suppress the reckless development in pursuit of economic profits in the construction industry of Korea.</t>
  </si>
  <si>
    <t>1 m3 concrete</t>
  </si>
  <si>
    <t>shows emissionsfacors (CO2) for aggregates, fly ash and cement</t>
  </si>
  <si>
    <t>other authors
&amp;
Japan Society of Civil Engineers (JSCE)</t>
  </si>
  <si>
    <t>acc. To JSCE</t>
  </si>
  <si>
    <t>First, a general pavement LCA methodology is created that describes the concepts necessary to conduct a comprehensive pavement LCA. Second, the methodology is applied to the life cycle of concrete pavements to quantify current emissions across the road network.</t>
  </si>
  <si>
    <t>12 different streets analysed over one centerline-kilometer for the respective traffic loadings</t>
  </si>
  <si>
    <t>GaBi (2011) v4
&amp;
other authors</t>
  </si>
  <si>
    <t>CML (2011)</t>
  </si>
  <si>
    <t>This research took the UK as a case study and investigated where reduction measures are most suited to reduce material and energy consumption.</t>
  </si>
  <si>
    <t>ICE database</t>
  </si>
  <si>
    <t>per 1 m2 floor space</t>
  </si>
  <si>
    <t>In this research, formulae for predicting compressive strength and global warming potential (GWP) per cubic meter of concrete are proposed.</t>
  </si>
  <si>
    <t>GreenConcrete LCA tool (Gursel and Horvath)</t>
  </si>
  <si>
    <t>cubic meter of concrete</t>
  </si>
  <si>
    <t>Against this background the present paper outlines methods to assess and reduce the environmental impact of concrete and means to increase its performance</t>
  </si>
  <si>
    <t>1 m³ of concrete</t>
  </si>
  <si>
    <t>EPDs of raw materials
&amp;
other authors
&amp;
Bundesverband Ziegelindustrie
&amp;
Institut für Bauen und Umwelt</t>
  </si>
  <si>
    <t>shows impacts on a lot of materials we need acc to different sources
(limestone filler, quartz sand, plasticizer)</t>
  </si>
  <si>
    <t>not stated, but seems like cradle-to-gate based on the data used (Chen et al. Etc.)</t>
  </si>
  <si>
    <t>In this study we estimate CO2 life cycle emissions and cumulative energy demand (CED) of several con- crete block manufacturers in Brazil.</t>
  </si>
  <si>
    <t>Industrial Partners
&amp;
other authors</t>
  </si>
  <si>
    <t>The functional unit was defined as a unitary concrete block</t>
  </si>
  <si>
    <t>The paper examines, under specific local situation of planning of innovative solutions for municipal solid waste treatment, the results obtained from a technical, economic and environmental comparison between two different scenarios for waste management</t>
  </si>
  <si>
    <t>residual waste - landfill/recycling</t>
  </si>
  <si>
    <t>other authors
&amp;
Ecoinvent 2.0</t>
  </si>
  <si>
    <t>1 t of residual waste</t>
  </si>
  <si>
    <t>The purpose of this study is to assess the potential of reducing GHG emissions from the structural systems of multi-storey buildings by substituting structures of reinforced concrete (RC) with timber structures.</t>
  </si>
  <si>
    <t>Ecoinvent v.3.2 database 
&amp;
EPDs
&amp;
Industrial Partners
&amp;
other authors</t>
  </si>
  <si>
    <t>cradle-to-gate + D</t>
  </si>
  <si>
    <t>fly ash:
no impact allocation
&amp;
economic vlaue allocation</t>
  </si>
  <si>
    <t>C25/30; 5% FA</t>
  </si>
  <si>
    <t>C25/30; 30% FA</t>
  </si>
  <si>
    <t>C35/45; 5% FA</t>
  </si>
  <si>
    <t>C35/45; 30% FA</t>
  </si>
  <si>
    <t>contribution from fly ash to 1m3 of concrete (A1-A3; economic allocation for FA):</t>
  </si>
  <si>
    <t>This paper aims to analyze the environmental impacts of the Brazilian cement industry, such as resource depletion and toxicity.</t>
  </si>
  <si>
    <t>The functional unit is defined to be a building structural system including foundations with a certain load bearing capacity and a given number of storeys, with a 60-year lifetime. (per m2)</t>
  </si>
  <si>
    <t>The functional unit is 1 t of Portland cement produced by the plant</t>
  </si>
  <si>
    <t>Industrial Partners
&amp;
EcoInvent 2010</t>
  </si>
  <si>
    <t>ReCiPe (H) v. 1.06</t>
  </si>
  <si>
    <t>The goal of this study is to compare recycling of a carbon fibre epoxy composite part via pyrolysis against modern incineration with energy recovery, and disposal via landfilling as potential waste treatments for CFRP waste</t>
  </si>
  <si>
    <t>1 kg of CFRP waste treated from a composite part</t>
  </si>
  <si>
    <t>IMPACT2002+</t>
  </si>
  <si>
    <t>waste szenario</t>
  </si>
  <si>
    <t>Ecoinvent 2.1 LCI database</t>
  </si>
  <si>
    <t>This paper evaluates the environmental impacts and identifies the hotspots associated with the sub- processes of the proposed landfill extension (LFE) and advanced incineration facility (AIF) for munic- ipal solid waste (MSW) disposal in Hong Kong using life cycle assessment methodology.</t>
  </si>
  <si>
    <t>one tonne of MSW (wet basis) being discarded into the proposedwaste disposal facility</t>
  </si>
  <si>
    <t>operational phase of the proposed LFE and AIF</t>
  </si>
  <si>
    <t>Hong Kong government
&amp;
Industrial Partners
&amp;
IPCC 2006
&amp;
other authors</t>
  </si>
  <si>
    <t>shows emissions for BFS, FA based on Korean LCI database</t>
  </si>
  <si>
    <t>Korean lifecycle inventory (LCI) database</t>
  </si>
  <si>
    <t xml:space="preserve">Korean lifecycle inventory (LCI) database
&amp;
BFS, FA: Japanese Society of Civil Engineering (JSCE) LCI database (Sakai and Kawai, 2006) </t>
  </si>
  <si>
    <t>In the present study, 15 concrete mixes with dry density between 300 and 500 kg/m3 were tested for developing reliable mixing proportions, and establishing the significance of sustainable application of alkali-activated (AA) foamed concrete as a thermal insulation material in floor heating systems of buildings.</t>
  </si>
  <si>
    <t>The purpose of the present study was to examine the high-volume use of by-products as supplementary cementitious materials (SCMs) in order to control the hydration heat of concrete and enhance its sustainability.</t>
  </si>
  <si>
    <t>not clearly stated, but seems like: 1 m3 of concrete</t>
  </si>
  <si>
    <t>NATCARB</t>
  </si>
  <si>
    <t>The available aggregate markets are investigated as potential sinks for the mineralized CO2 products.</t>
  </si>
  <si>
    <t>LCA desribed in another article, which is not accessible</t>
  </si>
  <si>
    <t>EPD 2008 method
&amp; 
Eco-indicator 99</t>
  </si>
  <si>
    <t xml:space="preserve">EPD 2008 method
&amp; 
Eco-indicator 99
</t>
  </si>
  <si>
    <t>shows contribution of fly ash to endpoint indicator and a bar representing the contribution of FA to a midpoint indicator</t>
  </si>
  <si>
    <t>shows contribution of fly ash to GWP of different concrete mixes</t>
  </si>
  <si>
    <t>shows emissions of FA and BFS</t>
  </si>
  <si>
    <t>shows CO2 emission factor for FA and BFS</t>
  </si>
  <si>
    <t>no allocation</t>
  </si>
  <si>
    <t>1 kg of Fly Ash</t>
  </si>
  <si>
    <t>economic allocation</t>
  </si>
  <si>
    <t>terrestrial ecotoxicity (kg 1,4-dichlorbenzene-eq/fu)</t>
  </si>
  <si>
    <t>old indicator</t>
  </si>
  <si>
    <t>new indicator</t>
  </si>
  <si>
    <t>1 kg of binder (Fly Ash)</t>
  </si>
  <si>
    <t>1 kg of binder (Biomass Fly Ash Szenario2)</t>
  </si>
  <si>
    <t>1 kg of binder (Biomass Fly Ash Szenario3)</t>
  </si>
  <si>
    <t>0,199 Mjeq</t>
  </si>
  <si>
    <t>0,00594 Mjeq</t>
  </si>
  <si>
    <t>0,00297 Mjeq</t>
  </si>
  <si>
    <t>1 kg of BFS</t>
  </si>
  <si>
    <t>Chang, I-Cheng
Hsiao, Teng-Yuan
Yu, Yue-Hwa
Ma, Hwong-Wen</t>
  </si>
  <si>
    <t xml:space="preserve">Identification of Pollution Source of Cadmium in Soil. Application of Material Flow Analysis and A Case Study in Taiwan </t>
  </si>
  <si>
    <t>Environmental Science and Pollution Research - International</t>
  </si>
  <si>
    <t>Huang, Yue
Spray, Alan
Parry, Tony</t>
  </si>
  <si>
    <t>Sensitivity analysis of methodological choices in road pavement LCA</t>
  </si>
  <si>
    <t>Liamsanguan, Chalita
Gheewala, Shabbir H.</t>
  </si>
  <si>
    <t>Environmental assessment of energy production from municipal solid waste incineration</t>
  </si>
  <si>
    <t>Seto, Karina E.
Panesar, Daman K.
Churchill, Cameron J.</t>
  </si>
  <si>
    <t>Criteria for the evaluation of life cycle assessment software packages and life cycle inventory data with application to concrete</t>
  </si>
  <si>
    <t>Heavy metal flows in multi-resource utilization of high-alumina coal fly ash: a substance flow analysis</t>
  </si>
  <si>
    <t>Yu, Chenjian
Li, Huiquan
Jia, Xiaoping
Chen, Bo
Li, Qiang
Zhang, Jingfeng</t>
  </si>
  <si>
    <t>Life cycle assessment of a single-family residential building in Canada: A case study</t>
  </si>
  <si>
    <t>Zhang, Weiqian
Tan, Shen
Lei, Yizhong
Wang, Shoubing</t>
  </si>
  <si>
    <t>purified fly ash (per kg) based on ICE database</t>
  </si>
  <si>
    <t>&lt;0,1</t>
  </si>
  <si>
    <t>this study attempts to identify the pollution sources of Cd in soil in Taiwan as well as to find the solution to the above- mentioned, outstanding issue by way of a methodology termed Material Flow Analysis (MFA)</t>
  </si>
  <si>
    <t>Taiwanese governmental data sources</t>
  </si>
  <si>
    <t>mining/extraction - production/manufacturing - consumption/use</t>
  </si>
  <si>
    <t>the economic system of Taiwan in 2002</t>
  </si>
  <si>
    <t>1 kg of fly ash</t>
  </si>
  <si>
    <t>shows CO2 emissions of 1 column (for different materials)</t>
  </si>
  <si>
    <t>This paper examines the methodological choices made in UK PAS 2050 and asphalt Pavement Embodied Carbon Tool (asPECT), and reviews the allocation methods available to conduct road pavement LCA. A case study of a UK inter-urban road construction (cradle-to-laid) is pre- sented to indicate the impact of allocation amongst co- products (bitumen and blast furnace slag); a typical UK asphalt production (cradle-to-gate) is modelled to show the influence of allocation at EOL recycling.</t>
  </si>
  <si>
    <t>Eco-indicator</t>
  </si>
  <si>
    <t>cradle-to-laid</t>
  </si>
  <si>
    <t>not clearly stated, seems like 1 road (length 720m) in the UK</t>
  </si>
  <si>
    <t>1 t of asphalt</t>
  </si>
  <si>
    <t>Industrial Partners (foreground)
&amp;
Eurobitume 2011
&amp;
ECRPD 2010</t>
  </si>
  <si>
    <t>mass allocation
&amp;
economic value allocation
EOL:
cutoff;
no recycling;
substitution</t>
  </si>
  <si>
    <t>In this study, environmental impacts of electricity pro- duction from waste incineration plant in Thailand are compared with those from Thai conventional power plants.</t>
  </si>
  <si>
    <t>1 MWh net electric- ity produced</t>
  </si>
  <si>
    <t>Thailand Environment Institute (TEI)
&amp;
ETH-ESU 1996 database 
&amp;
BUWAL 300 database
&amp;
BUWAL 250 database
&amp;
other authors</t>
  </si>
  <si>
    <t>IPCC 2001
&amp;
Andersson-Sköld/Grennfelt/Pleijel (1998)
&amp;
Hauschild/Wenzel (1998)</t>
  </si>
  <si>
    <t>wastewater treatment plant: allocation based on BOD loading</t>
  </si>
  <si>
    <t>The paper evaluates five LCA tools in the context of the LCA of seven concrete mix designs (conven- tional concrete, concrete with fly ash, slag, silica fume or limestone as cement replacement, recycled aggregate con- crete, and photocatalytic concrete).</t>
  </si>
  <si>
    <t>28-day strength of a 1m3 unit of con- crete</t>
  </si>
  <si>
    <t>from raw material extraction, production, maintenance, use, and end-of-life</t>
  </si>
  <si>
    <t>not clearly stated, seems like IMPACT2002+</t>
  </si>
  <si>
    <t>Ecoinvent 2.2
&amp;
GaBi
&amp;
Athena Institute
&amp;
BEES</t>
  </si>
  <si>
    <t>shows impacts for cement with mean and standard deviation</t>
  </si>
  <si>
    <t>The boundary referred to the plant site of MUCFA</t>
  </si>
  <si>
    <t>A3</t>
  </si>
  <si>
    <t>Therefore, an integrated substance flow analysis (SFA) model is proposed to investigate the heavy metal flows and associated environmental effects of MU- CFA.</t>
  </si>
  <si>
    <t>questionnaire surveys
&amp;
Industrial Partners</t>
  </si>
  <si>
    <t>1 t of high-alumina CFA utilized 
(in a system of MUCFA (multi-resource utilization of high-alumina coal fly ash system))</t>
  </si>
  <si>
    <t>shows interim results on impact categories for BFS and FA. It is possible to calculate the final impacts based on mass allocation and economic value allocation for BFS</t>
  </si>
  <si>
    <t>The allocation method chosen in this study is calculated so that the economic gains and losses are the same for all of the industries involved in the trading of by- products and underlines the overall environmental ben- efit of the exchanges
&amp;
no environmental impact allocation 
&amp; 
mass allocation
&amp; 
economic value allocation</t>
  </si>
  <si>
    <t>1 kg of GBFS, CALCULATED</t>
  </si>
  <si>
    <t>economic value allocation, lowest value</t>
  </si>
  <si>
    <t>economic value allocation, highest value</t>
  </si>
  <si>
    <t>1 kg of fly ash; 
no impact allocation ("treatment")</t>
  </si>
  <si>
    <t>calc</t>
  </si>
  <si>
    <t>The present study quantified the significant environmental impacts of a two-story residential building located in Vancouver, Canada, with a projected 60-year life span</t>
  </si>
  <si>
    <t>the square meter size of residential areas with a 60-year life span for four inhabitants</t>
  </si>
  <si>
    <t>TRACI</t>
  </si>
  <si>
    <t>North America database (Version 4.2)
&amp;
OnScreen Takeoff version 3.0 
&amp;
Athena Impact Estimator version 4.2</t>
  </si>
  <si>
    <t>avoided burden approach</t>
  </si>
  <si>
    <t>Bieda, Bogusław</t>
  </si>
  <si>
    <t>Life cycle inventory processes of the Mittal Steel Poland (MSP) S.A. in Krakow, Poland—blast furnace pig iron production—a case study</t>
  </si>
  <si>
    <t>Gomes, Fernanda
Brière, Raphael
Feraille, Adélaïde
Habert, Guillaume
Lasvaux, Sébastien
Tessier, Christian</t>
  </si>
  <si>
    <t>Adaptation of environmental data to national and sectorial context: application for reinforcing steel sold on the French market</t>
  </si>
  <si>
    <t>Journal of Sustainable Metallurgy</t>
  </si>
  <si>
    <t>Morata, M.
Saborido, C.</t>
  </si>
  <si>
    <t>Recycled Aggregates with Enhanced Performance for Railways Track Bed and Form Layers</t>
  </si>
  <si>
    <t>The goal of this paper is to describe the life cycle inventory (LCI) approach of pig iron produced by Mittal’s Steel Poland Blast Furnace (MSPBF) in Krakow, Poland. The present LCI is representative for the reference year 2005</t>
  </si>
  <si>
    <t>gate-to- gate (covering a full chain process of pig iron production)</t>
  </si>
  <si>
    <t>1,504,088 Mg of pig iron, produced BF process. Time coverage is 2005. Operating</t>
  </si>
  <si>
    <t>measured on-site
&amp;
Industrial Partners
&amp;
other authors
&amp;
Expert interviews</t>
  </si>
  <si>
    <t>The question we are tackling here is: does the fact that steel as a global market necessarily reduces the need for national data?</t>
  </si>
  <si>
    <t>cut-off approach
&amp;
system expansion</t>
  </si>
  <si>
    <t>1 kg of reinforcing steel from B500A and B500B grade</t>
  </si>
  <si>
    <t>CML (Guinee et al. 2002)</t>
  </si>
  <si>
    <t>EcoInvent 2.2
&amp;
AFCAB
&amp;
Worldsteel Database</t>
  </si>
  <si>
    <t>The GAIN project aims at developing a new type of aggregates coming from EAFS (electric arc furnace slag) that complies with the European norms so that they can be used similarly as in other industrialized countries. 
... 
The primary goal of the LCA carried out is the comparison of SFS-Rail with the conventional aggregates and soil employed in the subballast and subgrade layers in accor- dance with ISO 14040:2006 and ISO 14044:2006 standards</t>
  </si>
  <si>
    <t>The functional unit is defined as the extraction of natural
aggregates and the production of SFS-Rail and its transport to the construction site for 1 km of a single railway track.</t>
  </si>
  <si>
    <t>GaBi 6 software system,
GaBi Professional Database 2014
&amp;
Industrial Partners
&amp;
other authors</t>
  </si>
  <si>
    <t>1 kg of ground grnaulate blast furnace slag</t>
  </si>
  <si>
    <t>1 kg of GGBFS</t>
  </si>
  <si>
    <t>shows CO2 emissions of 1 column for BFS</t>
  </si>
  <si>
    <t>Strategies for optimizing the environmental profile of dwellings in a Belgian context: A consequential versus an attributional approach</t>
  </si>
  <si>
    <t>Buyle, Matthias
Braet, Johan
Audenaert, Amaryllis
Debacker, Wim</t>
  </si>
  <si>
    <t>Duggan, Alan R.
McCabe, Bryan A.
Goggins, Jamie
Clifford, Eoghan</t>
  </si>
  <si>
    <t>An embodied carbon and embodied energy appraisal of a section of Irish motorway constructed in peatlands</t>
  </si>
  <si>
    <t>Ireland</t>
  </si>
  <si>
    <t>Improving the CO2 performance of cement, part I: utilizing life-cycle assessment and key performance indicators to assess development within the cement industry</t>
  </si>
  <si>
    <t>Feiz, Roozbeh
Ammenberg, Jonas
Eklund, Mats
Helgstrand, Anton
Marshall, Richard</t>
  </si>
  <si>
    <t>Opportunities for GHG emissions reduction in road projects: a comparative evaluation of emissions scenarios using CO2NSTRUCT</t>
  </si>
  <si>
    <t>Fernández-Sánchez, Gonzalo
Berzosa, Álvaro
Barandica, Jesús María
Cornejo, Enrique
Serrano, José Manuel</t>
  </si>
  <si>
    <t>Hirano, Tomoko
Kato, Shinsuke
Murakami, Shuzo
Ikaga, Toshiharu
Shiraishi, Yasuyuki
Uehara, Hitomi</t>
  </si>
  <si>
    <t>A study on a porous residential building model in hot and humid regions part 2—reducing the cooling load by component-scale voids and the CO2 emission reduction effect of the building model</t>
  </si>
  <si>
    <t>Hong, Taehoon
Ji, Changyoon
Park, Hyoseon</t>
  </si>
  <si>
    <t>Integrated model for assessing the cost and CO2 emission (IMACC) for sustainable structural design in ready-mix concrete</t>
  </si>
  <si>
    <t>Journal of Environmental Management</t>
  </si>
  <si>
    <t>Cement industry greenhouse gas emissions – management options and abatement cost</t>
  </si>
  <si>
    <t>Kajaste, Raili
Hurme, Markku</t>
  </si>
  <si>
    <t>Lee, Kun-Mo
Park, Pil-Ju</t>
  </si>
  <si>
    <t>Estimation of the environmental credit for the recycling of granulated blast furnace slag based on LCA</t>
  </si>
  <si>
    <t>Pan, Shu-Yuan
Lorente Lafuente, Ana Maria
Chiang, Pen-Chi</t>
  </si>
  <si>
    <t>Engineering, environmental and economic performance evaluation of high-gravity carbonation process for carbon capture and utilization</t>
  </si>
  <si>
    <t>Rai, Deepak
Sodagar, Behzad
Fieldson, Rosi
Hu, Xiao</t>
  </si>
  <si>
    <t>Assessment of CO2 emissions reduction in a distribution warehouse</t>
  </si>
  <si>
    <t>Appropriateness of environmental impact distribution methods to model blast furnace slag recycling in cement making</t>
  </si>
  <si>
    <t>Saade, Marcella Ruschi Mendes
Silva, Maristela Gomes da
Gomes, Vanessa</t>
  </si>
  <si>
    <t>Mix design of concrete for prestressed concrete sleepers using blast furnace slag and steel fibers</t>
  </si>
  <si>
    <t>Shin, Hyun-Oh
Yang, Jun-Mo
Yoon, Young-Soo
Mitchell, Denis</t>
  </si>
  <si>
    <t>Carbon reduction of precast concrete under the marine environment</t>
  </si>
  <si>
    <t>Won, Jong-Pil
Kim, Hyoung-Ho
Lee, Su-Jin
Choi, Se-Jin</t>
  </si>
  <si>
    <t>Yilmaz, Ozge
Anctil, Annick
Karanfil, Tanju</t>
  </si>
  <si>
    <t>LCA as a decision support tool for evaluation of best available techniques (BATs) for cleaner production of iron casting</t>
  </si>
  <si>
    <t>1 kg GGBFS at batching plant</t>
  </si>
  <si>
    <t>The goal of this paper is to analyze towhat extent the results differ when both models (consequential and attributional) are applied on the same case, a representative dwelling located in Niel, Belgium.</t>
  </si>
  <si>
    <t>A single semi-detached dwelling located in Flanders (Belgium) with a net floor area of 117 m2 and an estimated life span of 60 years.</t>
  </si>
  <si>
    <t>Ecoinvent 3.1</t>
  </si>
  <si>
    <t>ReCiPe Endpoint method (H)</t>
  </si>
  <si>
    <t>BFS:
CLCA: substitution
&amp;
ALCA: cut-off
also:
economic value allocation 
&amp;
substitution</t>
  </si>
  <si>
    <t>This study aims to analyze the impact of emission control decisions concerning project items and elements of road infrastruc- ture development withmajor contributions to totalGHGemissions, paying attention to the scopes for improvement at specific and global levels.</t>
  </si>
  <si>
    <t>whole life cycle of the road transport infrastructure; with the exception of road dismantling
construction and maintenance</t>
  </si>
  <si>
    <t>EMEP Tier 3 methodologies (EEA, 2009)
&amp;
Industrial Partners
&amp;
IPCC
&amp;
EcoTransIT tool, IFEU Heidelberg
&amp;
WBCSD
&amp;
other authors</t>
  </si>
  <si>
    <t>4 lane Highway, about 30km long, in Ciudad Real, Spain</t>
  </si>
  <si>
    <t>This paper is the first in a series of three, all of which are included in this special issue. It has two main
aims. The first is to carry out an attributional LCA and compare three different cement products produced in both linear and synergistic production setups. This has been done for cradle to gate, focusing on CO2- eq emissions for ClusterWest. The second aim of this part is to develop and test a simplified LCA model for this production cluster, with the intention to be able to compare different versions of the production system based on the information of a few parameters.</t>
  </si>
  <si>
    <t>measured on-site
&amp;
Industrial Partners
&amp;
EcoInvent, 2012</t>
  </si>
  <si>
    <t>no environmental impact allocation 
BFS: 
also economic allocation</t>
  </si>
  <si>
    <t>The goal of the study is to present a methodology that geotechnical engineers can deploy on projects to determine the environmental impact of road construction in areas of highly organic soils, where EE and EC are used as indicators.</t>
  </si>
  <si>
    <t>M6 motorway in Ireland: a kilometre of motorway operational for 120 years</t>
  </si>
  <si>
    <t>Production, Constructio and Use phase
but without maintenance</t>
  </si>
  <si>
    <t>ICE Version 2.0
&amp;
other authors</t>
  </si>
  <si>
    <t>other authors 
&amp;
IPCC</t>
  </si>
  <si>
    <t>shows GWP and EE for aggregates</t>
  </si>
  <si>
    <t>The purpose of this paper is to show the effectiveness of porous residential buildings in hot and humid regions in the light of cooling load and CO2 emission reductions.</t>
  </si>
  <si>
    <t>AIJ method</t>
  </si>
  <si>
    <t>Architectural Institute of Japan
&amp;
IBEC</t>
  </si>
  <si>
    <t>per m2 and year
of a residential building (ground floor 15x15m</t>
  </si>
  <si>
    <t>shows CO2 emissions for aggregates, cement, FA, GGBFS</t>
  </si>
  <si>
    <t>Manufactoring, Transport, Construction</t>
  </si>
  <si>
    <t>This study proposed an integrated model for assessing the cost and CO2 emission (IMACC) at the same time. IMACC is a model that assesses the cost and CO2 emission of the various structural-design alternatives proposed in the structural-design process.</t>
  </si>
  <si>
    <t>1 t of Ready mix concrete</t>
  </si>
  <si>
    <t>The aim was to study how the management of GHG emissions in the cement production chain is related to (1) clinker substitutes, (2) primary source of energy, (3) electricity emissions, (4) technology in use and (5) geographic location.</t>
  </si>
  <si>
    <t>measured on-site
&amp;
other authors</t>
  </si>
  <si>
    <t>South Korea
Japan</t>
  </si>
  <si>
    <t>The objective of this research was to quantify the environmental credit of the granulated blast furnace slag (GBFS) recycling, and then to propose a recycling option best suited for the maximization of the environmental credit.</t>
  </si>
  <si>
    <t>Cement clinker 1 kg 
Portland cement 1 kg 
Slag powder 1 kg
Silicate fertilizer 1 kg</t>
  </si>
  <si>
    <t>mass allocation
&amp;
cut-off</t>
  </si>
  <si>
    <t>other authors
&amp;
CIT Ekologik
&amp;
Korean electricity database
&amp;
IPCC
&amp;
Industrial Partners</t>
  </si>
  <si>
    <t>GWP 100a (Guinee, 2002)
&amp;
Eco-indicator 99</t>
  </si>
  <si>
    <t>Recycling of GBFS (1 kg)</t>
  </si>
  <si>
    <t>In this study, the HiGCarb process is comprehensively evaluated by an engineering, environmental and economic (3E) triangle model.</t>
  </si>
  <si>
    <t>1 t of BOFS (basic oxygen furnace slag)</t>
  </si>
  <si>
    <t>ReCiPe Midpont (E) and Endpoint (E,A)</t>
  </si>
  <si>
    <t>raw material extraction - conversion - use in cement making</t>
  </si>
  <si>
    <t>shows some midpoint indicators of 1 t basic oxygen furnace slag</t>
  </si>
  <si>
    <t>This paper primarily focuses on illustrating the relative importance of operational and embodied energy in a flexible use light distri- bution warehouse.</t>
  </si>
  <si>
    <t>ICE, 2006
&amp;
SimaPro
&amp;
Industrial Partners</t>
  </si>
  <si>
    <t>a warehouse in UK (total floor plan of 8060 m2)</t>
  </si>
  <si>
    <t>only use phase (excluding maintenance and refurbishment)</t>
  </si>
  <si>
    <t>B1</t>
  </si>
  <si>
    <t>CML 2001 (baseline)</t>
  </si>
  <si>
    <t>This paper analyses the appropriateness of available multifunctional modeling methods to distribute environmental loads between pig iron and bfs produced in the steelmaking process, and the influence that modeling choices have on LCA results for different blended cement types commercialized in Brazil.</t>
  </si>
  <si>
    <t>system expansion
&amp;
mass allocation
&amp;
economic value allocation</t>
  </si>
  <si>
    <t>1 ton of cement</t>
  </si>
  <si>
    <t>EcoInvent
&amp;
other authors
&amp;
national reports</t>
  </si>
  <si>
    <t>1 kg of BFS mass allocation</t>
  </si>
  <si>
    <t>1 kg of BFS economic allocation</t>
  </si>
  <si>
    <t>The application of ground granulated blast furnace slag (GGBFS) and steel fibers in prestressed concrete railway sleepers was investigated in this study.</t>
  </si>
  <si>
    <t>other authors
&amp;
Korean LCI database</t>
  </si>
  <si>
    <t>shows CO2 emissions for cement, slag cement and aggregates</t>
  </si>
  <si>
    <t>In this study, precast concrete panel was developed by substituting blast-furnace slag for part of the unit weight of cement in the precast concrete mix. A life cycle assessment technique was used to estimate the carbon dioxide reduction.</t>
  </si>
  <si>
    <t>shows CO2 emissions of BFS, cement, aggregates</t>
  </si>
  <si>
    <t>NA ("used a life-cycle inventory database")</t>
  </si>
  <si>
    <t>The goal of the analysis was to identify and compare the environmental benefits and impacts of BATs applicable to the iron casting process.</t>
  </si>
  <si>
    <t>gate-to-gate</t>
  </si>
  <si>
    <t>A2-A3</t>
  </si>
  <si>
    <t>The functional unit (FU) was selected as 1 metric ton of metal (ferrous material) charge (mc) to the blast furnaces.</t>
  </si>
  <si>
    <t>other authors
&amp;
European Integrated Pollution Prevention and Control Bureau (JRC, 2005)
&amp;
PE Professional Database
&amp;
GaBi version 6.0</t>
  </si>
  <si>
    <t>ReCiPe 1.07
&amp;
USEtox
&amp;
CML 2001
&amp;
EDIP 2003</t>
  </si>
  <si>
    <t>"steel slag" base case
mass allocation</t>
  </si>
  <si>
    <t>0,015-0,016</t>
  </si>
  <si>
    <t>0,700-0,773</t>
  </si>
  <si>
    <t>"steel slag" base case
economic value allocation</t>
  </si>
  <si>
    <t>0,024-0,027</t>
  </si>
  <si>
    <t>1,166-1,288</t>
  </si>
  <si>
    <t>"steel slag" technology1
mass allocation</t>
  </si>
  <si>
    <t>0,006-0,008</t>
  </si>
  <si>
    <t>0,673-0,746</t>
  </si>
  <si>
    <t>"steel slag" technology1
economic value allocation</t>
  </si>
  <si>
    <t>0,011-0,013</t>
  </si>
  <si>
    <t>1,121-1,244</t>
  </si>
  <si>
    <t>"steel slag" technology2
mass allocation</t>
  </si>
  <si>
    <t>0,642-0,715</t>
  </si>
  <si>
    <t>"steel slag" technology2
economic value allocation</t>
  </si>
  <si>
    <t>1,069-1,191</t>
  </si>
  <si>
    <t>1,18 kg steel slag</t>
  </si>
  <si>
    <t>Shows embodied CO2, EE and embodied primary resource consumption for fly ash, metakaolin, GGBS etc.
without reffering to Units, so not useful</t>
  </si>
  <si>
    <t>Data source - add. Inforamtion</t>
  </si>
  <si>
    <t>Celik, Kemal
Meral, Cagla
Petek Gursel, A.
Mehta, P. Kumar
Horvath, Arpad
Monteiro, Paulo J.M.</t>
  </si>
  <si>
    <t>This paper reports the composition and properties of highly flowable self-consolidating concrete (SCC) mixtures made of high proportions of cement replacement materials such as fly ash and pulverized limestone instead of high dosage of a plasticizing agent or viscosity-modifying chemical admixtures</t>
  </si>
  <si>
    <t>superplasticizer - GreenConcrete LCA</t>
  </si>
  <si>
    <t>GreenConcrete LCA</t>
  </si>
  <si>
    <t>Cuenca-Moyano, G.M.
Zanni, S.
Bonoli, A.
Valverde-Palacios, I.</t>
  </si>
  <si>
    <t>Development of the life cycle inventory of masonry mortar made of natural and recycled aggregates</t>
  </si>
  <si>
    <t>The main aim of this study has been to develop the life cycle inventory of masonry mortars made of natural fine aggregate and recycled fine aggregate</t>
  </si>
  <si>
    <t>Cradle-to-gate</t>
  </si>
  <si>
    <t>1 tonne dry masonry mortar</t>
  </si>
  <si>
    <t>EPDs from EFCA for plasticizer</t>
  </si>
  <si>
    <t>avoided burden and mass allocation
&amp; 
economic value allocation</t>
  </si>
  <si>
    <t>The research aims to examine the environmental performance of each material alternative assessed: fired clay brick masonry (FC), concrete block masonry (CB), reinforced concrete-based wall (RC), and stabilized soil block masonry (SS); stabilized with natural fibers and alginates.</t>
  </si>
  <si>
    <t>the functional unit is the total surface of the walls in each case</t>
  </si>
  <si>
    <t>Plasticizer: Alkylbenzene sulfonate, linear, petrochemical, at plant (ID 1.998)</t>
  </si>
  <si>
    <t>CML 2001 - GWP/CED - EE</t>
  </si>
  <si>
    <t>Grist, Ellen R.
Paine, Kevin A.
Heath, Andrew
Norman, James
Pinder, Henry</t>
  </si>
  <si>
    <t>This research considers the compressive strength, embodied CO2, embodied energy and binder intensity of hydraulic lime-pozzolan concretes, in comparison with those of Portland-cement based concretes of equivalent 28-day compressive strength.</t>
  </si>
  <si>
    <t>not clearly stated, seems to be cradle to gate</t>
  </si>
  <si>
    <t>EPDs from EFCA for superplasticizer</t>
  </si>
  <si>
    <t>mass allocation, economic allocation, cut-off and no allocation (not even secondary processes' load)</t>
  </si>
  <si>
    <t>The focus of this study is to analyze the performance of ternary- and quaternary-RHA blend concrete mixes in terms of their durability, mechanical properties, and global warming potential (GWP) and criteria air pollutants</t>
  </si>
  <si>
    <t xml:space="preserve">cut-off /  “polluter-pays allocation method” </t>
  </si>
  <si>
    <t>In this study we carry out a detailed environmental evaluation of geopolymer concrete production using the Life Cycle Assessment methodology</t>
  </si>
  <si>
    <t xml:space="preserve">Ecoinvent and literature data. Not clear where admixturres data came from. </t>
  </si>
  <si>
    <t>Cut-off, mass and economic value</t>
  </si>
  <si>
    <t xml:space="preserve">The objective of the present study is to evaluate the global warming impact of bridge rehabilitations with different types of UHPFRC and to compare them to more standard solutions, both on the basis of the bridge rehabilitation performed in Slovenia. </t>
  </si>
  <si>
    <t>materials production and transport for bridge site, repair and maintenance</t>
  </si>
  <si>
    <t>the functional unit is the rehabilitation of a specific bridge in Slovenia (Log Čezsoški, nearby Bovec)</t>
  </si>
  <si>
    <t>mass and economic allocation</t>
  </si>
  <si>
    <t>XX</t>
  </si>
  <si>
    <t>Habert, G.
D'Espinose De Lacaillerie, J. B.
Lanta, E.
Roussel, N.</t>
  </si>
  <si>
    <r>
      <rPr>
        <b/>
        <sz val="10"/>
        <color theme="1"/>
        <rFont val="Calibri"/>
        <family val="2"/>
        <scheme val="minor"/>
      </rPr>
      <t>Conference</t>
    </r>
    <r>
      <rPr>
        <sz val="10"/>
        <color theme="1"/>
        <rFont val="Calibri"/>
        <family val="2"/>
        <scheme val="minor"/>
      </rPr>
      <t>: 2nd International Conference on Sustainable Construction Materials and Technologies</t>
    </r>
  </si>
  <si>
    <t>Environmental evaluation for cement substitution with geopolymers</t>
  </si>
  <si>
    <t>In this study a detailed life cycle impact assessment of standard geopolymer production is performed and shows that the use of sodium silicate solutions has large environmental impacts</t>
  </si>
  <si>
    <t>The objective of this investigation is to environmentally evaluate three concrete design methods</t>
  </si>
  <si>
    <t>(i) the production of 1 m3 of class C35-S3-Dmax20-X0 concrete in a central mix plant, and (ii) the production of 1 m3 of class C40-S3-Dmax20-X0 concrete in a central mix plant</t>
  </si>
  <si>
    <t>EPDs from EFCA for admixture</t>
  </si>
  <si>
    <t>CML 2001 baseline</t>
  </si>
  <si>
    <t>Kim, Heeae
Koh, Taehoon
Pyo, Sukhoon</t>
  </si>
  <si>
    <t>This research developed eco-friendly UHPC by adopting industrial slags and LP to achieve high flowability and minimize strength loss. Particle packing analysis was carried out first to effectively substitute cement and natural aggregates in UHPC. To investigate the effects of industrial slags and LP in UHPC, flowability and compressive strength at various ages were investigated. In addition, sustainability of the developed eco-friendly UHPC was quantified.</t>
  </si>
  <si>
    <t xml:space="preserve">Other paper: Müller, Haist and Vogel, 2014) - presented below
</t>
  </si>
  <si>
    <t>EPDs from EFCA for superplasticizer and air entraining agent</t>
  </si>
  <si>
    <t>In this research, a multi-criteria comparison method is implemented that accounts for the role of material properties on the volume of material required for a set application and the associated differences in environmental impacts based on said volume</t>
  </si>
  <si>
    <t>cut-off</t>
  </si>
  <si>
    <t>Korea</t>
  </si>
  <si>
    <t>These study aims to quantify environmental impacts associated with mixing compositions of concrete made of waste materials by using LCA</t>
  </si>
  <si>
    <t>The functional unit (F.U.) used as reference to compare the various samples was based on a reference flux model (m3 of product) and it takes into account of all components useful for the implementation of samples, as well as dust production</t>
  </si>
  <si>
    <t>Ecoinvent version was not stated. Admixture data collected by the French National Union of Admixtures for Concrete and Mortar (SYNAD) - INVENTORY PROVIDED!</t>
  </si>
  <si>
    <t xml:space="preserve">The application of ground granulated blast furnace slag (GGBFS) and steel fibers in prestressed concrete railway sleepers was investigated in this study. </t>
  </si>
  <si>
    <t>The Korean Life Cycle Inventory - admixture: polycarboxylic acid based water reducing admixture</t>
  </si>
  <si>
    <t>Teixeira, Elisabete R.
Mateus, Ricardo
Camões, Aires F.
Bragança, Luís
Branco, Fernando G.</t>
  </si>
  <si>
    <t>This work studied the environmental benefits of incorporating different percentages of two types of fly ashes that can be used in concrete as cement replacement</t>
  </si>
  <si>
    <t xml:space="preserve"> 1 m3 of concrete </t>
  </si>
  <si>
    <t>superplasticizer - authors claim it came from Ecoinvent 2.2, mas didn't mention the process' name</t>
  </si>
  <si>
    <t>CML 2 Baseline 2000 and CED</t>
  </si>
  <si>
    <t>This paper specifically investigates the difference in global warming potential for a potential low-carbon concrete composition located in an environment subject to carbonation-induced corrosion when based on either a rudimentary or a more sophisticated concrete and environment specific service life prediction</t>
  </si>
  <si>
    <t>seems to be cradle-to-grave</t>
  </si>
  <si>
    <t>the amount of concrete needed to construct and maintain an axially loaded column (height: 2.5 m, cross-section: rectangular) carrying a design load of 1500 kN for 100 years was chosen as the functional unit</t>
  </si>
  <si>
    <t xml:space="preserve">EPDs from EFCA for superplasticizer </t>
  </si>
  <si>
    <t>IPCC 2007</t>
  </si>
  <si>
    <t>In this research, we conducted chloride migration tests on concrete representative mortar samples containing a crack of 0.3, 0.2 and 0.1 mm in width. This was done to see whether crack width reduction could decrease the chloride penetration around the crack significantly</t>
  </si>
  <si>
    <t>Wang, Ting
Lee, In-Sung
Kendall, Alissa
Harvey, John
Lee, Eul-Bum
Kim, Changmo</t>
  </si>
  <si>
    <t>Life cycle energy consumption and GHG emission from pavement rehabilitation with different rolling resistance</t>
  </si>
  <si>
    <t>This paper describes a pavement life cycle assessment (LCA) model developed to evaluate energy use and greenhouse gas (GHG) emissions from pavement rehabilitation strategies.</t>
  </si>
  <si>
    <t>materials production, construction and use</t>
  </si>
  <si>
    <t>not ckear, seems to be total impact per life phase - for admixtures it's 1 kg</t>
  </si>
  <si>
    <t>Mix: Literature data, Athena Ecoinvent, USLCI, Portland Cement Association and EPDs from EFCA for accelerator, retarder and SP</t>
  </si>
  <si>
    <t>a mass or net calorific value allocation</t>
  </si>
  <si>
    <t>Not clearly stated - just primary energy consumption was calculated</t>
  </si>
  <si>
    <t>Yang, Keun-Hyeok
Jung, Yeon-Back
Cho, Myung-Sug
Tae, Sung-Ho</t>
  </si>
  <si>
    <t>The present study examined the effectiveness of supplementary cementitious materials (SCMs) such as ground granulated blast-furnace slag (GGBS), fly ash (FA), and silica fume (SF), in reducing CO2 emissions from ordinary Portland cement (OPC) concrete</t>
  </si>
  <si>
    <t>(1) procurement of all constituents in a materials inventory taken from cradle to gate, (2) transportation of the constituents to a ready-mixed concrete plant, (3) in-plant production of the concrete, and (4) transportation of the concrete to a work site</t>
  </si>
  <si>
    <t>The Korean Life Cycle Inventory - admixture</t>
  </si>
  <si>
    <t>Müller, Harald S.
Haist, Michael
Vogel, Michael</t>
  </si>
  <si>
    <t xml:space="preserve"> this paper outlines the three basic possibilities to increase the sustainability of a structure, i.e. methods to assess and reduce the environmental impact of concrete, means to increase the performance of concrete and design concepts which increase the possible lifetime of a concrete structure</t>
  </si>
  <si>
    <t>Chen et al (2010) and german technical reports</t>
  </si>
  <si>
    <t>N.A.</t>
  </si>
  <si>
    <t>This paper presents a comprehensive LCA framework for road bridges</t>
  </si>
  <si>
    <t>material manufacture stage, construction stage, use and maintenance stage, and end of life</t>
  </si>
  <si>
    <t>The whole bridge of the same span length and width is chosen as the functional unit under the identical design criterion of 100-year life span</t>
  </si>
  <si>
    <t>Authors used "concrete, exacting, at plant" which predicts an admixture as special input</t>
  </si>
  <si>
    <t>ReCiPe H</t>
  </si>
  <si>
    <t>Flower, David J M
Sanjayan, Jay G
Radonjanin, V.
Malešev, M.
Ignjatović, I.</t>
  </si>
  <si>
    <t>The aim of this study was to provide hard data collected from a number of quarries and concrete manufacturing plants so that accurate estimates can be made for concretes in Environmentally Sustainable Design</t>
  </si>
  <si>
    <t>1 m3 of concrete - Liter for admixtures</t>
  </si>
  <si>
    <t>LCI data came from local quarries. Large manufacturer supplied CO2 emissions factors for each admixture considered</t>
  </si>
  <si>
    <t>The aim of this study is to determine if the reduction in production emissions of blended cements compensates for the reduced durability and CO2 capture</t>
  </si>
  <si>
    <t>the functional unit is the RC column during the lifetime of the structure</t>
  </si>
  <si>
    <t>European Associations. EPDs from EFCA for plasticizer</t>
  </si>
  <si>
    <t>this study aims to assess and compare the environmental impacts and sustainability associated with the natural blocks manufactured with virgin materials and three generations of the eco-blocks manufactured with recycled C&amp;D waste and waste glass by the lifecycle assessment (LCA) techniques</t>
  </si>
  <si>
    <t>Cradle-to-site</t>
  </si>
  <si>
    <t>1 ton of blocks production</t>
  </si>
  <si>
    <t>Chinese Core Life Cycle Database (CLCD)  - for admixtures production data came from EFCA EPDs (2002) amd from Sjunnesson (2005) shown in this spreadsheet</t>
  </si>
  <si>
    <t xml:space="preserve">avoided burden </t>
  </si>
  <si>
    <t>A framework is proposed to evaluate and enhance the design of “greener” materials that integrates material design, structural design, and life cycle modeling of the built system</t>
  </si>
  <si>
    <t>1 bridge deck system over its 60-year life</t>
  </si>
  <si>
    <t>Mix of different associations' data. For admixtures: Formaldehyde data from Ecobilan (2001); Acrylonitrile data from the Association of European Plastic Manufacturers - used as surrogate for polycarboxylated polymer; Methyl Ethyl HydroxyEthyl Cellulose (MEHEC) from Bermocoll (2002).</t>
  </si>
  <si>
    <t>not clearly stated, Total Primary Energy as sole indicator</t>
  </si>
  <si>
    <t>This study attempts to quantify the potential environmental impacts of three most usually installed types of concrete-based sidewalks in the case of Barcelona and nearby cities and that are also commonly used in many countries with subsequent variations and adaptations / The cement type used in the analysis was CEM II/A-L 32.5R Europe</t>
  </si>
  <si>
    <t>The main sidewalk construction/deconstruction stages are as follows: raw material extraction, material production/processing, soil compaction, sidewalk installation, sidewalk maintenance/removal, and materials transportation</t>
  </si>
  <si>
    <t>The functional unit is 1 m2 of sidewalk, including all pavement layers extending from the compacted soil (subgrade) to the surface (top layer), over a timeframe of 45 years</t>
  </si>
  <si>
    <t xml:space="preserve">EcoConcrete LCA tool </t>
  </si>
  <si>
    <t>Ammenberg, Jonas
Eklund, Mats
Feiz, Roozbeh
Helgstrand, Anton
Marshall, Richard</t>
  </si>
  <si>
    <t>Improving the CO2 performance of cement, part III: the relevance of industrial symbiosis and how to measure its impact</t>
  </si>
  <si>
    <t>The main purpose of this article is to study how relevant the leading ideas of industrial symbiosis are for the cement industry based on a quantitative comparison of the CO2 emissions from different cement production systems and products, both existing and hypothetical</t>
  </si>
  <si>
    <t>Billen, Pieter
Verbinnen, Bram
De Smet, Michiel
Dockx, Greet
Ronsse, Sophie
Villani, Kenneth
De Greef, Johan
Van Caneghem, Jo
Vandecasteele, Carlo</t>
  </si>
  <si>
    <t>Journal of Material Cycles and Waste Management</t>
  </si>
  <si>
    <t>Comparison of solidification/stabilization of fly ash and air pollution control residues from municipal solid waste incinerators with and without cement addition</t>
  </si>
  <si>
    <t>This paper compares the performance and environmental impact of S/S treatment of fly ash and air pollution control residue from a MSWI in Flanders, with and without addition of cement.</t>
  </si>
  <si>
    <t>"The functional unit is landfilling 1 tonne of a mixture of S/S treated FA and APC residue (30/70 wt/wt ratio), for a period corresponding to an L/S of 2 for short term impacts (roughly 100 years) and an L/S of 10 for long term impacts."</t>
  </si>
  <si>
    <t>ReCiPe midpoint method</t>
  </si>
  <si>
    <t>The first aim of the present work is to assess the environmental impact of specific rendering mortars able to be applied in the vertical opaque envelopes of an existing school building from the 80’s built in Portugal, to reduce condensation effects and heat transfer</t>
  </si>
  <si>
    <t>An EPD for cork granulates was also considered</t>
  </si>
  <si>
    <t>Chen, C.
Habert, G.
Bouzidi, Y.
Jullien, A.</t>
  </si>
  <si>
    <t>Environmental impact of cement production: detail of the different processes and cement plant variability evaluation</t>
  </si>
  <si>
    <t>This study evaluates the environmental impact of the cement production and its variations between different cement plants, using Life Cycle Impact Assessment</t>
  </si>
  <si>
    <t>1kg CEM I</t>
  </si>
  <si>
    <t>ATILH (2002) is also used</t>
  </si>
  <si>
    <t>3.49E-3</t>
  </si>
  <si>
    <t>5.04E-4</t>
  </si>
  <si>
    <t>0.782</t>
  </si>
  <si>
    <t>4.2E-8</t>
  </si>
  <si>
    <t>1.11E-4</t>
  </si>
  <si>
    <t>0.243</t>
  </si>
  <si>
    <t>0.076</t>
  </si>
  <si>
    <t>EPDs were also used</t>
  </si>
  <si>
    <t>García-Gusano, Diego
Herrera, Israel
Garraín, Daniel
Lechón, Yolanda
Cabal, Helena</t>
  </si>
  <si>
    <t>Life cycle assessment of the Spanish cement industry: implementation of environmental-friendly solutions</t>
  </si>
  <si>
    <t>This study tries to find out the hotspots of the Spanish cement sector in 2010 by the life cycle assessment (LCA) and evaluates some improvement scenarios where best available technologies and substitution measures are taken into consideration.</t>
  </si>
  <si>
    <t>First, a technical approach by production phase using 1 t of clinker as functional unit/Second, an assessment of the Spanish cements industry as a whole using 1 t of cement as functional unit</t>
  </si>
  <si>
    <t>Other papers and onsite collected data</t>
  </si>
  <si>
    <t>ILCD</t>
  </si>
  <si>
    <t>García-Gusano, Diego
Garraín, Daniel
Herrera, Israel
Cabal, Helena
Lechón, Yolanda</t>
  </si>
  <si>
    <t>Life Cycle Assessment of applying CO2 post-combustion capture to the Spanish cement production</t>
  </si>
  <si>
    <t>This paper carries out a detailed Life Cycle Assessment of the Spanish cement production in order to analyse the effect of applying post-combustion CO2 capture technology using monoethanolamine as absorbent</t>
  </si>
  <si>
    <t>1 tonne of grey cement</t>
  </si>
  <si>
    <t>avoided burden approach - for electricity produced in Combined Heat and Power plant</t>
  </si>
  <si>
    <t>ILCD midpoint</t>
  </si>
  <si>
    <t>3.4</t>
  </si>
  <si>
    <t>1.23E-2</t>
  </si>
  <si>
    <t>4.37E-5</t>
  </si>
  <si>
    <t>1.09</t>
  </si>
  <si>
    <t>1.98E-4</t>
  </si>
  <si>
    <t>1 cubic metre of concrete with a given compressive strength in the hardened state - results here are for 1 kg CEM I</t>
  </si>
  <si>
    <t>Data for cement came from Chen et al (2010) Environmental impact of cement production: detail of the different processes and cement plant variability evaluation</t>
  </si>
  <si>
    <t>1.15·10−3</t>
  </si>
  <si>
    <t>1.73·10−4</t>
  </si>
  <si>
    <t>0.844</t>
  </si>
  <si>
    <t>2.28E-8</t>
  </si>
  <si>
    <t>4.26E-5</t>
  </si>
  <si>
    <t>1.59E-3</t>
  </si>
  <si>
    <t>4.02E-2</t>
  </si>
  <si>
    <t>this study evaluates the environmental consequences of using high performance concrete instead of ordinary concrete for a bridge</t>
  </si>
  <si>
    <t>Cradle-to-Grave without traffic during service life</t>
  </si>
  <si>
    <t>the crossing of a four-lane divided highway with a two-lane road over a one-hundred year time period</t>
  </si>
  <si>
    <t>The allocation method chosen in this study is calculated so that the economic gains and losses are the same for all of the industries involved in the trading of by- products and underlines the overall environmental ben- efit of the exchanges</t>
  </si>
  <si>
    <t>8.44·10−1</t>
  </si>
  <si>
    <t>2.28·10−8</t>
  </si>
  <si>
    <t>4.26·10−5</t>
  </si>
  <si>
    <t>1.59·10−3</t>
  </si>
  <si>
    <t>4.02·10−2</t>
  </si>
  <si>
    <t>This study focuses on the analysis of the entire main input inventory data used for assessing the environmental impacts linked to the life cycle of a pre-cast concrete shed</t>
  </si>
  <si>
    <t>Cradle-to-Grave - although not clearly stated</t>
  </si>
  <si>
    <t>a single-storey precast reinforced concrete shed devoted to the storage of non-perishable goods, assuming a temporal horizon for its life of 55 years</t>
  </si>
  <si>
    <t>the water use; the production and supply of the input materials in the amount required for producing the functional unit chosen; the energy consumption per m3 of concrete and the use of the concrete mixing plant for the associated share.</t>
  </si>
  <si>
    <t>for chemical admixtures - literature data (EPD)</t>
  </si>
  <si>
    <t>We therefore analysed the life cycle impacts of 12 recycled concrete (RC) mixtures with two different cement types and compared it with corresponding conventional concretes (CC) for three structural applications</t>
  </si>
  <si>
    <t>The system includes all processes from aggregates’ extraction (CC) and building dismantling (RC) to ready-for-use concrete on the construction site. The construction process and the use phase of conventional and recycled concrete structures are assumed to be comparable and are therefore omitted from the analysis</t>
  </si>
  <si>
    <t>the functional unit is 1 m3 of concrete of a specific strength class at the construction site</t>
  </si>
  <si>
    <t>Ecoindicator 99 and Ecological Scarcity 2006 AND GWP and abiotic depletion potentials (ADP) as midpoint indicators</t>
  </si>
  <si>
    <t>We identified potentials for reducing emissions and saving energy and natural resources in Chinese cement industry through the comparative analysis.</t>
  </si>
  <si>
    <t>1 ton of Portland cement with 42.5 MPa of strength grade</t>
  </si>
  <si>
    <t>onsite measurements</t>
  </si>
  <si>
    <t>1.31</t>
  </si>
  <si>
    <t>0.32</t>
  </si>
  <si>
    <t>0.0493</t>
  </si>
  <si>
    <t>The study is meant to perform a Life Cycle Assessment for recycled aggregates in the kerb production</t>
  </si>
  <si>
    <t>seems to be collected onsite, though not clearly stated</t>
  </si>
  <si>
    <t>The main purpose of this study is to determine the potentials of recycled aggregate concrete (concrete made with recycled concrete aggregate) for structural applications and to compare the environmental impact of the production of two types of ready-mixed concrete: natural aggregate concrete (NAC) made entirely with river aggregate and recycled aggregate concrete (RAC) made with natural fine and recycled coarse aggregate</t>
  </si>
  <si>
    <t>1 m3 of ready-mixed NAC and RAC</t>
  </si>
  <si>
    <t>all the LCI data for aggregate, cement and concrete production are collected from local suppliers and manufacturers</t>
  </si>
  <si>
    <t>Maxineasa, Sebastian George
Taranu, Nicolae
Bejan, Liliana
Isopescu, Dorina
Banu, Oana Mihaela</t>
  </si>
  <si>
    <t>Romania</t>
  </si>
  <si>
    <t>Environmental impact of carbon fibre-reinforced polymer flexural strengthening solutions of reinforced concrete beams</t>
  </si>
  <si>
    <t>evaluating and comparing the environmental performances of an unstrengthened reinforced concrete (RC) beam with those of different carbon fibre-reinforced polymer (CFRP) flexural strengthening techniques.</t>
  </si>
  <si>
    <t>Gabi 6</t>
  </si>
  <si>
    <t>IPCC, USEtox, ReCiPe</t>
  </si>
  <si>
    <t>"The paper aims to quantify the environmental impact that sidewalks can contribute to the urban space if no environmental criteria are applied in sidewalk design."</t>
  </si>
  <si>
    <t>The life cycle stages that are assessed include material production, sidewalk construction, sidewalk deconstruction, and material transportation</t>
  </si>
  <si>
    <t xml:space="preserve"> The functional unit is 1 m2 of sidewalk placed in a standard location in central Barcelona (Spain)</t>
  </si>
  <si>
    <t>0.7009</t>
  </si>
  <si>
    <t>0.7976</t>
  </si>
  <si>
    <t>GaBi 4
&amp; 
Ökobau.dat 2010
&amp; 
Netzwerk Lebenszyklusdaten
&amp; 
EFCA</t>
  </si>
  <si>
    <t>0.8189</t>
  </si>
  <si>
    <t>The goal of the present study is to evaluate environmental damage from five concrete mixtures with cements accepted in Israel: CEM I (Portland), CEM II/A-S (Portland-slag), CEM II/A-V (Portland-fly ash), II/A-M(S-V) (Portland-composite), and CEM II/A-L (Portland-limestone)</t>
  </si>
  <si>
    <t xml:space="preserve"> “one cubic meter of concrete with a 30 MPa 28-day compressive strength”</t>
  </si>
  <si>
    <t>Chen et al (2010) was used for fly ash and slag data</t>
  </si>
  <si>
    <t>i) a waste status “without allocation” approach and a by-product status, (ii) a “with mass allocation” approach, and (iii) a “with economic allocation” approach</t>
  </si>
  <si>
    <t>ReCiPe2008</t>
  </si>
  <si>
    <t>Ecoinvent version was not stated - For the raw and recycled aggregates, data have been collected by the French Aggregates Association (UNPG). Admixture data have been collected by the French National Union of Admixtures for Concrete and Mortar (SYNAD)</t>
  </si>
  <si>
    <t>EPD</t>
  </si>
  <si>
    <t>The objective of this paper is to describe the process of development of an appropriate methodology for a type III label that can be used by a trade association, namely “Sector Environmental Product Declaration” (EPD). The study starts from the definition of required data, data collection procedures, sample selection criteria etc. With this aim, the application of the scheme on a case study has been conducted, regarding the cement production in Italy</t>
  </si>
  <si>
    <t>plant operation (i.e. clinker production and cement production) and plant construction, whilst its dismantling is considered as optional and excluded from this study</t>
  </si>
  <si>
    <t>The functional unit has been defined as 1 ton of cement produced / environmental results are presented for the average cement only (CEM I, CEM II, CEM III, CEM IV, CEM V</t>
  </si>
  <si>
    <t xml:space="preserve"> “polluter-pays allocation method” </t>
  </si>
  <si>
    <t>not clearly stated, seems to be the EPD method</t>
  </si>
  <si>
    <t>2.05</t>
  </si>
  <si>
    <t>0.33</t>
  </si>
  <si>
    <t>769.34</t>
  </si>
  <si>
    <t>4.95 × 10−5</t>
  </si>
  <si>
    <t>0.15</t>
  </si>
  <si>
    <t>6.17 × 103</t>
  </si>
  <si>
    <t>108.35</t>
  </si>
  <si>
    <t>Suárez, Sindy
Roca, Xavier
Gasso, Santiago</t>
  </si>
  <si>
    <t>Product-specific life cycle assessment of recycled gypsum as a replacement for natural gypsum in ordinary Portland cement: application to the Spanish context</t>
  </si>
  <si>
    <t>the aim of this study was to recover GW and use it in the manufacture of ordinary Portland cement (OPC), to improve waste management and minimize environmental impacts. To achieve this, we evaluated and compared the environmental impacts of the gypsum production process (primary and secondary [recycling] production) and the environmental impact of the use of recycled gypsum (RG) in the production of OPC</t>
  </si>
  <si>
    <t>not clearly stated</t>
  </si>
  <si>
    <t>1 kg of product</t>
  </si>
  <si>
    <t>This study intended to carry out a ‘cradle-to-gate’ life cycle assessment (LCA) on concrete mix designs containing different cementitious blends.</t>
  </si>
  <si>
    <t>A functional unit of 1 m3, i.e., each mixed produces 1 m3.</t>
  </si>
  <si>
    <t>not clearly stated, derived from supplementary material provided</t>
  </si>
  <si>
    <t xml:space="preserve"> Eco-indicator 99, EPD 2008 and Ecopoints 97</t>
  </si>
  <si>
    <t>Based on a road reconstruction case study, the advantages and disadvantages of two alternative road pavement rehabilitation techniques, a hypothetically defined comparable traditional approach and an actually used cold-in-place-recycling approach, both of which enable a comparable extension of road service life of about 20 years, were investigated by means of Life Cycle Assessment</t>
  </si>
  <si>
    <t>The extraction and production of the raw materials (i.e. crushed virgin aggregate, carbonate filler, and bitumen) required for the production of asphalt mixes, the transport of raw materials to the asphalt batching plant, the production of asphalt mixes at the plant, the transport of ready-mixed asphalt to the rehabilitation site, and the asphalt placing itself were taken into account in both scenarios.</t>
  </si>
  <si>
    <t>The functional unit for the performed LCA was defined as the rehabilitation of approximately 40,000 m2 of pavement, with a design life of 20 years</t>
  </si>
  <si>
    <t>gabi 4.0</t>
  </si>
  <si>
    <t>This study aims to quantify the embodied carbon footprint of building construction materials used in Hong Kong with the consideration of local factors and to investigate how the region-specific characteristic would affect the result</t>
  </si>
  <si>
    <t>for cement it's kg, for concrete m3</t>
  </si>
  <si>
    <t>mix between Ecoinvent, CLCD and JEMAI</t>
  </si>
  <si>
    <t>not clearly stated, looks like IPCC</t>
  </si>
  <si>
    <t>Shows embodied CO2, EE and embodied primary resource consumption for fly ash, metakaolin, GGBS etc.
without reffering to Units, but seems like 1 kg of material</t>
  </si>
  <si>
    <t>A1-D</t>
  </si>
  <si>
    <t>A-C</t>
  </si>
  <si>
    <t>A-B</t>
  </si>
  <si>
    <t>Article title:</t>
  </si>
  <si>
    <t>Journal name:</t>
  </si>
  <si>
    <t>Authors:</t>
  </si>
  <si>
    <t>Affiliations:</t>
  </si>
  <si>
    <t xml:space="preserve">Corresponding author: </t>
  </si>
  <si>
    <t>(Sprayed) Concrete production in Life Cycle Assessments: a systematic literature review</t>
  </si>
  <si>
    <t>International Journal of Life Cycle Assessment</t>
  </si>
  <si>
    <t>Marcella Ruschi Mendes Saade a,b; Alexander Passer b; Florian Mittermayr b</t>
  </si>
  <si>
    <t>a: Interdisciplinary Research Laboratory on Sustainable Engineering and Ecodesign (LIRIDE), Civil Engineering Department, University of Sherbrooke, Sherbrooke, QC, Canada J1K 2R1. b: Institute of Technology and Testing of Building Materials, Graz University of Technology, Graz, Austria</t>
  </si>
  <si>
    <t>alexander.passer@tugraz.at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</si>
</sst>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0.000"/>
    <numFmt numFmtId="166" formatCode="0.000"/>
    <numFmt numFmtId="167" formatCode="_-* #,##0\ _€_-;\-* #,##0\ _€_-;_-* &quot;-&quot;??\ _€_-;_-@_-"/>
  </numFmts>
  <fonts count="14" x14ac:knownFonts="1">
    <font>
      <sz val="11"/>
      <color theme="1"/>
      <name val="Calibri"/>
      <family val="2"/>
      <scheme val="minor"/>
    </font>
    <font>
      <b/>
      <sz val="11"/>
      <color theme="1"/>
      <name val="Calibri"/>
      <family val="2"/>
      <scheme val="minor"/>
    </font>
    <font>
      <sz val="10"/>
      <color rgb="FF333333"/>
      <name val="Calibri"/>
      <family val="2"/>
      <scheme val="minor"/>
    </font>
    <font>
      <sz val="10"/>
      <color theme="1"/>
      <name val="Calibri"/>
      <family val="2"/>
      <scheme val="minor"/>
    </font>
    <font>
      <sz val="10"/>
      <color rgb="FF000000"/>
      <name val="Calibri"/>
      <family val="2"/>
      <scheme val="minor"/>
    </font>
    <font>
      <sz val="10"/>
      <name val="Calibri"/>
      <family val="2"/>
      <scheme val="minor"/>
    </font>
    <font>
      <u/>
      <sz val="11"/>
      <color theme="10"/>
      <name val="Calibri"/>
      <family val="2"/>
      <scheme val="minor"/>
    </font>
    <font>
      <u/>
      <sz val="11"/>
      <color theme="11"/>
      <name val="Calibri"/>
      <family val="2"/>
      <scheme val="minor"/>
    </font>
    <font>
      <b/>
      <sz val="10"/>
      <color theme="1"/>
      <name val="Calibri"/>
      <family val="2"/>
      <scheme val="minor"/>
    </font>
    <font>
      <b/>
      <sz val="10"/>
      <color indexed="81"/>
      <name val="Calibri"/>
      <family val="2"/>
    </font>
    <font>
      <i/>
      <sz val="10"/>
      <color theme="1"/>
      <name val="Calibri"/>
      <family val="2"/>
      <scheme val="minor"/>
    </font>
    <font>
      <sz val="8"/>
      <name val="Calibri"/>
      <family val="2"/>
      <scheme val="minor"/>
    </font>
    <font>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2">
    <border>
      <left/>
      <right/>
      <top/>
      <bottom/>
      <diagonal/>
    </border>
    <border>
      <left/>
      <right/>
      <top style="thin">
        <color theme="5"/>
      </top>
      <bottom/>
      <diagonal/>
    </border>
  </borders>
  <cellStyleXfs count="13">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164" fontId="12"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228">
    <xf numFmtId="0" fontId="0" fillId="0" borderId="0" xfId="0"/>
    <xf numFmtId="0" fontId="0" fillId="0" borderId="0" xfId="0" applyAlignment="1">
      <alignment vertical="center"/>
    </xf>
    <xf numFmtId="0" fontId="2" fillId="0" borderId="0" xfId="0" applyFont="1" applyAlignment="1">
      <alignment wrapText="1"/>
    </xf>
    <xf numFmtId="0" fontId="3" fillId="0" borderId="0" xfId="0" applyFont="1"/>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5"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wrapText="1"/>
    </xf>
    <xf numFmtId="0" fontId="0" fillId="2" borderId="0" xfId="0" applyFill="1" applyAlignment="1">
      <alignment vertical="center"/>
    </xf>
    <xf numFmtId="0" fontId="0" fillId="0" borderId="0" xfId="0" applyAlignment="1">
      <alignment wrapText="1"/>
    </xf>
    <xf numFmtId="0" fontId="5" fillId="0" borderId="0" xfId="0" applyFont="1" applyAlignment="1">
      <alignment wrapText="1"/>
    </xf>
    <xf numFmtId="0" fontId="0" fillId="0" borderId="0" xfId="0" applyAlignment="1">
      <alignment vertical="center" wrapText="1"/>
    </xf>
    <xf numFmtId="0" fontId="5" fillId="0" borderId="0" xfId="0" applyFont="1" applyAlignment="1">
      <alignment horizontal="left" vertical="center" wrapText="1"/>
    </xf>
    <xf numFmtId="0" fontId="5" fillId="0" borderId="0" xfId="3" applyFont="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center" vertical="center"/>
    </xf>
    <xf numFmtId="0" fontId="8" fillId="3" borderId="0" xfId="0" applyFont="1" applyFill="1" applyAlignment="1">
      <alignment vertical="center"/>
    </xf>
    <xf numFmtId="0" fontId="8" fillId="3" borderId="0" xfId="0" applyFont="1" applyFill="1" applyAlignment="1">
      <alignment horizontal="center" vertical="center"/>
    </xf>
    <xf numFmtId="0" fontId="8" fillId="3" borderId="0" xfId="0" applyFont="1" applyFill="1" applyAlignment="1">
      <alignment horizontal="center"/>
    </xf>
    <xf numFmtId="11" fontId="3" fillId="0" borderId="0" xfId="0" applyNumberFormat="1" applyFont="1" applyAlignment="1">
      <alignment horizontal="left" vertical="center"/>
    </xf>
    <xf numFmtId="4" fontId="3" fillId="0" borderId="0" xfId="0" applyNumberFormat="1" applyFont="1" applyAlignment="1">
      <alignment horizontal="left" vertical="center"/>
    </xf>
    <xf numFmtId="11" fontId="2" fillId="0" borderId="0" xfId="0" applyNumberFormat="1" applyFont="1" applyAlignment="1">
      <alignment horizontal="left" vertical="center" wrapText="1"/>
    </xf>
    <xf numFmtId="11" fontId="3" fillId="0" borderId="0" xfId="0" applyNumberFormat="1" applyFont="1" applyAlignment="1">
      <alignment horizontal="left" vertical="center" wrapText="1"/>
    </xf>
    <xf numFmtId="0" fontId="3" fillId="0" borderId="0" xfId="0" applyFont="1" applyAlignment="1">
      <alignment horizontal="center" vertical="center" wrapText="1"/>
    </xf>
    <xf numFmtId="11" fontId="3" fillId="0" borderId="0" xfId="0" applyNumberFormat="1" applyFont="1" applyAlignment="1">
      <alignment vertical="center" wrapText="1"/>
    </xf>
    <xf numFmtId="165" fontId="3" fillId="0" borderId="0" xfId="0" applyNumberFormat="1"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center"/>
    </xf>
    <xf numFmtId="0" fontId="2"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Fill="1" applyAlignment="1">
      <alignment vertical="center" wrapText="1"/>
    </xf>
    <xf numFmtId="0" fontId="0" fillId="0" borderId="0" xfId="0" applyAlignment="1">
      <alignment horizontal="left"/>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horizontal="left" vertical="center"/>
    </xf>
    <xf numFmtId="0" fontId="0" fillId="0" borderId="0" xfId="0" applyAlignment="1"/>
    <xf numFmtId="0" fontId="5"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wrapText="1"/>
    </xf>
    <xf numFmtId="16" fontId="8" fillId="3" borderId="0" xfId="0" applyNumberFormat="1" applyFont="1" applyFill="1" applyAlignment="1">
      <alignment horizontal="center" vertical="center"/>
    </xf>
    <xf numFmtId="49" fontId="8" fillId="3" borderId="0" xfId="0" applyNumberFormat="1" applyFont="1" applyFill="1" applyAlignment="1">
      <alignment horizontal="center" vertical="center"/>
    </xf>
    <xf numFmtId="0" fontId="1" fillId="0" borderId="0" xfId="0" applyFont="1"/>
    <xf numFmtId="0" fontId="1" fillId="0" borderId="0" xfId="0" applyFont="1" applyAlignment="1">
      <alignment horizontal="center"/>
    </xf>
    <xf numFmtId="0" fontId="1" fillId="3" borderId="0" xfId="0" applyFont="1" applyFill="1"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1" fillId="3" borderId="0" xfId="0" applyNumberFormat="1" applyFont="1" applyFill="1" applyAlignment="1">
      <alignment horizontal="center"/>
    </xf>
    <xf numFmtId="0" fontId="3" fillId="0" borderId="0" xfId="0" applyFont="1" applyAlignment="1">
      <alignment vertical="center" wrapText="1"/>
    </xf>
    <xf numFmtId="0" fontId="3"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3" fillId="0" borderId="0" xfId="0" applyFont="1" applyFill="1" applyAlignment="1">
      <alignment vertical="center"/>
    </xf>
    <xf numFmtId="0" fontId="3" fillId="0" borderId="0" xfId="0" applyFont="1" applyFill="1" applyAlignment="1">
      <alignment horizontal="left" vertical="center"/>
    </xf>
    <xf numFmtId="0" fontId="2" fillId="0" borderId="0" xfId="0" applyFont="1" applyFill="1" applyAlignment="1">
      <alignment vertical="center" wrapText="1"/>
    </xf>
    <xf numFmtId="0" fontId="3" fillId="0" borderId="0" xfId="0" applyFont="1" applyFill="1"/>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wrapText="1"/>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0" fillId="0" borderId="0" xfId="0" applyFill="1"/>
    <xf numFmtId="0" fontId="0" fillId="0" borderId="0" xfId="0" applyFill="1" applyAlignment="1">
      <alignment vertical="center"/>
    </xf>
    <xf numFmtId="0" fontId="0" fillId="0" borderId="0" xfId="0" applyFill="1" applyAlignment="1">
      <alignment wrapText="1"/>
    </xf>
    <xf numFmtId="0" fontId="2" fillId="0" borderId="0" xfId="0" applyFont="1" applyFill="1" applyAlignment="1">
      <alignment wrapText="1"/>
    </xf>
    <xf numFmtId="0" fontId="5" fillId="0" borderId="0" xfId="0" applyFont="1" applyFill="1" applyAlignment="1">
      <alignment wrapText="1"/>
    </xf>
    <xf numFmtId="0" fontId="3" fillId="0" borderId="0" xfId="0" applyFont="1" applyFill="1" applyAlignment="1">
      <alignment horizontal="center" wrapText="1"/>
    </xf>
    <xf numFmtId="0" fontId="3"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vertical="center" wrapText="1"/>
    </xf>
    <xf numFmtId="0" fontId="5"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3" fillId="0" borderId="0" xfId="0" applyFont="1" applyFill="1" applyAlignment="1">
      <alignment horizontal="left" vertical="center" wrapText="1"/>
    </xf>
    <xf numFmtId="0" fontId="3" fillId="0" borderId="0" xfId="0" applyFont="1" applyAlignment="1">
      <alignment vertical="center" wrapText="1"/>
    </xf>
    <xf numFmtId="0" fontId="0" fillId="0" borderId="0" xfId="0" applyFill="1" applyAlignment="1">
      <alignment horizontal="left"/>
    </xf>
    <xf numFmtId="0" fontId="3" fillId="0" borderId="0" xfId="0" applyFont="1" applyFill="1" applyAlignment="1">
      <alignment horizontal="right" wrapText="1"/>
    </xf>
    <xf numFmtId="15" fontId="3" fillId="0" borderId="0" xfId="0" applyNumberFormat="1" applyFont="1" applyFill="1" applyAlignment="1">
      <alignment vertical="center" wrapText="1"/>
    </xf>
    <xf numFmtId="0" fontId="3"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center" wrapText="1"/>
    </xf>
    <xf numFmtId="164" fontId="3" fillId="0" borderId="0" xfId="5" applyFont="1" applyFill="1" applyAlignment="1">
      <alignment vertical="center" wrapText="1"/>
    </xf>
    <xf numFmtId="0" fontId="5" fillId="0" borderId="0" xfId="0" applyFont="1" applyFill="1" applyAlignment="1">
      <alignment horizontal="left" vertical="center"/>
    </xf>
    <xf numFmtId="0" fontId="5" fillId="0" borderId="0" xfId="0" applyFont="1" applyFill="1" applyAlignment="1">
      <alignment horizontal="center" vertical="center"/>
    </xf>
    <xf numFmtId="0" fontId="0" fillId="0" borderId="0" xfId="0" applyFill="1" applyAlignment="1"/>
    <xf numFmtId="0" fontId="3" fillId="0" borderId="0" xfId="0" applyFont="1" applyFill="1" applyBorder="1" applyAlignment="1">
      <alignment vertical="center"/>
    </xf>
    <xf numFmtId="0" fontId="0" fillId="0" borderId="0" xfId="0" applyFill="1" applyAlignment="1">
      <alignment vertical="center" wrapText="1"/>
    </xf>
    <xf numFmtId="0" fontId="3" fillId="0" borderId="0" xfId="0" applyFont="1" applyAlignment="1">
      <alignment vertical="center" wrapText="1"/>
    </xf>
    <xf numFmtId="0" fontId="0" fillId="0" borderId="0" xfId="0" applyAlignment="1">
      <alignment horizontal="center" vertical="center"/>
    </xf>
    <xf numFmtId="0" fontId="0" fillId="0" borderId="0" xfId="0" applyFont="1" applyAlignment="1">
      <alignment horizontal="left"/>
    </xf>
    <xf numFmtId="0" fontId="0" fillId="0" borderId="0" xfId="0" applyFill="1" applyAlignment="1">
      <alignment horizontal="right"/>
    </xf>
    <xf numFmtId="0" fontId="0" fillId="0" borderId="0" xfId="0" applyAlignment="1">
      <alignment horizontal="right"/>
    </xf>
    <xf numFmtId="0" fontId="13" fillId="0" borderId="0" xfId="0" applyFont="1" applyAlignment="1">
      <alignment horizontal="left"/>
    </xf>
    <xf numFmtId="2" fontId="0" fillId="0" borderId="0" xfId="0" applyNumberFormat="1"/>
    <xf numFmtId="0" fontId="3" fillId="0" borderId="1" xfId="0" applyFont="1" applyBorder="1" applyAlignment="1">
      <alignment horizontal="left" vertical="center" wrapText="1"/>
    </xf>
    <xf numFmtId="0" fontId="3" fillId="0" borderId="0" xfId="0" applyFont="1" applyAlignment="1">
      <alignment vertical="center" wrapText="1"/>
    </xf>
    <xf numFmtId="0" fontId="2" fillId="0" borderId="0" xfId="0" applyFont="1" applyFill="1" applyAlignment="1">
      <alignment horizontal="left" vertical="center" wrapText="1"/>
    </xf>
    <xf numFmtId="0" fontId="3" fillId="0" borderId="1" xfId="0" applyFont="1" applyFill="1" applyBorder="1" applyAlignment="1">
      <alignment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vertical="center" wrapText="1"/>
    </xf>
    <xf numFmtId="0" fontId="3" fillId="0" borderId="0" xfId="0" applyFont="1" applyFill="1" applyAlignment="1">
      <alignment horizontal="center" vertical="center"/>
    </xf>
    <xf numFmtId="0" fontId="0" fillId="0" borderId="0" xfId="0" applyFill="1" applyAlignment="1">
      <alignment horizontal="center" vertical="center"/>
    </xf>
    <xf numFmtId="0" fontId="2" fillId="0" borderId="0" xfId="0" applyFont="1" applyFill="1" applyAlignment="1">
      <alignment horizontal="center" vertical="center" wrapText="1"/>
    </xf>
    <xf numFmtId="166" fontId="3" fillId="0" borderId="0" xfId="0" applyNumberFormat="1" applyFont="1" applyFill="1" applyAlignment="1">
      <alignment horizontal="left" vertical="center"/>
    </xf>
    <xf numFmtId="0" fontId="5" fillId="0" borderId="0" xfId="0" applyFont="1" applyFill="1" applyAlignment="1">
      <alignment horizontal="left" vertical="center" wrapText="1"/>
    </xf>
    <xf numFmtId="0" fontId="3" fillId="0" borderId="1" xfId="0" applyFont="1" applyFill="1" applyBorder="1" applyAlignment="1">
      <alignment horizontal="left" vertical="center" wrapText="1"/>
    </xf>
    <xf numFmtId="0" fontId="5" fillId="0" borderId="0" xfId="0" applyFont="1" applyFill="1" applyAlignment="1">
      <alignment vertical="center"/>
    </xf>
    <xf numFmtId="0" fontId="3" fillId="0" borderId="0" xfId="0" applyFont="1" applyFill="1" applyBorder="1" applyAlignment="1">
      <alignment horizontal="right" vertical="center"/>
    </xf>
    <xf numFmtId="0" fontId="0" fillId="0" borderId="0" xfId="0" applyFill="1" applyBorder="1" applyAlignment="1">
      <alignment horizontal="right"/>
    </xf>
    <xf numFmtId="0" fontId="0" fillId="0" borderId="0" xfId="0" applyFill="1" applyBorder="1" applyAlignment="1"/>
    <xf numFmtId="0" fontId="0" fillId="0" borderId="0" xfId="0" applyFill="1" applyBorder="1"/>
    <xf numFmtId="167" fontId="0" fillId="0" borderId="0" xfId="5" applyNumberFormat="1" applyFont="1" applyFill="1" applyAlignment="1">
      <alignment horizontal="right"/>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0" fillId="0" borderId="0" xfId="0" applyFill="1" applyBorder="1" applyAlignment="1">
      <alignment horizontal="right" vertical="center"/>
    </xf>
    <xf numFmtId="0" fontId="0" fillId="0" borderId="0" xfId="0" applyFill="1" applyBorder="1" applyAlignment="1">
      <alignment vertical="center"/>
    </xf>
    <xf numFmtId="0" fontId="3" fillId="0" borderId="0" xfId="0" applyNumberFormat="1" applyFont="1" applyFill="1" applyBorder="1" applyAlignment="1">
      <alignment vertical="center"/>
    </xf>
    <xf numFmtId="0" fontId="0" fillId="0" borderId="0" xfId="0" applyFill="1" applyAlignment="1">
      <alignment horizontal="left" vertical="center"/>
    </xf>
    <xf numFmtId="3" fontId="0" fillId="0" borderId="0" xfId="0" applyNumberFormat="1" applyFill="1" applyAlignment="1">
      <alignment horizontal="left" vertical="center"/>
    </xf>
    <xf numFmtId="3" fontId="3" fillId="0" borderId="0" xfId="0" applyNumberFormat="1" applyFont="1" applyFill="1" applyAlignment="1">
      <alignment horizontal="left" vertical="center" wrapText="1"/>
    </xf>
    <xf numFmtId="2" fontId="0" fillId="0" borderId="0" xfId="0" applyNumberFormat="1" applyFill="1"/>
    <xf numFmtId="0" fontId="3" fillId="0" borderId="0" xfId="0" applyFont="1" applyFill="1" applyAlignment="1">
      <alignment horizontal="center"/>
    </xf>
    <xf numFmtId="11" fontId="3" fillId="0" borderId="0" xfId="0" applyNumberFormat="1" applyFont="1" applyFill="1" applyAlignment="1">
      <alignment vertical="center" wrapText="1"/>
    </xf>
    <xf numFmtId="11" fontId="3" fillId="0" borderId="0" xfId="0" applyNumberFormat="1" applyFont="1" applyFill="1" applyAlignment="1">
      <alignment vertical="center"/>
    </xf>
    <xf numFmtId="0" fontId="3" fillId="0" borderId="0" xfId="0" applyFont="1" applyFill="1" applyAlignment="1">
      <alignment vertical="center"/>
    </xf>
    <xf numFmtId="11" fontId="0" fillId="0" borderId="0" xfId="0" applyNumberFormat="1" applyFill="1" applyAlignment="1">
      <alignment horizontal="right" vertical="center"/>
    </xf>
    <xf numFmtId="11" fontId="0" fillId="0" borderId="0" xfId="0" applyNumberFormat="1" applyFill="1" applyAlignment="1">
      <alignment vertical="center"/>
    </xf>
    <xf numFmtId="0" fontId="0" fillId="0" borderId="0" xfId="0" applyFill="1" applyAlignment="1">
      <alignment horizontal="right" vertical="center"/>
    </xf>
    <xf numFmtId="2" fontId="3" fillId="0" borderId="0" xfId="0" applyNumberFormat="1" applyFont="1" applyFill="1" applyAlignment="1">
      <alignment vertical="center"/>
    </xf>
    <xf numFmtId="0" fontId="6" fillId="0" borderId="0" xfId="3"/>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2" fillId="0" borderId="0" xfId="0" applyFont="1" applyAlignment="1">
      <alignment horizontal="left" vertical="center" wrapText="1"/>
    </xf>
    <xf numFmtId="0" fontId="4" fillId="0" borderId="0" xfId="0" applyFont="1" applyAlignment="1">
      <alignment horizontal="left" vertical="center" wrapText="1"/>
    </xf>
    <xf numFmtId="0" fontId="1" fillId="2" borderId="0" xfId="0" applyFont="1" applyFill="1" applyAlignment="1">
      <alignment horizontal="center"/>
    </xf>
    <xf numFmtId="0" fontId="0" fillId="2" borderId="0" xfId="0" applyFill="1" applyAlignment="1">
      <alignment horizontal="center"/>
    </xf>
    <xf numFmtId="0" fontId="4" fillId="0" borderId="0" xfId="0" applyFont="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0" fillId="0" borderId="0" xfId="0" applyFill="1" applyAlignment="1">
      <alignment horizontal="center"/>
    </xf>
    <xf numFmtId="0" fontId="2" fillId="0" borderId="0" xfId="0" applyFont="1" applyFill="1" applyAlignment="1">
      <alignment horizontal="left" vertical="center" wrapText="1"/>
    </xf>
    <xf numFmtId="0" fontId="3" fillId="0" borderId="0" xfId="0" applyFont="1" applyFill="1" applyAlignment="1">
      <alignment horizontal="center" vertical="center"/>
    </xf>
    <xf numFmtId="0" fontId="3" fillId="0" borderId="0" xfId="0" applyFont="1" applyFill="1" applyAlignment="1">
      <alignment horizontal="left" vertical="center"/>
    </xf>
    <xf numFmtId="0" fontId="5" fillId="0" borderId="0" xfId="0" applyFont="1" applyFill="1" applyAlignment="1">
      <alignment horizontal="left" vertical="center" wrapText="1"/>
    </xf>
    <xf numFmtId="0" fontId="3" fillId="0" borderId="0" xfId="0" applyFont="1" applyFill="1" applyAlignment="1">
      <alignment horizontal="right" vertical="center"/>
    </xf>
    <xf numFmtId="0" fontId="3" fillId="0" borderId="0" xfId="0" applyFont="1" applyAlignment="1">
      <alignment horizontal="left" wrapText="1"/>
    </xf>
    <xf numFmtId="15" fontId="3" fillId="0" borderId="0" xfId="0" applyNumberFormat="1" applyFont="1" applyFill="1" applyAlignment="1">
      <alignment horizontal="left" vertical="center" wrapText="1"/>
    </xf>
    <xf numFmtId="0" fontId="3" fillId="0" borderId="0" xfId="0" applyFont="1" applyFill="1" applyAlignment="1">
      <alignment horizontal="left" wrapText="1"/>
    </xf>
    <xf numFmtId="0" fontId="3" fillId="0" borderId="0" xfId="0" applyFont="1" applyFill="1" applyAlignment="1">
      <alignment vertical="center"/>
    </xf>
    <xf numFmtId="0" fontId="3" fillId="0" borderId="0" xfId="0" applyFont="1" applyFill="1" applyAlignment="1">
      <alignment vertical="center" wrapText="1"/>
    </xf>
    <xf numFmtId="0" fontId="8" fillId="0" borderId="0" xfId="0" applyFont="1" applyFill="1" applyAlignment="1">
      <alignment horizontal="center" vertical="center"/>
    </xf>
    <xf numFmtId="0" fontId="1" fillId="0" borderId="0" xfId="0" applyFont="1" applyFill="1" applyAlignment="1">
      <alignment horizontal="center"/>
    </xf>
  </cellXfs>
  <cellStyles count="13">
    <cellStyle name="Comma" xfId="5" builtinId="3"/>
    <cellStyle name="Followed Hyperlink" xfId="2" builtinId="9" hidden="1"/>
    <cellStyle name="Followed Hyperlink" xfId="4"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Hyperlink" xfId="1" builtinId="8" hidden="1"/>
    <cellStyle name="Hyperlink" xfId="3"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ejule/Dropbox/JS-Thesis/01_Data%20extraction%20-%20SLR/06dez2016-SLR-Data%20extraction%20form_JS_MS%20-%20for%20PAP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ucture"/>
      <sheetName val="sprayed concrete"/>
      <sheetName val="limestone"/>
      <sheetName val="Sheet1"/>
      <sheetName val="admixtures"/>
      <sheetName val="CEM I_II"/>
      <sheetName val="Lists"/>
    </sheetNames>
    <sheetDataSet>
      <sheetData sheetId="0" refreshError="1"/>
      <sheetData sheetId="1" refreshError="1"/>
      <sheetData sheetId="2" refreshError="1"/>
      <sheetData sheetId="3" refreshError="1"/>
      <sheetData sheetId="4">
        <row r="52">
          <cell r="D52">
            <v>2000</v>
          </cell>
        </row>
      </sheetData>
      <sheetData sheetId="5">
        <row r="45">
          <cell r="D45">
            <v>2000</v>
          </cell>
        </row>
      </sheetData>
      <sheetData sheetId="6"/>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alexander.passer@tugraz.at"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D6AB1-A557-E847-AA79-5864D0DA5E60}">
  <dimension ref="A1:B5"/>
  <sheetViews>
    <sheetView tabSelected="1" workbookViewId="0">
      <selection activeCell="E13" sqref="E13"/>
    </sheetView>
  </sheetViews>
  <sheetFormatPr baseColWidth="10" defaultRowHeight="15" x14ac:dyDescent="0.2"/>
  <cols>
    <col min="1" max="1" width="18.83203125" customWidth="1"/>
  </cols>
  <sheetData>
    <row r="1" spans="1:2" x14ac:dyDescent="0.2">
      <c r="A1" t="s">
        <v>2362</v>
      </c>
      <c r="B1" t="s">
        <v>2367</v>
      </c>
    </row>
    <row r="2" spans="1:2" x14ac:dyDescent="0.2">
      <c r="A2" t="s">
        <v>2363</v>
      </c>
      <c r="B2" t="s">
        <v>2368</v>
      </c>
    </row>
    <row r="3" spans="1:2" x14ac:dyDescent="0.2">
      <c r="A3" t="s">
        <v>2364</v>
      </c>
      <c r="B3" t="s">
        <v>2369</v>
      </c>
    </row>
    <row r="4" spans="1:2" x14ac:dyDescent="0.2">
      <c r="A4" t="s">
        <v>2365</v>
      </c>
      <c r="B4" t="s">
        <v>2370</v>
      </c>
    </row>
    <row r="5" spans="1:2" x14ac:dyDescent="0.2">
      <c r="A5" t="s">
        <v>2366</v>
      </c>
      <c r="B5" s="199" t="s">
        <v>2371</v>
      </c>
    </row>
  </sheetData>
  <hyperlinks>
    <hyperlink ref="B5" r:id="rId1" xr:uid="{CD381A34-F6E6-FA49-91D6-C900B4C6A4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0"/>
  <sheetViews>
    <sheetView workbookViewId="0">
      <pane xSplit="2" ySplit="3" topLeftCell="C4" activePane="bottomRight" state="frozen"/>
      <selection pane="topRight" activeCell="C1" sqref="C1"/>
      <selection pane="bottomLeft" activeCell="A4" sqref="A4"/>
      <selection pane="bottomRight" activeCell="C4" sqref="C4:C5"/>
    </sheetView>
  </sheetViews>
  <sheetFormatPr baseColWidth="10" defaultColWidth="8.83203125" defaultRowHeight="15" outlineLevelCol="1" x14ac:dyDescent="0.2"/>
  <cols>
    <col min="1" max="1" width="4.33203125" style="1" customWidth="1"/>
    <col min="2" max="2" width="35.5" customWidth="1"/>
    <col min="3" max="3" width="13.6640625" customWidth="1"/>
    <col min="5" max="5" width="17.5" customWidth="1"/>
    <col min="6" max="6" width="19.33203125" customWidth="1"/>
    <col min="7" max="9" width="38.5" customWidth="1"/>
    <col min="10" max="10" width="24.1640625" customWidth="1"/>
    <col min="11" max="11" width="24.83203125" customWidth="1"/>
    <col min="12" max="13" width="22.5" customWidth="1"/>
    <col min="14" max="15" width="29" customWidth="1"/>
    <col min="16" max="16" width="22.33203125" customWidth="1"/>
    <col min="17" max="17" width="22.33203125" customWidth="1" outlineLevel="1"/>
    <col min="18" max="19" width="14.83203125" customWidth="1"/>
    <col min="20" max="20" width="14.5" customWidth="1"/>
    <col min="21" max="21" width="15.33203125" bestFit="1" customWidth="1"/>
    <col min="22" max="22" width="18.33203125" bestFit="1" customWidth="1"/>
    <col min="23" max="23" width="14.5" bestFit="1" customWidth="1"/>
    <col min="24" max="24" width="13.5" bestFit="1" customWidth="1"/>
    <col min="25" max="25" width="14.83203125" bestFit="1" customWidth="1"/>
    <col min="26" max="26" width="27" bestFit="1" customWidth="1"/>
  </cols>
  <sheetData>
    <row r="1" spans="1:26" x14ac:dyDescent="0.2">
      <c r="A1" s="12"/>
      <c r="B1" s="210" t="s">
        <v>0</v>
      </c>
      <c r="C1" s="210"/>
      <c r="D1" s="210"/>
      <c r="E1" s="210"/>
    </row>
    <row r="2" spans="1:26" x14ac:dyDescent="0.2">
      <c r="A2" s="12"/>
      <c r="B2" s="211" t="s">
        <v>1</v>
      </c>
      <c r="C2" s="211"/>
      <c r="D2" s="211"/>
      <c r="E2" s="211"/>
    </row>
    <row r="3" spans="1:26" s="3" customFormat="1" ht="14" x14ac:dyDescent="0.2">
      <c r="A3" s="26" t="s">
        <v>9</v>
      </c>
      <c r="B3" s="27" t="s">
        <v>2</v>
      </c>
      <c r="C3" s="27" t="s">
        <v>3</v>
      </c>
      <c r="D3" s="27" t="s">
        <v>4</v>
      </c>
      <c r="E3" s="27" t="s">
        <v>5</v>
      </c>
      <c r="F3" s="27" t="s">
        <v>7</v>
      </c>
      <c r="G3" s="27" t="s">
        <v>6</v>
      </c>
      <c r="H3" s="27" t="s">
        <v>32</v>
      </c>
      <c r="I3" s="27" t="s">
        <v>436</v>
      </c>
      <c r="J3" s="27" t="s">
        <v>14</v>
      </c>
      <c r="K3" s="27" t="s">
        <v>437</v>
      </c>
      <c r="L3" s="27" t="s">
        <v>16</v>
      </c>
      <c r="M3" s="27" t="s">
        <v>93</v>
      </c>
      <c r="N3" s="27" t="s">
        <v>438</v>
      </c>
      <c r="O3" s="27" t="s">
        <v>35</v>
      </c>
      <c r="P3" s="27" t="s">
        <v>68</v>
      </c>
      <c r="Q3" s="27"/>
      <c r="R3" s="27" t="s">
        <v>77</v>
      </c>
      <c r="S3" s="27" t="s">
        <v>19</v>
      </c>
      <c r="T3" s="28" t="s">
        <v>20</v>
      </c>
      <c r="U3" s="28" t="s">
        <v>21</v>
      </c>
      <c r="V3" s="28" t="s">
        <v>75</v>
      </c>
      <c r="W3" s="28" t="s">
        <v>22</v>
      </c>
      <c r="X3" s="28" t="s">
        <v>23</v>
      </c>
      <c r="Y3" s="28" t="s">
        <v>24</v>
      </c>
      <c r="Z3" s="28" t="s">
        <v>37</v>
      </c>
    </row>
    <row r="4" spans="1:26" s="3" customFormat="1" ht="74" customHeight="1" x14ac:dyDescent="0.2">
      <c r="A4" s="205">
        <v>1</v>
      </c>
      <c r="B4" s="209" t="s">
        <v>10</v>
      </c>
      <c r="C4" s="200" t="s">
        <v>8</v>
      </c>
      <c r="D4" s="207">
        <v>2016</v>
      </c>
      <c r="E4" s="202" t="s">
        <v>11</v>
      </c>
      <c r="F4" s="206" t="s">
        <v>12</v>
      </c>
      <c r="G4" s="208" t="s">
        <v>13</v>
      </c>
      <c r="H4" s="204" t="s">
        <v>18</v>
      </c>
      <c r="I4" s="208" t="s">
        <v>34</v>
      </c>
      <c r="J4" s="204" t="s">
        <v>89</v>
      </c>
      <c r="K4" s="202" t="s">
        <v>15</v>
      </c>
      <c r="L4" s="201" t="s">
        <v>18</v>
      </c>
      <c r="M4" s="201" t="s">
        <v>18</v>
      </c>
      <c r="N4" s="200" t="s">
        <v>17</v>
      </c>
      <c r="O4" s="205" t="s">
        <v>18</v>
      </c>
      <c r="P4" s="206" t="s">
        <v>71</v>
      </c>
      <c r="Q4" s="37">
        <v>0.26100000000000001</v>
      </c>
      <c r="R4" s="8" t="s">
        <v>41</v>
      </c>
      <c r="S4" s="6" t="s">
        <v>43</v>
      </c>
      <c r="T4" s="6" t="s">
        <v>45</v>
      </c>
      <c r="U4" s="22" t="s">
        <v>18</v>
      </c>
      <c r="V4" s="21" t="s">
        <v>39</v>
      </c>
      <c r="W4" s="22" t="s">
        <v>18</v>
      </c>
      <c r="X4" s="22" t="s">
        <v>18</v>
      </c>
      <c r="Y4" s="6" t="s">
        <v>40</v>
      </c>
      <c r="Z4" s="22" t="s">
        <v>18</v>
      </c>
    </row>
    <row r="5" spans="1:26" s="3" customFormat="1" ht="47" customHeight="1" x14ac:dyDescent="0.2">
      <c r="A5" s="205"/>
      <c r="B5" s="209"/>
      <c r="C5" s="200"/>
      <c r="D5" s="207"/>
      <c r="E5" s="202"/>
      <c r="F5" s="206"/>
      <c r="G5" s="208"/>
      <c r="H5" s="204"/>
      <c r="I5" s="208"/>
      <c r="J5" s="204"/>
      <c r="K5" s="202"/>
      <c r="L5" s="201"/>
      <c r="M5" s="201"/>
      <c r="N5" s="200"/>
      <c r="O5" s="205"/>
      <c r="P5" s="206"/>
      <c r="Q5" s="37"/>
      <c r="R5" s="8" t="s">
        <v>42</v>
      </c>
      <c r="S5" s="6" t="s">
        <v>44</v>
      </c>
      <c r="T5" s="6" t="s">
        <v>46</v>
      </c>
      <c r="U5" s="22" t="s">
        <v>18</v>
      </c>
      <c r="V5" s="21" t="s">
        <v>38</v>
      </c>
      <c r="W5" s="22" t="s">
        <v>18</v>
      </c>
      <c r="X5" s="22" t="s">
        <v>18</v>
      </c>
      <c r="Y5" s="6" t="s">
        <v>25</v>
      </c>
      <c r="Z5" s="22" t="s">
        <v>18</v>
      </c>
    </row>
    <row r="6" spans="1:26" s="3" customFormat="1" ht="47" customHeight="1" x14ac:dyDescent="0.2">
      <c r="A6" s="205">
        <v>2</v>
      </c>
      <c r="B6" s="209" t="s">
        <v>26</v>
      </c>
      <c r="C6" s="207" t="s">
        <v>27</v>
      </c>
      <c r="D6" s="207">
        <v>2014</v>
      </c>
      <c r="E6" s="206" t="s">
        <v>28</v>
      </c>
      <c r="F6" s="206" t="s">
        <v>29</v>
      </c>
      <c r="G6" s="203" t="s">
        <v>30</v>
      </c>
      <c r="H6" s="204" t="s">
        <v>2360</v>
      </c>
      <c r="I6" s="203" t="s">
        <v>33</v>
      </c>
      <c r="J6" s="204" t="s">
        <v>89</v>
      </c>
      <c r="K6" s="202" t="s">
        <v>59</v>
      </c>
      <c r="L6" s="201" t="s">
        <v>322</v>
      </c>
      <c r="M6" s="201" t="s">
        <v>18</v>
      </c>
      <c r="N6" s="202" t="s">
        <v>31</v>
      </c>
      <c r="O6" s="202" t="s">
        <v>36</v>
      </c>
      <c r="P6" s="202" t="s">
        <v>69</v>
      </c>
      <c r="Q6" s="38"/>
      <c r="R6" s="31" t="s">
        <v>47</v>
      </c>
      <c r="S6" s="32" t="s">
        <v>48</v>
      </c>
      <c r="T6" s="19" t="s">
        <v>49</v>
      </c>
      <c r="U6" s="22" t="s">
        <v>18</v>
      </c>
      <c r="V6" s="29" t="s">
        <v>50</v>
      </c>
      <c r="W6" s="22" t="s">
        <v>18</v>
      </c>
      <c r="X6" s="22" t="s">
        <v>18</v>
      </c>
      <c r="Y6" s="30" t="s">
        <v>51</v>
      </c>
      <c r="Z6" s="29" t="s">
        <v>52</v>
      </c>
    </row>
    <row r="7" spans="1:26" s="3" customFormat="1" ht="47" customHeight="1" x14ac:dyDescent="0.2">
      <c r="A7" s="205"/>
      <c r="B7" s="209"/>
      <c r="C7" s="207"/>
      <c r="D7" s="207"/>
      <c r="E7" s="206"/>
      <c r="F7" s="206"/>
      <c r="G7" s="203"/>
      <c r="H7" s="204"/>
      <c r="I7" s="203"/>
      <c r="J7" s="204"/>
      <c r="K7" s="202"/>
      <c r="L7" s="201"/>
      <c r="M7" s="201"/>
      <c r="N7" s="202"/>
      <c r="O7" s="202"/>
      <c r="P7" s="202"/>
      <c r="Q7" s="38"/>
      <c r="R7" s="21" t="s">
        <v>54</v>
      </c>
      <c r="S7" s="21" t="s">
        <v>55</v>
      </c>
      <c r="T7" s="21" t="s">
        <v>53</v>
      </c>
      <c r="U7" s="22" t="s">
        <v>18</v>
      </c>
      <c r="V7" s="34" t="s">
        <v>56</v>
      </c>
      <c r="W7" s="22" t="s">
        <v>18</v>
      </c>
      <c r="X7" s="22" t="s">
        <v>18</v>
      </c>
      <c r="Y7" s="35" t="s">
        <v>57</v>
      </c>
      <c r="Z7" s="32" t="s">
        <v>58</v>
      </c>
    </row>
    <row r="8" spans="1:26" s="3" customFormat="1" ht="48" customHeight="1" x14ac:dyDescent="0.2">
      <c r="A8" s="205"/>
      <c r="B8" s="209"/>
      <c r="C8" s="207"/>
      <c r="D8" s="207"/>
      <c r="E8" s="206"/>
      <c r="F8" s="206"/>
      <c r="G8" s="203"/>
      <c r="H8" s="204"/>
      <c r="I8" s="203"/>
      <c r="J8" s="204"/>
      <c r="K8" s="202"/>
      <c r="L8" s="201"/>
      <c r="M8" s="201"/>
      <c r="N8" s="202"/>
      <c r="O8" s="202"/>
      <c r="P8" s="202"/>
      <c r="Q8" s="38"/>
      <c r="R8" s="22" t="s">
        <v>18</v>
      </c>
      <c r="S8" s="22" t="s">
        <v>18</v>
      </c>
      <c r="T8" s="22" t="s">
        <v>18</v>
      </c>
      <c r="U8" s="22" t="s">
        <v>18</v>
      </c>
      <c r="V8" s="22" t="s">
        <v>18</v>
      </c>
      <c r="W8" s="22" t="s">
        <v>18</v>
      </c>
      <c r="X8" s="22" t="s">
        <v>18</v>
      </c>
      <c r="Y8" s="21" t="s">
        <v>60</v>
      </c>
      <c r="Z8" s="22" t="s">
        <v>18</v>
      </c>
    </row>
    <row r="9" spans="1:26" s="3" customFormat="1" ht="48" customHeight="1" x14ac:dyDescent="0.2">
      <c r="A9" s="205">
        <v>3</v>
      </c>
      <c r="B9" s="212" t="s">
        <v>61</v>
      </c>
      <c r="C9" s="200" t="s">
        <v>62</v>
      </c>
      <c r="D9" s="207">
        <v>2015</v>
      </c>
      <c r="E9" s="206" t="s">
        <v>63</v>
      </c>
      <c r="F9" s="206" t="s">
        <v>64</v>
      </c>
      <c r="G9" s="203" t="s">
        <v>65</v>
      </c>
      <c r="H9" s="204" t="s">
        <v>2361</v>
      </c>
      <c r="I9" s="203" t="s">
        <v>67</v>
      </c>
      <c r="J9" s="204" t="s">
        <v>447</v>
      </c>
      <c r="K9" s="202" t="s">
        <v>66</v>
      </c>
      <c r="L9" s="201" t="s">
        <v>322</v>
      </c>
      <c r="M9" s="201">
        <v>2.2000000000000002</v>
      </c>
      <c r="N9" s="202" t="s">
        <v>79</v>
      </c>
      <c r="O9" s="201" t="s">
        <v>18</v>
      </c>
      <c r="P9" s="200" t="s">
        <v>70</v>
      </c>
      <c r="Q9" s="39"/>
      <c r="R9" s="19" t="s">
        <v>72</v>
      </c>
      <c r="S9" s="22" t="s">
        <v>18</v>
      </c>
      <c r="T9" s="19" t="s">
        <v>76</v>
      </c>
      <c r="U9" s="19" t="s">
        <v>73</v>
      </c>
      <c r="V9" s="19" t="s">
        <v>74</v>
      </c>
      <c r="W9" s="22" t="s">
        <v>18</v>
      </c>
      <c r="X9" s="22" t="s">
        <v>18</v>
      </c>
      <c r="Y9" s="33" t="s">
        <v>18</v>
      </c>
      <c r="Z9" s="22" t="s">
        <v>18</v>
      </c>
    </row>
    <row r="10" spans="1:26" s="3" customFormat="1" ht="43" customHeight="1" x14ac:dyDescent="0.2">
      <c r="A10" s="205"/>
      <c r="B10" s="212"/>
      <c r="C10" s="200"/>
      <c r="D10" s="207"/>
      <c r="E10" s="206"/>
      <c r="F10" s="206"/>
      <c r="G10" s="203"/>
      <c r="H10" s="204"/>
      <c r="I10" s="203"/>
      <c r="J10" s="204"/>
      <c r="K10" s="202"/>
      <c r="L10" s="201"/>
      <c r="M10" s="201"/>
      <c r="N10" s="202"/>
      <c r="O10" s="201"/>
      <c r="P10" s="200"/>
      <c r="Q10" s="39"/>
      <c r="R10" s="36" t="s">
        <v>18</v>
      </c>
      <c r="S10" s="33" t="s">
        <v>18</v>
      </c>
      <c r="T10" s="23" t="s">
        <v>78</v>
      </c>
      <c r="U10" s="25" t="s">
        <v>18</v>
      </c>
      <c r="V10" s="25" t="s">
        <v>18</v>
      </c>
      <c r="W10" s="25" t="s">
        <v>18</v>
      </c>
      <c r="X10" s="25" t="s">
        <v>18</v>
      </c>
      <c r="Y10" s="25" t="s">
        <v>18</v>
      </c>
      <c r="Z10" s="25" t="s">
        <v>18</v>
      </c>
    </row>
    <row r="11" spans="1:26" s="108" customFormat="1" ht="146" customHeight="1" x14ac:dyDescent="0.2">
      <c r="A11" s="109">
        <v>4</v>
      </c>
      <c r="B11" s="162" t="s">
        <v>80</v>
      </c>
      <c r="C11" s="105" t="s">
        <v>82</v>
      </c>
      <c r="D11" s="160">
        <v>2016</v>
      </c>
      <c r="E11" s="162" t="s">
        <v>83</v>
      </c>
      <c r="F11" s="162" t="s">
        <v>81</v>
      </c>
      <c r="G11" s="107" t="s">
        <v>84</v>
      </c>
      <c r="H11" s="170" t="s">
        <v>2360</v>
      </c>
      <c r="I11" s="107" t="s">
        <v>85</v>
      </c>
      <c r="J11" s="170" t="s">
        <v>89</v>
      </c>
      <c r="K11" s="162" t="s">
        <v>87</v>
      </c>
      <c r="L11" s="163" t="s">
        <v>1759</v>
      </c>
      <c r="M11" s="163" t="s">
        <v>18</v>
      </c>
      <c r="N11" s="162" t="s">
        <v>86</v>
      </c>
      <c r="O11" s="109" t="s">
        <v>18</v>
      </c>
      <c r="P11" s="162" t="s">
        <v>86</v>
      </c>
      <c r="Q11" s="162"/>
      <c r="R11" s="170" t="s">
        <v>18</v>
      </c>
      <c r="S11" s="161" t="s">
        <v>18</v>
      </c>
      <c r="T11" s="171">
        <v>0.1</v>
      </c>
      <c r="U11" s="109" t="s">
        <v>18</v>
      </c>
      <c r="V11" s="109" t="s">
        <v>18</v>
      </c>
      <c r="W11" s="109" t="s">
        <v>18</v>
      </c>
      <c r="X11" s="109" t="s">
        <v>18</v>
      </c>
      <c r="Y11" s="171">
        <v>0.7</v>
      </c>
      <c r="Z11" s="109" t="s">
        <v>18</v>
      </c>
    </row>
    <row r="12" spans="1:26" s="4" customFormat="1" ht="14" x14ac:dyDescent="0.2">
      <c r="B12" s="24"/>
      <c r="D12" s="10"/>
      <c r="E12" s="6"/>
      <c r="F12" s="7"/>
      <c r="G12" s="7"/>
      <c r="H12" s="72"/>
      <c r="I12" s="7"/>
      <c r="J12" s="72"/>
      <c r="K12" s="6"/>
      <c r="L12" s="69"/>
      <c r="M12" s="69"/>
      <c r="N12" s="6"/>
      <c r="O12" s="20"/>
      <c r="P12" s="20"/>
      <c r="Q12" s="38"/>
      <c r="R12" s="7"/>
      <c r="S12" s="6"/>
    </row>
    <row r="13" spans="1:26" s="4" customFormat="1" ht="14" x14ac:dyDescent="0.2">
      <c r="B13" s="24"/>
      <c r="D13" s="10"/>
      <c r="E13" s="6"/>
      <c r="F13" s="7"/>
      <c r="G13" s="7"/>
      <c r="H13" s="72"/>
      <c r="I13" s="7"/>
      <c r="J13" s="72"/>
      <c r="K13" s="6"/>
      <c r="L13" s="69"/>
      <c r="M13" s="69"/>
      <c r="N13" s="6"/>
      <c r="O13" s="20"/>
      <c r="P13" s="20"/>
      <c r="Q13" s="38"/>
      <c r="R13" s="7"/>
      <c r="S13" s="6"/>
    </row>
    <row r="14" spans="1:26" s="4" customFormat="1" ht="14" x14ac:dyDescent="0.2">
      <c r="B14" s="6"/>
      <c r="D14" s="5"/>
      <c r="E14" s="6"/>
      <c r="F14" s="7"/>
      <c r="G14" s="7"/>
      <c r="H14" s="72"/>
      <c r="I14" s="7"/>
      <c r="J14" s="72"/>
      <c r="K14" s="7"/>
      <c r="L14" s="72"/>
      <c r="M14" s="72"/>
      <c r="N14" s="7"/>
      <c r="O14" s="7"/>
      <c r="P14" s="7"/>
      <c r="Q14" s="40"/>
      <c r="R14" s="7"/>
      <c r="S14" s="6"/>
    </row>
    <row r="15" spans="1:26" s="3" customFormat="1" ht="14" x14ac:dyDescent="0.2">
      <c r="A15" s="4"/>
      <c r="B15" s="6"/>
      <c r="C15" s="4"/>
      <c r="D15" s="5"/>
      <c r="E15" s="6"/>
      <c r="F15" s="7"/>
      <c r="G15" s="7"/>
      <c r="H15" s="72"/>
      <c r="I15" s="7"/>
      <c r="J15" s="72"/>
      <c r="K15" s="6"/>
      <c r="L15" s="69"/>
      <c r="M15" s="69"/>
      <c r="N15" s="4"/>
      <c r="O15" s="18"/>
      <c r="P15" s="18"/>
      <c r="Q15" s="39"/>
      <c r="R15" s="7"/>
      <c r="S15" s="6"/>
    </row>
    <row r="16" spans="1:26" s="3" customFormat="1" ht="14" x14ac:dyDescent="0.2">
      <c r="A16" s="4"/>
      <c r="B16" s="6"/>
      <c r="C16" s="4"/>
      <c r="D16" s="5"/>
      <c r="E16" s="6"/>
      <c r="F16" s="7"/>
      <c r="G16" s="7"/>
      <c r="H16" s="72"/>
      <c r="I16" s="7"/>
      <c r="J16" s="72"/>
      <c r="K16" s="11"/>
      <c r="L16" s="11"/>
      <c r="M16" s="11"/>
      <c r="N16" s="4"/>
      <c r="O16" s="18"/>
      <c r="P16" s="18"/>
      <c r="Q16" s="39"/>
      <c r="R16" s="6"/>
      <c r="S16" s="6"/>
    </row>
    <row r="17" spans="1:19" s="3" customFormat="1" ht="14" x14ac:dyDescent="0.2">
      <c r="A17" s="4"/>
      <c r="B17" s="6"/>
      <c r="C17" s="4"/>
      <c r="D17" s="5"/>
      <c r="E17" s="6"/>
      <c r="F17" s="7"/>
      <c r="G17" s="7"/>
      <c r="H17" s="72"/>
      <c r="I17" s="7"/>
      <c r="J17" s="72"/>
      <c r="K17" s="6"/>
      <c r="L17" s="69"/>
      <c r="M17" s="69"/>
      <c r="N17" s="6"/>
      <c r="O17" s="20"/>
      <c r="P17" s="20"/>
      <c r="Q17" s="38"/>
      <c r="R17" s="7"/>
      <c r="S17" s="6"/>
    </row>
    <row r="18" spans="1:19" s="3" customFormat="1" ht="14" x14ac:dyDescent="0.2">
      <c r="A18" s="4"/>
      <c r="B18" s="6"/>
      <c r="C18" s="4"/>
      <c r="D18" s="5"/>
      <c r="E18" s="6"/>
      <c r="F18" s="7"/>
      <c r="G18" s="2"/>
      <c r="H18" s="2"/>
      <c r="I18" s="2"/>
      <c r="J18" s="2"/>
      <c r="K18" s="6"/>
      <c r="L18" s="69"/>
      <c r="M18" s="69"/>
      <c r="N18" s="4"/>
      <c r="O18" s="18"/>
      <c r="P18" s="18"/>
      <c r="Q18" s="39"/>
      <c r="R18" s="11"/>
      <c r="S18" s="6"/>
    </row>
    <row r="19" spans="1:19" s="4" customFormat="1" ht="14" x14ac:dyDescent="0.2">
      <c r="E19" s="6"/>
      <c r="F19" s="6"/>
      <c r="G19" s="6"/>
      <c r="H19" s="69"/>
      <c r="I19" s="20"/>
      <c r="J19" s="69"/>
      <c r="L19" s="70"/>
      <c r="M19" s="70"/>
      <c r="O19" s="18"/>
      <c r="P19" s="18"/>
      <c r="Q19" s="39"/>
      <c r="R19" s="6"/>
      <c r="S19" s="6"/>
    </row>
    <row r="20" spans="1:19" s="4" customFormat="1" ht="14" x14ac:dyDescent="0.2">
      <c r="B20" s="6"/>
      <c r="E20" s="6"/>
      <c r="F20" s="6"/>
      <c r="G20" s="6"/>
      <c r="H20" s="69"/>
      <c r="I20" s="20"/>
      <c r="J20" s="69"/>
      <c r="K20" s="6"/>
      <c r="L20" s="69"/>
      <c r="M20" s="69"/>
      <c r="O20" s="18"/>
      <c r="P20" s="18"/>
      <c r="Q20" s="39"/>
      <c r="R20" s="6"/>
    </row>
    <row r="21" spans="1:19" s="4" customFormat="1" ht="14" x14ac:dyDescent="0.2">
      <c r="E21" s="6"/>
      <c r="F21" s="6"/>
      <c r="H21" s="70"/>
      <c r="I21" s="18"/>
      <c r="J21" s="70"/>
      <c r="L21" s="70"/>
      <c r="M21" s="70"/>
      <c r="O21" s="18"/>
      <c r="P21" s="18"/>
      <c r="Q21" s="39"/>
      <c r="R21" s="6"/>
    </row>
    <row r="22" spans="1:19" s="4" customFormat="1" ht="14" x14ac:dyDescent="0.2">
      <c r="E22" s="6"/>
      <c r="F22" s="9"/>
      <c r="G22" s="9"/>
      <c r="H22" s="9"/>
      <c r="I22" s="9"/>
      <c r="J22" s="9"/>
      <c r="K22" s="6"/>
      <c r="L22" s="69"/>
      <c r="M22" s="69"/>
      <c r="N22" s="9"/>
      <c r="O22" s="9"/>
      <c r="P22" s="9"/>
      <c r="Q22" s="9"/>
      <c r="R22" s="7"/>
    </row>
    <row r="23" spans="1:19" s="4" customFormat="1" ht="14" x14ac:dyDescent="0.2">
      <c r="E23" s="6"/>
      <c r="F23" s="6"/>
      <c r="G23" s="9"/>
      <c r="H23" s="9"/>
      <c r="I23" s="9"/>
      <c r="J23" s="9"/>
      <c r="K23" s="6"/>
      <c r="L23" s="69"/>
      <c r="M23" s="69"/>
      <c r="O23" s="18"/>
      <c r="P23" s="18"/>
      <c r="Q23" s="39"/>
      <c r="R23" s="6"/>
      <c r="S23" s="6"/>
    </row>
    <row r="24" spans="1:19" s="4" customFormat="1" ht="14" x14ac:dyDescent="0.2">
      <c r="B24" s="6"/>
      <c r="E24" s="6"/>
      <c r="F24" s="6"/>
      <c r="G24" s="6"/>
      <c r="H24" s="69"/>
      <c r="I24" s="20"/>
      <c r="J24" s="69"/>
      <c r="K24" s="6"/>
      <c r="L24" s="69"/>
      <c r="M24" s="69"/>
      <c r="O24" s="18"/>
      <c r="P24" s="18"/>
      <c r="Q24" s="39"/>
      <c r="R24" s="6"/>
      <c r="S24" s="6"/>
    </row>
    <row r="25" spans="1:19" s="4" customFormat="1" ht="14" x14ac:dyDescent="0.2">
      <c r="B25" s="6"/>
      <c r="E25" s="6"/>
      <c r="F25" s="6"/>
      <c r="G25" s="7"/>
      <c r="H25" s="72"/>
      <c r="I25" s="7"/>
      <c r="J25" s="72"/>
      <c r="K25" s="6"/>
      <c r="L25" s="69"/>
      <c r="M25" s="69"/>
      <c r="O25" s="18"/>
      <c r="P25" s="18"/>
      <c r="Q25" s="39"/>
      <c r="R25" s="6"/>
      <c r="S25" s="6"/>
    </row>
    <row r="26" spans="1:19" s="4" customFormat="1" ht="14" x14ac:dyDescent="0.2">
      <c r="E26" s="6"/>
      <c r="F26" s="6"/>
      <c r="G26" s="6"/>
      <c r="H26" s="69"/>
      <c r="I26" s="20"/>
      <c r="J26" s="69"/>
      <c r="L26" s="70"/>
      <c r="M26" s="70"/>
      <c r="O26" s="18"/>
      <c r="P26" s="18"/>
      <c r="Q26" s="39"/>
      <c r="R26" s="6"/>
      <c r="S26" s="6"/>
    </row>
    <row r="27" spans="1:19" s="4" customFormat="1" ht="14" x14ac:dyDescent="0.2">
      <c r="E27" s="6"/>
      <c r="F27" s="6"/>
      <c r="G27" s="6"/>
      <c r="H27" s="69"/>
      <c r="I27" s="20"/>
      <c r="J27" s="69"/>
      <c r="K27" s="6"/>
      <c r="L27" s="69"/>
      <c r="M27" s="69"/>
      <c r="O27" s="18"/>
      <c r="P27" s="18"/>
      <c r="Q27" s="39"/>
      <c r="R27" s="6"/>
    </row>
    <row r="28" spans="1:19" s="4" customFormat="1" ht="14" x14ac:dyDescent="0.2">
      <c r="B28" s="6"/>
      <c r="E28" s="6"/>
      <c r="F28" s="6"/>
      <c r="G28" s="6"/>
      <c r="H28" s="69"/>
      <c r="I28" s="20"/>
      <c r="J28" s="69"/>
      <c r="K28" s="6"/>
      <c r="L28" s="69"/>
      <c r="M28" s="69"/>
      <c r="O28" s="18"/>
      <c r="P28" s="18"/>
      <c r="Q28" s="39"/>
      <c r="R28" s="6"/>
    </row>
    <row r="29" spans="1:19" s="4" customFormat="1" ht="14" x14ac:dyDescent="0.2">
      <c r="E29" s="6"/>
      <c r="F29" s="6"/>
      <c r="G29" s="6"/>
      <c r="H29" s="69"/>
      <c r="I29" s="20"/>
      <c r="J29" s="69"/>
      <c r="L29" s="70"/>
      <c r="M29" s="70"/>
      <c r="N29" s="6"/>
      <c r="O29" s="20"/>
      <c r="P29" s="20"/>
      <c r="Q29" s="38"/>
      <c r="R29" s="6"/>
    </row>
    <row r="30" spans="1:19" s="4" customFormat="1" ht="14" x14ac:dyDescent="0.2">
      <c r="E30" s="6"/>
      <c r="F30" s="9"/>
      <c r="G30" s="6"/>
      <c r="H30" s="69"/>
      <c r="I30" s="20"/>
      <c r="J30" s="69"/>
      <c r="L30" s="70"/>
      <c r="M30" s="70"/>
      <c r="O30" s="18"/>
      <c r="P30" s="18"/>
      <c r="Q30" s="39"/>
      <c r="R30" s="6"/>
    </row>
    <row r="31" spans="1:19" s="4" customFormat="1" ht="14" x14ac:dyDescent="0.2">
      <c r="E31" s="6"/>
      <c r="F31" s="6"/>
      <c r="G31" s="6"/>
      <c r="H31" s="69"/>
      <c r="I31" s="20"/>
      <c r="J31" s="69"/>
      <c r="L31" s="70"/>
      <c r="M31" s="70"/>
      <c r="O31" s="18"/>
      <c r="P31" s="18"/>
      <c r="Q31" s="39"/>
      <c r="R31" s="6"/>
      <c r="S31" s="6"/>
    </row>
    <row r="32" spans="1:19" x14ac:dyDescent="0.2">
      <c r="B32" s="6"/>
      <c r="C32" s="4"/>
      <c r="D32" s="4"/>
      <c r="E32" s="6"/>
      <c r="F32" s="6"/>
      <c r="G32" s="6"/>
      <c r="H32" s="69"/>
      <c r="I32" s="20"/>
      <c r="J32" s="69"/>
      <c r="K32" s="6"/>
      <c r="L32" s="69"/>
      <c r="M32" s="69"/>
      <c r="N32" s="4"/>
      <c r="O32" s="18"/>
      <c r="P32" s="18"/>
      <c r="Q32" s="39"/>
      <c r="R32" s="6"/>
      <c r="S32" s="6"/>
    </row>
    <row r="33" spans="2:19" x14ac:dyDescent="0.2">
      <c r="B33" s="4"/>
      <c r="C33" s="4"/>
      <c r="D33" s="4"/>
      <c r="E33" s="6"/>
      <c r="F33" s="6"/>
      <c r="G33" s="6"/>
      <c r="H33" s="69"/>
      <c r="I33" s="20"/>
      <c r="J33" s="69"/>
      <c r="K33" s="4"/>
      <c r="L33" s="70"/>
      <c r="M33" s="70"/>
      <c r="N33" s="4"/>
      <c r="O33" s="18"/>
      <c r="P33" s="18"/>
      <c r="Q33" s="39"/>
      <c r="R33" s="6"/>
      <c r="S33" s="4"/>
    </row>
    <row r="34" spans="2:19" x14ac:dyDescent="0.2">
      <c r="B34" s="6"/>
      <c r="C34" s="4"/>
      <c r="D34" s="4"/>
      <c r="E34" s="6"/>
      <c r="F34" s="6"/>
      <c r="G34" s="6"/>
      <c r="H34" s="69"/>
      <c r="I34" s="20"/>
      <c r="J34" s="69"/>
      <c r="K34" s="4"/>
      <c r="L34" s="70"/>
      <c r="M34" s="70"/>
      <c r="N34" s="4"/>
      <c r="O34" s="18"/>
      <c r="P34" s="18"/>
      <c r="Q34" s="39"/>
      <c r="R34" s="6"/>
      <c r="S34" s="4"/>
    </row>
    <row r="35" spans="2:19" x14ac:dyDescent="0.2">
      <c r="B35" s="4"/>
      <c r="C35" s="4"/>
      <c r="D35" s="4"/>
      <c r="E35" s="6"/>
      <c r="F35" s="6"/>
      <c r="G35" s="6"/>
      <c r="H35" s="69"/>
      <c r="I35" s="20"/>
      <c r="J35" s="69"/>
      <c r="K35" s="4"/>
      <c r="L35" s="70"/>
      <c r="M35" s="70"/>
      <c r="N35" s="4"/>
      <c r="O35" s="18"/>
      <c r="P35" s="18"/>
      <c r="Q35" s="39"/>
      <c r="R35" s="6"/>
      <c r="S35" s="6"/>
    </row>
    <row r="36" spans="2:19" s="1" customFormat="1" x14ac:dyDescent="0.2">
      <c r="B36" s="6"/>
      <c r="C36" s="4"/>
      <c r="D36" s="4"/>
      <c r="E36" s="6"/>
      <c r="F36" s="9"/>
      <c r="G36" s="6"/>
      <c r="H36" s="69"/>
      <c r="I36" s="20"/>
      <c r="J36" s="69"/>
      <c r="K36" s="4"/>
      <c r="L36" s="70"/>
      <c r="M36" s="70"/>
      <c r="N36" s="4"/>
      <c r="O36" s="18"/>
      <c r="P36" s="18"/>
      <c r="Q36" s="39"/>
      <c r="R36" s="6"/>
    </row>
    <row r="37" spans="2:19" x14ac:dyDescent="0.2">
      <c r="B37" s="6"/>
      <c r="C37" s="4"/>
      <c r="D37" s="4"/>
      <c r="E37" s="6"/>
      <c r="F37" s="6"/>
      <c r="G37" s="6"/>
      <c r="H37" s="69"/>
      <c r="I37" s="20"/>
      <c r="J37" s="69"/>
      <c r="K37" s="4"/>
      <c r="L37" s="70"/>
      <c r="M37" s="70"/>
      <c r="N37" s="4"/>
      <c r="O37" s="18"/>
      <c r="P37" s="18"/>
      <c r="Q37" s="39"/>
      <c r="R37" s="6"/>
      <c r="S37" s="6"/>
    </row>
    <row r="38" spans="2:19" x14ac:dyDescent="0.2">
      <c r="B38" s="6"/>
      <c r="C38" s="4"/>
      <c r="D38" s="4"/>
      <c r="E38" s="6"/>
      <c r="F38" s="6"/>
      <c r="G38" s="6"/>
      <c r="H38" s="69"/>
      <c r="I38" s="20"/>
      <c r="J38" s="69"/>
      <c r="K38" s="4"/>
      <c r="L38" s="70"/>
      <c r="M38" s="70"/>
      <c r="N38" s="4"/>
      <c r="O38" s="18"/>
      <c r="P38" s="18"/>
      <c r="Q38" s="39"/>
      <c r="R38" s="6"/>
      <c r="S38" s="6"/>
    </row>
    <row r="39" spans="2:19" x14ac:dyDescent="0.2">
      <c r="B39" s="6"/>
      <c r="C39" s="4"/>
      <c r="D39" s="4"/>
      <c r="E39" s="6"/>
      <c r="F39" s="6"/>
      <c r="G39" s="6"/>
      <c r="H39" s="69"/>
      <c r="I39" s="20"/>
      <c r="J39" s="69"/>
      <c r="K39" s="4"/>
      <c r="L39" s="70"/>
      <c r="M39" s="70"/>
      <c r="N39" s="6"/>
      <c r="O39" s="20"/>
      <c r="P39" s="20"/>
      <c r="Q39" s="38"/>
      <c r="R39" s="6"/>
      <c r="S39" s="6"/>
    </row>
    <row r="40" spans="2:19" x14ac:dyDescent="0.2">
      <c r="B40" s="6"/>
      <c r="C40" s="4"/>
      <c r="D40" s="4"/>
      <c r="E40" s="6"/>
      <c r="F40" s="6"/>
      <c r="G40" s="6"/>
      <c r="H40" s="69"/>
      <c r="I40" s="20"/>
      <c r="J40" s="69"/>
      <c r="K40" s="6"/>
      <c r="L40" s="69"/>
      <c r="M40" s="69"/>
      <c r="N40" s="6"/>
      <c r="O40" s="20"/>
      <c r="P40" s="20"/>
      <c r="Q40" s="38"/>
      <c r="R40" s="6"/>
      <c r="S40" s="6"/>
    </row>
    <row r="41" spans="2:19" x14ac:dyDescent="0.2">
      <c r="B41" s="6"/>
      <c r="C41" s="4"/>
      <c r="D41" s="4"/>
      <c r="E41" s="6"/>
      <c r="F41" s="6"/>
      <c r="G41" s="6"/>
      <c r="H41" s="69"/>
      <c r="I41" s="20"/>
      <c r="J41" s="69"/>
      <c r="K41" s="6"/>
      <c r="L41" s="69"/>
      <c r="M41" s="69"/>
      <c r="N41" s="4"/>
      <c r="O41" s="18"/>
      <c r="P41" s="18"/>
      <c r="Q41" s="39"/>
      <c r="R41" s="6"/>
      <c r="S41" s="6"/>
    </row>
    <row r="42" spans="2:19" x14ac:dyDescent="0.2">
      <c r="B42" s="6"/>
      <c r="C42" s="4"/>
      <c r="D42" s="4"/>
      <c r="E42" s="6"/>
      <c r="F42" s="6"/>
      <c r="G42" s="6"/>
      <c r="H42" s="69"/>
      <c r="I42" s="20"/>
      <c r="J42" s="69"/>
      <c r="K42" s="4"/>
      <c r="L42" s="70"/>
      <c r="M42" s="70"/>
      <c r="N42" s="4"/>
      <c r="O42" s="18"/>
      <c r="P42" s="18"/>
      <c r="Q42" s="39"/>
      <c r="R42" s="6"/>
      <c r="S42" s="6"/>
    </row>
    <row r="43" spans="2:19" x14ac:dyDescent="0.2">
      <c r="B43" s="6"/>
      <c r="C43" s="4"/>
      <c r="D43" s="4"/>
      <c r="E43" s="6"/>
      <c r="F43" s="6"/>
      <c r="G43" s="6"/>
      <c r="H43" s="69"/>
      <c r="I43" s="20"/>
      <c r="J43" s="69"/>
      <c r="K43" s="6"/>
      <c r="L43" s="69"/>
      <c r="M43" s="69"/>
      <c r="N43" s="4"/>
      <c r="O43" s="18"/>
      <c r="P43" s="18"/>
      <c r="Q43" s="39"/>
      <c r="R43" s="6"/>
      <c r="S43" s="6"/>
    </row>
    <row r="44" spans="2:19" x14ac:dyDescent="0.2">
      <c r="B44" s="6"/>
      <c r="C44" s="4"/>
      <c r="D44" s="4"/>
      <c r="E44" s="6"/>
      <c r="F44" s="2"/>
      <c r="G44" s="6"/>
      <c r="H44" s="69"/>
      <c r="I44" s="20"/>
      <c r="J44" s="69"/>
      <c r="K44" s="7"/>
      <c r="L44" s="72"/>
      <c r="M44" s="72"/>
      <c r="N44" s="4"/>
      <c r="O44" s="18"/>
      <c r="P44" s="18"/>
      <c r="Q44" s="39"/>
      <c r="R44" s="13"/>
      <c r="S44" s="6"/>
    </row>
    <row r="45" spans="2:19" x14ac:dyDescent="0.2">
      <c r="B45" s="6"/>
      <c r="C45" s="4"/>
      <c r="D45" s="4"/>
      <c r="E45" s="6"/>
      <c r="F45" s="6"/>
      <c r="G45" s="6"/>
      <c r="H45" s="69"/>
      <c r="I45" s="20"/>
      <c r="J45" s="69"/>
      <c r="K45" s="6"/>
      <c r="L45" s="69"/>
      <c r="M45" s="69"/>
      <c r="N45" s="4"/>
      <c r="O45" s="18"/>
      <c r="P45" s="18"/>
      <c r="Q45" s="39"/>
      <c r="R45" s="2"/>
      <c r="S45" s="6"/>
    </row>
    <row r="46" spans="2:19" x14ac:dyDescent="0.2">
      <c r="B46" s="6"/>
      <c r="C46" s="4"/>
      <c r="D46" s="4"/>
      <c r="E46" s="6"/>
      <c r="F46" s="9"/>
      <c r="G46" s="2"/>
      <c r="H46" s="2"/>
      <c r="I46" s="2"/>
      <c r="J46" s="2"/>
      <c r="K46" s="7"/>
      <c r="L46" s="72"/>
      <c r="M46" s="72"/>
      <c r="N46" s="4"/>
      <c r="O46" s="18"/>
      <c r="P46" s="18"/>
      <c r="Q46" s="39"/>
      <c r="R46" s="7"/>
      <c r="S46" s="6"/>
    </row>
    <row r="47" spans="2:19" x14ac:dyDescent="0.2">
      <c r="B47" s="17"/>
      <c r="C47" s="4"/>
      <c r="D47" s="4"/>
      <c r="E47" s="6"/>
      <c r="F47" s="16"/>
      <c r="G47" s="6"/>
      <c r="H47" s="69"/>
      <c r="I47" s="20"/>
      <c r="J47" s="69"/>
      <c r="K47" s="4"/>
      <c r="L47" s="70"/>
      <c r="M47" s="70"/>
      <c r="N47" s="4"/>
      <c r="O47" s="18"/>
      <c r="P47" s="18"/>
      <c r="Q47" s="39"/>
      <c r="R47" s="14"/>
      <c r="S47" s="6"/>
    </row>
    <row r="48" spans="2:19" x14ac:dyDescent="0.2">
      <c r="B48" s="6"/>
      <c r="C48" s="4"/>
      <c r="D48" s="4"/>
      <c r="E48" s="6"/>
      <c r="F48" s="9"/>
      <c r="G48" s="9"/>
      <c r="H48" s="9"/>
      <c r="I48" s="9"/>
      <c r="J48" s="9"/>
      <c r="K48" s="7"/>
      <c r="L48" s="72"/>
      <c r="M48" s="72"/>
      <c r="N48" s="4"/>
      <c r="O48" s="18"/>
      <c r="P48" s="18"/>
      <c r="Q48" s="39"/>
      <c r="R48" s="2"/>
      <c r="S48" s="6"/>
    </row>
    <row r="49" spans="2:19" x14ac:dyDescent="0.2">
      <c r="B49" s="4"/>
      <c r="C49" s="4"/>
      <c r="D49" s="4"/>
      <c r="E49" s="6"/>
      <c r="F49" s="9"/>
      <c r="G49" s="9"/>
      <c r="H49" s="9"/>
      <c r="I49" s="9"/>
      <c r="J49" s="9"/>
      <c r="K49" s="1"/>
      <c r="L49" s="1"/>
      <c r="M49" s="1"/>
      <c r="N49" s="4"/>
      <c r="O49" s="18"/>
      <c r="P49" s="18"/>
      <c r="Q49" s="39"/>
      <c r="R49" s="14"/>
      <c r="S49" s="6"/>
    </row>
    <row r="50" spans="2:19" x14ac:dyDescent="0.2">
      <c r="B50" s="15"/>
      <c r="C50" s="4"/>
      <c r="D50" s="4"/>
      <c r="E50" s="6"/>
      <c r="F50" s="9"/>
      <c r="G50" s="2"/>
      <c r="H50" s="2"/>
      <c r="I50" s="2"/>
      <c r="J50" s="2"/>
      <c r="K50" s="1"/>
      <c r="L50" s="1"/>
      <c r="M50" s="1"/>
      <c r="N50" s="4"/>
      <c r="O50" s="18"/>
      <c r="P50" s="18"/>
      <c r="Q50" s="39"/>
      <c r="R50" s="2"/>
      <c r="S50" s="6"/>
    </row>
  </sheetData>
  <mergeCells count="50">
    <mergeCell ref="L4:L5"/>
    <mergeCell ref="M4:M5"/>
    <mergeCell ref="L6:L8"/>
    <mergeCell ref="M6:M8"/>
    <mergeCell ref="L9:L10"/>
    <mergeCell ref="M9:M10"/>
    <mergeCell ref="A9:A10"/>
    <mergeCell ref="F4:F5"/>
    <mergeCell ref="G4:G5"/>
    <mergeCell ref="K4:K5"/>
    <mergeCell ref="N4:N5"/>
    <mergeCell ref="K6:K8"/>
    <mergeCell ref="N6:N8"/>
    <mergeCell ref="B9:B10"/>
    <mergeCell ref="G9:G10"/>
    <mergeCell ref="F9:F10"/>
    <mergeCell ref="E9:E10"/>
    <mergeCell ref="D9:D10"/>
    <mergeCell ref="C9:C10"/>
    <mergeCell ref="H4:H5"/>
    <mergeCell ref="H6:H8"/>
    <mergeCell ref="H9:H10"/>
    <mergeCell ref="B1:E1"/>
    <mergeCell ref="B2:E2"/>
    <mergeCell ref="B4:B5"/>
    <mergeCell ref="C4:C5"/>
    <mergeCell ref="D4:D5"/>
    <mergeCell ref="E4:E5"/>
    <mergeCell ref="O6:O8"/>
    <mergeCell ref="A6:A8"/>
    <mergeCell ref="P4:P5"/>
    <mergeCell ref="P6:P8"/>
    <mergeCell ref="D6:D8"/>
    <mergeCell ref="E6:E8"/>
    <mergeCell ref="F6:F8"/>
    <mergeCell ref="G6:G8"/>
    <mergeCell ref="I6:I8"/>
    <mergeCell ref="A4:A5"/>
    <mergeCell ref="I4:I5"/>
    <mergeCell ref="O4:O5"/>
    <mergeCell ref="B6:B8"/>
    <mergeCell ref="C6:C8"/>
    <mergeCell ref="J4:J5"/>
    <mergeCell ref="J6:J8"/>
    <mergeCell ref="P9:P10"/>
    <mergeCell ref="O9:O10"/>
    <mergeCell ref="N9:N10"/>
    <mergeCell ref="K9:K10"/>
    <mergeCell ref="I9:I10"/>
    <mergeCell ref="J9:J10"/>
  </mergeCells>
  <pageMargins left="0.51181102362204722" right="0.51181102362204722" top="0.78740157480314965" bottom="0.78740157480314965" header="0.31496062992125984" footer="0.31496062992125984"/>
  <pageSetup paperSize="9" orientation="portrait"/>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13"/>
  <sheetViews>
    <sheetView workbookViewId="0">
      <pane xSplit="2" ySplit="3" topLeftCell="M4" activePane="bottomRight" state="frozen"/>
      <selection pane="topRight" activeCell="C1" sqref="C1"/>
      <selection pane="bottomLeft" activeCell="A4" sqref="A4"/>
      <selection pane="bottomRight" activeCell="C4" sqref="C4"/>
    </sheetView>
  </sheetViews>
  <sheetFormatPr baseColWidth="10" defaultColWidth="8.83203125" defaultRowHeight="15" outlineLevelCol="1" x14ac:dyDescent="0.2"/>
  <cols>
    <col min="1" max="1" width="4.33203125" style="1" customWidth="1"/>
    <col min="2" max="2" width="25.5" customWidth="1"/>
    <col min="3" max="3" width="13.6640625" customWidth="1"/>
    <col min="4" max="4" width="8.83203125" style="52"/>
    <col min="5" max="5" width="17.5" customWidth="1"/>
    <col min="6" max="6" width="19.33203125" customWidth="1"/>
    <col min="7" max="7" width="38.5" style="1" customWidth="1"/>
    <col min="8" max="8" width="15" customWidth="1"/>
    <col min="9" max="9" width="31.83203125" customWidth="1"/>
    <col min="10" max="10" width="6" customWidth="1"/>
    <col min="11" max="11" width="24.83203125" customWidth="1"/>
    <col min="12" max="12" width="10.5" customWidth="1"/>
    <col min="13" max="13" width="10.33203125" customWidth="1"/>
    <col min="14" max="14" width="27.33203125" customWidth="1"/>
    <col min="15" max="15" width="29" style="58" customWidth="1"/>
    <col min="16" max="16" width="22.33203125" style="58" customWidth="1"/>
    <col min="17" max="18" width="22.33203125" customWidth="1" outlineLevel="1"/>
    <col min="19" max="20" width="14.83203125" customWidth="1"/>
    <col min="21" max="21" width="14.5" customWidth="1"/>
    <col min="22" max="22" width="15.33203125" bestFit="1" customWidth="1"/>
    <col min="23" max="23" width="18.33203125" bestFit="1" customWidth="1"/>
    <col min="24" max="24" width="14.5" bestFit="1" customWidth="1"/>
    <col min="25" max="25" width="13.5" bestFit="1" customWidth="1"/>
    <col min="26" max="26" width="14.83203125" bestFit="1" customWidth="1"/>
    <col min="27" max="27" width="27" bestFit="1" customWidth="1"/>
    <col min="28" max="28" width="32.83203125" bestFit="1" customWidth="1"/>
  </cols>
  <sheetData>
    <row r="1" spans="1:28" x14ac:dyDescent="0.2">
      <c r="A1" s="12"/>
      <c r="B1" s="210" t="s">
        <v>0</v>
      </c>
      <c r="C1" s="210"/>
      <c r="D1" s="210"/>
      <c r="E1" s="210"/>
      <c r="G1"/>
      <c r="O1"/>
      <c r="P1"/>
    </row>
    <row r="2" spans="1:28" x14ac:dyDescent="0.2">
      <c r="A2" s="12"/>
      <c r="B2" s="211" t="s">
        <v>1</v>
      </c>
      <c r="C2" s="211"/>
      <c r="D2" s="211"/>
      <c r="E2" s="211"/>
      <c r="G2"/>
      <c r="O2"/>
      <c r="P2"/>
    </row>
    <row r="3" spans="1:28" s="3" customFormat="1" ht="14" x14ac:dyDescent="0.2">
      <c r="A3" s="26" t="s">
        <v>9</v>
      </c>
      <c r="B3" s="27" t="s">
        <v>2</v>
      </c>
      <c r="C3" s="27" t="s">
        <v>3</v>
      </c>
      <c r="D3" s="27" t="s">
        <v>4</v>
      </c>
      <c r="E3" s="27" t="s">
        <v>5</v>
      </c>
      <c r="F3" s="27" t="s">
        <v>7</v>
      </c>
      <c r="G3" s="27" t="s">
        <v>6</v>
      </c>
      <c r="H3" s="27" t="s">
        <v>32</v>
      </c>
      <c r="I3" s="27" t="s">
        <v>436</v>
      </c>
      <c r="J3" s="27" t="s">
        <v>450</v>
      </c>
      <c r="K3" s="27" t="s">
        <v>437</v>
      </c>
      <c r="L3" s="27" t="s">
        <v>16</v>
      </c>
      <c r="M3" s="27" t="s">
        <v>93</v>
      </c>
      <c r="N3" s="27" t="s">
        <v>438</v>
      </c>
      <c r="O3" s="27" t="s">
        <v>35</v>
      </c>
      <c r="P3" s="27" t="s">
        <v>68</v>
      </c>
      <c r="Q3" s="27"/>
      <c r="R3" s="27"/>
      <c r="S3" s="27" t="s">
        <v>77</v>
      </c>
      <c r="T3" s="27" t="s">
        <v>19</v>
      </c>
      <c r="U3" s="28" t="s">
        <v>20</v>
      </c>
      <c r="V3" s="28" t="s">
        <v>21</v>
      </c>
      <c r="W3" s="28" t="s">
        <v>75</v>
      </c>
      <c r="X3" s="28" t="s">
        <v>22</v>
      </c>
      <c r="Y3" s="28" t="s">
        <v>23</v>
      </c>
      <c r="Z3" s="28" t="s">
        <v>24</v>
      </c>
      <c r="AA3" s="28" t="s">
        <v>37</v>
      </c>
      <c r="AB3" s="28" t="s">
        <v>406</v>
      </c>
    </row>
    <row r="4" spans="1:28" s="41" customFormat="1" ht="148" customHeight="1" x14ac:dyDescent="0.2">
      <c r="A4" s="41">
        <v>1</v>
      </c>
      <c r="B4" s="51" t="s">
        <v>105</v>
      </c>
      <c r="C4" s="47" t="s">
        <v>106</v>
      </c>
      <c r="D4" s="49">
        <v>2015</v>
      </c>
      <c r="E4" s="45" t="s">
        <v>107</v>
      </c>
      <c r="F4" s="44" t="s">
        <v>108</v>
      </c>
      <c r="G4" s="44" t="s">
        <v>257</v>
      </c>
      <c r="H4" s="72" t="s">
        <v>103</v>
      </c>
      <c r="I4" s="44" t="s">
        <v>110</v>
      </c>
      <c r="J4" s="72" t="s">
        <v>445</v>
      </c>
      <c r="K4" s="44" t="s">
        <v>109</v>
      </c>
      <c r="L4" s="72" t="s">
        <v>441</v>
      </c>
      <c r="M4" s="72"/>
      <c r="N4" s="51" t="s">
        <v>492</v>
      </c>
      <c r="O4" s="51" t="s">
        <v>111</v>
      </c>
      <c r="P4" s="44" t="s">
        <v>112</v>
      </c>
      <c r="Q4" s="43"/>
      <c r="R4" s="67"/>
      <c r="S4" s="43"/>
      <c r="T4" s="42"/>
    </row>
    <row r="5" spans="1:28" s="108" customFormat="1" ht="105" x14ac:dyDescent="0.2">
      <c r="A5" s="105">
        <v>2</v>
      </c>
      <c r="B5" s="162" t="s">
        <v>120</v>
      </c>
      <c r="C5" s="105" t="s">
        <v>121</v>
      </c>
      <c r="D5" s="160">
        <v>2013</v>
      </c>
      <c r="E5" s="162" t="s">
        <v>28</v>
      </c>
      <c r="F5" s="107" t="s">
        <v>119</v>
      </c>
      <c r="G5" s="107" t="s">
        <v>491</v>
      </c>
      <c r="H5" s="107"/>
      <c r="I5" s="107" t="s">
        <v>258</v>
      </c>
      <c r="J5" s="107" t="s">
        <v>446</v>
      </c>
      <c r="K5" s="162" t="s">
        <v>494</v>
      </c>
      <c r="L5" s="162" t="s">
        <v>441</v>
      </c>
      <c r="M5" s="162"/>
      <c r="N5" s="162" t="s">
        <v>493</v>
      </c>
      <c r="O5" s="109" t="s">
        <v>18</v>
      </c>
      <c r="P5" s="109" t="s">
        <v>18</v>
      </c>
      <c r="Q5" s="105"/>
      <c r="R5" s="105"/>
      <c r="S5" s="162"/>
      <c r="T5" s="162"/>
    </row>
    <row r="6" spans="1:28" s="3" customFormat="1" ht="105" x14ac:dyDescent="0.2">
      <c r="A6" s="41">
        <v>3</v>
      </c>
      <c r="B6" s="51" t="s">
        <v>132</v>
      </c>
      <c r="C6" s="47" t="s">
        <v>123</v>
      </c>
      <c r="D6" s="49">
        <v>2014</v>
      </c>
      <c r="E6" s="45" t="s">
        <v>114</v>
      </c>
      <c r="F6" s="44" t="s">
        <v>122</v>
      </c>
      <c r="G6" s="44" t="s">
        <v>261</v>
      </c>
      <c r="H6" s="72" t="s">
        <v>102</v>
      </c>
      <c r="I6" s="44" t="s">
        <v>110</v>
      </c>
      <c r="J6" s="72" t="s">
        <v>446</v>
      </c>
      <c r="K6" s="51" t="s">
        <v>262</v>
      </c>
      <c r="L6" s="51" t="s">
        <v>443</v>
      </c>
      <c r="M6" s="51"/>
      <c r="N6" s="45" t="s">
        <v>260</v>
      </c>
      <c r="O6" s="46" t="s">
        <v>18</v>
      </c>
      <c r="P6" s="50" t="s">
        <v>259</v>
      </c>
      <c r="Q6" s="42"/>
      <c r="R6" s="66"/>
      <c r="S6" s="43"/>
      <c r="T6" s="42"/>
    </row>
    <row r="7" spans="1:28" s="3" customFormat="1" ht="150" x14ac:dyDescent="0.2">
      <c r="A7" s="41">
        <v>4</v>
      </c>
      <c r="B7" s="51" t="s">
        <v>125</v>
      </c>
      <c r="C7" s="47" t="s">
        <v>126</v>
      </c>
      <c r="D7" s="49">
        <v>2015</v>
      </c>
      <c r="E7" s="45" t="s">
        <v>115</v>
      </c>
      <c r="F7" s="44" t="s">
        <v>124</v>
      </c>
      <c r="G7" s="44" t="s">
        <v>263</v>
      </c>
      <c r="H7" s="72" t="s">
        <v>98</v>
      </c>
      <c r="I7" s="44" t="s">
        <v>265</v>
      </c>
      <c r="J7" s="72" t="s">
        <v>445</v>
      </c>
      <c r="K7" s="45" t="s">
        <v>266</v>
      </c>
      <c r="L7" s="69" t="s">
        <v>443</v>
      </c>
      <c r="M7" s="69"/>
      <c r="N7" s="47" t="s">
        <v>264</v>
      </c>
      <c r="O7" s="48" t="s">
        <v>18</v>
      </c>
      <c r="P7" s="48" t="s">
        <v>18</v>
      </c>
      <c r="Q7" s="41"/>
      <c r="R7" s="65"/>
      <c r="S7" s="11"/>
      <c r="T7" s="42"/>
    </row>
    <row r="8" spans="1:28" s="41" customFormat="1" ht="120" x14ac:dyDescent="0.2">
      <c r="A8" s="41">
        <v>5</v>
      </c>
      <c r="B8" s="51" t="s">
        <v>179</v>
      </c>
      <c r="C8" s="47" t="s">
        <v>121</v>
      </c>
      <c r="D8" s="49">
        <v>2015</v>
      </c>
      <c r="E8" s="45" t="s">
        <v>116</v>
      </c>
      <c r="F8" s="45" t="s">
        <v>127</v>
      </c>
      <c r="G8" s="45" t="s">
        <v>268</v>
      </c>
      <c r="H8" s="69" t="s">
        <v>100</v>
      </c>
      <c r="I8" s="45" t="s">
        <v>275</v>
      </c>
      <c r="J8" s="69" t="s">
        <v>90</v>
      </c>
      <c r="K8" s="45" t="s">
        <v>267</v>
      </c>
      <c r="L8" s="69" t="s">
        <v>443</v>
      </c>
      <c r="M8" s="69"/>
      <c r="N8" s="47" t="s">
        <v>269</v>
      </c>
      <c r="O8" s="48" t="s">
        <v>18</v>
      </c>
      <c r="P8" s="73" t="s">
        <v>495</v>
      </c>
      <c r="R8" s="65"/>
      <c r="S8" s="42"/>
      <c r="T8" s="42"/>
    </row>
    <row r="9" spans="1:28" s="41" customFormat="1" ht="105" x14ac:dyDescent="0.2">
      <c r="A9" s="41">
        <v>6</v>
      </c>
      <c r="B9" s="51" t="s">
        <v>129</v>
      </c>
      <c r="C9" s="47" t="s">
        <v>130</v>
      </c>
      <c r="D9" s="49">
        <v>2012</v>
      </c>
      <c r="E9" s="45" t="s">
        <v>117</v>
      </c>
      <c r="F9" s="45" t="s">
        <v>128</v>
      </c>
      <c r="G9" s="45" t="s">
        <v>270</v>
      </c>
      <c r="H9" s="69" t="s">
        <v>102</v>
      </c>
      <c r="I9" s="45" t="s">
        <v>272</v>
      </c>
      <c r="J9" s="69" t="s">
        <v>446</v>
      </c>
      <c r="K9" s="45" t="s">
        <v>271</v>
      </c>
      <c r="L9" s="69" t="s">
        <v>441</v>
      </c>
      <c r="M9" s="69"/>
      <c r="N9" s="47" t="s">
        <v>273</v>
      </c>
      <c r="O9" s="48" t="s">
        <v>18</v>
      </c>
      <c r="P9" s="48" t="s">
        <v>18</v>
      </c>
      <c r="R9" s="65"/>
      <c r="S9" s="42"/>
    </row>
    <row r="10" spans="1:28" s="41" customFormat="1" ht="180" x14ac:dyDescent="0.2">
      <c r="A10" s="41">
        <v>7</v>
      </c>
      <c r="B10" s="51" t="s">
        <v>133</v>
      </c>
      <c r="C10" s="47" t="s">
        <v>27</v>
      </c>
      <c r="D10" s="49">
        <v>2010</v>
      </c>
      <c r="E10" s="45" t="s">
        <v>107</v>
      </c>
      <c r="F10" s="45" t="s">
        <v>131</v>
      </c>
      <c r="G10" s="45" t="s">
        <v>279</v>
      </c>
      <c r="H10" s="69" t="s">
        <v>100</v>
      </c>
      <c r="I10" s="47" t="s">
        <v>275</v>
      </c>
      <c r="J10" s="70" t="s">
        <v>441</v>
      </c>
      <c r="K10" s="45" t="s">
        <v>276</v>
      </c>
      <c r="L10" s="69" t="s">
        <v>91</v>
      </c>
      <c r="M10" s="69" t="s">
        <v>94</v>
      </c>
      <c r="N10" s="51" t="s">
        <v>277</v>
      </c>
      <c r="O10" s="51" t="s">
        <v>274</v>
      </c>
      <c r="P10" s="51" t="s">
        <v>278</v>
      </c>
      <c r="R10" s="65"/>
      <c r="S10" s="42"/>
    </row>
    <row r="11" spans="1:28" s="41" customFormat="1" ht="150" x14ac:dyDescent="0.2">
      <c r="A11" s="41">
        <v>8</v>
      </c>
      <c r="B11" s="51" t="s">
        <v>136</v>
      </c>
      <c r="C11" s="47" t="s">
        <v>135</v>
      </c>
      <c r="D11" s="49">
        <v>2015</v>
      </c>
      <c r="E11" s="45" t="s">
        <v>114</v>
      </c>
      <c r="F11" s="9" t="s">
        <v>134</v>
      </c>
      <c r="G11" s="9" t="s">
        <v>280</v>
      </c>
      <c r="H11" s="9" t="s">
        <v>1095</v>
      </c>
      <c r="I11" s="9" t="s">
        <v>281</v>
      </c>
      <c r="J11" s="9" t="s">
        <v>446</v>
      </c>
      <c r="K11" s="45" t="s">
        <v>283</v>
      </c>
      <c r="L11" s="69" t="s">
        <v>441</v>
      </c>
      <c r="M11" s="69"/>
      <c r="N11" s="51" t="s">
        <v>282</v>
      </c>
      <c r="O11" s="59" t="s">
        <v>18</v>
      </c>
      <c r="P11" s="59" t="s">
        <v>18</v>
      </c>
      <c r="Q11" s="45"/>
      <c r="R11" s="66"/>
      <c r="S11" s="43"/>
    </row>
    <row r="12" spans="1:28" s="41" customFormat="1" ht="225" x14ac:dyDescent="0.2">
      <c r="A12" s="41">
        <v>9</v>
      </c>
      <c r="B12" s="51" t="s">
        <v>139</v>
      </c>
      <c r="C12" s="47" t="s">
        <v>138</v>
      </c>
      <c r="D12" s="49">
        <v>2016</v>
      </c>
      <c r="E12" s="45" t="s">
        <v>118</v>
      </c>
      <c r="F12" s="45" t="s">
        <v>137</v>
      </c>
      <c r="G12" s="9" t="s">
        <v>284</v>
      </c>
      <c r="H12" s="9" t="s">
        <v>103</v>
      </c>
      <c r="I12" s="9" t="s">
        <v>285</v>
      </c>
      <c r="J12" s="9" t="s">
        <v>90</v>
      </c>
      <c r="K12" s="45" t="s">
        <v>286</v>
      </c>
      <c r="L12" s="69" t="s">
        <v>441</v>
      </c>
      <c r="M12" s="69"/>
      <c r="N12" s="45" t="s">
        <v>289</v>
      </c>
      <c r="O12" s="59" t="s">
        <v>18</v>
      </c>
      <c r="P12" s="51" t="s">
        <v>287</v>
      </c>
      <c r="Q12" s="47"/>
      <c r="R12" s="65"/>
      <c r="S12" s="42"/>
      <c r="T12" s="42"/>
    </row>
    <row r="13" spans="1:28" s="41" customFormat="1" ht="75" x14ac:dyDescent="0.2">
      <c r="A13" s="41">
        <v>10</v>
      </c>
      <c r="B13" s="51" t="s">
        <v>140</v>
      </c>
      <c r="C13" s="47" t="s">
        <v>135</v>
      </c>
      <c r="D13" s="49">
        <v>2015</v>
      </c>
      <c r="E13" s="45" t="s">
        <v>114</v>
      </c>
      <c r="F13" s="45" t="s">
        <v>141</v>
      </c>
      <c r="G13" s="45" t="s">
        <v>290</v>
      </c>
      <c r="H13" s="69" t="s">
        <v>100</v>
      </c>
      <c r="I13" s="45" t="s">
        <v>275</v>
      </c>
      <c r="J13" s="69" t="s">
        <v>90</v>
      </c>
      <c r="K13" s="45" t="s">
        <v>288</v>
      </c>
      <c r="L13" s="69" t="s">
        <v>91</v>
      </c>
      <c r="M13" s="69" t="s">
        <v>443</v>
      </c>
      <c r="N13" s="51" t="s">
        <v>490</v>
      </c>
      <c r="O13" s="48" t="s">
        <v>18</v>
      </c>
      <c r="P13" s="48" t="s">
        <v>18</v>
      </c>
      <c r="R13" s="65"/>
      <c r="S13" s="42"/>
      <c r="T13" s="42"/>
    </row>
    <row r="14" spans="1:28" s="41" customFormat="1" ht="75" x14ac:dyDescent="0.2">
      <c r="A14" s="41">
        <v>11</v>
      </c>
      <c r="B14" s="51" t="s">
        <v>143</v>
      </c>
      <c r="C14" s="47" t="s">
        <v>144</v>
      </c>
      <c r="D14" s="49">
        <v>2016</v>
      </c>
      <c r="E14" s="45" t="s">
        <v>116</v>
      </c>
      <c r="F14" s="45" t="s">
        <v>142</v>
      </c>
      <c r="G14" s="44" t="s">
        <v>291</v>
      </c>
      <c r="H14" s="72" t="s">
        <v>103</v>
      </c>
      <c r="I14" s="45" t="s">
        <v>110</v>
      </c>
      <c r="J14" s="69" t="s">
        <v>90</v>
      </c>
      <c r="K14" s="45" t="s">
        <v>293</v>
      </c>
      <c r="L14" s="69" t="s">
        <v>91</v>
      </c>
      <c r="M14" s="69" t="s">
        <v>448</v>
      </c>
      <c r="N14" s="47" t="s">
        <v>292</v>
      </c>
      <c r="O14" s="51" t="s">
        <v>294</v>
      </c>
      <c r="P14" s="51" t="s">
        <v>1918</v>
      </c>
      <c r="R14" s="65"/>
      <c r="S14" s="42"/>
      <c r="T14" s="42"/>
    </row>
    <row r="15" spans="1:28" s="41" customFormat="1" ht="90" x14ac:dyDescent="0.2">
      <c r="A15" s="41">
        <v>12</v>
      </c>
      <c r="B15" s="47" t="s">
        <v>146</v>
      </c>
      <c r="C15" s="47" t="s">
        <v>147</v>
      </c>
      <c r="D15" s="49">
        <v>2015</v>
      </c>
      <c r="E15" s="45" t="s">
        <v>28</v>
      </c>
      <c r="F15" s="45" t="s">
        <v>145</v>
      </c>
      <c r="G15" s="45" t="s">
        <v>295</v>
      </c>
      <c r="H15" s="69" t="s">
        <v>102</v>
      </c>
      <c r="I15" s="45" t="s">
        <v>110</v>
      </c>
      <c r="J15" s="69" t="s">
        <v>446</v>
      </c>
      <c r="K15" s="50" t="s">
        <v>296</v>
      </c>
      <c r="L15" s="71" t="s">
        <v>441</v>
      </c>
      <c r="M15" s="71"/>
      <c r="N15" s="51" t="s">
        <v>298</v>
      </c>
      <c r="O15" s="48" t="s">
        <v>18</v>
      </c>
      <c r="P15" s="45" t="s">
        <v>297</v>
      </c>
      <c r="R15" s="65"/>
      <c r="S15" s="42"/>
      <c r="T15" s="42"/>
    </row>
    <row r="16" spans="1:28" s="41" customFormat="1" ht="75" x14ac:dyDescent="0.2">
      <c r="A16" s="41">
        <v>13</v>
      </c>
      <c r="B16" s="51" t="s">
        <v>149</v>
      </c>
      <c r="C16" s="47" t="s">
        <v>138</v>
      </c>
      <c r="D16" s="49">
        <v>2014</v>
      </c>
      <c r="E16" s="45" t="s">
        <v>114</v>
      </c>
      <c r="F16" s="45" t="s">
        <v>148</v>
      </c>
      <c r="G16" s="45" t="s">
        <v>299</v>
      </c>
      <c r="H16" s="69" t="s">
        <v>1150</v>
      </c>
      <c r="I16" s="45" t="s">
        <v>301</v>
      </c>
      <c r="J16" s="69" t="s">
        <v>441</v>
      </c>
      <c r="K16" s="45" t="s">
        <v>300</v>
      </c>
      <c r="L16" s="69" t="s">
        <v>441</v>
      </c>
      <c r="M16" s="69"/>
      <c r="N16" s="47" t="s">
        <v>273</v>
      </c>
      <c r="O16" s="48" t="s">
        <v>18</v>
      </c>
      <c r="P16" s="45" t="s">
        <v>302</v>
      </c>
      <c r="R16" s="65"/>
      <c r="S16" s="42"/>
    </row>
    <row r="17" spans="1:20" s="41" customFormat="1" ht="75" x14ac:dyDescent="0.2">
      <c r="A17" s="41">
        <v>14</v>
      </c>
      <c r="B17" s="51" t="s">
        <v>151</v>
      </c>
      <c r="C17" s="47" t="s">
        <v>8</v>
      </c>
      <c r="D17" s="49">
        <v>2005</v>
      </c>
      <c r="E17" s="45" t="s">
        <v>114</v>
      </c>
      <c r="F17" s="45" t="s">
        <v>150</v>
      </c>
      <c r="G17" s="45" t="s">
        <v>303</v>
      </c>
      <c r="H17" s="69" t="s">
        <v>100</v>
      </c>
      <c r="I17" s="45" t="s">
        <v>275</v>
      </c>
      <c r="J17" s="69" t="s">
        <v>444</v>
      </c>
      <c r="K17" s="45" t="s">
        <v>306</v>
      </c>
      <c r="L17" s="69" t="s">
        <v>441</v>
      </c>
      <c r="M17" s="69"/>
      <c r="N17" s="51" t="s">
        <v>305</v>
      </c>
      <c r="O17" s="53" t="s">
        <v>18</v>
      </c>
      <c r="P17" s="47" t="s">
        <v>304</v>
      </c>
      <c r="R17" s="65"/>
      <c r="S17" s="42"/>
    </row>
    <row r="18" spans="1:20" s="41" customFormat="1" ht="90" x14ac:dyDescent="0.2">
      <c r="A18" s="41">
        <v>15</v>
      </c>
      <c r="B18" s="51" t="s">
        <v>152</v>
      </c>
      <c r="C18" s="47" t="s">
        <v>106</v>
      </c>
      <c r="D18" s="49">
        <v>2015</v>
      </c>
      <c r="E18" s="45" t="s">
        <v>114</v>
      </c>
      <c r="F18" s="45" t="s">
        <v>153</v>
      </c>
      <c r="G18" s="45" t="s">
        <v>307</v>
      </c>
      <c r="H18" s="69" t="s">
        <v>1095</v>
      </c>
      <c r="I18" s="45" t="s">
        <v>311</v>
      </c>
      <c r="J18" s="69" t="s">
        <v>88</v>
      </c>
      <c r="K18" s="47" t="s">
        <v>310</v>
      </c>
      <c r="L18" s="70" t="s">
        <v>441</v>
      </c>
      <c r="M18" s="70"/>
      <c r="N18" s="51" t="s">
        <v>308</v>
      </c>
      <c r="O18" s="56" t="s">
        <v>18</v>
      </c>
      <c r="P18" s="51" t="s">
        <v>309</v>
      </c>
      <c r="Q18" s="42"/>
      <c r="R18" s="66"/>
      <c r="S18" s="42"/>
    </row>
    <row r="19" spans="1:20" s="41" customFormat="1" ht="75" x14ac:dyDescent="0.2">
      <c r="A19" s="41">
        <v>16</v>
      </c>
      <c r="B19" s="51" t="s">
        <v>155</v>
      </c>
      <c r="C19" s="47" t="s">
        <v>156</v>
      </c>
      <c r="D19" s="49">
        <v>2015</v>
      </c>
      <c r="E19" s="45" t="s">
        <v>114</v>
      </c>
      <c r="F19" s="9" t="s">
        <v>154</v>
      </c>
      <c r="G19" s="45" t="s">
        <v>312</v>
      </c>
      <c r="H19" s="69" t="s">
        <v>443</v>
      </c>
      <c r="I19" s="45" t="s">
        <v>315</v>
      </c>
      <c r="J19" s="69" t="s">
        <v>90</v>
      </c>
      <c r="K19" s="47" t="s">
        <v>314</v>
      </c>
      <c r="L19" s="70" t="s">
        <v>441</v>
      </c>
      <c r="M19" s="70"/>
      <c r="N19" s="54" t="s">
        <v>273</v>
      </c>
      <c r="O19" s="51" t="s">
        <v>313</v>
      </c>
      <c r="P19" s="53" t="s">
        <v>18</v>
      </c>
      <c r="R19" s="65"/>
      <c r="S19" s="42"/>
    </row>
    <row r="20" spans="1:20" s="41" customFormat="1" ht="75" x14ac:dyDescent="0.2">
      <c r="A20" s="105">
        <v>17</v>
      </c>
      <c r="B20" s="51" t="s">
        <v>158</v>
      </c>
      <c r="C20" s="105" t="s">
        <v>27</v>
      </c>
      <c r="D20" s="106">
        <v>2010</v>
      </c>
      <c r="E20" s="51" t="s">
        <v>107</v>
      </c>
      <c r="F20" s="51" t="s">
        <v>157</v>
      </c>
      <c r="G20" s="51" t="s">
        <v>316</v>
      </c>
      <c r="H20" s="51" t="s">
        <v>100</v>
      </c>
      <c r="I20" s="51" t="s">
        <v>872</v>
      </c>
      <c r="J20" s="51" t="s">
        <v>90</v>
      </c>
      <c r="K20" s="51" t="s">
        <v>871</v>
      </c>
      <c r="L20" s="51" t="s">
        <v>441</v>
      </c>
      <c r="M20" s="51"/>
      <c r="N20" s="51" t="s">
        <v>318</v>
      </c>
      <c r="O20" s="109" t="s">
        <v>18</v>
      </c>
      <c r="P20" s="51" t="s">
        <v>870</v>
      </c>
      <c r="R20" s="65"/>
      <c r="S20" s="42"/>
      <c r="T20" s="42"/>
    </row>
    <row r="21" spans="1:20" ht="90" x14ac:dyDescent="0.2">
      <c r="A21" s="41">
        <v>18</v>
      </c>
      <c r="B21" s="51" t="s">
        <v>160</v>
      </c>
      <c r="C21" s="51" t="s">
        <v>194</v>
      </c>
      <c r="D21" s="49">
        <v>2013</v>
      </c>
      <c r="E21" s="45" t="s">
        <v>116</v>
      </c>
      <c r="F21" s="45" t="s">
        <v>159</v>
      </c>
      <c r="G21" s="45" t="s">
        <v>319</v>
      </c>
      <c r="H21" s="69" t="s">
        <v>1150</v>
      </c>
      <c r="I21" s="45" t="s">
        <v>321</v>
      </c>
      <c r="J21" s="69" t="s">
        <v>446</v>
      </c>
      <c r="K21" s="45" t="s">
        <v>320</v>
      </c>
      <c r="L21" s="69" t="s">
        <v>91</v>
      </c>
      <c r="M21" s="69" t="s">
        <v>448</v>
      </c>
      <c r="N21" s="47" t="s">
        <v>322</v>
      </c>
      <c r="O21" s="55" t="s">
        <v>568</v>
      </c>
      <c r="P21" s="47" t="s">
        <v>317</v>
      </c>
      <c r="Q21" s="41"/>
      <c r="R21" s="65"/>
      <c r="S21" s="42"/>
      <c r="T21" s="42"/>
    </row>
    <row r="22" spans="1:20" ht="120" x14ac:dyDescent="0.2">
      <c r="A22" s="41">
        <v>19</v>
      </c>
      <c r="B22" s="51" t="s">
        <v>163</v>
      </c>
      <c r="C22" s="47" t="s">
        <v>162</v>
      </c>
      <c r="D22" s="49">
        <v>2010</v>
      </c>
      <c r="E22" s="45" t="s">
        <v>107</v>
      </c>
      <c r="F22" s="45" t="s">
        <v>161</v>
      </c>
      <c r="G22" s="55" t="s">
        <v>324</v>
      </c>
      <c r="H22" s="69" t="s">
        <v>103</v>
      </c>
      <c r="I22" s="45" t="s">
        <v>327</v>
      </c>
      <c r="J22" s="69" t="s">
        <v>444</v>
      </c>
      <c r="K22" s="55" t="s">
        <v>326</v>
      </c>
      <c r="L22" s="69" t="s">
        <v>441</v>
      </c>
      <c r="M22" s="69"/>
      <c r="N22" s="51" t="s">
        <v>325</v>
      </c>
      <c r="O22" s="53" t="s">
        <v>18</v>
      </c>
      <c r="P22" s="53" t="s">
        <v>18</v>
      </c>
      <c r="Q22" s="41"/>
      <c r="R22" s="65"/>
      <c r="S22" s="42"/>
      <c r="T22" s="41"/>
    </row>
    <row r="23" spans="1:20" ht="90" x14ac:dyDescent="0.2">
      <c r="A23" s="41">
        <v>20</v>
      </c>
      <c r="B23" s="51" t="s">
        <v>169</v>
      </c>
      <c r="C23" s="47" t="s">
        <v>121</v>
      </c>
      <c r="D23" s="49">
        <v>2014</v>
      </c>
      <c r="E23" s="45" t="s">
        <v>107</v>
      </c>
      <c r="F23" s="45" t="s">
        <v>168</v>
      </c>
      <c r="G23" s="55" t="s">
        <v>328</v>
      </c>
      <c r="H23" s="69" t="s">
        <v>1150</v>
      </c>
      <c r="I23" s="45" t="s">
        <v>331</v>
      </c>
      <c r="J23" s="69" t="s">
        <v>88</v>
      </c>
      <c r="K23" s="54" t="s">
        <v>329</v>
      </c>
      <c r="L23" s="70" t="s">
        <v>91</v>
      </c>
      <c r="M23" s="70" t="s">
        <v>443</v>
      </c>
      <c r="N23" s="47" t="s">
        <v>330</v>
      </c>
      <c r="O23" s="53" t="s">
        <v>18</v>
      </c>
      <c r="P23" s="54" t="s">
        <v>332</v>
      </c>
      <c r="Q23" s="41"/>
      <c r="R23" s="65"/>
      <c r="S23" s="42"/>
      <c r="T23" s="41"/>
    </row>
    <row r="24" spans="1:20" ht="120" x14ac:dyDescent="0.2">
      <c r="A24" s="41">
        <v>21</v>
      </c>
      <c r="B24" s="51" t="s">
        <v>167</v>
      </c>
      <c r="C24" s="47" t="s">
        <v>126</v>
      </c>
      <c r="D24" s="49">
        <v>2014</v>
      </c>
      <c r="E24" s="45" t="s">
        <v>114</v>
      </c>
      <c r="F24" s="45" t="s">
        <v>166</v>
      </c>
      <c r="G24" s="55" t="s">
        <v>333</v>
      </c>
      <c r="H24" s="69" t="s">
        <v>100</v>
      </c>
      <c r="I24" s="55" t="s">
        <v>275</v>
      </c>
      <c r="J24" s="69" t="s">
        <v>90</v>
      </c>
      <c r="K24" s="54" t="s">
        <v>336</v>
      </c>
      <c r="L24" s="70" t="s">
        <v>91</v>
      </c>
      <c r="M24" s="70" t="s">
        <v>94</v>
      </c>
      <c r="N24" s="55" t="s">
        <v>334</v>
      </c>
      <c r="O24" s="55" t="s">
        <v>337</v>
      </c>
      <c r="P24" s="54" t="s">
        <v>335</v>
      </c>
      <c r="Q24" s="41"/>
      <c r="R24" s="65"/>
      <c r="S24" s="42"/>
      <c r="T24" s="42"/>
    </row>
    <row r="25" spans="1:20" s="1" customFormat="1" ht="75" x14ac:dyDescent="0.2">
      <c r="A25" s="41">
        <v>22</v>
      </c>
      <c r="B25" s="51" t="s">
        <v>171</v>
      </c>
      <c r="C25" s="47" t="s">
        <v>121</v>
      </c>
      <c r="D25" s="49">
        <v>2013</v>
      </c>
      <c r="E25" s="45" t="s">
        <v>116</v>
      </c>
      <c r="F25" s="9" t="s">
        <v>170</v>
      </c>
      <c r="G25" s="55" t="s">
        <v>338</v>
      </c>
      <c r="H25" s="69" t="s">
        <v>102</v>
      </c>
      <c r="I25" s="45" t="s">
        <v>341</v>
      </c>
      <c r="J25" s="69" t="s">
        <v>444</v>
      </c>
      <c r="K25" s="55" t="s">
        <v>340</v>
      </c>
      <c r="L25" s="69" t="s">
        <v>441</v>
      </c>
      <c r="M25" s="69"/>
      <c r="N25" s="51" t="s">
        <v>339</v>
      </c>
      <c r="O25" s="53" t="s">
        <v>18</v>
      </c>
      <c r="P25" s="47" t="s">
        <v>342</v>
      </c>
      <c r="Q25" s="41"/>
      <c r="R25" s="65"/>
      <c r="S25" s="42"/>
    </row>
    <row r="26" spans="1:20" ht="135" x14ac:dyDescent="0.2">
      <c r="A26" s="41">
        <v>23</v>
      </c>
      <c r="B26" s="51" t="s">
        <v>173</v>
      </c>
      <c r="C26" s="47" t="s">
        <v>174</v>
      </c>
      <c r="D26" s="49">
        <v>2016</v>
      </c>
      <c r="E26" s="45" t="s">
        <v>164</v>
      </c>
      <c r="F26" s="45" t="s">
        <v>172</v>
      </c>
      <c r="G26" s="55" t="s">
        <v>344</v>
      </c>
      <c r="H26" s="69" t="s">
        <v>443</v>
      </c>
      <c r="I26" s="45" t="s">
        <v>315</v>
      </c>
      <c r="J26" s="69" t="s">
        <v>90</v>
      </c>
      <c r="K26" s="55" t="s">
        <v>343</v>
      </c>
      <c r="L26" s="69" t="s">
        <v>441</v>
      </c>
      <c r="M26" s="69"/>
      <c r="N26" s="47" t="s">
        <v>273</v>
      </c>
      <c r="O26" s="53" t="s">
        <v>18</v>
      </c>
      <c r="P26" s="53" t="s">
        <v>18</v>
      </c>
      <c r="Q26" s="41"/>
      <c r="R26" s="65"/>
      <c r="S26" s="42"/>
      <c r="T26" s="42"/>
    </row>
    <row r="27" spans="1:20" ht="75" x14ac:dyDescent="0.2">
      <c r="A27" s="41">
        <v>24</v>
      </c>
      <c r="B27" s="51" t="s">
        <v>176</v>
      </c>
      <c r="C27" s="47" t="s">
        <v>177</v>
      </c>
      <c r="D27" s="49">
        <v>2014</v>
      </c>
      <c r="E27" s="45" t="s">
        <v>114</v>
      </c>
      <c r="F27" s="45" t="s">
        <v>175</v>
      </c>
      <c r="G27" s="55" t="s">
        <v>345</v>
      </c>
      <c r="H27" s="69" t="s">
        <v>102</v>
      </c>
      <c r="I27" s="55" t="s">
        <v>346</v>
      </c>
      <c r="J27" s="69" t="s">
        <v>88</v>
      </c>
      <c r="K27" s="55" t="s">
        <v>347</v>
      </c>
      <c r="L27" s="69" t="s">
        <v>91</v>
      </c>
      <c r="M27" s="69" t="s">
        <v>448</v>
      </c>
      <c r="N27" s="51" t="s">
        <v>1545</v>
      </c>
      <c r="O27" s="56" t="s">
        <v>18</v>
      </c>
      <c r="P27" s="53" t="s">
        <v>18</v>
      </c>
      <c r="Q27" s="41"/>
      <c r="R27" s="65"/>
      <c r="S27" s="42"/>
      <c r="T27" s="42"/>
    </row>
    <row r="28" spans="1:20" ht="90" x14ac:dyDescent="0.2">
      <c r="A28" s="41">
        <v>25</v>
      </c>
      <c r="B28" s="51" t="s">
        <v>180</v>
      </c>
      <c r="C28" s="47" t="s">
        <v>138</v>
      </c>
      <c r="D28" s="49">
        <v>2014</v>
      </c>
      <c r="E28" s="45" t="s">
        <v>114</v>
      </c>
      <c r="F28" s="45" t="s">
        <v>178</v>
      </c>
      <c r="G28" s="45" t="s">
        <v>348</v>
      </c>
      <c r="H28" s="69" t="s">
        <v>100</v>
      </c>
      <c r="I28" s="45" t="s">
        <v>353</v>
      </c>
      <c r="J28" s="69" t="s">
        <v>444</v>
      </c>
      <c r="K28" s="60" t="s">
        <v>349</v>
      </c>
      <c r="L28" s="69" t="s">
        <v>441</v>
      </c>
      <c r="M28" s="69"/>
      <c r="N28" s="60" t="s">
        <v>350</v>
      </c>
      <c r="O28" s="64" t="s">
        <v>18</v>
      </c>
      <c r="P28" s="64" t="s">
        <v>18</v>
      </c>
      <c r="Q28" s="42"/>
      <c r="R28" s="66"/>
      <c r="S28" s="42"/>
      <c r="T28" s="42"/>
    </row>
    <row r="29" spans="1:20" ht="120" x14ac:dyDescent="0.2">
      <c r="A29" s="41">
        <v>26</v>
      </c>
      <c r="B29" s="51" t="s">
        <v>182</v>
      </c>
      <c r="C29" s="47" t="s">
        <v>138</v>
      </c>
      <c r="D29" s="49">
        <v>2016</v>
      </c>
      <c r="E29" s="45" t="s">
        <v>114</v>
      </c>
      <c r="F29" s="45" t="s">
        <v>181</v>
      </c>
      <c r="G29" s="45" t="s">
        <v>352</v>
      </c>
      <c r="H29" s="69" t="s">
        <v>100</v>
      </c>
      <c r="I29" s="60" t="s">
        <v>354</v>
      </c>
      <c r="J29" s="69" t="s">
        <v>88</v>
      </c>
      <c r="K29" s="60" t="s">
        <v>351</v>
      </c>
      <c r="L29" s="69" t="s">
        <v>91</v>
      </c>
      <c r="M29" s="69" t="s">
        <v>443</v>
      </c>
      <c r="N29" s="51" t="s">
        <v>355</v>
      </c>
      <c r="O29" s="51" t="s">
        <v>357</v>
      </c>
      <c r="P29" s="51" t="s">
        <v>356</v>
      </c>
      <c r="Q29" s="42"/>
      <c r="R29" s="66"/>
      <c r="S29" s="42"/>
      <c r="T29" s="42"/>
    </row>
    <row r="30" spans="1:20" ht="75" x14ac:dyDescent="0.2">
      <c r="A30" s="41">
        <v>27</v>
      </c>
      <c r="B30" s="51" t="s">
        <v>184</v>
      </c>
      <c r="C30" s="47" t="s">
        <v>138</v>
      </c>
      <c r="D30" s="49">
        <v>2015</v>
      </c>
      <c r="E30" s="45" t="s">
        <v>164</v>
      </c>
      <c r="F30" s="45" t="s">
        <v>183</v>
      </c>
      <c r="G30" s="60" t="s">
        <v>358</v>
      </c>
      <c r="H30" s="69" t="s">
        <v>98</v>
      </c>
      <c r="I30" s="60" t="s">
        <v>360</v>
      </c>
      <c r="J30" s="69" t="s">
        <v>90</v>
      </c>
      <c r="K30" s="45" t="s">
        <v>359</v>
      </c>
      <c r="L30" s="69" t="s">
        <v>441</v>
      </c>
      <c r="M30" s="69"/>
      <c r="N30" s="47" t="s">
        <v>361</v>
      </c>
      <c r="O30" s="61" t="s">
        <v>18</v>
      </c>
      <c r="P30" s="61" t="s">
        <v>18</v>
      </c>
      <c r="Q30" s="41"/>
      <c r="R30" s="65"/>
      <c r="S30" s="42"/>
      <c r="T30" s="42"/>
    </row>
    <row r="31" spans="1:20" ht="120" x14ac:dyDescent="0.2">
      <c r="A31" s="41">
        <v>28</v>
      </c>
      <c r="B31" s="51" t="s">
        <v>187</v>
      </c>
      <c r="C31" s="51" t="s">
        <v>186</v>
      </c>
      <c r="D31" s="49">
        <v>2016</v>
      </c>
      <c r="E31" s="45" t="s">
        <v>114</v>
      </c>
      <c r="F31" s="45" t="s">
        <v>185</v>
      </c>
      <c r="G31" s="45" t="s">
        <v>362</v>
      </c>
      <c r="H31" s="69" t="s">
        <v>102</v>
      </c>
      <c r="I31" s="45" t="s">
        <v>110</v>
      </c>
      <c r="J31" s="69" t="s">
        <v>89</v>
      </c>
      <c r="K31" s="60" t="s">
        <v>363</v>
      </c>
      <c r="L31" s="69" t="s">
        <v>91</v>
      </c>
      <c r="M31" s="69" t="s">
        <v>94</v>
      </c>
      <c r="N31" s="51" t="s">
        <v>365</v>
      </c>
      <c r="O31" s="51" t="s">
        <v>375</v>
      </c>
      <c r="P31" s="51" t="s">
        <v>364</v>
      </c>
      <c r="Q31" s="41"/>
      <c r="R31" s="65"/>
      <c r="S31" s="42"/>
      <c r="T31" s="42"/>
    </row>
    <row r="32" spans="1:20" ht="90" x14ac:dyDescent="0.2">
      <c r="A32" s="41">
        <v>29</v>
      </c>
      <c r="B32" s="51" t="s">
        <v>190</v>
      </c>
      <c r="C32" s="47" t="s">
        <v>189</v>
      </c>
      <c r="D32" s="49">
        <v>2015</v>
      </c>
      <c r="E32" s="45" t="s">
        <v>165</v>
      </c>
      <c r="F32" s="45" t="s">
        <v>188</v>
      </c>
      <c r="G32" s="60" t="s">
        <v>366</v>
      </c>
      <c r="H32" s="69" t="s">
        <v>98</v>
      </c>
      <c r="I32" s="60" t="s">
        <v>367</v>
      </c>
      <c r="J32" s="69" t="s">
        <v>441</v>
      </c>
      <c r="K32" s="60" t="s">
        <v>368</v>
      </c>
      <c r="L32" s="69" t="s">
        <v>91</v>
      </c>
      <c r="M32" s="69" t="s">
        <v>94</v>
      </c>
      <c r="N32" s="51" t="s">
        <v>369</v>
      </c>
      <c r="O32" s="47" t="s">
        <v>370</v>
      </c>
      <c r="P32" s="62" t="s">
        <v>371</v>
      </c>
      <c r="Q32" s="41"/>
      <c r="R32" s="65"/>
      <c r="S32" s="42"/>
      <c r="T32" s="42"/>
    </row>
    <row r="33" spans="1:43" ht="135" x14ac:dyDescent="0.2">
      <c r="A33" s="41">
        <v>30</v>
      </c>
      <c r="B33" s="51" t="s">
        <v>192</v>
      </c>
      <c r="C33" s="47" t="s">
        <v>121</v>
      </c>
      <c r="D33" s="49">
        <v>2016</v>
      </c>
      <c r="E33" s="45" t="s">
        <v>116</v>
      </c>
      <c r="F33" s="44" t="s">
        <v>191</v>
      </c>
      <c r="G33" s="60" t="s">
        <v>372</v>
      </c>
      <c r="H33" s="69" t="s">
        <v>100</v>
      </c>
      <c r="I33" s="51" t="s">
        <v>373</v>
      </c>
      <c r="J33" s="51" t="s">
        <v>90</v>
      </c>
      <c r="K33" s="63" t="s">
        <v>288</v>
      </c>
      <c r="L33" s="72" t="s">
        <v>441</v>
      </c>
      <c r="M33" s="72"/>
      <c r="N33" s="51" t="s">
        <v>374</v>
      </c>
      <c r="O33" s="61" t="s">
        <v>18</v>
      </c>
      <c r="P33" s="61" t="s">
        <v>18</v>
      </c>
      <c r="Q33" s="41"/>
      <c r="R33" s="65"/>
      <c r="S33" s="13"/>
      <c r="T33" s="42"/>
    </row>
    <row r="34" spans="1:43" ht="75" x14ac:dyDescent="0.2">
      <c r="A34" s="41">
        <v>31</v>
      </c>
      <c r="B34" s="51" t="s">
        <v>195</v>
      </c>
      <c r="C34" s="47" t="s">
        <v>194</v>
      </c>
      <c r="D34" s="49">
        <v>2015</v>
      </c>
      <c r="E34" s="45" t="s">
        <v>114</v>
      </c>
      <c r="F34" s="45" t="s">
        <v>193</v>
      </c>
      <c r="G34" s="60" t="s">
        <v>376</v>
      </c>
      <c r="H34" s="69" t="s">
        <v>98</v>
      </c>
      <c r="I34" s="45" t="s">
        <v>377</v>
      </c>
      <c r="J34" s="69" t="s">
        <v>445</v>
      </c>
      <c r="K34" s="60" t="s">
        <v>488</v>
      </c>
      <c r="L34" s="69" t="s">
        <v>92</v>
      </c>
      <c r="M34" s="69" t="s">
        <v>443</v>
      </c>
      <c r="N34" s="51" t="s">
        <v>489</v>
      </c>
      <c r="O34" s="61" t="s">
        <v>18</v>
      </c>
      <c r="P34" s="47" t="s">
        <v>378</v>
      </c>
      <c r="Q34" s="41"/>
      <c r="R34" s="65"/>
      <c r="S34" s="2"/>
      <c r="T34" s="42"/>
    </row>
    <row r="35" spans="1:43" ht="90" x14ac:dyDescent="0.2">
      <c r="A35" s="41">
        <v>32</v>
      </c>
      <c r="B35" s="51" t="s">
        <v>198</v>
      </c>
      <c r="C35" s="47" t="s">
        <v>197</v>
      </c>
      <c r="D35" s="49">
        <v>2014</v>
      </c>
      <c r="E35" s="45" t="s">
        <v>164</v>
      </c>
      <c r="F35" s="9" t="s">
        <v>196</v>
      </c>
      <c r="G35" s="63" t="s">
        <v>379</v>
      </c>
      <c r="H35" s="72" t="s">
        <v>100</v>
      </c>
      <c r="I35" s="44" t="s">
        <v>381</v>
      </c>
      <c r="J35" s="72" t="s">
        <v>90</v>
      </c>
      <c r="K35" s="63" t="s">
        <v>380</v>
      </c>
      <c r="L35" s="72" t="s">
        <v>441</v>
      </c>
      <c r="M35" s="72"/>
      <c r="N35" s="47" t="s">
        <v>361</v>
      </c>
      <c r="O35" s="61" t="s">
        <v>18</v>
      </c>
      <c r="P35" s="61" t="s">
        <v>18</v>
      </c>
      <c r="Q35" s="41"/>
      <c r="R35" s="65"/>
      <c r="S35" s="43"/>
      <c r="T35" s="42"/>
    </row>
    <row r="36" spans="1:43" ht="105" x14ac:dyDescent="0.2">
      <c r="A36" s="41">
        <v>33</v>
      </c>
      <c r="B36" s="51" t="s">
        <v>200</v>
      </c>
      <c r="C36" s="47" t="s">
        <v>197</v>
      </c>
      <c r="D36" s="49">
        <v>2016</v>
      </c>
      <c r="E36" s="45" t="s">
        <v>164</v>
      </c>
      <c r="F36" s="16" t="s">
        <v>199</v>
      </c>
      <c r="G36" s="63" t="s">
        <v>383</v>
      </c>
      <c r="H36" s="72" t="s">
        <v>443</v>
      </c>
      <c r="I36" s="60" t="s">
        <v>386</v>
      </c>
      <c r="J36" s="69" t="s">
        <v>88</v>
      </c>
      <c r="K36" s="47" t="s">
        <v>384</v>
      </c>
      <c r="L36" s="70" t="s">
        <v>92</v>
      </c>
      <c r="M36" s="70" t="s">
        <v>443</v>
      </c>
      <c r="N36" s="51" t="s">
        <v>385</v>
      </c>
      <c r="O36" s="61" t="s">
        <v>18</v>
      </c>
      <c r="P36" s="61" t="s">
        <v>18</v>
      </c>
      <c r="Q36" s="41"/>
      <c r="R36" s="65"/>
      <c r="S36" s="14"/>
      <c r="T36" s="42"/>
    </row>
    <row r="37" spans="1:43" ht="120" x14ac:dyDescent="0.2">
      <c r="A37" s="41">
        <v>34</v>
      </c>
      <c r="B37" s="51" t="s">
        <v>201</v>
      </c>
      <c r="C37" s="47" t="s">
        <v>27</v>
      </c>
      <c r="D37" s="49">
        <v>2014</v>
      </c>
      <c r="E37" s="45" t="s">
        <v>28</v>
      </c>
      <c r="F37" s="9" t="s">
        <v>29</v>
      </c>
      <c r="G37" s="63" t="s">
        <v>382</v>
      </c>
      <c r="H37" s="72" t="s">
        <v>102</v>
      </c>
      <c r="I37" s="63" t="s">
        <v>33</v>
      </c>
      <c r="J37" s="72" t="s">
        <v>89</v>
      </c>
      <c r="K37" s="60" t="s">
        <v>59</v>
      </c>
      <c r="L37" s="69" t="s">
        <v>91</v>
      </c>
      <c r="M37" s="69" t="s">
        <v>443</v>
      </c>
      <c r="N37" s="60" t="s">
        <v>31</v>
      </c>
      <c r="O37" s="60" t="s">
        <v>36</v>
      </c>
      <c r="P37" s="60" t="s">
        <v>69</v>
      </c>
      <c r="Q37" s="41"/>
      <c r="R37" s="65"/>
      <c r="S37" s="2"/>
      <c r="T37" s="42"/>
    </row>
    <row r="38" spans="1:43" ht="135" x14ac:dyDescent="0.2">
      <c r="A38" s="41">
        <v>35</v>
      </c>
      <c r="B38" s="51" t="s">
        <v>202</v>
      </c>
      <c r="C38" s="47" t="s">
        <v>203</v>
      </c>
      <c r="D38" s="49">
        <v>2014</v>
      </c>
      <c r="E38" s="45" t="s">
        <v>164</v>
      </c>
      <c r="F38" s="9" t="s">
        <v>204</v>
      </c>
      <c r="G38" s="11" t="s">
        <v>387</v>
      </c>
      <c r="H38" s="141" t="s">
        <v>443</v>
      </c>
      <c r="I38" s="63" t="s">
        <v>315</v>
      </c>
      <c r="J38" s="72" t="s">
        <v>90</v>
      </c>
      <c r="K38" s="60" t="s">
        <v>389</v>
      </c>
      <c r="L38" s="69" t="s">
        <v>91</v>
      </c>
      <c r="M38" s="69" t="s">
        <v>443</v>
      </c>
      <c r="N38" s="51" t="s">
        <v>388</v>
      </c>
      <c r="O38" s="60" t="s">
        <v>323</v>
      </c>
      <c r="P38" s="64" t="s">
        <v>18</v>
      </c>
      <c r="Q38" s="41"/>
      <c r="R38" s="65"/>
      <c r="S38" s="14"/>
      <c r="T38" s="42"/>
    </row>
    <row r="39" spans="1:43" ht="75" x14ac:dyDescent="0.2">
      <c r="A39" s="41">
        <v>36</v>
      </c>
      <c r="B39" s="51" t="s">
        <v>206</v>
      </c>
      <c r="C39" s="47" t="s">
        <v>130</v>
      </c>
      <c r="D39" s="49">
        <v>2013</v>
      </c>
      <c r="E39" s="45" t="s">
        <v>114</v>
      </c>
      <c r="F39" s="9" t="s">
        <v>205</v>
      </c>
      <c r="G39" s="63" t="s">
        <v>390</v>
      </c>
      <c r="H39" s="72" t="s">
        <v>1150</v>
      </c>
      <c r="I39" s="63" t="s">
        <v>393</v>
      </c>
      <c r="J39" s="72" t="s">
        <v>445</v>
      </c>
      <c r="K39" s="60" t="s">
        <v>391</v>
      </c>
      <c r="L39" s="69" t="s">
        <v>441</v>
      </c>
      <c r="M39" s="69"/>
      <c r="N39" s="60" t="s">
        <v>392</v>
      </c>
      <c r="O39" s="64" t="s">
        <v>18</v>
      </c>
      <c r="P39" s="60" t="s">
        <v>398</v>
      </c>
      <c r="Q39" s="41"/>
      <c r="R39" s="65"/>
      <c r="S39" s="2"/>
      <c r="T39" s="42"/>
    </row>
    <row r="40" spans="1:43" ht="60" x14ac:dyDescent="0.2">
      <c r="A40" s="41">
        <v>37</v>
      </c>
      <c r="B40" s="51" t="s">
        <v>208</v>
      </c>
      <c r="C40" s="47" t="s">
        <v>177</v>
      </c>
      <c r="D40" s="49">
        <v>2016</v>
      </c>
      <c r="E40" s="45" t="s">
        <v>114</v>
      </c>
      <c r="F40" s="45" t="s">
        <v>207</v>
      </c>
      <c r="G40" s="63" t="s">
        <v>394</v>
      </c>
      <c r="H40" s="72" t="s">
        <v>100</v>
      </c>
      <c r="I40" s="63" t="s">
        <v>275</v>
      </c>
      <c r="J40" s="72" t="s">
        <v>444</v>
      </c>
      <c r="K40" s="60" t="s">
        <v>396</v>
      </c>
      <c r="L40" s="69" t="s">
        <v>441</v>
      </c>
      <c r="M40" s="69"/>
      <c r="N40" s="51" t="s">
        <v>397</v>
      </c>
      <c r="O40" s="64" t="s">
        <v>18</v>
      </c>
      <c r="P40" s="60" t="s">
        <v>395</v>
      </c>
    </row>
    <row r="41" spans="1:43" s="115" customFormat="1" ht="31" customHeight="1" x14ac:dyDescent="0.2">
      <c r="A41" s="217">
        <v>38</v>
      </c>
      <c r="B41" s="214" t="s">
        <v>211</v>
      </c>
      <c r="C41" s="218" t="s">
        <v>210</v>
      </c>
      <c r="D41" s="218">
        <v>2012</v>
      </c>
      <c r="E41" s="214" t="s">
        <v>114</v>
      </c>
      <c r="F41" s="214" t="s">
        <v>209</v>
      </c>
      <c r="G41" s="216" t="s">
        <v>399</v>
      </c>
      <c r="H41" s="216" t="s">
        <v>100</v>
      </c>
      <c r="I41" s="216" t="s">
        <v>275</v>
      </c>
      <c r="J41" s="157"/>
      <c r="K41" s="214" t="s">
        <v>400</v>
      </c>
      <c r="L41" s="214" t="s">
        <v>91</v>
      </c>
      <c r="M41" s="214" t="s">
        <v>448</v>
      </c>
      <c r="N41" s="214" t="s">
        <v>401</v>
      </c>
      <c r="O41" s="213" t="s">
        <v>18</v>
      </c>
      <c r="P41" s="214" t="s">
        <v>402</v>
      </c>
      <c r="Q41" s="215"/>
      <c r="R41" s="105" t="s">
        <v>403</v>
      </c>
      <c r="S41" s="109">
        <v>2.4</v>
      </c>
      <c r="T41" s="109" t="s">
        <v>18</v>
      </c>
      <c r="U41" s="109">
        <v>1072</v>
      </c>
      <c r="V41" s="109" t="s">
        <v>18</v>
      </c>
      <c r="W41" s="109">
        <v>1.5</v>
      </c>
      <c r="X41" s="109" t="s">
        <v>18</v>
      </c>
      <c r="Y41" s="109" t="s">
        <v>18</v>
      </c>
      <c r="Z41" s="109">
        <v>5026</v>
      </c>
      <c r="AA41" s="109" t="s">
        <v>18</v>
      </c>
      <c r="AB41" s="169">
        <v>28</v>
      </c>
    </row>
    <row r="42" spans="1:43" s="115" customFormat="1" ht="31" customHeight="1" x14ac:dyDescent="0.2">
      <c r="A42" s="217"/>
      <c r="B42" s="214"/>
      <c r="C42" s="218"/>
      <c r="D42" s="218"/>
      <c r="E42" s="214"/>
      <c r="F42" s="214"/>
      <c r="G42" s="216"/>
      <c r="H42" s="216"/>
      <c r="I42" s="216"/>
      <c r="J42" s="157" t="s">
        <v>444</v>
      </c>
      <c r="K42" s="214"/>
      <c r="L42" s="214"/>
      <c r="M42" s="214"/>
      <c r="N42" s="214"/>
      <c r="O42" s="213"/>
      <c r="P42" s="214"/>
      <c r="Q42" s="215"/>
      <c r="R42" s="105" t="s">
        <v>404</v>
      </c>
      <c r="S42" s="109">
        <v>2.4</v>
      </c>
      <c r="T42" s="109" t="s">
        <v>18</v>
      </c>
      <c r="U42" s="109">
        <v>986</v>
      </c>
      <c r="V42" s="109" t="s">
        <v>18</v>
      </c>
      <c r="W42" s="109">
        <v>1.3</v>
      </c>
      <c r="X42" s="109" t="s">
        <v>18</v>
      </c>
      <c r="Y42" s="109" t="s">
        <v>18</v>
      </c>
      <c r="Z42" s="109">
        <v>4473</v>
      </c>
      <c r="AA42" s="109" t="s">
        <v>18</v>
      </c>
      <c r="AB42" s="169">
        <v>37</v>
      </c>
    </row>
    <row r="43" spans="1:43" s="115" customFormat="1" ht="31" customHeight="1" x14ac:dyDescent="0.2">
      <c r="A43" s="217"/>
      <c r="B43" s="214"/>
      <c r="C43" s="218"/>
      <c r="D43" s="218"/>
      <c r="E43" s="214"/>
      <c r="F43" s="214"/>
      <c r="G43" s="216"/>
      <c r="H43" s="216"/>
      <c r="I43" s="216"/>
      <c r="J43" s="157"/>
      <c r="K43" s="214"/>
      <c r="L43" s="214"/>
      <c r="M43" s="214"/>
      <c r="N43" s="214"/>
      <c r="O43" s="213"/>
      <c r="P43" s="214"/>
      <c r="Q43" s="215"/>
      <c r="R43" s="105" t="s">
        <v>405</v>
      </c>
      <c r="S43" s="109">
        <v>2.7</v>
      </c>
      <c r="T43" s="109" t="s">
        <v>18</v>
      </c>
      <c r="U43" s="109">
        <v>756</v>
      </c>
      <c r="V43" s="109" t="s">
        <v>18</v>
      </c>
      <c r="W43" s="109">
        <v>0.3</v>
      </c>
      <c r="X43" s="109" t="s">
        <v>18</v>
      </c>
      <c r="Y43" s="109" t="s">
        <v>18</v>
      </c>
      <c r="Z43" s="109">
        <v>3893</v>
      </c>
      <c r="AA43" s="109" t="s">
        <v>18</v>
      </c>
      <c r="AB43" s="169">
        <v>4.2</v>
      </c>
    </row>
    <row r="44" spans="1:43" ht="150" x14ac:dyDescent="0.2">
      <c r="A44" s="41">
        <v>39</v>
      </c>
      <c r="B44" s="51" t="s">
        <v>214</v>
      </c>
      <c r="C44" s="51" t="s">
        <v>213</v>
      </c>
      <c r="D44" s="49">
        <v>2015</v>
      </c>
      <c r="E44" s="45" t="s">
        <v>114</v>
      </c>
      <c r="F44" s="45" t="s">
        <v>212</v>
      </c>
      <c r="G44" s="67" t="s">
        <v>407</v>
      </c>
      <c r="H44" s="72" t="s">
        <v>100</v>
      </c>
      <c r="I44" s="63" t="s">
        <v>275</v>
      </c>
      <c r="J44" s="72" t="s">
        <v>444</v>
      </c>
      <c r="K44" s="66" t="s">
        <v>408</v>
      </c>
      <c r="L44" s="69" t="s">
        <v>91</v>
      </c>
      <c r="M44" s="69" t="s">
        <v>443</v>
      </c>
      <c r="N44" s="51" t="s">
        <v>410</v>
      </c>
      <c r="O44" s="68" t="s">
        <v>18</v>
      </c>
      <c r="P44" s="60" t="s">
        <v>409</v>
      </c>
    </row>
    <row r="45" spans="1:43" ht="150" x14ac:dyDescent="0.2">
      <c r="A45" s="41">
        <v>40</v>
      </c>
      <c r="B45" s="51" t="s">
        <v>217</v>
      </c>
      <c r="C45" s="51" t="s">
        <v>218</v>
      </c>
      <c r="D45" s="49">
        <v>2017</v>
      </c>
      <c r="E45" s="45" t="s">
        <v>107</v>
      </c>
      <c r="F45" s="45" t="s">
        <v>216</v>
      </c>
      <c r="G45" s="66" t="s">
        <v>411</v>
      </c>
      <c r="H45" s="69" t="s">
        <v>102</v>
      </c>
      <c r="I45" s="66" t="s">
        <v>110</v>
      </c>
      <c r="J45" s="69" t="s">
        <v>445</v>
      </c>
      <c r="K45" s="66" t="s">
        <v>412</v>
      </c>
      <c r="L45" s="69" t="s">
        <v>441</v>
      </c>
      <c r="M45" s="69"/>
      <c r="N45" s="66" t="s">
        <v>361</v>
      </c>
      <c r="O45" s="66" t="s">
        <v>414</v>
      </c>
      <c r="P45" s="66" t="s">
        <v>413</v>
      </c>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row>
    <row r="46" spans="1:43" ht="120" x14ac:dyDescent="0.2">
      <c r="A46" s="41">
        <v>41</v>
      </c>
      <c r="B46" s="51" t="s">
        <v>221</v>
      </c>
      <c r="C46" s="51" t="s">
        <v>219</v>
      </c>
      <c r="D46" s="49">
        <v>2016</v>
      </c>
      <c r="E46" s="45" t="s">
        <v>115</v>
      </c>
      <c r="F46" s="45" t="s">
        <v>220</v>
      </c>
      <c r="G46" s="69" t="s">
        <v>415</v>
      </c>
      <c r="H46" s="69" t="s">
        <v>103</v>
      </c>
      <c r="I46" s="66" t="s">
        <v>110</v>
      </c>
      <c r="J46" s="69" t="s">
        <v>445</v>
      </c>
      <c r="K46" s="69" t="s">
        <v>416</v>
      </c>
      <c r="L46" s="51" t="s">
        <v>650</v>
      </c>
      <c r="M46" s="69"/>
      <c r="N46" s="51" t="s">
        <v>417</v>
      </c>
      <c r="O46" s="66" t="s">
        <v>36</v>
      </c>
      <c r="P46" s="69" t="s">
        <v>418</v>
      </c>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row>
    <row r="47" spans="1:43" ht="105" x14ac:dyDescent="0.2">
      <c r="A47" s="41">
        <v>42</v>
      </c>
      <c r="B47" s="51" t="s">
        <v>224</v>
      </c>
      <c r="C47" s="51" t="s">
        <v>138</v>
      </c>
      <c r="D47" s="49">
        <v>2015</v>
      </c>
      <c r="E47" s="45" t="s">
        <v>222</v>
      </c>
      <c r="F47" s="45" t="s">
        <v>223</v>
      </c>
      <c r="G47" s="69" t="s">
        <v>419</v>
      </c>
      <c r="H47" s="69" t="s">
        <v>102</v>
      </c>
      <c r="I47" s="66" t="s">
        <v>110</v>
      </c>
      <c r="J47" s="69" t="s">
        <v>444</v>
      </c>
      <c r="K47" s="69" t="s">
        <v>421</v>
      </c>
      <c r="L47" s="69" t="s">
        <v>441</v>
      </c>
      <c r="M47" s="69"/>
      <c r="N47" s="51" t="s">
        <v>420</v>
      </c>
      <c r="O47" s="73" t="s">
        <v>18</v>
      </c>
      <c r="P47" s="73" t="s">
        <v>18</v>
      </c>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row>
    <row r="48" spans="1:43" ht="105" x14ac:dyDescent="0.2">
      <c r="A48" s="41">
        <v>43</v>
      </c>
      <c r="B48" s="51" t="s">
        <v>226</v>
      </c>
      <c r="C48" s="51" t="s">
        <v>62</v>
      </c>
      <c r="D48" s="49">
        <v>2015</v>
      </c>
      <c r="E48" s="45" t="s">
        <v>107</v>
      </c>
      <c r="F48" s="45" t="s">
        <v>225</v>
      </c>
      <c r="G48" s="69" t="s">
        <v>422</v>
      </c>
      <c r="H48" s="69" t="s">
        <v>102</v>
      </c>
      <c r="I48" s="69" t="s">
        <v>110</v>
      </c>
      <c r="J48" s="69" t="s">
        <v>441</v>
      </c>
      <c r="K48" s="69" t="s">
        <v>423</v>
      </c>
      <c r="L48" s="69" t="s">
        <v>91</v>
      </c>
      <c r="M48" s="69" t="s">
        <v>94</v>
      </c>
      <c r="N48" s="66" t="s">
        <v>424</v>
      </c>
      <c r="O48" s="73" t="s">
        <v>18</v>
      </c>
      <c r="P48" s="69" t="s">
        <v>425</v>
      </c>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row>
    <row r="49" spans="1:43" ht="105" x14ac:dyDescent="0.2">
      <c r="A49" s="41">
        <v>44</v>
      </c>
      <c r="B49" s="51" t="s">
        <v>228</v>
      </c>
      <c r="C49" s="51" t="s">
        <v>121</v>
      </c>
      <c r="D49" s="49">
        <v>2016</v>
      </c>
      <c r="E49" s="45" t="s">
        <v>215</v>
      </c>
      <c r="F49" s="45" t="s">
        <v>227</v>
      </c>
      <c r="G49" s="69" t="s">
        <v>426</v>
      </c>
      <c r="H49" s="69" t="s">
        <v>100</v>
      </c>
      <c r="I49" s="66" t="s">
        <v>275</v>
      </c>
      <c r="J49" s="69" t="s">
        <v>445</v>
      </c>
      <c r="K49" s="69" t="s">
        <v>428</v>
      </c>
      <c r="L49" s="69" t="s">
        <v>441</v>
      </c>
      <c r="M49" s="69"/>
      <c r="N49" s="51" t="s">
        <v>427</v>
      </c>
      <c r="O49" s="73" t="s">
        <v>18</v>
      </c>
      <c r="P49" s="73" t="s">
        <v>18</v>
      </c>
      <c r="Q49" s="80"/>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row>
    <row r="50" spans="1:43" ht="105" x14ac:dyDescent="0.2">
      <c r="A50" s="41">
        <v>45</v>
      </c>
      <c r="B50" s="51" t="s">
        <v>231</v>
      </c>
      <c r="C50" s="51" t="s">
        <v>230</v>
      </c>
      <c r="D50" s="49">
        <v>2015</v>
      </c>
      <c r="E50" s="45" t="s">
        <v>114</v>
      </c>
      <c r="F50" s="45" t="s">
        <v>229</v>
      </c>
      <c r="G50" s="69" t="s">
        <v>429</v>
      </c>
      <c r="H50" s="69" t="s">
        <v>102</v>
      </c>
      <c r="I50" s="66" t="s">
        <v>110</v>
      </c>
      <c r="J50" s="69" t="s">
        <v>89</v>
      </c>
      <c r="K50" s="69" t="s">
        <v>430</v>
      </c>
      <c r="L50" s="69" t="s">
        <v>91</v>
      </c>
      <c r="M50" s="69" t="s">
        <v>94</v>
      </c>
      <c r="N50" s="51" t="s">
        <v>1758</v>
      </c>
      <c r="O50" s="51" t="s">
        <v>432</v>
      </c>
      <c r="P50" s="66" t="s">
        <v>431</v>
      </c>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row>
    <row r="51" spans="1:43" ht="75" x14ac:dyDescent="0.2">
      <c r="A51" s="41">
        <v>46</v>
      </c>
      <c r="B51" s="51" t="s">
        <v>233</v>
      </c>
      <c r="C51" s="51" t="s">
        <v>121</v>
      </c>
      <c r="D51" s="49">
        <v>2012</v>
      </c>
      <c r="E51" s="45" t="s">
        <v>107</v>
      </c>
      <c r="F51" s="45" t="s">
        <v>232</v>
      </c>
      <c r="G51" s="69" t="s">
        <v>433</v>
      </c>
      <c r="H51" s="69" t="s">
        <v>98</v>
      </c>
      <c r="I51" s="69" t="s">
        <v>434</v>
      </c>
      <c r="J51" s="69" t="s">
        <v>445</v>
      </c>
      <c r="K51" s="69" t="s">
        <v>435</v>
      </c>
      <c r="L51" s="69" t="s">
        <v>441</v>
      </c>
      <c r="M51" s="69"/>
      <c r="N51" s="66" t="s">
        <v>361</v>
      </c>
      <c r="O51" s="73" t="s">
        <v>18</v>
      </c>
      <c r="P51" s="73" t="s">
        <v>18</v>
      </c>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row>
    <row r="52" spans="1:43" ht="120" x14ac:dyDescent="0.2">
      <c r="A52" s="41">
        <v>47</v>
      </c>
      <c r="B52" s="51" t="s">
        <v>235</v>
      </c>
      <c r="C52" s="51" t="s">
        <v>113</v>
      </c>
      <c r="D52" s="49">
        <v>2016</v>
      </c>
      <c r="E52" s="45" t="s">
        <v>114</v>
      </c>
      <c r="F52" s="45" t="s">
        <v>234</v>
      </c>
      <c r="G52" s="66" t="s">
        <v>449</v>
      </c>
      <c r="H52" s="69" t="s">
        <v>100</v>
      </c>
      <c r="I52" s="69" t="s">
        <v>275</v>
      </c>
      <c r="J52" s="69" t="s">
        <v>90</v>
      </c>
      <c r="K52" s="69" t="s">
        <v>314</v>
      </c>
      <c r="L52" s="69" t="s">
        <v>91</v>
      </c>
      <c r="M52" s="69" t="s">
        <v>94</v>
      </c>
      <c r="N52" s="51" t="s">
        <v>451</v>
      </c>
      <c r="O52" s="66" t="s">
        <v>370</v>
      </c>
      <c r="P52" s="51" t="s">
        <v>452</v>
      </c>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row>
    <row r="53" spans="1:43" ht="135" x14ac:dyDescent="0.2">
      <c r="A53" s="41">
        <v>48</v>
      </c>
      <c r="B53" s="51" t="s">
        <v>237</v>
      </c>
      <c r="C53" s="51" t="s">
        <v>194</v>
      </c>
      <c r="D53" s="49">
        <v>2015</v>
      </c>
      <c r="E53" s="45" t="s">
        <v>118</v>
      </c>
      <c r="F53" s="45" t="s">
        <v>236</v>
      </c>
      <c r="G53" s="69" t="s">
        <v>453</v>
      </c>
      <c r="H53" s="69" t="s">
        <v>100</v>
      </c>
      <c r="I53" s="66" t="s">
        <v>275</v>
      </c>
      <c r="J53" s="69" t="s">
        <v>90</v>
      </c>
      <c r="K53" s="69" t="s">
        <v>454</v>
      </c>
      <c r="L53" s="51" t="s">
        <v>650</v>
      </c>
      <c r="M53" s="69"/>
      <c r="N53" s="51" t="s">
        <v>455</v>
      </c>
      <c r="O53" s="66" t="s">
        <v>456</v>
      </c>
      <c r="P53" s="69" t="s">
        <v>378</v>
      </c>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row>
    <row r="54" spans="1:43" ht="135" x14ac:dyDescent="0.2">
      <c r="A54" s="41">
        <v>49</v>
      </c>
      <c r="B54" s="51" t="s">
        <v>239</v>
      </c>
      <c r="C54" s="51" t="s">
        <v>162</v>
      </c>
      <c r="D54" s="49">
        <v>2012</v>
      </c>
      <c r="E54" s="45" t="s">
        <v>28</v>
      </c>
      <c r="F54" s="45" t="s">
        <v>238</v>
      </c>
      <c r="G54" s="69" t="s">
        <v>457</v>
      </c>
      <c r="H54" s="69" t="s">
        <v>98</v>
      </c>
      <c r="I54" s="69" t="s">
        <v>459</v>
      </c>
      <c r="J54" s="69" t="s">
        <v>446</v>
      </c>
      <c r="K54" s="66" t="s">
        <v>458</v>
      </c>
      <c r="L54" s="69" t="s">
        <v>441</v>
      </c>
      <c r="M54" s="69"/>
      <c r="N54" s="51" t="s">
        <v>461</v>
      </c>
      <c r="O54" s="73" t="s">
        <v>18</v>
      </c>
      <c r="P54" s="69" t="s">
        <v>460</v>
      </c>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row>
    <row r="55" spans="1:43" ht="135" x14ac:dyDescent="0.2">
      <c r="A55" s="41">
        <v>50</v>
      </c>
      <c r="B55" s="51" t="s">
        <v>241</v>
      </c>
      <c r="C55" s="51" t="s">
        <v>82</v>
      </c>
      <c r="D55" s="49">
        <v>2013</v>
      </c>
      <c r="E55" s="45" t="s">
        <v>114</v>
      </c>
      <c r="F55" s="45" t="s">
        <v>240</v>
      </c>
      <c r="G55" s="69" t="s">
        <v>462</v>
      </c>
      <c r="H55" s="69" t="s">
        <v>100</v>
      </c>
      <c r="I55" s="69" t="s">
        <v>275</v>
      </c>
      <c r="J55" s="69" t="s">
        <v>88</v>
      </c>
      <c r="K55" s="69" t="s">
        <v>463</v>
      </c>
      <c r="L55" s="69" t="s">
        <v>91</v>
      </c>
      <c r="M55" s="69" t="s">
        <v>465</v>
      </c>
      <c r="N55" s="51" t="s">
        <v>464</v>
      </c>
      <c r="O55" s="73" t="s">
        <v>18</v>
      </c>
      <c r="P55" s="51" t="s">
        <v>466</v>
      </c>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row>
    <row r="56" spans="1:43" ht="105" x14ac:dyDescent="0.2">
      <c r="A56" s="41">
        <v>51</v>
      </c>
      <c r="B56" s="51" t="s">
        <v>246</v>
      </c>
      <c r="C56" s="51" t="s">
        <v>245</v>
      </c>
      <c r="D56" s="49">
        <v>2014</v>
      </c>
      <c r="E56" s="45" t="s">
        <v>242</v>
      </c>
      <c r="F56" s="45" t="s">
        <v>244</v>
      </c>
      <c r="G56" s="69" t="s">
        <v>467</v>
      </c>
      <c r="H56" s="69" t="s">
        <v>102</v>
      </c>
      <c r="I56" s="69" t="s">
        <v>341</v>
      </c>
      <c r="J56" s="69" t="s">
        <v>444</v>
      </c>
      <c r="K56" s="66" t="s">
        <v>470</v>
      </c>
      <c r="L56" s="69" t="s">
        <v>91</v>
      </c>
      <c r="M56" s="69" t="s">
        <v>443</v>
      </c>
      <c r="N56" s="51" t="s">
        <v>468</v>
      </c>
      <c r="O56" s="73" t="s">
        <v>18</v>
      </c>
      <c r="P56" s="69" t="s">
        <v>469</v>
      </c>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row>
    <row r="57" spans="1:43" ht="105" x14ac:dyDescent="0.2">
      <c r="A57" s="41">
        <v>52</v>
      </c>
      <c r="B57" s="51" t="s">
        <v>248</v>
      </c>
      <c r="C57" s="51" t="s">
        <v>138</v>
      </c>
      <c r="D57" s="49">
        <v>2016</v>
      </c>
      <c r="E57" s="45" t="s">
        <v>107</v>
      </c>
      <c r="F57" s="45" t="s">
        <v>247</v>
      </c>
      <c r="G57" s="66" t="s">
        <v>471</v>
      </c>
      <c r="H57" s="69" t="s">
        <v>100</v>
      </c>
      <c r="I57" s="69" t="s">
        <v>275</v>
      </c>
      <c r="J57" s="69" t="s">
        <v>444</v>
      </c>
      <c r="K57" s="66" t="s">
        <v>472</v>
      </c>
      <c r="L57" s="69" t="s">
        <v>441</v>
      </c>
      <c r="M57" s="69"/>
      <c r="N57" s="51" t="s">
        <v>477</v>
      </c>
      <c r="O57" s="73" t="s">
        <v>18</v>
      </c>
      <c r="P57" s="66" t="s">
        <v>473</v>
      </c>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row>
    <row r="58" spans="1:43" ht="105" x14ac:dyDescent="0.2">
      <c r="A58" s="41">
        <v>53</v>
      </c>
      <c r="B58" s="51" t="s">
        <v>250</v>
      </c>
      <c r="C58" s="51" t="s">
        <v>174</v>
      </c>
      <c r="D58" s="49">
        <v>2015</v>
      </c>
      <c r="E58" s="45" t="s">
        <v>114</v>
      </c>
      <c r="F58" s="45" t="s">
        <v>249</v>
      </c>
      <c r="G58" s="66" t="s">
        <v>474</v>
      </c>
      <c r="H58" s="69" t="s">
        <v>1095</v>
      </c>
      <c r="I58" s="66" t="s">
        <v>475</v>
      </c>
      <c r="J58" s="69" t="s">
        <v>90</v>
      </c>
      <c r="K58" s="69" t="s">
        <v>314</v>
      </c>
      <c r="L58" s="69" t="s">
        <v>441</v>
      </c>
      <c r="M58" s="69"/>
      <c r="N58" s="51" t="s">
        <v>476</v>
      </c>
      <c r="O58" s="73" t="s">
        <v>18</v>
      </c>
      <c r="P58" s="73" t="s">
        <v>18</v>
      </c>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row>
    <row r="59" spans="1:43" ht="90" x14ac:dyDescent="0.2">
      <c r="A59" s="41">
        <v>54</v>
      </c>
      <c r="B59" s="51" t="s">
        <v>252</v>
      </c>
      <c r="C59" s="51" t="s">
        <v>174</v>
      </c>
      <c r="D59" s="49">
        <v>2014</v>
      </c>
      <c r="E59" s="45" t="s">
        <v>243</v>
      </c>
      <c r="F59" s="45" t="s">
        <v>251</v>
      </c>
      <c r="G59" s="66" t="s">
        <v>478</v>
      </c>
      <c r="H59" s="69" t="s">
        <v>1095</v>
      </c>
      <c r="I59" s="66" t="s">
        <v>275</v>
      </c>
      <c r="J59" s="69" t="s">
        <v>90</v>
      </c>
      <c r="K59" s="69" t="s">
        <v>314</v>
      </c>
      <c r="L59" s="69" t="s">
        <v>441</v>
      </c>
      <c r="M59" s="69"/>
      <c r="N59" s="51" t="s">
        <v>479</v>
      </c>
      <c r="O59" s="73" t="s">
        <v>18</v>
      </c>
      <c r="P59" s="73" t="s">
        <v>18</v>
      </c>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row>
    <row r="60" spans="1:43" ht="105" x14ac:dyDescent="0.2">
      <c r="A60" s="41">
        <v>55</v>
      </c>
      <c r="B60" s="51" t="s">
        <v>254</v>
      </c>
      <c r="C60" s="51" t="s">
        <v>121</v>
      </c>
      <c r="D60" s="49">
        <v>2015</v>
      </c>
      <c r="E60" s="45" t="s">
        <v>107</v>
      </c>
      <c r="F60" s="45" t="s">
        <v>253</v>
      </c>
      <c r="G60" s="69" t="s">
        <v>480</v>
      </c>
      <c r="H60" s="140" t="s">
        <v>1712</v>
      </c>
      <c r="I60" s="66" t="s">
        <v>481</v>
      </c>
      <c r="J60" s="69" t="s">
        <v>445</v>
      </c>
      <c r="K60" s="66" t="s">
        <v>482</v>
      </c>
      <c r="L60" s="69" t="s">
        <v>91</v>
      </c>
      <c r="M60" s="69" t="s">
        <v>94</v>
      </c>
      <c r="N60" s="51" t="s">
        <v>483</v>
      </c>
      <c r="O60" s="66" t="s">
        <v>323</v>
      </c>
      <c r="P60" s="51" t="s">
        <v>484</v>
      </c>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row>
    <row r="61" spans="1:43" ht="135" x14ac:dyDescent="0.2">
      <c r="A61" s="41">
        <v>56</v>
      </c>
      <c r="B61" s="51" t="s">
        <v>256</v>
      </c>
      <c r="C61" s="51" t="s">
        <v>121</v>
      </c>
      <c r="D61" s="57">
        <v>2012</v>
      </c>
      <c r="E61" s="45" t="s">
        <v>115</v>
      </c>
      <c r="F61" s="45" t="s">
        <v>255</v>
      </c>
      <c r="G61" s="66" t="s">
        <v>485</v>
      </c>
      <c r="H61" s="69" t="s">
        <v>103</v>
      </c>
      <c r="I61" s="66" t="s">
        <v>110</v>
      </c>
      <c r="J61" s="69" t="s">
        <v>88</v>
      </c>
      <c r="K61" s="69" t="s">
        <v>486</v>
      </c>
      <c r="L61" s="69" t="s">
        <v>441</v>
      </c>
      <c r="M61" s="69"/>
      <c r="N61" s="51" t="s">
        <v>487</v>
      </c>
      <c r="O61" s="73" t="s">
        <v>18</v>
      </c>
      <c r="P61" s="73" t="s">
        <v>18</v>
      </c>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row>
    <row r="62" spans="1:43" ht="225" x14ac:dyDescent="0.2">
      <c r="A62" s="75">
        <v>57</v>
      </c>
      <c r="B62" s="77" t="s">
        <v>496</v>
      </c>
      <c r="C62" s="51" t="s">
        <v>121</v>
      </c>
      <c r="D62" s="76">
        <v>2008</v>
      </c>
      <c r="E62" s="77" t="s">
        <v>63</v>
      </c>
      <c r="F62" s="77" t="s">
        <v>497</v>
      </c>
      <c r="G62" s="77" t="s">
        <v>546</v>
      </c>
      <c r="H62" s="77" t="s">
        <v>103</v>
      </c>
      <c r="I62" s="77" t="s">
        <v>547</v>
      </c>
      <c r="J62" s="77" t="s">
        <v>444</v>
      </c>
      <c r="K62" s="77" t="s">
        <v>548</v>
      </c>
      <c r="L62" s="77" t="s">
        <v>441</v>
      </c>
      <c r="M62" s="77"/>
      <c r="N62" s="51" t="s">
        <v>655</v>
      </c>
      <c r="O62" s="97" t="s">
        <v>656</v>
      </c>
      <c r="P62" s="78" t="s">
        <v>549</v>
      </c>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row>
    <row r="63" spans="1:43" ht="225" x14ac:dyDescent="0.2">
      <c r="A63" s="94">
        <v>58</v>
      </c>
      <c r="B63" s="96" t="s">
        <v>496</v>
      </c>
      <c r="C63" s="51" t="s">
        <v>121</v>
      </c>
      <c r="D63" s="95">
        <v>2008</v>
      </c>
      <c r="E63" s="96" t="s">
        <v>63</v>
      </c>
      <c r="F63" s="98" t="s">
        <v>652</v>
      </c>
      <c r="G63" s="96" t="s">
        <v>653</v>
      </c>
      <c r="H63" s="96" t="s">
        <v>103</v>
      </c>
      <c r="I63" s="96" t="s">
        <v>547</v>
      </c>
      <c r="J63" s="96" t="s">
        <v>444</v>
      </c>
      <c r="K63" s="96" t="s">
        <v>654</v>
      </c>
      <c r="L63" s="96" t="s">
        <v>441</v>
      </c>
      <c r="M63" s="96"/>
      <c r="N63" s="51" t="s">
        <v>655</v>
      </c>
      <c r="O63" s="97" t="s">
        <v>656</v>
      </c>
      <c r="P63" s="97" t="s">
        <v>304</v>
      </c>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row>
    <row r="64" spans="1:43" ht="90" x14ac:dyDescent="0.2">
      <c r="A64" s="94">
        <v>59</v>
      </c>
      <c r="B64" s="77" t="s">
        <v>498</v>
      </c>
      <c r="C64" s="51" t="s">
        <v>147</v>
      </c>
      <c r="D64" s="76">
        <v>2014</v>
      </c>
      <c r="E64" s="77" t="s">
        <v>63</v>
      </c>
      <c r="F64" s="77" t="s">
        <v>499</v>
      </c>
      <c r="G64" s="77" t="s">
        <v>550</v>
      </c>
      <c r="H64" s="77" t="s">
        <v>1150</v>
      </c>
      <c r="I64" s="77" t="s">
        <v>551</v>
      </c>
      <c r="J64" s="77" t="s">
        <v>447</v>
      </c>
      <c r="K64" s="77" t="s">
        <v>552</v>
      </c>
      <c r="L64" s="77" t="s">
        <v>441</v>
      </c>
      <c r="M64" s="77"/>
      <c r="N64" s="51" t="s">
        <v>553</v>
      </c>
      <c r="O64" s="79" t="s">
        <v>18</v>
      </c>
      <c r="P64" s="78" t="s">
        <v>554</v>
      </c>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row>
    <row r="65" spans="1:43" ht="105" x14ac:dyDescent="0.2">
      <c r="A65" s="94">
        <v>60</v>
      </c>
      <c r="B65" s="77" t="s">
        <v>500</v>
      </c>
      <c r="C65" s="51" t="s">
        <v>135</v>
      </c>
      <c r="D65" s="76">
        <v>2016</v>
      </c>
      <c r="E65" s="77" t="s">
        <v>63</v>
      </c>
      <c r="F65" s="77" t="s">
        <v>501</v>
      </c>
      <c r="G65" s="77" t="s">
        <v>555</v>
      </c>
      <c r="H65" s="77" t="s">
        <v>102</v>
      </c>
      <c r="I65" s="77" t="s">
        <v>110</v>
      </c>
      <c r="J65" s="77" t="s">
        <v>445</v>
      </c>
      <c r="K65" s="77" t="s">
        <v>556</v>
      </c>
      <c r="L65" s="77" t="s">
        <v>441</v>
      </c>
      <c r="M65" s="77"/>
      <c r="N65" s="51" t="s">
        <v>557</v>
      </c>
      <c r="O65" s="78" t="s">
        <v>558</v>
      </c>
      <c r="P65" s="78" t="s">
        <v>559</v>
      </c>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row>
    <row r="66" spans="1:43" ht="75" x14ac:dyDescent="0.2">
      <c r="A66" s="94">
        <v>61</v>
      </c>
      <c r="B66" s="77" t="s">
        <v>502</v>
      </c>
      <c r="C66" s="51" t="s">
        <v>147</v>
      </c>
      <c r="D66" s="76">
        <v>2010</v>
      </c>
      <c r="E66" s="77" t="s">
        <v>63</v>
      </c>
      <c r="F66" s="77" t="s">
        <v>503</v>
      </c>
      <c r="G66" s="77" t="s">
        <v>560</v>
      </c>
      <c r="H66" s="77" t="s">
        <v>103</v>
      </c>
      <c r="I66" s="77" t="s">
        <v>110</v>
      </c>
      <c r="J66" s="77" t="s">
        <v>446</v>
      </c>
      <c r="K66" s="77" t="s">
        <v>561</v>
      </c>
      <c r="L66" s="77" t="s">
        <v>441</v>
      </c>
      <c r="M66" s="77"/>
      <c r="N66" s="77" t="s">
        <v>562</v>
      </c>
      <c r="O66" s="79" t="s">
        <v>18</v>
      </c>
      <c r="P66" s="79" t="s">
        <v>18</v>
      </c>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row>
    <row r="67" spans="1:43" ht="165" x14ac:dyDescent="0.2">
      <c r="A67" s="94">
        <v>62</v>
      </c>
      <c r="B67" s="77" t="s">
        <v>504</v>
      </c>
      <c r="C67" s="51" t="s">
        <v>82</v>
      </c>
      <c r="D67" s="76">
        <v>2012</v>
      </c>
      <c r="E67" s="77" t="s">
        <v>63</v>
      </c>
      <c r="F67" s="77" t="s">
        <v>505</v>
      </c>
      <c r="G67" s="77" t="s">
        <v>563</v>
      </c>
      <c r="H67" s="77" t="s">
        <v>1704</v>
      </c>
      <c r="I67" s="77" t="s">
        <v>566</v>
      </c>
      <c r="J67" s="77" t="s">
        <v>89</v>
      </c>
      <c r="K67" s="77" t="s">
        <v>565</v>
      </c>
      <c r="L67" s="51" t="s">
        <v>650</v>
      </c>
      <c r="M67" s="77"/>
      <c r="N67" s="77" t="s">
        <v>567</v>
      </c>
      <c r="O67" s="77" t="s">
        <v>568</v>
      </c>
      <c r="P67" s="78" t="s">
        <v>564</v>
      </c>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row>
    <row r="68" spans="1:43" ht="75" x14ac:dyDescent="0.2">
      <c r="A68" s="94">
        <v>63</v>
      </c>
      <c r="B68" s="77" t="s">
        <v>506</v>
      </c>
      <c r="C68" s="51" t="s">
        <v>147</v>
      </c>
      <c r="D68" s="76">
        <v>2007</v>
      </c>
      <c r="E68" s="77" t="s">
        <v>63</v>
      </c>
      <c r="F68" s="77" t="s">
        <v>507</v>
      </c>
      <c r="G68" s="77" t="s">
        <v>569</v>
      </c>
      <c r="H68" s="77" t="s">
        <v>98</v>
      </c>
      <c r="I68" s="77" t="s">
        <v>571</v>
      </c>
      <c r="J68" s="77" t="s">
        <v>90</v>
      </c>
      <c r="K68" s="77" t="s">
        <v>572</v>
      </c>
      <c r="L68" s="77" t="s">
        <v>441</v>
      </c>
      <c r="M68" s="77"/>
      <c r="N68" s="77" t="s">
        <v>570</v>
      </c>
      <c r="O68" s="79" t="s">
        <v>18</v>
      </c>
      <c r="P68" s="79" t="s">
        <v>18</v>
      </c>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row>
    <row r="69" spans="1:43" ht="90" x14ac:dyDescent="0.2">
      <c r="A69" s="94">
        <v>64</v>
      </c>
      <c r="B69" s="77" t="s">
        <v>508</v>
      </c>
      <c r="C69" s="51" t="s">
        <v>82</v>
      </c>
      <c r="D69" s="76">
        <v>2014</v>
      </c>
      <c r="E69" s="77" t="s">
        <v>63</v>
      </c>
      <c r="F69" s="77" t="s">
        <v>509</v>
      </c>
      <c r="G69" s="77" t="s">
        <v>573</v>
      </c>
      <c r="H69" s="77" t="s">
        <v>103</v>
      </c>
      <c r="I69" s="77" t="s">
        <v>574</v>
      </c>
      <c r="J69" s="77" t="s">
        <v>446</v>
      </c>
      <c r="K69" s="77" t="s">
        <v>575</v>
      </c>
      <c r="L69" s="77" t="s">
        <v>441</v>
      </c>
      <c r="M69" s="77"/>
      <c r="N69" s="77" t="s">
        <v>361</v>
      </c>
      <c r="O69" s="79" t="s">
        <v>18</v>
      </c>
      <c r="P69" s="79" t="s">
        <v>18</v>
      </c>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row>
    <row r="70" spans="1:43" ht="75" x14ac:dyDescent="0.2">
      <c r="A70" s="94">
        <v>65</v>
      </c>
      <c r="B70" s="77" t="s">
        <v>510</v>
      </c>
      <c r="C70" s="51" t="s">
        <v>177</v>
      </c>
      <c r="D70" s="76">
        <v>2016</v>
      </c>
      <c r="E70" s="77" t="s">
        <v>63</v>
      </c>
      <c r="F70" s="77" t="s">
        <v>511</v>
      </c>
      <c r="G70" s="77" t="s">
        <v>576</v>
      </c>
      <c r="H70" s="77" t="s">
        <v>100</v>
      </c>
      <c r="I70" s="77" t="s">
        <v>579</v>
      </c>
      <c r="J70" s="77" t="s">
        <v>90</v>
      </c>
      <c r="K70" s="77" t="s">
        <v>578</v>
      </c>
      <c r="L70" s="77" t="s">
        <v>441</v>
      </c>
      <c r="M70" s="77"/>
      <c r="N70" s="77" t="s">
        <v>580</v>
      </c>
      <c r="O70" s="79" t="s">
        <v>18</v>
      </c>
      <c r="P70" s="78" t="s">
        <v>577</v>
      </c>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row>
    <row r="71" spans="1:43" ht="180" x14ac:dyDescent="0.2">
      <c r="A71" s="94">
        <v>66</v>
      </c>
      <c r="B71" s="77" t="s">
        <v>512</v>
      </c>
      <c r="C71" s="51" t="s">
        <v>581</v>
      </c>
      <c r="D71" s="76">
        <v>2013</v>
      </c>
      <c r="E71" s="77" t="s">
        <v>63</v>
      </c>
      <c r="F71" s="77" t="s">
        <v>513</v>
      </c>
      <c r="G71" s="77" t="s">
        <v>582</v>
      </c>
      <c r="H71" s="77" t="s">
        <v>100</v>
      </c>
      <c r="I71" s="77" t="s">
        <v>275</v>
      </c>
      <c r="J71" s="77" t="s">
        <v>88</v>
      </c>
      <c r="K71" s="77" t="s">
        <v>583</v>
      </c>
      <c r="L71" s="77" t="s">
        <v>91</v>
      </c>
      <c r="M71" s="77" t="s">
        <v>443</v>
      </c>
      <c r="N71" s="78" t="s">
        <v>584</v>
      </c>
      <c r="O71" s="51" t="s">
        <v>1981</v>
      </c>
      <c r="P71" s="77" t="s">
        <v>317</v>
      </c>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row>
    <row r="72" spans="1:43" ht="90" x14ac:dyDescent="0.2">
      <c r="A72" s="94">
        <v>67</v>
      </c>
      <c r="B72" s="77" t="s">
        <v>61</v>
      </c>
      <c r="C72" s="51" t="s">
        <v>62</v>
      </c>
      <c r="D72" s="76">
        <v>2015</v>
      </c>
      <c r="E72" s="77" t="s">
        <v>63</v>
      </c>
      <c r="F72" s="77" t="s">
        <v>64</v>
      </c>
      <c r="G72" s="77" t="s">
        <v>585</v>
      </c>
      <c r="H72" s="77" t="s">
        <v>1150</v>
      </c>
      <c r="I72" s="77" t="s">
        <v>586</v>
      </c>
      <c r="J72" s="77" t="s">
        <v>447</v>
      </c>
      <c r="K72" s="77" t="s">
        <v>587</v>
      </c>
      <c r="L72" s="77" t="s">
        <v>91</v>
      </c>
      <c r="M72" s="77" t="s">
        <v>94</v>
      </c>
      <c r="N72" s="77" t="s">
        <v>79</v>
      </c>
      <c r="O72" s="79" t="s">
        <v>18</v>
      </c>
      <c r="P72" s="76" t="s">
        <v>70</v>
      </c>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row>
    <row r="73" spans="1:43" ht="90" x14ac:dyDescent="0.2">
      <c r="A73" s="94">
        <v>68</v>
      </c>
      <c r="B73" s="77" t="s">
        <v>514</v>
      </c>
      <c r="C73" s="51" t="s">
        <v>121</v>
      </c>
      <c r="D73" s="76">
        <v>2014</v>
      </c>
      <c r="E73" s="77" t="s">
        <v>63</v>
      </c>
      <c r="F73" s="77" t="s">
        <v>515</v>
      </c>
      <c r="G73" s="77" t="s">
        <v>588</v>
      </c>
      <c r="H73" s="77" t="s">
        <v>98</v>
      </c>
      <c r="I73" s="77" t="s">
        <v>589</v>
      </c>
      <c r="J73" s="77" t="s">
        <v>445</v>
      </c>
      <c r="K73" s="77" t="s">
        <v>590</v>
      </c>
      <c r="L73" s="77" t="s">
        <v>441</v>
      </c>
      <c r="M73" s="77"/>
      <c r="N73" s="77" t="s">
        <v>591</v>
      </c>
      <c r="O73" s="79" t="s">
        <v>18</v>
      </c>
      <c r="P73" s="74" t="s">
        <v>18</v>
      </c>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row>
    <row r="74" spans="1:43" ht="165" x14ac:dyDescent="0.2">
      <c r="A74" s="94">
        <v>69</v>
      </c>
      <c r="B74" s="77" t="s">
        <v>516</v>
      </c>
      <c r="C74" s="51" t="s">
        <v>121</v>
      </c>
      <c r="D74" s="76">
        <v>2013</v>
      </c>
      <c r="E74" s="77" t="s">
        <v>63</v>
      </c>
      <c r="F74" s="77" t="s">
        <v>517</v>
      </c>
      <c r="G74" s="86" t="s">
        <v>592</v>
      </c>
      <c r="H74" s="77" t="s">
        <v>443</v>
      </c>
      <c r="I74" s="77" t="s">
        <v>649</v>
      </c>
      <c r="J74" s="77" t="s">
        <v>441</v>
      </c>
      <c r="K74" s="92" t="s">
        <v>647</v>
      </c>
      <c r="L74" s="77" t="s">
        <v>441</v>
      </c>
      <c r="M74" s="77"/>
      <c r="N74" s="92" t="s">
        <v>646</v>
      </c>
      <c r="O74" s="93" t="s">
        <v>18</v>
      </c>
      <c r="P74" s="93" t="s">
        <v>18</v>
      </c>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row>
    <row r="75" spans="1:43" ht="225" x14ac:dyDescent="0.2">
      <c r="A75" s="94">
        <v>70</v>
      </c>
      <c r="B75" s="77" t="s">
        <v>518</v>
      </c>
      <c r="C75" s="51" t="s">
        <v>138</v>
      </c>
      <c r="D75" s="76">
        <v>2015</v>
      </c>
      <c r="E75" s="77" t="s">
        <v>63</v>
      </c>
      <c r="F75" s="77" t="s">
        <v>519</v>
      </c>
      <c r="G75" s="77" t="s">
        <v>593</v>
      </c>
      <c r="H75" s="77" t="s">
        <v>443</v>
      </c>
      <c r="I75" s="77" t="s">
        <v>648</v>
      </c>
      <c r="J75" s="77" t="s">
        <v>444</v>
      </c>
      <c r="K75" s="86" t="s">
        <v>594</v>
      </c>
      <c r="L75" s="77" t="s">
        <v>441</v>
      </c>
      <c r="M75" s="77"/>
      <c r="N75" s="77" t="s">
        <v>595</v>
      </c>
      <c r="O75" s="87" t="s">
        <v>18</v>
      </c>
      <c r="P75" s="86" t="s">
        <v>596</v>
      </c>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row>
    <row r="76" spans="1:43" ht="105" x14ac:dyDescent="0.2">
      <c r="A76" s="94">
        <v>71</v>
      </c>
      <c r="B76" s="77" t="s">
        <v>520</v>
      </c>
      <c r="C76" s="51" t="s">
        <v>82</v>
      </c>
      <c r="D76" s="76">
        <v>2014</v>
      </c>
      <c r="E76" s="77" t="s">
        <v>521</v>
      </c>
      <c r="F76" s="77" t="s">
        <v>522</v>
      </c>
      <c r="G76" s="86" t="s">
        <v>597</v>
      </c>
      <c r="H76" s="77" t="s">
        <v>1292</v>
      </c>
      <c r="I76" s="86" t="s">
        <v>599</v>
      </c>
      <c r="J76" s="77" t="s">
        <v>88</v>
      </c>
      <c r="K76" s="86" t="s">
        <v>598</v>
      </c>
      <c r="L76" s="77" t="s">
        <v>92</v>
      </c>
      <c r="M76" s="77" t="s">
        <v>442</v>
      </c>
      <c r="N76" s="77" t="s">
        <v>600</v>
      </c>
      <c r="O76" s="77" t="s">
        <v>456</v>
      </c>
      <c r="P76" s="86" t="s">
        <v>601</v>
      </c>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row>
    <row r="77" spans="1:43" ht="165" x14ac:dyDescent="0.2">
      <c r="A77" s="94">
        <v>72</v>
      </c>
      <c r="B77" s="77" t="s">
        <v>523</v>
      </c>
      <c r="C77" s="51" t="s">
        <v>82</v>
      </c>
      <c r="D77" s="76">
        <v>2009</v>
      </c>
      <c r="E77" s="77" t="s">
        <v>63</v>
      </c>
      <c r="F77" s="77" t="s">
        <v>524</v>
      </c>
      <c r="G77" s="77" t="s">
        <v>602</v>
      </c>
      <c r="H77" s="77" t="s">
        <v>1704</v>
      </c>
      <c r="I77" s="77" t="s">
        <v>607</v>
      </c>
      <c r="J77" s="77" t="s">
        <v>89</v>
      </c>
      <c r="K77" s="77" t="s">
        <v>603</v>
      </c>
      <c r="L77" s="77" t="s">
        <v>91</v>
      </c>
      <c r="M77" s="77" t="s">
        <v>605</v>
      </c>
      <c r="N77" s="86" t="s">
        <v>604</v>
      </c>
      <c r="O77" s="87" t="s">
        <v>18</v>
      </c>
      <c r="P77" s="86" t="s">
        <v>606</v>
      </c>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row>
    <row r="78" spans="1:43" ht="90" x14ac:dyDescent="0.2">
      <c r="A78" s="94">
        <v>73</v>
      </c>
      <c r="B78" s="77" t="s">
        <v>525</v>
      </c>
      <c r="C78" s="51" t="s">
        <v>138</v>
      </c>
      <c r="D78" s="76">
        <v>2015</v>
      </c>
      <c r="E78" s="77" t="s">
        <v>63</v>
      </c>
      <c r="F78" s="77" t="s">
        <v>526</v>
      </c>
      <c r="G78" s="86" t="s">
        <v>608</v>
      </c>
      <c r="H78" s="77" t="s">
        <v>102</v>
      </c>
      <c r="I78" s="77" t="s">
        <v>341</v>
      </c>
      <c r="J78" s="77" t="s">
        <v>447</v>
      </c>
      <c r="K78" s="86" t="s">
        <v>610</v>
      </c>
      <c r="L78" s="77" t="s">
        <v>441</v>
      </c>
      <c r="M78" s="77"/>
      <c r="N78" s="77" t="s">
        <v>609</v>
      </c>
      <c r="O78" s="87" t="s">
        <v>18</v>
      </c>
      <c r="P78" s="86" t="s">
        <v>395</v>
      </c>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row>
    <row r="79" spans="1:43" ht="180" x14ac:dyDescent="0.2">
      <c r="A79" s="94">
        <v>74</v>
      </c>
      <c r="B79" s="77" t="s">
        <v>527</v>
      </c>
      <c r="C79" s="51" t="s">
        <v>82</v>
      </c>
      <c r="D79" s="76">
        <v>2014</v>
      </c>
      <c r="E79" s="77" t="s">
        <v>528</v>
      </c>
      <c r="F79" s="77" t="s">
        <v>529</v>
      </c>
      <c r="G79" s="88" t="s">
        <v>611</v>
      </c>
      <c r="H79" s="77" t="s">
        <v>1328</v>
      </c>
      <c r="I79" s="88" t="s">
        <v>613</v>
      </c>
      <c r="J79" s="77" t="s">
        <v>90</v>
      </c>
      <c r="K79" s="88" t="s">
        <v>612</v>
      </c>
      <c r="L79" s="77" t="s">
        <v>91</v>
      </c>
      <c r="M79" s="77" t="s">
        <v>94</v>
      </c>
      <c r="N79" s="88" t="s">
        <v>615</v>
      </c>
      <c r="O79" s="90" t="s">
        <v>18</v>
      </c>
      <c r="P79" s="88" t="s">
        <v>614</v>
      </c>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row>
    <row r="80" spans="1:43" ht="105" x14ac:dyDescent="0.2">
      <c r="A80" s="94">
        <v>75</v>
      </c>
      <c r="B80" s="77" t="s">
        <v>530</v>
      </c>
      <c r="C80" s="51" t="s">
        <v>616</v>
      </c>
      <c r="D80" s="76">
        <v>2016</v>
      </c>
      <c r="E80" s="77" t="s">
        <v>531</v>
      </c>
      <c r="F80" s="77" t="s">
        <v>532</v>
      </c>
      <c r="G80" s="88" t="s">
        <v>617</v>
      </c>
      <c r="H80" s="77" t="s">
        <v>100</v>
      </c>
      <c r="I80" s="77" t="s">
        <v>275</v>
      </c>
      <c r="J80" s="77" t="s">
        <v>90</v>
      </c>
      <c r="K80" s="88" t="s">
        <v>619</v>
      </c>
      <c r="L80" s="77" t="s">
        <v>91</v>
      </c>
      <c r="M80" s="77" t="s">
        <v>443</v>
      </c>
      <c r="N80" s="77" t="s">
        <v>620</v>
      </c>
      <c r="O80" s="51" t="s">
        <v>274</v>
      </c>
      <c r="P80" s="88" t="s">
        <v>618</v>
      </c>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row>
    <row r="81" spans="1:43" ht="135" x14ac:dyDescent="0.2">
      <c r="A81" s="94">
        <v>76</v>
      </c>
      <c r="B81" s="77" t="s">
        <v>533</v>
      </c>
      <c r="C81" s="51" t="s">
        <v>130</v>
      </c>
      <c r="D81" s="76">
        <v>2014</v>
      </c>
      <c r="E81" s="77" t="s">
        <v>521</v>
      </c>
      <c r="F81" s="77" t="s">
        <v>534</v>
      </c>
      <c r="G81" s="77" t="s">
        <v>621</v>
      </c>
      <c r="H81" s="77" t="s">
        <v>102</v>
      </c>
      <c r="I81" s="77" t="s">
        <v>341</v>
      </c>
      <c r="J81" s="77" t="s">
        <v>446</v>
      </c>
      <c r="K81" s="77" t="s">
        <v>622</v>
      </c>
      <c r="L81" s="77" t="s">
        <v>441</v>
      </c>
      <c r="M81" s="77"/>
      <c r="N81" s="88" t="s">
        <v>623</v>
      </c>
      <c r="O81" s="90" t="s">
        <v>18</v>
      </c>
      <c r="P81" s="88" t="s">
        <v>395</v>
      </c>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row>
    <row r="82" spans="1:43" ht="120" x14ac:dyDescent="0.2">
      <c r="A82" s="94">
        <v>77</v>
      </c>
      <c r="B82" s="77" t="s">
        <v>535</v>
      </c>
      <c r="C82" s="51" t="s">
        <v>126</v>
      </c>
      <c r="D82" s="76">
        <v>2010</v>
      </c>
      <c r="E82" s="77" t="s">
        <v>63</v>
      </c>
      <c r="F82" s="77" t="s">
        <v>536</v>
      </c>
      <c r="G82" s="88" t="s">
        <v>625</v>
      </c>
      <c r="H82" s="77" t="s">
        <v>100</v>
      </c>
      <c r="I82" s="77" t="s">
        <v>275</v>
      </c>
      <c r="J82" s="77" t="s">
        <v>444</v>
      </c>
      <c r="K82" s="88" t="s">
        <v>626</v>
      </c>
      <c r="L82" s="77" t="s">
        <v>441</v>
      </c>
      <c r="M82" s="77"/>
      <c r="N82" s="77" t="s">
        <v>628</v>
      </c>
      <c r="O82" s="88" t="s">
        <v>624</v>
      </c>
      <c r="P82" s="140" t="s">
        <v>627</v>
      </c>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row>
    <row r="83" spans="1:43" ht="135" x14ac:dyDescent="0.2">
      <c r="A83" s="94">
        <v>78</v>
      </c>
      <c r="B83" s="77" t="s">
        <v>537</v>
      </c>
      <c r="C83" s="51" t="s">
        <v>538</v>
      </c>
      <c r="D83" s="76">
        <v>2002</v>
      </c>
      <c r="E83" s="77" t="s">
        <v>63</v>
      </c>
      <c r="F83" s="77" t="s">
        <v>539</v>
      </c>
      <c r="G83" s="88" t="s">
        <v>629</v>
      </c>
      <c r="H83" s="77" t="s">
        <v>103</v>
      </c>
      <c r="I83" s="88" t="s">
        <v>631</v>
      </c>
      <c r="J83" s="77" t="s">
        <v>441</v>
      </c>
      <c r="K83" s="77" t="s">
        <v>630</v>
      </c>
      <c r="L83" s="77" t="s">
        <v>441</v>
      </c>
      <c r="M83" s="77"/>
      <c r="N83" s="88" t="s">
        <v>632</v>
      </c>
      <c r="O83" s="90" t="s">
        <v>18</v>
      </c>
      <c r="P83" s="89" t="s">
        <v>633</v>
      </c>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row>
    <row r="84" spans="1:43" ht="75" x14ac:dyDescent="0.2">
      <c r="A84" s="94">
        <v>79</v>
      </c>
      <c r="B84" s="77" t="s">
        <v>540</v>
      </c>
      <c r="C84" s="51" t="s">
        <v>156</v>
      </c>
      <c r="D84" s="76">
        <v>2016</v>
      </c>
      <c r="E84" s="77" t="s">
        <v>63</v>
      </c>
      <c r="F84" s="51" t="s">
        <v>541</v>
      </c>
      <c r="G84" s="77" t="s">
        <v>634</v>
      </c>
      <c r="H84" s="77" t="s">
        <v>100</v>
      </c>
      <c r="I84" s="77" t="s">
        <v>275</v>
      </c>
      <c r="J84" s="77" t="s">
        <v>90</v>
      </c>
      <c r="K84" s="77" t="s">
        <v>636</v>
      </c>
      <c r="L84" s="77" t="s">
        <v>91</v>
      </c>
      <c r="M84" s="77" t="s">
        <v>95</v>
      </c>
      <c r="N84" s="88" t="s">
        <v>637</v>
      </c>
      <c r="O84" s="77" t="s">
        <v>568</v>
      </c>
      <c r="P84" s="92" t="s">
        <v>635</v>
      </c>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row>
    <row r="85" spans="1:43" s="115" customFormat="1" ht="135" x14ac:dyDescent="0.2">
      <c r="A85" s="105">
        <v>80</v>
      </c>
      <c r="B85" s="162" t="s">
        <v>542</v>
      </c>
      <c r="C85" s="162" t="s">
        <v>135</v>
      </c>
      <c r="D85" s="160">
        <v>2014</v>
      </c>
      <c r="E85" s="162" t="s">
        <v>63</v>
      </c>
      <c r="F85" s="162" t="s">
        <v>543</v>
      </c>
      <c r="G85" s="162" t="s">
        <v>639</v>
      </c>
      <c r="H85" s="162" t="s">
        <v>1095</v>
      </c>
      <c r="I85" s="162" t="s">
        <v>638</v>
      </c>
      <c r="J85" s="162" t="s">
        <v>651</v>
      </c>
      <c r="K85" s="162" t="s">
        <v>642</v>
      </c>
      <c r="L85" s="162" t="s">
        <v>91</v>
      </c>
      <c r="M85" s="162" t="s">
        <v>443</v>
      </c>
      <c r="N85" s="162" t="s">
        <v>640</v>
      </c>
      <c r="O85" s="161" t="s">
        <v>18</v>
      </c>
      <c r="P85" s="162" t="s">
        <v>641</v>
      </c>
      <c r="Q85" s="162" t="s">
        <v>1702</v>
      </c>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c r="AQ85" s="112"/>
    </row>
    <row r="86" spans="1:43" ht="90" x14ac:dyDescent="0.2">
      <c r="A86" s="94">
        <v>81</v>
      </c>
      <c r="B86" s="51" t="s">
        <v>544</v>
      </c>
      <c r="C86" s="51" t="s">
        <v>138</v>
      </c>
      <c r="D86" s="76">
        <v>2016</v>
      </c>
      <c r="E86" s="77" t="s">
        <v>63</v>
      </c>
      <c r="F86" s="77" t="s">
        <v>545</v>
      </c>
      <c r="G86" s="92" t="s">
        <v>643</v>
      </c>
      <c r="H86" s="77" t="s">
        <v>102</v>
      </c>
      <c r="I86" s="77" t="s">
        <v>341</v>
      </c>
      <c r="J86" s="77" t="s">
        <v>446</v>
      </c>
      <c r="K86" s="77" t="s">
        <v>644</v>
      </c>
      <c r="L86" s="77" t="s">
        <v>441</v>
      </c>
      <c r="M86" s="77"/>
      <c r="N86" s="77" t="s">
        <v>361</v>
      </c>
      <c r="O86" s="93" t="s">
        <v>18</v>
      </c>
      <c r="P86" s="92" t="s">
        <v>645</v>
      </c>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row>
    <row r="87" spans="1:43" x14ac:dyDescent="0.2">
      <c r="F87" s="1"/>
      <c r="G87" s="77"/>
      <c r="H87" s="77"/>
      <c r="I87" s="77"/>
      <c r="J87" s="77"/>
      <c r="K87" s="77"/>
      <c r="L87" s="77"/>
      <c r="M87" s="77"/>
      <c r="N87" s="77"/>
      <c r="O87" s="77"/>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row>
    <row r="88" spans="1:43" x14ac:dyDescent="0.2">
      <c r="F88" s="1"/>
      <c r="G88" s="77"/>
      <c r="H88" s="77"/>
      <c r="I88" s="77"/>
      <c r="J88" s="77"/>
      <c r="K88" s="77"/>
      <c r="L88" s="77"/>
      <c r="M88" s="77"/>
      <c r="N88" s="77"/>
      <c r="O88" s="77"/>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row>
    <row r="89" spans="1:43" x14ac:dyDescent="0.2">
      <c r="F89" s="1"/>
      <c r="G89" s="77"/>
      <c r="H89" s="77"/>
      <c r="I89" s="77"/>
      <c r="J89" s="77"/>
      <c r="K89" s="77"/>
      <c r="L89" s="77"/>
      <c r="M89" s="77"/>
      <c r="N89" s="77"/>
      <c r="O89" s="77"/>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row>
    <row r="90" spans="1:43" x14ac:dyDescent="0.2">
      <c r="F90" s="1"/>
      <c r="G90" s="77"/>
      <c r="H90" s="77"/>
      <c r="I90" s="77"/>
      <c r="J90" s="77"/>
      <c r="K90" s="77"/>
      <c r="L90" s="77"/>
      <c r="M90" s="77"/>
      <c r="N90" s="77"/>
      <c r="O90" s="77"/>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row>
    <row r="91" spans="1:43" x14ac:dyDescent="0.2">
      <c r="F91" s="1"/>
      <c r="G91" s="77"/>
      <c r="H91" s="77"/>
      <c r="I91" s="77"/>
      <c r="J91" s="77"/>
      <c r="K91" s="77"/>
      <c r="L91" s="77"/>
      <c r="M91" s="77"/>
      <c r="N91" s="77"/>
      <c r="O91" s="77"/>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row>
    <row r="92" spans="1:43" x14ac:dyDescent="0.2">
      <c r="F92" s="1"/>
      <c r="G92" s="77"/>
      <c r="H92" s="77"/>
      <c r="I92" s="77"/>
      <c r="J92" s="77"/>
      <c r="K92" s="77"/>
      <c r="L92" s="77"/>
      <c r="M92" s="77"/>
      <c r="N92" s="77"/>
      <c r="O92" s="77"/>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row>
    <row r="93" spans="1:43" x14ac:dyDescent="0.2">
      <c r="F93" s="1"/>
      <c r="G93" s="77"/>
      <c r="H93" s="77"/>
      <c r="I93" s="77"/>
      <c r="J93" s="77"/>
      <c r="K93" s="77"/>
      <c r="L93" s="77"/>
      <c r="M93" s="77"/>
      <c r="N93" s="77"/>
      <c r="O93" s="77"/>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row>
    <row r="94" spans="1:43" x14ac:dyDescent="0.2">
      <c r="F94" s="1"/>
      <c r="G94" s="77"/>
      <c r="H94" s="77"/>
      <c r="I94" s="77"/>
      <c r="J94" s="77"/>
      <c r="K94" s="77"/>
      <c r="L94" s="156"/>
      <c r="M94" s="77"/>
      <c r="N94" s="77"/>
      <c r="O94" s="77"/>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row>
    <row r="95" spans="1:43" x14ac:dyDescent="0.2">
      <c r="F95" s="1"/>
      <c r="G95" s="77"/>
      <c r="H95" s="77"/>
      <c r="I95" s="77"/>
      <c r="J95" s="77"/>
      <c r="K95" s="77"/>
      <c r="L95" s="77"/>
      <c r="M95" s="77"/>
      <c r="N95" s="77"/>
      <c r="O95" s="77"/>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row>
    <row r="96" spans="1:43" x14ac:dyDescent="0.2">
      <c r="F96" s="1"/>
      <c r="G96" s="77"/>
      <c r="H96" s="77"/>
      <c r="I96" s="77"/>
      <c r="J96" s="77"/>
      <c r="K96" s="77"/>
      <c r="L96" s="77"/>
      <c r="M96" s="77"/>
      <c r="N96" s="77"/>
      <c r="O96" s="77"/>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row>
    <row r="97" spans="6:43" x14ac:dyDescent="0.2">
      <c r="F97" s="1"/>
      <c r="G97" s="77"/>
      <c r="H97" s="77"/>
      <c r="I97" s="77"/>
      <c r="J97" s="77"/>
      <c r="K97" s="77"/>
      <c r="L97" s="77"/>
      <c r="M97" s="77"/>
      <c r="N97" s="77"/>
      <c r="O97" s="77"/>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row>
    <row r="98" spans="6:43" x14ac:dyDescent="0.2">
      <c r="F98" s="1"/>
      <c r="G98" s="77"/>
      <c r="H98" s="77"/>
      <c r="I98" s="77"/>
      <c r="J98" s="77"/>
      <c r="K98" s="77"/>
      <c r="L98" s="77"/>
      <c r="M98" s="77"/>
      <c r="N98" s="77"/>
      <c r="O98" s="77"/>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row>
    <row r="99" spans="6:43" x14ac:dyDescent="0.2">
      <c r="F99" s="1"/>
      <c r="G99" s="77"/>
      <c r="H99" s="77"/>
      <c r="I99" s="77"/>
      <c r="J99" s="77"/>
      <c r="K99" s="77"/>
      <c r="L99" s="77"/>
      <c r="M99" s="77"/>
      <c r="N99" s="77"/>
      <c r="O99" s="77"/>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row>
    <row r="100" spans="6:43" x14ac:dyDescent="0.2">
      <c r="F100" s="1"/>
      <c r="G100" s="77"/>
      <c r="H100" s="77"/>
      <c r="I100" s="77"/>
      <c r="J100" s="77"/>
      <c r="K100" s="77"/>
      <c r="L100" s="77"/>
      <c r="M100" s="77"/>
      <c r="N100" s="77"/>
      <c r="O100" s="77"/>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row>
    <row r="101" spans="6:43" x14ac:dyDescent="0.2">
      <c r="F101" s="1"/>
      <c r="G101" s="77"/>
      <c r="H101" s="77"/>
      <c r="I101" s="77"/>
      <c r="J101" s="77"/>
      <c r="K101" s="77"/>
      <c r="L101" s="77"/>
      <c r="M101" s="77"/>
      <c r="N101" s="77"/>
      <c r="O101" s="77"/>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row>
    <row r="102" spans="6:43" x14ac:dyDescent="0.2">
      <c r="F102" s="1"/>
      <c r="G102" s="77"/>
      <c r="H102" s="77"/>
      <c r="I102" s="77"/>
      <c r="J102" s="77"/>
      <c r="K102" s="77"/>
      <c r="L102" s="77"/>
      <c r="M102" s="77"/>
      <c r="N102" s="77"/>
      <c r="O102" s="77"/>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row>
    <row r="103" spans="6:43" x14ac:dyDescent="0.2">
      <c r="F103" s="1"/>
      <c r="G103" s="77"/>
      <c r="H103" s="77"/>
      <c r="I103" s="77"/>
      <c r="J103" s="77"/>
      <c r="K103" s="77"/>
      <c r="L103" s="77"/>
      <c r="M103" s="77"/>
      <c r="N103" s="77"/>
      <c r="O103" s="77"/>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row>
    <row r="104" spans="6:43" x14ac:dyDescent="0.2">
      <c r="F104" s="1"/>
      <c r="G104" s="77"/>
      <c r="H104" s="77"/>
      <c r="I104" s="77"/>
      <c r="J104" s="77"/>
      <c r="K104" s="77"/>
      <c r="L104" s="77"/>
      <c r="M104" s="77"/>
      <c r="N104" s="77"/>
      <c r="O104" s="77"/>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row>
    <row r="105" spans="6:43" x14ac:dyDescent="0.2">
      <c r="F105" s="1"/>
      <c r="G105" s="77"/>
      <c r="H105" s="77"/>
      <c r="I105" s="77"/>
      <c r="J105" s="77"/>
      <c r="K105" s="77"/>
      <c r="L105" s="77"/>
      <c r="M105" s="77"/>
      <c r="N105" s="77"/>
      <c r="O105" s="77"/>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row>
    <row r="106" spans="6:43" x14ac:dyDescent="0.2">
      <c r="F106" s="1"/>
      <c r="G106" s="77"/>
      <c r="H106" s="77"/>
      <c r="I106" s="77"/>
      <c r="J106" s="77"/>
      <c r="K106" s="77"/>
      <c r="L106" s="77"/>
      <c r="M106" s="77"/>
      <c r="N106" s="77"/>
      <c r="O106" s="77"/>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row>
    <row r="107" spans="6:43" x14ac:dyDescent="0.2">
      <c r="F107" s="1"/>
      <c r="G107" s="77"/>
      <c r="H107" s="77"/>
      <c r="I107" s="77"/>
      <c r="J107" s="77"/>
      <c r="K107" s="77"/>
      <c r="L107" s="77"/>
      <c r="M107" s="77"/>
      <c r="N107" s="77"/>
      <c r="O107" s="77"/>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row>
    <row r="108" spans="6:43" x14ac:dyDescent="0.2">
      <c r="F108" s="1"/>
      <c r="G108" s="77"/>
      <c r="H108" s="77"/>
      <c r="I108" s="77"/>
      <c r="J108" s="77"/>
      <c r="K108" s="77"/>
      <c r="L108" s="77"/>
      <c r="M108" s="77"/>
      <c r="N108" s="77"/>
      <c r="O108" s="77"/>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row>
    <row r="109" spans="6:43" x14ac:dyDescent="0.2">
      <c r="F109" s="1"/>
      <c r="G109" s="77"/>
      <c r="H109" s="77"/>
      <c r="I109" s="77"/>
      <c r="J109" s="77"/>
      <c r="K109" s="77"/>
      <c r="L109" s="77"/>
      <c r="M109" s="77"/>
      <c r="N109" s="77"/>
      <c r="O109" s="77"/>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row>
    <row r="110" spans="6:43" x14ac:dyDescent="0.2">
      <c r="F110" s="1"/>
      <c r="G110" s="77"/>
      <c r="H110" s="77"/>
      <c r="I110" s="77"/>
      <c r="J110" s="77"/>
      <c r="K110" s="77"/>
      <c r="L110" s="77"/>
      <c r="M110" s="77"/>
      <c r="N110" s="77"/>
      <c r="O110" s="77"/>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row>
    <row r="111" spans="6:43" x14ac:dyDescent="0.2">
      <c r="F111" s="1"/>
      <c r="G111" s="77"/>
      <c r="H111" s="77"/>
      <c r="I111" s="77"/>
      <c r="J111" s="77"/>
      <c r="K111" s="77"/>
      <c r="L111" s="77"/>
      <c r="M111" s="77"/>
      <c r="N111" s="77"/>
      <c r="O111" s="77"/>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row>
    <row r="112" spans="6:43" x14ac:dyDescent="0.2">
      <c r="F112" s="1"/>
      <c r="G112" s="77"/>
      <c r="H112" s="77"/>
      <c r="I112" s="77"/>
      <c r="J112" s="77"/>
      <c r="K112" s="77"/>
      <c r="L112" s="77"/>
      <c r="M112" s="77"/>
      <c r="N112" s="77"/>
      <c r="O112" s="77"/>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row>
    <row r="113" spans="6:43" x14ac:dyDescent="0.2">
      <c r="F113" s="1"/>
      <c r="G113" s="77"/>
      <c r="H113" s="77"/>
      <c r="I113" s="77"/>
      <c r="J113" s="77"/>
      <c r="K113" s="77"/>
      <c r="L113" s="77"/>
      <c r="M113" s="77"/>
      <c r="N113" s="77"/>
      <c r="O113" s="77"/>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row>
    <row r="114" spans="6:43" x14ac:dyDescent="0.2">
      <c r="F114" s="1"/>
      <c r="G114" s="77"/>
      <c r="H114" s="77"/>
      <c r="I114" s="77"/>
      <c r="J114" s="77"/>
      <c r="K114" s="77"/>
      <c r="L114" s="77"/>
      <c r="M114" s="77"/>
      <c r="N114" s="77"/>
      <c r="O114" s="77"/>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row>
    <row r="115" spans="6:43" x14ac:dyDescent="0.2">
      <c r="F115" s="1"/>
      <c r="G115" s="77"/>
      <c r="H115" s="77"/>
      <c r="I115" s="77"/>
      <c r="J115" s="77"/>
      <c r="K115" s="77"/>
      <c r="L115" s="77"/>
      <c r="M115" s="77"/>
      <c r="N115" s="77"/>
      <c r="O115" s="77"/>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row>
    <row r="116" spans="6:43" x14ac:dyDescent="0.2">
      <c r="F116" s="1"/>
      <c r="G116" s="77"/>
      <c r="H116" s="77"/>
      <c r="I116" s="77"/>
      <c r="J116" s="77"/>
      <c r="K116" s="77"/>
      <c r="L116" s="77"/>
      <c r="M116" s="77"/>
      <c r="N116" s="77"/>
      <c r="O116" s="77"/>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row>
    <row r="117" spans="6:43" x14ac:dyDescent="0.2">
      <c r="F117" s="1"/>
      <c r="G117" s="77"/>
      <c r="H117" s="77"/>
      <c r="I117" s="77"/>
      <c r="J117" s="77"/>
      <c r="K117" s="77"/>
      <c r="L117" s="77"/>
      <c r="M117" s="77"/>
      <c r="N117" s="77"/>
      <c r="O117" s="77"/>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row>
    <row r="118" spans="6:43" x14ac:dyDescent="0.2">
      <c r="F118" s="1"/>
      <c r="G118" s="77"/>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row>
    <row r="119" spans="6:43" x14ac:dyDescent="0.2">
      <c r="F119" s="1"/>
      <c r="G119" s="77"/>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row>
    <row r="120" spans="6:43" x14ac:dyDescent="0.2">
      <c r="F120" s="1"/>
      <c r="G120" s="77"/>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row>
    <row r="121" spans="6:43" x14ac:dyDescent="0.2">
      <c r="F121" s="1"/>
      <c r="G121" s="77"/>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row>
    <row r="122" spans="6:43" x14ac:dyDescent="0.2">
      <c r="F122" s="1"/>
      <c r="G122" s="77"/>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row>
    <row r="123" spans="6:43" x14ac:dyDescent="0.2">
      <c r="F123" s="1"/>
      <c r="G123" s="77"/>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row>
    <row r="124" spans="6:43" x14ac:dyDescent="0.2">
      <c r="F124" s="1"/>
      <c r="G124" s="77"/>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row>
    <row r="125" spans="6:43" x14ac:dyDescent="0.2">
      <c r="G125" s="77"/>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row>
    <row r="126" spans="6:43" x14ac:dyDescent="0.2">
      <c r="G126" s="77"/>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row>
    <row r="127" spans="6:43" x14ac:dyDescent="0.2">
      <c r="G127" s="77"/>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row>
    <row r="128" spans="6:43" x14ac:dyDescent="0.2">
      <c r="G128" s="77"/>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row>
    <row r="129" spans="7:43" x14ac:dyDescent="0.2">
      <c r="G129" s="77"/>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row>
    <row r="130" spans="7:43" x14ac:dyDescent="0.2">
      <c r="G130" s="77"/>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row>
    <row r="131" spans="7:43" x14ac:dyDescent="0.2">
      <c r="G131" s="77"/>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row>
    <row r="132" spans="7:43" x14ac:dyDescent="0.2">
      <c r="G132" s="77"/>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row>
    <row r="133" spans="7:43" x14ac:dyDescent="0.2">
      <c r="G133" s="77"/>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row>
    <row r="134" spans="7:43" x14ac:dyDescent="0.2">
      <c r="G134" s="77"/>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row>
    <row r="135" spans="7:43" x14ac:dyDescent="0.2">
      <c r="G135" s="77"/>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row>
    <row r="136" spans="7:43" x14ac:dyDescent="0.2">
      <c r="G136" s="77"/>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row>
    <row r="137" spans="7:43" x14ac:dyDescent="0.2">
      <c r="G137" s="77"/>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row>
    <row r="138" spans="7:43" x14ac:dyDescent="0.2">
      <c r="G138" s="77"/>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row>
    <row r="139" spans="7:43" x14ac:dyDescent="0.2">
      <c r="G139" s="77"/>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row>
    <row r="140" spans="7:43" x14ac:dyDescent="0.2">
      <c r="G140" s="77"/>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row>
    <row r="141" spans="7:43" x14ac:dyDescent="0.2">
      <c r="G141" s="77"/>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row>
    <row r="142" spans="7:43" x14ac:dyDescent="0.2">
      <c r="G142" s="77"/>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row>
    <row r="143" spans="7:43" x14ac:dyDescent="0.2">
      <c r="G143" s="77"/>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row>
    <row r="144" spans="7:43" x14ac:dyDescent="0.2">
      <c r="G144" s="77"/>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row>
    <row r="145" spans="7:43" x14ac:dyDescent="0.2">
      <c r="G145" s="77"/>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row>
    <row r="146" spans="7:43" x14ac:dyDescent="0.2">
      <c r="G146" s="77"/>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row>
    <row r="147" spans="7:43" x14ac:dyDescent="0.2">
      <c r="G147" s="77"/>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row>
    <row r="148" spans="7:43" x14ac:dyDescent="0.2">
      <c r="G148" s="77"/>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row>
    <row r="149" spans="7:43" x14ac:dyDescent="0.2">
      <c r="G149" s="77"/>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row>
    <row r="150" spans="7:43" x14ac:dyDescent="0.2">
      <c r="G150" s="77"/>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row>
    <row r="151" spans="7:43" x14ac:dyDescent="0.2">
      <c r="G151" s="77"/>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row>
    <row r="152" spans="7:43" x14ac:dyDescent="0.2">
      <c r="G152" s="77"/>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row>
    <row r="153" spans="7:43" x14ac:dyDescent="0.2">
      <c r="G153" s="77"/>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row>
    <row r="154" spans="7:43" x14ac:dyDescent="0.2">
      <c r="G154" s="77"/>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row>
    <row r="155" spans="7:43" x14ac:dyDescent="0.2">
      <c r="G155" s="77"/>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row>
    <row r="156" spans="7:43" x14ac:dyDescent="0.2">
      <c r="G156" s="77"/>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row>
    <row r="157" spans="7:43" x14ac:dyDescent="0.2">
      <c r="G157" s="77"/>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row>
    <row r="158" spans="7:43" x14ac:dyDescent="0.2">
      <c r="G158" s="77"/>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row>
    <row r="159" spans="7:43" x14ac:dyDescent="0.2">
      <c r="G159" s="77"/>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row>
    <row r="160" spans="7:43" x14ac:dyDescent="0.2">
      <c r="G160" s="77"/>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row>
    <row r="161" spans="7:43" x14ac:dyDescent="0.2">
      <c r="G161" s="77"/>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row>
    <row r="162" spans="7:43" x14ac:dyDescent="0.2">
      <c r="G162" s="77"/>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row>
    <row r="163" spans="7:43" x14ac:dyDescent="0.2">
      <c r="G163" s="77"/>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row>
    <row r="164" spans="7:43" x14ac:dyDescent="0.2">
      <c r="G164" s="77"/>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row>
    <row r="165" spans="7:43" x14ac:dyDescent="0.2">
      <c r="G165" s="77"/>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row>
    <row r="166" spans="7:43" x14ac:dyDescent="0.2">
      <c r="G166" s="77"/>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row>
    <row r="167" spans="7:43" x14ac:dyDescent="0.2">
      <c r="G167" s="77"/>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row>
    <row r="168" spans="7:43" x14ac:dyDescent="0.2">
      <c r="G168" s="77"/>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row>
    <row r="169" spans="7:43" x14ac:dyDescent="0.2">
      <c r="G169" s="77"/>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row>
    <row r="170" spans="7:43" x14ac:dyDescent="0.2">
      <c r="G170" s="77"/>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row>
    <row r="171" spans="7:43" x14ac:dyDescent="0.2">
      <c r="G171" s="77"/>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row>
    <row r="172" spans="7:43" x14ac:dyDescent="0.2">
      <c r="G172" s="77"/>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row>
    <row r="173" spans="7:43" x14ac:dyDescent="0.2">
      <c r="G173" s="77"/>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row>
    <row r="174" spans="7:43" x14ac:dyDescent="0.2">
      <c r="G174" s="77"/>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row>
    <row r="175" spans="7:43" x14ac:dyDescent="0.2">
      <c r="G175" s="77"/>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row>
    <row r="176" spans="7:43" x14ac:dyDescent="0.2">
      <c r="G176" s="77"/>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row>
    <row r="177" spans="7:43" x14ac:dyDescent="0.2">
      <c r="G177" s="77"/>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row>
    <row r="178" spans="7:43" x14ac:dyDescent="0.2">
      <c r="G178" s="77"/>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row>
    <row r="179" spans="7:43" x14ac:dyDescent="0.2">
      <c r="G179" s="77"/>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row>
    <row r="180" spans="7:43" x14ac:dyDescent="0.2">
      <c r="G180" s="77"/>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row>
    <row r="181" spans="7:43" x14ac:dyDescent="0.2">
      <c r="G181" s="77"/>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row>
    <row r="182" spans="7:43" x14ac:dyDescent="0.2">
      <c r="G182" s="77"/>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row>
    <row r="183" spans="7:43" x14ac:dyDescent="0.2">
      <c r="G183" s="77"/>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row>
    <row r="184" spans="7:43" x14ac:dyDescent="0.2">
      <c r="G184" s="77"/>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row>
    <row r="185" spans="7:43" x14ac:dyDescent="0.2">
      <c r="G185" s="77"/>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row>
    <row r="186" spans="7:43" x14ac:dyDescent="0.2">
      <c r="G186" s="77"/>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row>
    <row r="187" spans="7:43" x14ac:dyDescent="0.2">
      <c r="G187" s="77"/>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row>
    <row r="188" spans="7:43" x14ac:dyDescent="0.2">
      <c r="G188" s="77"/>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row>
    <row r="189" spans="7:43" x14ac:dyDescent="0.2">
      <c r="G189" s="77"/>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row>
    <row r="190" spans="7:43" x14ac:dyDescent="0.2">
      <c r="G190" s="77"/>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row>
    <row r="191" spans="7:43" x14ac:dyDescent="0.2">
      <c r="G191" s="77"/>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row>
    <row r="192" spans="7:43" x14ac:dyDescent="0.2">
      <c r="G192" s="77"/>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row>
    <row r="193" spans="7:43" x14ac:dyDescent="0.2">
      <c r="G193" s="77"/>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row>
    <row r="194" spans="7:43" x14ac:dyDescent="0.2">
      <c r="G194" s="77"/>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row>
    <row r="195" spans="7:43" x14ac:dyDescent="0.2">
      <c r="G195" s="77"/>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row>
    <row r="196" spans="7:43" x14ac:dyDescent="0.2">
      <c r="G196" s="77"/>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row>
    <row r="197" spans="7:43" x14ac:dyDescent="0.2">
      <c r="G197" s="77"/>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row>
    <row r="198" spans="7:43" x14ac:dyDescent="0.2">
      <c r="G198" s="77"/>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row>
    <row r="199" spans="7:43" x14ac:dyDescent="0.2">
      <c r="G199" s="77"/>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row>
    <row r="200" spans="7:43" x14ac:dyDescent="0.2">
      <c r="G200" s="77"/>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row>
    <row r="201" spans="7:43" x14ac:dyDescent="0.2">
      <c r="G201" s="77"/>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row>
    <row r="202" spans="7:43" x14ac:dyDescent="0.2">
      <c r="G202" s="77"/>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row>
    <row r="203" spans="7:43" x14ac:dyDescent="0.2">
      <c r="G203" s="77"/>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row>
    <row r="204" spans="7:43" x14ac:dyDescent="0.2">
      <c r="G204" s="77"/>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row>
    <row r="205" spans="7:43" x14ac:dyDescent="0.2">
      <c r="G205" s="77"/>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row>
    <row r="206" spans="7:43" x14ac:dyDescent="0.2">
      <c r="G206" s="77"/>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row>
    <row r="207" spans="7:43" x14ac:dyDescent="0.2">
      <c r="G207" s="77"/>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row>
    <row r="208" spans="7:43" x14ac:dyDescent="0.2">
      <c r="G208" s="77"/>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row>
    <row r="209" spans="7:43" x14ac:dyDescent="0.2">
      <c r="G209" s="77"/>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row>
    <row r="210" spans="7:43" x14ac:dyDescent="0.2">
      <c r="G210" s="77"/>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row>
    <row r="211" spans="7:43" x14ac:dyDescent="0.2">
      <c r="G211" s="77"/>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row>
    <row r="212" spans="7:43" x14ac:dyDescent="0.2">
      <c r="G212" s="77"/>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row>
    <row r="213" spans="7:43" x14ac:dyDescent="0.2">
      <c r="G213" s="77"/>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row>
  </sheetData>
  <mergeCells count="18">
    <mergeCell ref="B1:E1"/>
    <mergeCell ref="B2:E2"/>
    <mergeCell ref="A41:A43"/>
    <mergeCell ref="B41:B43"/>
    <mergeCell ref="C41:C43"/>
    <mergeCell ref="D41:D43"/>
    <mergeCell ref="E41:E43"/>
    <mergeCell ref="O41:O43"/>
    <mergeCell ref="P41:P43"/>
    <mergeCell ref="Q41:Q43"/>
    <mergeCell ref="F41:F43"/>
    <mergeCell ref="G41:G43"/>
    <mergeCell ref="I41:I43"/>
    <mergeCell ref="K41:K43"/>
    <mergeCell ref="N41:N43"/>
    <mergeCell ref="L41:L43"/>
    <mergeCell ref="M41:M43"/>
    <mergeCell ref="H41:H43"/>
  </mergeCells>
  <phoneticPr fontId="11" type="noConversion"/>
  <pageMargins left="0.19685039370078741" right="0.19685039370078741" top="0.19685039370078741" bottom="0.19685039370078741" header="0.31" footer="0.31"/>
  <pageSetup paperSize="8" scale="63" orientation="landscape" copies="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Lists!$F$3:$F$7</xm:f>
          </x14:formula1>
          <xm:sqref>L44:L86 L4:L41</xm:sqref>
        </x14:dataValidation>
        <x14:dataValidation type="list" allowBlank="1" showInputMessage="1" showErrorMessage="1" xr:uid="{00000000-0002-0000-0100-000001000000}">
          <x14:formula1>
            <xm:f>Lists!$B$3:$B$21</xm:f>
          </x14:formula1>
          <xm:sqref>H4:H41 H44:H86</xm:sqref>
        </x14:dataValidation>
        <x14:dataValidation type="list" allowBlank="1" showInputMessage="1" showErrorMessage="1" xr:uid="{00000000-0002-0000-0100-000002000000}">
          <x14:formula1>
            <xm:f>Lists!$H$4:$H$21</xm:f>
          </x14:formula1>
          <xm:sqref>M4:M86</xm:sqref>
        </x14:dataValidation>
        <x14:dataValidation type="list" allowBlank="1" showInputMessage="1" showErrorMessage="1" xr:uid="{00000000-0002-0000-0100-000003000000}">
          <x14:formula1>
            <xm:f>Lists!$D$3:$D$15</xm:f>
          </x14:formula1>
          <xm:sqref>J4:J86</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231"/>
  <sheetViews>
    <sheetView zoomScale="90" zoomScaleNormal="90" zoomScalePageLayoutView="9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83203125" defaultRowHeight="15" outlineLevelCol="1" x14ac:dyDescent="0.2"/>
  <cols>
    <col min="1" max="1" width="4.33203125" style="1" customWidth="1"/>
    <col min="2" max="2" width="25.5" customWidth="1"/>
    <col min="3" max="3" width="13.6640625" customWidth="1"/>
    <col min="4" max="4" width="8.83203125" style="52"/>
    <col min="5" max="5" width="17.5" customWidth="1"/>
    <col min="6" max="6" width="19.33203125" customWidth="1"/>
    <col min="7" max="7" width="38.5" style="1" customWidth="1"/>
    <col min="8" max="8" width="15" customWidth="1"/>
    <col min="9" max="9" width="31.83203125" customWidth="1"/>
    <col min="10" max="10" width="6" customWidth="1"/>
    <col min="11" max="11" width="24.83203125" customWidth="1"/>
    <col min="12" max="12" width="10.5" customWidth="1"/>
    <col min="13" max="13" width="10.33203125" customWidth="1"/>
    <col min="14" max="14" width="27.33203125" customWidth="1"/>
    <col min="15" max="15" width="29" style="58" customWidth="1"/>
    <col min="16" max="16" width="22.33203125" style="58" customWidth="1"/>
    <col min="17" max="18" width="22.33203125" customWidth="1" outlineLevel="1"/>
    <col min="19" max="20" width="14.83203125" customWidth="1"/>
    <col min="21" max="21" width="14.5" customWidth="1"/>
    <col min="22" max="22" width="15.33203125" bestFit="1" customWidth="1"/>
    <col min="23" max="23" width="18.33203125" bestFit="1" customWidth="1"/>
    <col min="24" max="24" width="14.5" bestFit="1" customWidth="1"/>
    <col min="25" max="25" width="13.5" bestFit="1" customWidth="1"/>
    <col min="26" max="26" width="14.83203125" bestFit="1" customWidth="1"/>
    <col min="27" max="27" width="27" bestFit="1" customWidth="1"/>
    <col min="28" max="28" width="32.83203125" bestFit="1" customWidth="1"/>
    <col min="29" max="29" width="32.83203125" customWidth="1"/>
    <col min="30" max="30" width="42.6640625" bestFit="1" customWidth="1"/>
    <col min="31" max="31" width="32" bestFit="1" customWidth="1"/>
    <col min="32" max="32" width="37.83203125" bestFit="1" customWidth="1"/>
    <col min="33" max="33" width="35" bestFit="1" customWidth="1"/>
    <col min="34" max="34" width="23.6640625" bestFit="1" customWidth="1"/>
    <col min="35" max="35" width="25.6640625" bestFit="1" customWidth="1"/>
    <col min="36" max="36" width="22.1640625" bestFit="1" customWidth="1"/>
    <col min="37" max="37" width="25.5" bestFit="1" customWidth="1"/>
    <col min="38" max="38" width="24.33203125" bestFit="1" customWidth="1"/>
    <col min="39" max="39" width="26" bestFit="1" customWidth="1"/>
    <col min="40" max="40" width="27" bestFit="1" customWidth="1"/>
    <col min="41" max="41" width="27.1640625" bestFit="1" customWidth="1"/>
    <col min="42" max="42" width="26" bestFit="1" customWidth="1"/>
    <col min="43" max="43" width="25.33203125" bestFit="1" customWidth="1"/>
    <col min="44" max="44" width="24.6640625" bestFit="1" customWidth="1"/>
    <col min="45" max="45" width="28.83203125" bestFit="1" customWidth="1"/>
    <col min="46" max="46" width="24.83203125" bestFit="1" customWidth="1"/>
    <col min="47" max="47" width="20.33203125" bestFit="1" customWidth="1"/>
    <col min="48" max="48" width="12.5" bestFit="1" customWidth="1"/>
    <col min="49" max="49" width="25.83203125" bestFit="1" customWidth="1"/>
  </cols>
  <sheetData>
    <row r="1" spans="1:49" x14ac:dyDescent="0.2">
      <c r="A1" s="12"/>
      <c r="B1" s="210" t="s">
        <v>0</v>
      </c>
      <c r="C1" s="210"/>
      <c r="D1" s="210"/>
      <c r="E1" s="210"/>
      <c r="G1"/>
      <c r="O1"/>
      <c r="P1"/>
    </row>
    <row r="2" spans="1:49" x14ac:dyDescent="0.2">
      <c r="A2" s="12"/>
      <c r="B2" s="211" t="s">
        <v>1</v>
      </c>
      <c r="C2" s="211"/>
      <c r="D2" s="211"/>
      <c r="E2" s="211"/>
      <c r="G2"/>
      <c r="O2"/>
      <c r="P2"/>
    </row>
    <row r="3" spans="1:49" s="3" customFormat="1" ht="14" x14ac:dyDescent="0.2">
      <c r="A3" s="26" t="s">
        <v>9</v>
      </c>
      <c r="B3" s="27" t="s">
        <v>2</v>
      </c>
      <c r="C3" s="27" t="s">
        <v>3</v>
      </c>
      <c r="D3" s="27" t="s">
        <v>4</v>
      </c>
      <c r="E3" s="27" t="s">
        <v>5</v>
      </c>
      <c r="F3" s="27" t="s">
        <v>7</v>
      </c>
      <c r="G3" s="27" t="s">
        <v>6</v>
      </c>
      <c r="H3" s="27" t="s">
        <v>32</v>
      </c>
      <c r="I3" s="27" t="s">
        <v>436</v>
      </c>
      <c r="J3" s="27" t="s">
        <v>450</v>
      </c>
      <c r="K3" s="27" t="s">
        <v>437</v>
      </c>
      <c r="L3" s="27" t="s">
        <v>16</v>
      </c>
      <c r="M3" s="27" t="s">
        <v>93</v>
      </c>
      <c r="N3" s="27" t="s">
        <v>438</v>
      </c>
      <c r="O3" s="27" t="s">
        <v>35</v>
      </c>
      <c r="P3" s="27" t="s">
        <v>68</v>
      </c>
      <c r="Q3" s="27"/>
      <c r="R3" s="27"/>
      <c r="S3" s="27" t="s">
        <v>77</v>
      </c>
      <c r="T3" s="27" t="s">
        <v>19</v>
      </c>
      <c r="U3" s="28" t="s">
        <v>20</v>
      </c>
      <c r="V3" s="28" t="s">
        <v>21</v>
      </c>
      <c r="W3" s="28" t="s">
        <v>75</v>
      </c>
      <c r="X3" s="28" t="s">
        <v>22</v>
      </c>
      <c r="Y3" s="28" t="s">
        <v>23</v>
      </c>
      <c r="Z3" s="28" t="s">
        <v>24</v>
      </c>
      <c r="AA3" s="28" t="s">
        <v>37</v>
      </c>
      <c r="AB3" s="28" t="s">
        <v>406</v>
      </c>
      <c r="AC3" s="28" t="s">
        <v>1718</v>
      </c>
      <c r="AD3" s="28" t="s">
        <v>1719</v>
      </c>
      <c r="AE3" s="28" t="s">
        <v>1720</v>
      </c>
      <c r="AF3" s="28" t="s">
        <v>1105</v>
      </c>
      <c r="AG3" s="28" t="s">
        <v>1106</v>
      </c>
      <c r="AH3" s="28" t="s">
        <v>1467</v>
      </c>
      <c r="AI3" s="28" t="s">
        <v>1504</v>
      </c>
      <c r="AJ3" s="28" t="s">
        <v>1520</v>
      </c>
      <c r="AK3" s="28" t="s">
        <v>1521</v>
      </c>
      <c r="AL3" s="28" t="s">
        <v>1522</v>
      </c>
      <c r="AM3" s="28" t="s">
        <v>1523</v>
      </c>
      <c r="AN3" s="28" t="s">
        <v>1524</v>
      </c>
      <c r="AO3" s="28" t="s">
        <v>1526</v>
      </c>
      <c r="AP3" s="28" t="s">
        <v>1525</v>
      </c>
      <c r="AQ3" s="28" t="s">
        <v>1527</v>
      </c>
      <c r="AR3" s="27" t="s">
        <v>1528</v>
      </c>
      <c r="AS3" s="27" t="s">
        <v>1529</v>
      </c>
      <c r="AT3" s="27" t="s">
        <v>1716</v>
      </c>
      <c r="AU3" s="27" t="s">
        <v>1717</v>
      </c>
      <c r="AV3" s="27" t="s">
        <v>1722</v>
      </c>
      <c r="AW3" s="27" t="s">
        <v>1721</v>
      </c>
    </row>
    <row r="4" spans="1:49" s="108" customFormat="1" ht="165" x14ac:dyDescent="0.2">
      <c r="A4" s="105">
        <v>1</v>
      </c>
      <c r="B4" s="98" t="s">
        <v>658</v>
      </c>
      <c r="C4" s="105" t="s">
        <v>126</v>
      </c>
      <c r="D4" s="106">
        <v>2008</v>
      </c>
      <c r="E4" s="51" t="s">
        <v>222</v>
      </c>
      <c r="F4" s="98" t="s">
        <v>657</v>
      </c>
      <c r="G4" s="107" t="s">
        <v>975</v>
      </c>
      <c r="H4" s="121" t="s">
        <v>102</v>
      </c>
      <c r="I4" s="107" t="s">
        <v>110</v>
      </c>
      <c r="J4" s="107" t="s">
        <v>441</v>
      </c>
      <c r="K4" s="51" t="s">
        <v>976</v>
      </c>
      <c r="L4" s="51" t="s">
        <v>441</v>
      </c>
      <c r="M4" s="51"/>
      <c r="N4" s="51" t="s">
        <v>977</v>
      </c>
      <c r="O4" s="109" t="s">
        <v>18</v>
      </c>
      <c r="P4" s="109" t="s">
        <v>18</v>
      </c>
      <c r="Q4" s="105"/>
      <c r="R4" s="105"/>
      <c r="S4" s="107"/>
      <c r="T4" s="51"/>
    </row>
    <row r="5" spans="1:49" s="108" customFormat="1" ht="135" x14ac:dyDescent="0.2">
      <c r="A5" s="105">
        <v>2</v>
      </c>
      <c r="B5" s="98" t="s">
        <v>662</v>
      </c>
      <c r="C5" s="51" t="s">
        <v>979</v>
      </c>
      <c r="D5" s="106">
        <v>2016</v>
      </c>
      <c r="E5" s="51" t="s">
        <v>83</v>
      </c>
      <c r="F5" s="98" t="s">
        <v>659</v>
      </c>
      <c r="G5" s="107" t="s">
        <v>978</v>
      </c>
      <c r="H5" s="121" t="s">
        <v>102</v>
      </c>
      <c r="I5" s="107" t="s">
        <v>110</v>
      </c>
      <c r="J5" s="107" t="s">
        <v>89</v>
      </c>
      <c r="K5" s="51" t="s">
        <v>981</v>
      </c>
      <c r="L5" s="51" t="s">
        <v>91</v>
      </c>
      <c r="M5" s="51" t="s">
        <v>448</v>
      </c>
      <c r="N5" s="51" t="s">
        <v>980</v>
      </c>
      <c r="O5" s="109" t="s">
        <v>18</v>
      </c>
      <c r="P5" s="109" t="s">
        <v>18</v>
      </c>
      <c r="Q5" s="105"/>
      <c r="R5" s="105"/>
      <c r="S5" s="51"/>
      <c r="T5" s="51"/>
    </row>
    <row r="6" spans="1:49" s="108" customFormat="1" ht="75" x14ac:dyDescent="0.2">
      <c r="A6" s="105">
        <v>3</v>
      </c>
      <c r="B6" s="98" t="s">
        <v>664</v>
      </c>
      <c r="C6" s="105" t="s">
        <v>82</v>
      </c>
      <c r="D6" s="106">
        <v>2013</v>
      </c>
      <c r="E6" s="51" t="s">
        <v>114</v>
      </c>
      <c r="F6" s="98" t="s">
        <v>663</v>
      </c>
      <c r="G6" s="107" t="s">
        <v>982</v>
      </c>
      <c r="H6" s="121" t="s">
        <v>1150</v>
      </c>
      <c r="I6" s="107" t="s">
        <v>983</v>
      </c>
      <c r="J6" s="107" t="s">
        <v>445</v>
      </c>
      <c r="K6" s="51" t="s">
        <v>984</v>
      </c>
      <c r="L6" s="51" t="s">
        <v>441</v>
      </c>
      <c r="M6" s="51"/>
      <c r="N6" s="51" t="s">
        <v>985</v>
      </c>
      <c r="O6" s="111" t="s">
        <v>987</v>
      </c>
      <c r="P6" s="111" t="s">
        <v>986</v>
      </c>
      <c r="Q6" s="51"/>
      <c r="R6" s="51"/>
      <c r="S6" s="107"/>
      <c r="T6" s="51"/>
    </row>
    <row r="7" spans="1:49" s="108" customFormat="1" ht="120" x14ac:dyDescent="0.2">
      <c r="A7" s="105">
        <v>4</v>
      </c>
      <c r="B7" s="98" t="s">
        <v>666</v>
      </c>
      <c r="C7" s="105" t="s">
        <v>989</v>
      </c>
      <c r="D7" s="106">
        <v>2006</v>
      </c>
      <c r="E7" s="98" t="s">
        <v>115</v>
      </c>
      <c r="F7" s="98" t="s">
        <v>665</v>
      </c>
      <c r="G7" s="107" t="s">
        <v>990</v>
      </c>
      <c r="H7" s="121" t="s">
        <v>1150</v>
      </c>
      <c r="I7" s="107" t="s">
        <v>991</v>
      </c>
      <c r="J7" s="107"/>
      <c r="K7" s="51" t="s">
        <v>988</v>
      </c>
      <c r="L7" s="51" t="s">
        <v>441</v>
      </c>
      <c r="M7" s="51"/>
      <c r="N7" s="51" t="s">
        <v>992</v>
      </c>
      <c r="O7" s="109" t="s">
        <v>18</v>
      </c>
      <c r="P7" s="109" t="s">
        <v>18</v>
      </c>
      <c r="Q7" s="105"/>
      <c r="R7" s="105"/>
      <c r="S7" s="112"/>
      <c r="T7" s="51"/>
    </row>
    <row r="8" spans="1:49" s="105" customFormat="1" ht="105" x14ac:dyDescent="0.2">
      <c r="A8" s="105">
        <v>5</v>
      </c>
      <c r="B8" s="98" t="s">
        <v>132</v>
      </c>
      <c r="C8" s="105" t="s">
        <v>123</v>
      </c>
      <c r="D8" s="106">
        <v>2014</v>
      </c>
      <c r="E8" s="51" t="s">
        <v>114</v>
      </c>
      <c r="F8" s="98" t="s">
        <v>122</v>
      </c>
      <c r="G8" s="129" t="s">
        <v>261</v>
      </c>
      <c r="H8" s="129" t="s">
        <v>102</v>
      </c>
      <c r="I8" s="129" t="s">
        <v>110</v>
      </c>
      <c r="J8" s="129" t="s">
        <v>446</v>
      </c>
      <c r="K8" s="51" t="s">
        <v>262</v>
      </c>
      <c r="L8" s="51" t="s">
        <v>443</v>
      </c>
      <c r="M8" s="51"/>
      <c r="N8" s="127" t="s">
        <v>260</v>
      </c>
      <c r="O8" s="109" t="s">
        <v>18</v>
      </c>
      <c r="P8" s="128" t="s">
        <v>259</v>
      </c>
      <c r="S8" s="51"/>
      <c r="T8" s="51"/>
    </row>
    <row r="9" spans="1:49" s="105" customFormat="1" ht="105" x14ac:dyDescent="0.2">
      <c r="A9" s="105">
        <v>6</v>
      </c>
      <c r="B9" s="98" t="s">
        <v>668</v>
      </c>
      <c r="C9" s="105" t="s">
        <v>126</v>
      </c>
      <c r="D9" s="106">
        <v>2010</v>
      </c>
      <c r="E9" s="51" t="s">
        <v>660</v>
      </c>
      <c r="F9" s="98" t="s">
        <v>667</v>
      </c>
      <c r="G9" s="51" t="s">
        <v>993</v>
      </c>
      <c r="H9" s="121" t="s">
        <v>102</v>
      </c>
      <c r="I9" s="51" t="s">
        <v>110</v>
      </c>
      <c r="J9" s="51" t="s">
        <v>89</v>
      </c>
      <c r="K9" s="51" t="s">
        <v>994</v>
      </c>
      <c r="L9" s="51" t="s">
        <v>91</v>
      </c>
      <c r="M9" s="51" t="s">
        <v>448</v>
      </c>
      <c r="N9" s="51" t="s">
        <v>995</v>
      </c>
      <c r="O9" s="106" t="s">
        <v>996</v>
      </c>
      <c r="P9" s="111" t="s">
        <v>997</v>
      </c>
      <c r="S9" s="51"/>
    </row>
    <row r="10" spans="1:49" s="105" customFormat="1" ht="90" x14ac:dyDescent="0.2">
      <c r="A10" s="105">
        <v>7</v>
      </c>
      <c r="B10" s="98" t="s">
        <v>670</v>
      </c>
      <c r="C10" s="105" t="s">
        <v>126</v>
      </c>
      <c r="D10" s="106">
        <v>2010</v>
      </c>
      <c r="E10" s="51" t="s">
        <v>114</v>
      </c>
      <c r="F10" s="98" t="s">
        <v>669</v>
      </c>
      <c r="G10" s="51" t="s">
        <v>998</v>
      </c>
      <c r="H10" s="121" t="s">
        <v>1658</v>
      </c>
      <c r="I10" s="51" t="s">
        <v>999</v>
      </c>
      <c r="J10" s="105" t="s">
        <v>444</v>
      </c>
      <c r="K10" s="51" t="s">
        <v>1000</v>
      </c>
      <c r="L10" s="51" t="s">
        <v>91</v>
      </c>
      <c r="M10" s="51" t="s">
        <v>448</v>
      </c>
      <c r="N10" s="51" t="s">
        <v>1001</v>
      </c>
      <c r="O10" s="51" t="s">
        <v>370</v>
      </c>
      <c r="P10" s="51" t="s">
        <v>1002</v>
      </c>
      <c r="S10" s="51"/>
    </row>
    <row r="11" spans="1:49" s="105" customFormat="1" ht="165" x14ac:dyDescent="0.2">
      <c r="A11" s="105">
        <v>8</v>
      </c>
      <c r="B11" s="98" t="s">
        <v>672</v>
      </c>
      <c r="C11" s="105" t="s">
        <v>989</v>
      </c>
      <c r="D11" s="106">
        <v>2015</v>
      </c>
      <c r="E11" s="51" t="s">
        <v>118</v>
      </c>
      <c r="F11" s="98" t="s">
        <v>671</v>
      </c>
      <c r="G11" s="113" t="s">
        <v>1004</v>
      </c>
      <c r="H11" s="51" t="s">
        <v>1194</v>
      </c>
      <c r="I11" s="113" t="s">
        <v>1005</v>
      </c>
      <c r="J11" s="113" t="s">
        <v>444</v>
      </c>
      <c r="K11" s="51" t="s">
        <v>1003</v>
      </c>
      <c r="L11" s="51" t="s">
        <v>441</v>
      </c>
      <c r="M11" s="51"/>
      <c r="N11" s="51" t="s">
        <v>361</v>
      </c>
      <c r="O11" s="114" t="s">
        <v>18</v>
      </c>
      <c r="P11" s="131" t="s">
        <v>1006</v>
      </c>
      <c r="Q11" s="51"/>
      <c r="R11" s="51"/>
      <c r="S11" s="107"/>
    </row>
    <row r="12" spans="1:49" s="105" customFormat="1" ht="90" x14ac:dyDescent="0.2">
      <c r="A12" s="105">
        <v>9</v>
      </c>
      <c r="B12" s="98" t="s">
        <v>674</v>
      </c>
      <c r="C12" s="105" t="s">
        <v>144</v>
      </c>
      <c r="D12" s="106">
        <v>2014</v>
      </c>
      <c r="E12" s="51" t="s">
        <v>661</v>
      </c>
      <c r="F12" s="98" t="s">
        <v>673</v>
      </c>
      <c r="G12" s="113" t="s">
        <v>1007</v>
      </c>
      <c r="H12" s="121" t="s">
        <v>102</v>
      </c>
      <c r="I12" s="113" t="s">
        <v>110</v>
      </c>
      <c r="J12" s="113" t="s">
        <v>446</v>
      </c>
      <c r="K12" s="51" t="s">
        <v>1010</v>
      </c>
      <c r="L12" s="51" t="s">
        <v>91</v>
      </c>
      <c r="M12" s="51" t="s">
        <v>923</v>
      </c>
      <c r="N12" s="51" t="s">
        <v>1009</v>
      </c>
      <c r="O12" s="131" t="s">
        <v>1011</v>
      </c>
      <c r="P12" s="51" t="s">
        <v>1008</v>
      </c>
      <c r="S12" s="51"/>
      <c r="T12" s="51"/>
    </row>
    <row r="13" spans="1:49" s="105" customFormat="1" ht="90" x14ac:dyDescent="0.2">
      <c r="A13" s="105">
        <v>10</v>
      </c>
      <c r="B13" s="98" t="s">
        <v>676</v>
      </c>
      <c r="C13" s="105" t="s">
        <v>210</v>
      </c>
      <c r="D13" s="106">
        <v>2013</v>
      </c>
      <c r="E13" s="51" t="s">
        <v>114</v>
      </c>
      <c r="F13" s="51" t="s">
        <v>675</v>
      </c>
      <c r="G13" s="51" t="s">
        <v>1012</v>
      </c>
      <c r="H13" s="121" t="s">
        <v>98</v>
      </c>
      <c r="I13" s="51" t="s">
        <v>1016</v>
      </c>
      <c r="J13" s="51" t="s">
        <v>1013</v>
      </c>
      <c r="K13" s="51" t="s">
        <v>1018</v>
      </c>
      <c r="L13" s="51" t="s">
        <v>91</v>
      </c>
      <c r="M13" s="51" t="s">
        <v>443</v>
      </c>
      <c r="N13" s="51" t="s">
        <v>1014</v>
      </c>
      <c r="O13" s="109" t="s">
        <v>18</v>
      </c>
      <c r="P13" s="106" t="s">
        <v>1015</v>
      </c>
      <c r="S13" s="51"/>
      <c r="T13" s="51"/>
    </row>
    <row r="14" spans="1:49" s="105" customFormat="1" ht="120" x14ac:dyDescent="0.2">
      <c r="A14" s="105">
        <v>11</v>
      </c>
      <c r="B14" s="98" t="s">
        <v>677</v>
      </c>
      <c r="C14" s="105" t="s">
        <v>121</v>
      </c>
      <c r="D14" s="106">
        <v>2007</v>
      </c>
      <c r="E14" s="51" t="s">
        <v>118</v>
      </c>
      <c r="F14" s="98" t="s">
        <v>678</v>
      </c>
      <c r="G14" s="107" t="s">
        <v>1017</v>
      </c>
      <c r="H14" s="121" t="s">
        <v>102</v>
      </c>
      <c r="I14" s="51" t="s">
        <v>1021</v>
      </c>
      <c r="J14" s="51" t="s">
        <v>446</v>
      </c>
      <c r="K14" s="51" t="s">
        <v>1019</v>
      </c>
      <c r="L14" s="51" t="s">
        <v>441</v>
      </c>
      <c r="M14" s="51"/>
      <c r="N14" s="51" t="s">
        <v>1020</v>
      </c>
      <c r="O14" s="110" t="s">
        <v>18</v>
      </c>
      <c r="P14" s="110" t="s">
        <v>18</v>
      </c>
      <c r="S14" s="51"/>
      <c r="T14" s="51"/>
    </row>
    <row r="15" spans="1:49" s="105" customFormat="1" ht="120" x14ac:dyDescent="0.2">
      <c r="A15" s="105">
        <v>12</v>
      </c>
      <c r="B15" s="51" t="s">
        <v>179</v>
      </c>
      <c r="C15" s="100" t="s">
        <v>121</v>
      </c>
      <c r="D15" s="101">
        <v>2015</v>
      </c>
      <c r="E15" s="98" t="s">
        <v>116</v>
      </c>
      <c r="F15" s="98" t="s">
        <v>127</v>
      </c>
      <c r="G15" s="98" t="s">
        <v>268</v>
      </c>
      <c r="H15" s="121" t="s">
        <v>100</v>
      </c>
      <c r="I15" s="98" t="s">
        <v>275</v>
      </c>
      <c r="J15" s="98" t="s">
        <v>90</v>
      </c>
      <c r="K15" s="98" t="s">
        <v>267</v>
      </c>
      <c r="L15" s="98" t="s">
        <v>443</v>
      </c>
      <c r="M15" s="98"/>
      <c r="N15" s="100" t="s">
        <v>269</v>
      </c>
      <c r="O15" s="99" t="s">
        <v>18</v>
      </c>
      <c r="P15" s="128" t="s">
        <v>495</v>
      </c>
      <c r="S15" s="51"/>
      <c r="T15" s="51"/>
    </row>
    <row r="16" spans="1:49" s="105" customFormat="1" ht="150" x14ac:dyDescent="0.2">
      <c r="A16" s="105">
        <v>13</v>
      </c>
      <c r="B16" s="98" t="s">
        <v>680</v>
      </c>
      <c r="C16" s="105" t="s">
        <v>138</v>
      </c>
      <c r="D16" s="106">
        <v>2016</v>
      </c>
      <c r="E16" s="51" t="s">
        <v>114</v>
      </c>
      <c r="F16" s="51" t="s">
        <v>679</v>
      </c>
      <c r="G16" s="51" t="s">
        <v>1022</v>
      </c>
      <c r="H16" s="121" t="s">
        <v>443</v>
      </c>
      <c r="I16" s="51" t="s">
        <v>315</v>
      </c>
      <c r="J16" s="51" t="s">
        <v>89</v>
      </c>
      <c r="K16" s="51" t="s">
        <v>1024</v>
      </c>
      <c r="L16" s="51" t="s">
        <v>441</v>
      </c>
      <c r="M16" s="51"/>
      <c r="N16" s="51" t="s">
        <v>1756</v>
      </c>
      <c r="O16" s="106" t="s">
        <v>1025</v>
      </c>
      <c r="P16" s="51" t="s">
        <v>1023</v>
      </c>
      <c r="S16" s="51"/>
    </row>
    <row r="17" spans="1:33" s="105" customFormat="1" ht="180" x14ac:dyDescent="0.2">
      <c r="A17" s="105">
        <v>14</v>
      </c>
      <c r="B17" s="98" t="s">
        <v>682</v>
      </c>
      <c r="C17" s="105" t="s">
        <v>135</v>
      </c>
      <c r="D17" s="106">
        <v>2007</v>
      </c>
      <c r="E17" s="51" t="s">
        <v>114</v>
      </c>
      <c r="F17" s="98" t="s">
        <v>681</v>
      </c>
      <c r="G17" s="51" t="s">
        <v>1026</v>
      </c>
      <c r="H17" s="121" t="s">
        <v>98</v>
      </c>
      <c r="I17" s="51" t="s">
        <v>1027</v>
      </c>
      <c r="J17" s="51" t="s">
        <v>89</v>
      </c>
      <c r="K17" s="51" t="s">
        <v>1029</v>
      </c>
      <c r="L17" s="51" t="s">
        <v>441</v>
      </c>
      <c r="M17" s="51"/>
      <c r="N17" s="51" t="s">
        <v>1028</v>
      </c>
      <c r="O17" s="109" t="s">
        <v>18</v>
      </c>
      <c r="P17" s="51" t="s">
        <v>395</v>
      </c>
      <c r="S17" s="51"/>
    </row>
    <row r="18" spans="1:33" s="105" customFormat="1" ht="180" x14ac:dyDescent="0.2">
      <c r="A18" s="105">
        <v>15</v>
      </c>
      <c r="B18" s="51" t="s">
        <v>133</v>
      </c>
      <c r="C18" s="100" t="s">
        <v>27</v>
      </c>
      <c r="D18" s="101">
        <v>2010</v>
      </c>
      <c r="E18" s="98" t="s">
        <v>107</v>
      </c>
      <c r="F18" s="98" t="s">
        <v>131</v>
      </c>
      <c r="G18" s="98" t="s">
        <v>279</v>
      </c>
      <c r="H18" s="121" t="s">
        <v>100</v>
      </c>
      <c r="I18" s="100" t="s">
        <v>275</v>
      </c>
      <c r="J18" s="100" t="s">
        <v>441</v>
      </c>
      <c r="K18" s="98" t="s">
        <v>276</v>
      </c>
      <c r="L18" s="98" t="s">
        <v>91</v>
      </c>
      <c r="M18" s="98" t="s">
        <v>94</v>
      </c>
      <c r="N18" s="51" t="s">
        <v>277</v>
      </c>
      <c r="O18" s="51" t="s">
        <v>274</v>
      </c>
      <c r="P18" s="51" t="s">
        <v>278</v>
      </c>
      <c r="Q18" s="51"/>
      <c r="R18" s="51"/>
      <c r="S18" s="51"/>
    </row>
    <row r="19" spans="1:33" s="105" customFormat="1" ht="120" x14ac:dyDescent="0.2">
      <c r="A19" s="105">
        <v>16</v>
      </c>
      <c r="B19" s="98" t="s">
        <v>686</v>
      </c>
      <c r="C19" s="105" t="s">
        <v>245</v>
      </c>
      <c r="D19" s="106">
        <v>2008</v>
      </c>
      <c r="E19" s="51" t="s">
        <v>107</v>
      </c>
      <c r="F19" s="98" t="s">
        <v>685</v>
      </c>
      <c r="G19" s="51" t="s">
        <v>1030</v>
      </c>
      <c r="H19" s="121" t="s">
        <v>99</v>
      </c>
      <c r="I19" s="51" t="s">
        <v>1031</v>
      </c>
      <c r="J19" s="51" t="s">
        <v>445</v>
      </c>
      <c r="K19" s="51" t="s">
        <v>1033</v>
      </c>
      <c r="L19" s="105" t="s">
        <v>441</v>
      </c>
      <c r="N19" s="51" t="s">
        <v>1032</v>
      </c>
      <c r="O19" s="51" t="s">
        <v>568</v>
      </c>
      <c r="P19" s="106" t="s">
        <v>395</v>
      </c>
      <c r="S19" s="51"/>
    </row>
    <row r="20" spans="1:33" s="105" customFormat="1" ht="135" x14ac:dyDescent="0.2">
      <c r="A20" s="105">
        <v>17</v>
      </c>
      <c r="B20" s="98" t="s">
        <v>688</v>
      </c>
      <c r="C20" s="105" t="s">
        <v>795</v>
      </c>
      <c r="D20" s="106">
        <v>2015</v>
      </c>
      <c r="E20" s="51" t="s">
        <v>114</v>
      </c>
      <c r="F20" s="98" t="s">
        <v>687</v>
      </c>
      <c r="G20" s="51" t="s">
        <v>1034</v>
      </c>
      <c r="H20" s="121" t="s">
        <v>1194</v>
      </c>
      <c r="I20" s="51" t="s">
        <v>1039</v>
      </c>
      <c r="J20" s="51" t="s">
        <v>444</v>
      </c>
      <c r="K20" s="51" t="s">
        <v>1038</v>
      </c>
      <c r="L20" s="51" t="s">
        <v>91</v>
      </c>
      <c r="M20" s="51" t="s">
        <v>1037</v>
      </c>
      <c r="N20" s="51" t="s">
        <v>1036</v>
      </c>
      <c r="O20" s="109" t="s">
        <v>18</v>
      </c>
      <c r="P20" s="109" t="s">
        <v>18</v>
      </c>
      <c r="S20" s="51"/>
      <c r="T20" s="51"/>
    </row>
    <row r="21" spans="1:33" s="115" customFormat="1" ht="75" x14ac:dyDescent="0.2">
      <c r="A21" s="105">
        <v>18</v>
      </c>
      <c r="B21" s="98" t="s">
        <v>690</v>
      </c>
      <c r="C21" s="51" t="s">
        <v>82</v>
      </c>
      <c r="D21" s="106">
        <v>2014</v>
      </c>
      <c r="E21" s="51" t="s">
        <v>684</v>
      </c>
      <c r="F21" s="98" t="s">
        <v>689</v>
      </c>
      <c r="G21" s="51" t="s">
        <v>1040</v>
      </c>
      <c r="H21" s="121" t="s">
        <v>102</v>
      </c>
      <c r="I21" s="51" t="s">
        <v>1042</v>
      </c>
      <c r="J21" s="51" t="s">
        <v>446</v>
      </c>
      <c r="K21" s="51" t="s">
        <v>1043</v>
      </c>
      <c r="L21" s="51" t="s">
        <v>91</v>
      </c>
      <c r="M21" s="51" t="s">
        <v>465</v>
      </c>
      <c r="N21" s="51" t="s">
        <v>1041</v>
      </c>
      <c r="O21" s="110" t="s">
        <v>18</v>
      </c>
      <c r="P21" s="106" t="s">
        <v>395</v>
      </c>
      <c r="Q21" s="105"/>
      <c r="R21" s="105"/>
      <c r="S21" s="51"/>
      <c r="T21" s="51"/>
    </row>
    <row r="22" spans="1:33" s="115" customFormat="1" ht="75" x14ac:dyDescent="0.2">
      <c r="A22" s="105">
        <v>19</v>
      </c>
      <c r="B22" s="98" t="s">
        <v>692</v>
      </c>
      <c r="C22" s="105" t="s">
        <v>144</v>
      </c>
      <c r="D22" s="106">
        <v>2009</v>
      </c>
      <c r="E22" s="51" t="s">
        <v>28</v>
      </c>
      <c r="F22" s="98" t="s">
        <v>691</v>
      </c>
      <c r="G22" s="51" t="s">
        <v>1044</v>
      </c>
      <c r="H22" s="121" t="s">
        <v>103</v>
      </c>
      <c r="I22" s="51" t="s">
        <v>1045</v>
      </c>
      <c r="J22" s="51" t="s">
        <v>446</v>
      </c>
      <c r="K22" s="51" t="s">
        <v>1049</v>
      </c>
      <c r="L22" s="51" t="s">
        <v>91</v>
      </c>
      <c r="M22" s="51" t="s">
        <v>1047</v>
      </c>
      <c r="N22" s="51" t="s">
        <v>1046</v>
      </c>
      <c r="O22" s="106" t="s">
        <v>996</v>
      </c>
      <c r="P22" s="111" t="s">
        <v>1048</v>
      </c>
      <c r="Q22" s="105"/>
      <c r="R22" s="105"/>
      <c r="S22" s="51"/>
      <c r="T22" s="105"/>
    </row>
    <row r="23" spans="1:33" s="115" customFormat="1" ht="105" x14ac:dyDescent="0.2">
      <c r="A23" s="105">
        <v>20</v>
      </c>
      <c r="B23" s="98" t="s">
        <v>694</v>
      </c>
      <c r="C23" s="105" t="s">
        <v>126</v>
      </c>
      <c r="D23" s="106">
        <v>2014</v>
      </c>
      <c r="E23" s="51" t="s">
        <v>660</v>
      </c>
      <c r="F23" s="51" t="s">
        <v>693</v>
      </c>
      <c r="G23" s="51" t="s">
        <v>1050</v>
      </c>
      <c r="H23" s="121" t="s">
        <v>102</v>
      </c>
      <c r="I23" s="51" t="s">
        <v>110</v>
      </c>
      <c r="J23" s="51" t="s">
        <v>446</v>
      </c>
      <c r="K23" s="51" t="s">
        <v>1053</v>
      </c>
      <c r="L23" s="105" t="s">
        <v>91</v>
      </c>
      <c r="M23" s="105" t="s">
        <v>448</v>
      </c>
      <c r="N23" s="105" t="s">
        <v>1051</v>
      </c>
      <c r="O23" s="109" t="s">
        <v>18</v>
      </c>
      <c r="P23" s="111" t="s">
        <v>1052</v>
      </c>
      <c r="Q23" s="105"/>
      <c r="R23" s="105"/>
      <c r="S23" s="51"/>
      <c r="T23" s="105"/>
    </row>
    <row r="24" spans="1:33" s="115" customFormat="1" ht="75" x14ac:dyDescent="0.2">
      <c r="A24" s="105">
        <v>21</v>
      </c>
      <c r="B24" s="51" t="s">
        <v>140</v>
      </c>
      <c r="C24" s="100" t="s">
        <v>135</v>
      </c>
      <c r="D24" s="101">
        <v>2015</v>
      </c>
      <c r="E24" s="98" t="s">
        <v>114</v>
      </c>
      <c r="F24" s="98" t="s">
        <v>141</v>
      </c>
      <c r="G24" s="98" t="s">
        <v>290</v>
      </c>
      <c r="H24" s="121" t="s">
        <v>100</v>
      </c>
      <c r="I24" s="98" t="s">
        <v>275</v>
      </c>
      <c r="J24" s="98" t="s">
        <v>90</v>
      </c>
      <c r="K24" s="98" t="s">
        <v>288</v>
      </c>
      <c r="L24" s="98" t="s">
        <v>91</v>
      </c>
      <c r="M24" s="98" t="s">
        <v>443</v>
      </c>
      <c r="N24" s="51" t="s">
        <v>490</v>
      </c>
      <c r="O24" s="99" t="s">
        <v>18</v>
      </c>
      <c r="P24" s="99" t="s">
        <v>18</v>
      </c>
      <c r="Q24" s="105"/>
      <c r="R24" s="105"/>
      <c r="S24" s="51"/>
      <c r="T24" s="51"/>
    </row>
    <row r="25" spans="1:33" s="116" customFormat="1" ht="90" x14ac:dyDescent="0.2">
      <c r="A25" s="105">
        <v>22</v>
      </c>
      <c r="B25" s="98" t="s">
        <v>695</v>
      </c>
      <c r="C25" s="105" t="s">
        <v>697</v>
      </c>
      <c r="D25" s="106">
        <v>2016</v>
      </c>
      <c r="E25" s="51" t="s">
        <v>114</v>
      </c>
      <c r="F25" s="98" t="s">
        <v>696</v>
      </c>
      <c r="G25" s="51" t="s">
        <v>1055</v>
      </c>
      <c r="H25" s="121" t="s">
        <v>98</v>
      </c>
      <c r="I25" s="51" t="s">
        <v>1057</v>
      </c>
      <c r="J25" s="51" t="s">
        <v>89</v>
      </c>
      <c r="K25" s="51" t="s">
        <v>1056</v>
      </c>
      <c r="L25" s="51" t="s">
        <v>91</v>
      </c>
      <c r="M25" s="51" t="s">
        <v>95</v>
      </c>
      <c r="N25" s="51" t="s">
        <v>1054</v>
      </c>
      <c r="O25" s="109"/>
      <c r="P25" s="105" t="s">
        <v>1058</v>
      </c>
      <c r="Q25" s="105"/>
      <c r="R25" s="105"/>
      <c r="S25" s="51"/>
    </row>
    <row r="26" spans="1:33" s="115" customFormat="1" ht="90" x14ac:dyDescent="0.2">
      <c r="A26" s="105">
        <v>23</v>
      </c>
      <c r="B26" s="98" t="s">
        <v>146</v>
      </c>
      <c r="C26" s="100" t="s">
        <v>147</v>
      </c>
      <c r="D26" s="101">
        <v>2015</v>
      </c>
      <c r="E26" s="98" t="s">
        <v>28</v>
      </c>
      <c r="F26" s="98" t="s">
        <v>145</v>
      </c>
      <c r="G26" s="98" t="s">
        <v>295</v>
      </c>
      <c r="H26" s="121" t="s">
        <v>102</v>
      </c>
      <c r="I26" s="98" t="s">
        <v>110</v>
      </c>
      <c r="J26" s="98" t="s">
        <v>446</v>
      </c>
      <c r="K26" s="102" t="s">
        <v>296</v>
      </c>
      <c r="L26" s="102" t="s">
        <v>441</v>
      </c>
      <c r="M26" s="102"/>
      <c r="N26" s="51" t="s">
        <v>298</v>
      </c>
      <c r="O26" s="99" t="s">
        <v>18</v>
      </c>
      <c r="P26" s="98" t="s">
        <v>297</v>
      </c>
      <c r="Q26" s="105"/>
      <c r="R26" s="105"/>
      <c r="S26" s="51"/>
      <c r="T26" s="51"/>
    </row>
    <row r="27" spans="1:33" s="115" customFormat="1" ht="24" customHeight="1" x14ac:dyDescent="0.2">
      <c r="A27" s="220">
        <v>24</v>
      </c>
      <c r="B27" s="214" t="s">
        <v>699</v>
      </c>
      <c r="C27" s="218" t="s">
        <v>126</v>
      </c>
      <c r="D27" s="218">
        <v>2016</v>
      </c>
      <c r="E27" s="214" t="s">
        <v>118</v>
      </c>
      <c r="F27" s="214" t="s">
        <v>698</v>
      </c>
      <c r="G27" s="214" t="s">
        <v>1059</v>
      </c>
      <c r="H27" s="219" t="s">
        <v>100</v>
      </c>
      <c r="I27" s="214" t="s">
        <v>1063</v>
      </c>
      <c r="J27" s="214" t="s">
        <v>444</v>
      </c>
      <c r="K27" s="214" t="s">
        <v>1060</v>
      </c>
      <c r="L27" s="214" t="s">
        <v>441</v>
      </c>
      <c r="M27" s="214"/>
      <c r="N27" s="214" t="s">
        <v>1061</v>
      </c>
      <c r="O27" s="214" t="s">
        <v>1064</v>
      </c>
      <c r="P27" s="214" t="s">
        <v>1062</v>
      </c>
      <c r="Q27" s="105"/>
      <c r="R27" s="105" t="s">
        <v>1744</v>
      </c>
      <c r="S27" s="162">
        <f>1.51*10^-2</f>
        <v>1.5100000000000001E-2</v>
      </c>
      <c r="T27" s="162">
        <f>1.1*10^-3</f>
        <v>1.1000000000000001E-3</v>
      </c>
      <c r="U27" s="105">
        <v>2.42</v>
      </c>
      <c r="V27" s="105" t="s">
        <v>1750</v>
      </c>
      <c r="W27" s="105">
        <f>9.52*10^-4</f>
        <v>9.5200000000000005E-4</v>
      </c>
      <c r="X27" s="105"/>
      <c r="Y27" s="105"/>
      <c r="Z27" s="105"/>
      <c r="AA27" s="105"/>
      <c r="AB27" s="105">
        <v>0.318</v>
      </c>
      <c r="AC27" s="105">
        <f>1.46*10^2</f>
        <v>146</v>
      </c>
      <c r="AD27" s="105"/>
      <c r="AE27" s="105"/>
      <c r="AF27" s="105"/>
      <c r="AG27" s="105"/>
    </row>
    <row r="28" spans="1:33" s="115" customFormat="1" ht="24" customHeight="1" x14ac:dyDescent="0.2">
      <c r="A28" s="220"/>
      <c r="B28" s="214"/>
      <c r="C28" s="218"/>
      <c r="D28" s="218"/>
      <c r="E28" s="214"/>
      <c r="F28" s="214"/>
      <c r="G28" s="214"/>
      <c r="H28" s="219"/>
      <c r="I28" s="214"/>
      <c r="J28" s="214"/>
      <c r="K28" s="214"/>
      <c r="L28" s="214"/>
      <c r="M28" s="214"/>
      <c r="N28" s="214"/>
      <c r="O28" s="214"/>
      <c r="P28" s="214"/>
      <c r="Q28" s="105"/>
      <c r="R28" s="105" t="s">
        <v>1746</v>
      </c>
      <c r="S28" s="162">
        <f>8.03*10^-3</f>
        <v>8.0299999999999989E-3</v>
      </c>
      <c r="T28" s="162">
        <f>9.2*10^-4</f>
        <v>9.1999999999999992E-4</v>
      </c>
      <c r="U28" s="105">
        <v>0.998</v>
      </c>
      <c r="V28" s="105" t="s">
        <v>1751</v>
      </c>
      <c r="W28" s="105">
        <f>5.27*10^-4</f>
        <v>5.2700000000000002E-4</v>
      </c>
      <c r="X28" s="105"/>
      <c r="Y28" s="105"/>
      <c r="Z28" s="105"/>
      <c r="AA28" s="105"/>
      <c r="AB28" s="105">
        <v>0.128</v>
      </c>
      <c r="AC28" s="105">
        <v>77.2</v>
      </c>
      <c r="AD28" s="105"/>
      <c r="AE28" s="105"/>
      <c r="AF28" s="105"/>
      <c r="AG28" s="105"/>
    </row>
    <row r="29" spans="1:33" s="115" customFormat="1" ht="24" customHeight="1" x14ac:dyDescent="0.2">
      <c r="A29" s="220"/>
      <c r="B29" s="214"/>
      <c r="C29" s="218"/>
      <c r="D29" s="218"/>
      <c r="E29" s="214"/>
      <c r="F29" s="214"/>
      <c r="G29" s="214"/>
      <c r="H29" s="219"/>
      <c r="I29" s="214"/>
      <c r="J29" s="214"/>
      <c r="K29" s="214"/>
      <c r="L29" s="214"/>
      <c r="M29" s="214"/>
      <c r="N29" s="214"/>
      <c r="O29" s="214"/>
      <c r="P29" s="214"/>
      <c r="Q29" s="105"/>
      <c r="R29" s="105" t="s">
        <v>1747</v>
      </c>
      <c r="S29" s="162">
        <f>1.45*10^-2</f>
        <v>1.4499999999999999E-2</v>
      </c>
      <c r="T29" s="162">
        <f>1.06*10^-3</f>
        <v>1.0600000000000002E-3</v>
      </c>
      <c r="U29" s="105">
        <v>2.34</v>
      </c>
      <c r="V29" s="105" t="s">
        <v>1752</v>
      </c>
      <c r="W29" s="105">
        <f>8.75*10^-4</f>
        <v>8.7500000000000002E-4</v>
      </c>
      <c r="X29" s="105"/>
      <c r="Y29" s="105"/>
      <c r="Z29" s="105"/>
      <c r="AA29" s="105"/>
      <c r="AB29" s="105">
        <v>0.20899999999999999</v>
      </c>
      <c r="AC29" s="105">
        <v>133</v>
      </c>
      <c r="AD29" s="105"/>
      <c r="AE29" s="105"/>
      <c r="AF29" s="105"/>
      <c r="AG29" s="105"/>
    </row>
    <row r="30" spans="1:33" s="115" customFormat="1" ht="24" customHeight="1" x14ac:dyDescent="0.2">
      <c r="A30" s="220"/>
      <c r="B30" s="214"/>
      <c r="C30" s="218"/>
      <c r="D30" s="218"/>
      <c r="E30" s="214"/>
      <c r="F30" s="214"/>
      <c r="G30" s="214"/>
      <c r="H30" s="219"/>
      <c r="I30" s="214"/>
      <c r="J30" s="214"/>
      <c r="K30" s="214"/>
      <c r="L30" s="214"/>
      <c r="M30" s="214"/>
      <c r="N30" s="214"/>
      <c r="O30" s="214"/>
      <c r="P30" s="214"/>
      <c r="Q30" s="105"/>
      <c r="R30" s="105" t="s">
        <v>1748</v>
      </c>
      <c r="S30" s="162">
        <f>6.61*10^-3</f>
        <v>6.6100000000000004E-3</v>
      </c>
      <c r="T30" s="162">
        <f>8.44*10^-4</f>
        <v>8.4400000000000002E-4</v>
      </c>
      <c r="U30" s="105">
        <v>0.749</v>
      </c>
      <c r="V30" s="105" t="s">
        <v>1753</v>
      </c>
      <c r="W30" s="105">
        <f>4.15*10^-4</f>
        <v>4.1500000000000006E-4</v>
      </c>
      <c r="X30" s="105"/>
      <c r="Y30" s="105"/>
      <c r="Z30" s="105"/>
      <c r="AA30" s="105"/>
      <c r="AB30" s="105">
        <v>0.108</v>
      </c>
      <c r="AC30" s="105">
        <v>58.8</v>
      </c>
      <c r="AD30" s="105"/>
      <c r="AE30" s="105"/>
      <c r="AF30" s="105"/>
      <c r="AG30" s="105"/>
    </row>
    <row r="31" spans="1:33" s="115" customFormat="1" ht="24" customHeight="1" x14ac:dyDescent="0.2">
      <c r="A31" s="220"/>
      <c r="B31" s="214"/>
      <c r="C31" s="218"/>
      <c r="D31" s="218"/>
      <c r="E31" s="214"/>
      <c r="F31" s="214"/>
      <c r="G31" s="214"/>
      <c r="H31" s="219"/>
      <c r="I31" s="214"/>
      <c r="J31" s="214"/>
      <c r="K31" s="214"/>
      <c r="L31" s="214"/>
      <c r="M31" s="214"/>
      <c r="N31" s="214"/>
      <c r="O31" s="214"/>
      <c r="P31" s="214"/>
      <c r="Q31" s="105"/>
      <c r="R31" s="105" t="s">
        <v>1745</v>
      </c>
      <c r="S31" s="162">
        <f>8.38*10^-3</f>
        <v>8.3800000000000003E-3</v>
      </c>
      <c r="T31" s="162">
        <f>7.31*10^-4</f>
        <v>7.3099999999999999E-4</v>
      </c>
      <c r="U31" s="105">
        <v>1.51</v>
      </c>
      <c r="V31" s="105" t="s">
        <v>1754</v>
      </c>
      <c r="W31" s="105">
        <f>5.54*10^-4</f>
        <v>5.5400000000000002E-4</v>
      </c>
      <c r="X31" s="105"/>
      <c r="Y31" s="105"/>
      <c r="Z31" s="105"/>
      <c r="AA31" s="105"/>
      <c r="AB31" s="105">
        <v>0.13</v>
      </c>
      <c r="AC31" s="105">
        <v>84.4</v>
      </c>
      <c r="AD31" s="105"/>
      <c r="AE31" s="105"/>
      <c r="AF31" s="105"/>
      <c r="AG31" s="105"/>
    </row>
    <row r="32" spans="1:33" s="115" customFormat="1" ht="120" x14ac:dyDescent="0.2">
      <c r="A32" s="105">
        <v>25</v>
      </c>
      <c r="B32" s="162" t="s">
        <v>701</v>
      </c>
      <c r="C32" s="105" t="s">
        <v>126</v>
      </c>
      <c r="D32" s="160">
        <v>2009</v>
      </c>
      <c r="E32" s="162" t="s">
        <v>683</v>
      </c>
      <c r="F32" s="162" t="s">
        <v>700</v>
      </c>
      <c r="G32" s="162" t="s">
        <v>1065</v>
      </c>
      <c r="H32" s="162" t="s">
        <v>1150</v>
      </c>
      <c r="I32" s="162" t="s">
        <v>1068</v>
      </c>
      <c r="J32" s="162" t="s">
        <v>441</v>
      </c>
      <c r="K32" s="162" t="s">
        <v>1066</v>
      </c>
      <c r="L32" s="162" t="s">
        <v>441</v>
      </c>
      <c r="M32" s="162"/>
      <c r="N32" s="162" t="s">
        <v>1035</v>
      </c>
      <c r="O32" s="159" t="s">
        <v>1069</v>
      </c>
      <c r="P32" s="161" t="s">
        <v>18</v>
      </c>
      <c r="Q32" s="162" t="s">
        <v>1067</v>
      </c>
      <c r="R32" s="162"/>
      <c r="S32" s="162"/>
      <c r="T32" s="162"/>
    </row>
    <row r="33" spans="1:27" s="115" customFormat="1" ht="105" x14ac:dyDescent="0.2">
      <c r="A33" s="105">
        <v>26</v>
      </c>
      <c r="B33" s="162" t="s">
        <v>703</v>
      </c>
      <c r="C33" s="105" t="s">
        <v>82</v>
      </c>
      <c r="D33" s="160">
        <v>2016</v>
      </c>
      <c r="E33" s="162" t="s">
        <v>114</v>
      </c>
      <c r="F33" s="162" t="s">
        <v>702</v>
      </c>
      <c r="G33" s="162" t="s">
        <v>1070</v>
      </c>
      <c r="H33" s="162" t="s">
        <v>103</v>
      </c>
      <c r="I33" s="162" t="s">
        <v>110</v>
      </c>
      <c r="J33" s="162" t="s">
        <v>89</v>
      </c>
      <c r="K33" s="162" t="s">
        <v>1071</v>
      </c>
      <c r="L33" s="162" t="s">
        <v>91</v>
      </c>
      <c r="M33" s="162" t="s">
        <v>448</v>
      </c>
      <c r="N33" s="162" t="s">
        <v>1072</v>
      </c>
      <c r="O33" s="161" t="s">
        <v>18</v>
      </c>
      <c r="P33" s="159" t="s">
        <v>1073</v>
      </c>
      <c r="Q33" s="162"/>
      <c r="R33" s="162"/>
      <c r="S33" s="162"/>
      <c r="T33" s="162"/>
    </row>
    <row r="34" spans="1:27" s="115" customFormat="1" ht="150" x14ac:dyDescent="0.2">
      <c r="A34" s="105">
        <v>27</v>
      </c>
      <c r="B34" s="162" t="s">
        <v>708</v>
      </c>
      <c r="C34" s="105" t="s">
        <v>113</v>
      </c>
      <c r="D34" s="160">
        <v>2015</v>
      </c>
      <c r="E34" s="162" t="s">
        <v>705</v>
      </c>
      <c r="F34" s="162" t="s">
        <v>707</v>
      </c>
      <c r="G34" s="162" t="s">
        <v>1074</v>
      </c>
      <c r="H34" s="162" t="s">
        <v>98</v>
      </c>
      <c r="I34" s="162" t="s">
        <v>1077</v>
      </c>
      <c r="J34" s="162" t="s">
        <v>89</v>
      </c>
      <c r="K34" s="162" t="s">
        <v>1075</v>
      </c>
      <c r="L34" s="162" t="s">
        <v>92</v>
      </c>
      <c r="M34" s="162" t="s">
        <v>443</v>
      </c>
      <c r="N34" s="105" t="s">
        <v>1076</v>
      </c>
      <c r="O34" s="109" t="s">
        <v>18</v>
      </c>
      <c r="P34" s="109" t="s">
        <v>18</v>
      </c>
      <c r="Q34" s="162" t="s">
        <v>1088</v>
      </c>
      <c r="R34" s="105"/>
      <c r="S34" s="162"/>
      <c r="T34" s="162"/>
    </row>
    <row r="35" spans="1:27" s="115" customFormat="1" ht="105" x14ac:dyDescent="0.2">
      <c r="A35" s="105">
        <v>28</v>
      </c>
      <c r="B35" s="98" t="s">
        <v>710</v>
      </c>
      <c r="C35" s="51" t="s">
        <v>82</v>
      </c>
      <c r="D35" s="106">
        <v>2016</v>
      </c>
      <c r="E35" s="51" t="s">
        <v>114</v>
      </c>
      <c r="F35" s="51" t="s">
        <v>709</v>
      </c>
      <c r="G35" s="51" t="s">
        <v>1078</v>
      </c>
      <c r="H35" s="121" t="s">
        <v>98</v>
      </c>
      <c r="I35" s="51" t="s">
        <v>1079</v>
      </c>
      <c r="J35" s="51" t="s">
        <v>89</v>
      </c>
      <c r="K35" s="51" t="s">
        <v>1080</v>
      </c>
      <c r="L35" s="51" t="s">
        <v>443</v>
      </c>
      <c r="M35" s="51"/>
      <c r="N35" s="51" t="s">
        <v>1081</v>
      </c>
      <c r="O35" s="51" t="s">
        <v>1082</v>
      </c>
      <c r="P35" s="51" t="s">
        <v>1083</v>
      </c>
      <c r="Q35" s="105"/>
      <c r="R35" s="105"/>
      <c r="S35" s="51"/>
      <c r="T35" s="51"/>
    </row>
    <row r="36" spans="1:27" s="115" customFormat="1" ht="90" x14ac:dyDescent="0.2">
      <c r="A36" s="105">
        <v>29</v>
      </c>
      <c r="B36" s="51" t="s">
        <v>152</v>
      </c>
      <c r="C36" s="100" t="s">
        <v>106</v>
      </c>
      <c r="D36" s="101">
        <v>2015</v>
      </c>
      <c r="E36" s="98" t="s">
        <v>114</v>
      </c>
      <c r="F36" s="98" t="s">
        <v>153</v>
      </c>
      <c r="G36" s="98" t="s">
        <v>307</v>
      </c>
      <c r="H36" s="121" t="s">
        <v>1095</v>
      </c>
      <c r="I36" s="98" t="s">
        <v>311</v>
      </c>
      <c r="J36" s="98" t="s">
        <v>88</v>
      </c>
      <c r="K36" s="100" t="s">
        <v>310</v>
      </c>
      <c r="L36" s="100" t="s">
        <v>441</v>
      </c>
      <c r="M36" s="100"/>
      <c r="N36" s="51" t="s">
        <v>308</v>
      </c>
      <c r="O36" s="104" t="s">
        <v>18</v>
      </c>
      <c r="P36" s="51" t="s">
        <v>309</v>
      </c>
      <c r="Q36" s="105"/>
      <c r="R36" s="105"/>
      <c r="S36" s="51"/>
      <c r="T36" s="51"/>
    </row>
    <row r="37" spans="1:27" s="115" customFormat="1" ht="75" x14ac:dyDescent="0.2">
      <c r="A37" s="105">
        <v>30</v>
      </c>
      <c r="B37" s="162" t="s">
        <v>712</v>
      </c>
      <c r="C37" s="105" t="s">
        <v>126</v>
      </c>
      <c r="D37" s="160">
        <v>2012</v>
      </c>
      <c r="E37" s="162" t="s">
        <v>107</v>
      </c>
      <c r="F37" s="162" t="s">
        <v>711</v>
      </c>
      <c r="G37" s="162" t="s">
        <v>1084</v>
      </c>
      <c r="H37" s="162" t="s">
        <v>100</v>
      </c>
      <c r="I37" s="162" t="s">
        <v>275</v>
      </c>
      <c r="J37" s="162" t="s">
        <v>446</v>
      </c>
      <c r="K37" s="107" t="s">
        <v>1086</v>
      </c>
      <c r="L37" s="107" t="s">
        <v>441</v>
      </c>
      <c r="M37" s="107"/>
      <c r="N37" s="162" t="s">
        <v>1087</v>
      </c>
      <c r="O37" s="109" t="s">
        <v>18</v>
      </c>
      <c r="P37" s="109" t="s">
        <v>18</v>
      </c>
      <c r="Q37" s="159" t="s">
        <v>1085</v>
      </c>
      <c r="R37" s="105"/>
      <c r="S37" s="117"/>
      <c r="T37" s="162"/>
    </row>
    <row r="38" spans="1:27" s="115" customFormat="1" ht="105" x14ac:dyDescent="0.2">
      <c r="A38" s="105">
        <v>31</v>
      </c>
      <c r="B38" s="98" t="s">
        <v>714</v>
      </c>
      <c r="C38" s="105" t="s">
        <v>126</v>
      </c>
      <c r="D38" s="106">
        <v>2011</v>
      </c>
      <c r="E38" s="51" t="s">
        <v>706</v>
      </c>
      <c r="F38" s="98" t="s">
        <v>713</v>
      </c>
      <c r="G38" s="51" t="s">
        <v>1089</v>
      </c>
      <c r="H38" s="121" t="s">
        <v>102</v>
      </c>
      <c r="I38" s="51" t="s">
        <v>1021</v>
      </c>
      <c r="J38" s="51" t="s">
        <v>446</v>
      </c>
      <c r="K38" s="51" t="s">
        <v>1091</v>
      </c>
      <c r="L38" s="51" t="s">
        <v>91</v>
      </c>
      <c r="M38" s="51" t="s">
        <v>443</v>
      </c>
      <c r="N38" s="51" t="s">
        <v>1090</v>
      </c>
      <c r="O38" s="109" t="s">
        <v>18</v>
      </c>
      <c r="P38" s="105" t="s">
        <v>395</v>
      </c>
      <c r="Q38" s="105"/>
      <c r="R38" s="105"/>
      <c r="S38" s="118"/>
      <c r="T38" s="51"/>
    </row>
    <row r="39" spans="1:27" s="115" customFormat="1" ht="90" x14ac:dyDescent="0.2">
      <c r="A39" s="105">
        <v>32</v>
      </c>
      <c r="B39" s="98" t="s">
        <v>716</v>
      </c>
      <c r="C39" s="105" t="s">
        <v>121</v>
      </c>
      <c r="D39" s="106">
        <v>2016</v>
      </c>
      <c r="E39" s="51" t="s">
        <v>114</v>
      </c>
      <c r="F39" s="98" t="s">
        <v>715</v>
      </c>
      <c r="G39" s="107" t="s">
        <v>1092</v>
      </c>
      <c r="H39" s="140" t="s">
        <v>1095</v>
      </c>
      <c r="I39" s="107" t="s">
        <v>281</v>
      </c>
      <c r="J39" s="107" t="s">
        <v>90</v>
      </c>
      <c r="K39" s="107" t="s">
        <v>1093</v>
      </c>
      <c r="L39" s="107" t="s">
        <v>443</v>
      </c>
      <c r="M39" s="107"/>
      <c r="N39" s="105" t="s">
        <v>269</v>
      </c>
      <c r="O39" s="155" t="s">
        <v>2149</v>
      </c>
      <c r="P39" s="109" t="s">
        <v>18</v>
      </c>
      <c r="Q39" s="105"/>
      <c r="R39" s="105"/>
      <c r="S39" s="107"/>
      <c r="T39" s="51"/>
    </row>
    <row r="40" spans="1:27" s="115" customFormat="1" ht="120" x14ac:dyDescent="0.2">
      <c r="A40" s="105">
        <v>33</v>
      </c>
      <c r="B40" s="98" t="s">
        <v>510</v>
      </c>
      <c r="C40" s="105" t="s">
        <v>177</v>
      </c>
      <c r="D40" s="106">
        <v>2016</v>
      </c>
      <c r="E40" s="51" t="s">
        <v>114</v>
      </c>
      <c r="F40" s="98" t="s">
        <v>717</v>
      </c>
      <c r="G40" s="107" t="s">
        <v>1094</v>
      </c>
      <c r="H40" s="121" t="s">
        <v>100</v>
      </c>
      <c r="I40" s="51" t="s">
        <v>1096</v>
      </c>
      <c r="J40" s="51" t="s">
        <v>90</v>
      </c>
      <c r="K40" s="105" t="s">
        <v>1098</v>
      </c>
      <c r="L40" s="105" t="s">
        <v>441</v>
      </c>
      <c r="M40" s="105"/>
      <c r="N40" s="51" t="s">
        <v>1097</v>
      </c>
      <c r="O40" s="109" t="s">
        <v>18</v>
      </c>
      <c r="P40" s="109" t="s">
        <v>18</v>
      </c>
      <c r="Q40" s="105"/>
      <c r="R40" s="105"/>
      <c r="S40" s="119"/>
      <c r="T40" s="51"/>
    </row>
    <row r="41" spans="1:27" s="115" customFormat="1" ht="29" customHeight="1" x14ac:dyDescent="0.2">
      <c r="A41" s="220">
        <v>34</v>
      </c>
      <c r="B41" s="214" t="s">
        <v>158</v>
      </c>
      <c r="C41" s="218" t="s">
        <v>27</v>
      </c>
      <c r="D41" s="218">
        <v>2010</v>
      </c>
      <c r="E41" s="214" t="s">
        <v>107</v>
      </c>
      <c r="F41" s="214" t="s">
        <v>157</v>
      </c>
      <c r="G41" s="214" t="s">
        <v>316</v>
      </c>
      <c r="H41" s="214" t="s">
        <v>100</v>
      </c>
      <c r="I41" s="214" t="s">
        <v>872</v>
      </c>
      <c r="J41" s="214" t="s">
        <v>90</v>
      </c>
      <c r="K41" s="214" t="s">
        <v>871</v>
      </c>
      <c r="L41" s="214" t="s">
        <v>441</v>
      </c>
      <c r="M41" s="214"/>
      <c r="N41" s="214" t="s">
        <v>318</v>
      </c>
      <c r="O41" s="217" t="s">
        <v>18</v>
      </c>
      <c r="P41" s="214" t="s">
        <v>870</v>
      </c>
      <c r="Q41" s="214" t="s">
        <v>1741</v>
      </c>
      <c r="R41" s="162" t="s">
        <v>1734</v>
      </c>
      <c r="S41" s="118"/>
      <c r="T41" s="162"/>
      <c r="AA41" s="115">
        <f>6.7*10^-2</f>
        <v>6.7000000000000004E-2</v>
      </c>
    </row>
    <row r="42" spans="1:27" s="115" customFormat="1" ht="29" customHeight="1" x14ac:dyDescent="0.2">
      <c r="A42" s="220"/>
      <c r="B42" s="214"/>
      <c r="C42" s="218"/>
      <c r="D42" s="218"/>
      <c r="E42" s="214"/>
      <c r="F42" s="214"/>
      <c r="G42" s="214"/>
      <c r="H42" s="214"/>
      <c r="I42" s="214"/>
      <c r="J42" s="214"/>
      <c r="K42" s="214"/>
      <c r="L42" s="214"/>
      <c r="M42" s="214"/>
      <c r="N42" s="214"/>
      <c r="O42" s="217"/>
      <c r="P42" s="214"/>
      <c r="Q42" s="218"/>
      <c r="R42" s="162" t="s">
        <v>1735</v>
      </c>
      <c r="S42" s="118"/>
      <c r="T42" s="162"/>
      <c r="AA42" s="115">
        <f>6.7*10^-2</f>
        <v>6.7000000000000004E-2</v>
      </c>
    </row>
    <row r="43" spans="1:27" s="115" customFormat="1" ht="29" customHeight="1" x14ac:dyDescent="0.2">
      <c r="A43" s="220"/>
      <c r="B43" s="214"/>
      <c r="C43" s="218"/>
      <c r="D43" s="218"/>
      <c r="E43" s="214"/>
      <c r="F43" s="214"/>
      <c r="G43" s="214"/>
      <c r="H43" s="214"/>
      <c r="I43" s="214"/>
      <c r="J43" s="214"/>
      <c r="K43" s="214"/>
      <c r="L43" s="214"/>
      <c r="M43" s="214"/>
      <c r="N43" s="214"/>
      <c r="O43" s="217"/>
      <c r="P43" s="214"/>
      <c r="Q43" s="218"/>
      <c r="R43" s="162" t="s">
        <v>1736</v>
      </c>
      <c r="S43" s="118"/>
      <c r="T43" s="162"/>
      <c r="AA43" s="115">
        <f>6.7*10^-2</f>
        <v>6.7000000000000004E-2</v>
      </c>
    </row>
    <row r="44" spans="1:27" s="115" customFormat="1" ht="29" customHeight="1" x14ac:dyDescent="0.2">
      <c r="A44" s="220"/>
      <c r="B44" s="214"/>
      <c r="C44" s="218"/>
      <c r="D44" s="218"/>
      <c r="E44" s="214"/>
      <c r="F44" s="214"/>
      <c r="G44" s="214"/>
      <c r="H44" s="214"/>
      <c r="I44" s="214"/>
      <c r="J44" s="214"/>
      <c r="K44" s="214"/>
      <c r="L44" s="214"/>
      <c r="M44" s="214"/>
      <c r="N44" s="214"/>
      <c r="O44" s="217"/>
      <c r="P44" s="214"/>
      <c r="Q44" s="218"/>
      <c r="R44" s="162" t="s">
        <v>1737</v>
      </c>
      <c r="S44" s="118"/>
      <c r="T44" s="162"/>
      <c r="AA44" s="115">
        <v>0</v>
      </c>
    </row>
    <row r="45" spans="1:27" s="115" customFormat="1" ht="29" customHeight="1" x14ac:dyDescent="0.2">
      <c r="A45" s="220"/>
      <c r="B45" s="214"/>
      <c r="C45" s="218"/>
      <c r="D45" s="218"/>
      <c r="E45" s="214"/>
      <c r="F45" s="214"/>
      <c r="G45" s="214"/>
      <c r="H45" s="214"/>
      <c r="I45" s="214"/>
      <c r="J45" s="214"/>
      <c r="K45" s="214"/>
      <c r="L45" s="214"/>
      <c r="M45" s="214"/>
      <c r="N45" s="214"/>
      <c r="O45" s="217"/>
      <c r="P45" s="214"/>
      <c r="Q45" s="218"/>
      <c r="R45" s="162" t="s">
        <v>1738</v>
      </c>
      <c r="S45" s="118"/>
      <c r="T45" s="162"/>
      <c r="AA45" s="115">
        <v>0</v>
      </c>
    </row>
    <row r="46" spans="1:27" s="115" customFormat="1" ht="29" customHeight="1" x14ac:dyDescent="0.2">
      <c r="A46" s="220"/>
      <c r="B46" s="214"/>
      <c r="C46" s="218"/>
      <c r="D46" s="218"/>
      <c r="E46" s="214"/>
      <c r="F46" s="214"/>
      <c r="G46" s="214"/>
      <c r="H46" s="214"/>
      <c r="I46" s="214"/>
      <c r="J46" s="214"/>
      <c r="K46" s="214"/>
      <c r="L46" s="214"/>
      <c r="M46" s="214"/>
      <c r="N46" s="214"/>
      <c r="O46" s="217"/>
      <c r="P46" s="214"/>
      <c r="Q46" s="214" t="s">
        <v>1742</v>
      </c>
      <c r="R46" s="162" t="s">
        <v>1734</v>
      </c>
      <c r="S46" s="118"/>
      <c r="T46" s="162"/>
      <c r="AA46" s="115">
        <f>1.2*10^12</f>
        <v>1200000000000</v>
      </c>
    </row>
    <row r="47" spans="1:27" s="115" customFormat="1" ht="29" customHeight="1" x14ac:dyDescent="0.2">
      <c r="A47" s="220"/>
      <c r="B47" s="214"/>
      <c r="C47" s="218"/>
      <c r="D47" s="218"/>
      <c r="E47" s="214"/>
      <c r="F47" s="214"/>
      <c r="G47" s="214"/>
      <c r="H47" s="214"/>
      <c r="I47" s="214"/>
      <c r="J47" s="214"/>
      <c r="K47" s="214"/>
      <c r="L47" s="214"/>
      <c r="M47" s="214"/>
      <c r="N47" s="214"/>
      <c r="O47" s="217"/>
      <c r="P47" s="214"/>
      <c r="Q47" s="218"/>
      <c r="R47" s="162" t="s">
        <v>1735</v>
      </c>
      <c r="S47" s="118"/>
      <c r="T47" s="162"/>
      <c r="AA47" s="115">
        <f>4.5*10^12</f>
        <v>4500000000000</v>
      </c>
    </row>
    <row r="48" spans="1:27" s="115" customFormat="1" ht="29" customHeight="1" x14ac:dyDescent="0.2">
      <c r="A48" s="220"/>
      <c r="B48" s="214"/>
      <c r="C48" s="218"/>
      <c r="D48" s="218"/>
      <c r="E48" s="214"/>
      <c r="F48" s="214"/>
      <c r="G48" s="214"/>
      <c r="H48" s="214"/>
      <c r="I48" s="214"/>
      <c r="J48" s="214"/>
      <c r="K48" s="214"/>
      <c r="L48" s="214"/>
      <c r="M48" s="214"/>
      <c r="N48" s="214"/>
      <c r="O48" s="217"/>
      <c r="P48" s="214"/>
      <c r="Q48" s="218"/>
      <c r="R48" s="162" t="s">
        <v>1736</v>
      </c>
      <c r="S48" s="118"/>
      <c r="T48" s="162"/>
      <c r="AA48" s="115">
        <f>4.5*10^5</f>
        <v>450000</v>
      </c>
    </row>
    <row r="49" spans="1:45" s="115" customFormat="1" ht="29" customHeight="1" x14ac:dyDescent="0.2">
      <c r="A49" s="220"/>
      <c r="B49" s="214"/>
      <c r="C49" s="218"/>
      <c r="D49" s="218"/>
      <c r="E49" s="214"/>
      <c r="F49" s="214"/>
      <c r="G49" s="214"/>
      <c r="H49" s="214"/>
      <c r="I49" s="214"/>
      <c r="J49" s="214"/>
      <c r="K49" s="214"/>
      <c r="L49" s="214"/>
      <c r="M49" s="214"/>
      <c r="N49" s="214"/>
      <c r="O49" s="217"/>
      <c r="P49" s="214"/>
      <c r="Q49" s="218"/>
      <c r="R49" s="162" t="s">
        <v>1737</v>
      </c>
      <c r="S49" s="118"/>
      <c r="T49" s="162"/>
      <c r="AA49" s="115">
        <f>1.5*10^11</f>
        <v>150000000000</v>
      </c>
    </row>
    <row r="50" spans="1:45" s="115" customFormat="1" ht="30" x14ac:dyDescent="0.2">
      <c r="A50" s="220"/>
      <c r="B50" s="214"/>
      <c r="C50" s="218"/>
      <c r="D50" s="218"/>
      <c r="E50" s="214"/>
      <c r="F50" s="214"/>
      <c r="G50" s="214"/>
      <c r="H50" s="214"/>
      <c r="I50" s="214"/>
      <c r="J50" s="214"/>
      <c r="K50" s="214"/>
      <c r="L50" s="214"/>
      <c r="M50" s="214"/>
      <c r="N50" s="214"/>
      <c r="O50" s="217"/>
      <c r="P50" s="214"/>
      <c r="Q50" s="218"/>
      <c r="R50" s="162" t="s">
        <v>1738</v>
      </c>
      <c r="S50" s="118"/>
      <c r="T50" s="162"/>
      <c r="AA50" s="115">
        <f>1.5*10^11</f>
        <v>150000000000</v>
      </c>
    </row>
    <row r="51" spans="1:45" s="115" customFormat="1" ht="70" customHeight="1" x14ac:dyDescent="0.2">
      <c r="A51" s="220">
        <v>35</v>
      </c>
      <c r="B51" s="214" t="s">
        <v>719</v>
      </c>
      <c r="C51" s="218" t="s">
        <v>27</v>
      </c>
      <c r="D51" s="218">
        <v>2011</v>
      </c>
      <c r="E51" s="214" t="s">
        <v>114</v>
      </c>
      <c r="F51" s="219" t="s">
        <v>718</v>
      </c>
      <c r="G51" s="214" t="s">
        <v>1099</v>
      </c>
      <c r="H51" s="214" t="s">
        <v>100</v>
      </c>
      <c r="I51" s="216" t="s">
        <v>1100</v>
      </c>
      <c r="J51" s="216" t="s">
        <v>90</v>
      </c>
      <c r="K51" s="214" t="s">
        <v>1101</v>
      </c>
      <c r="L51" s="214" t="s">
        <v>91</v>
      </c>
      <c r="M51" s="214" t="s">
        <v>443</v>
      </c>
      <c r="N51" s="214" t="s">
        <v>1104</v>
      </c>
      <c r="O51" s="214" t="s">
        <v>1103</v>
      </c>
      <c r="P51" s="214" t="s">
        <v>1102</v>
      </c>
      <c r="Q51" s="214" t="s">
        <v>1731</v>
      </c>
      <c r="R51" s="162" t="s">
        <v>1732</v>
      </c>
      <c r="S51" s="113">
        <f>3.85*10^-2</f>
        <v>3.85E-2</v>
      </c>
      <c r="T51" s="162">
        <f>6.97*10^-3</f>
        <v>6.9699999999999996E-3</v>
      </c>
      <c r="U51" s="116">
        <v>6.87</v>
      </c>
      <c r="V51" s="116">
        <f>6.73*10^-7</f>
        <v>6.7300000000000006E-7</v>
      </c>
      <c r="W51" s="116">
        <f>1.6*10^-3</f>
        <v>1.6000000000000001E-3</v>
      </c>
      <c r="X51" s="116"/>
      <c r="Y51" s="116"/>
      <c r="Z51" s="116"/>
      <c r="AA51" s="116" t="s">
        <v>1733</v>
      </c>
      <c r="AB51" s="116">
        <v>4.6399999999999997</v>
      </c>
      <c r="AC51" s="116"/>
      <c r="AD51" s="116"/>
      <c r="AE51" s="116">
        <v>1.05</v>
      </c>
      <c r="AF51" s="116">
        <f>2.79*10^-3</f>
        <v>2.7899999999999999E-3</v>
      </c>
    </row>
    <row r="52" spans="1:45" s="115" customFormat="1" x14ac:dyDescent="0.2">
      <c r="A52" s="220"/>
      <c r="B52" s="214"/>
      <c r="C52" s="218"/>
      <c r="D52" s="218"/>
      <c r="E52" s="214"/>
      <c r="F52" s="219"/>
      <c r="G52" s="214"/>
      <c r="H52" s="214"/>
      <c r="I52" s="216"/>
      <c r="J52" s="216"/>
      <c r="K52" s="214"/>
      <c r="L52" s="214"/>
      <c r="M52" s="214"/>
      <c r="N52" s="214"/>
      <c r="O52" s="214"/>
      <c r="P52" s="214"/>
      <c r="Q52" s="214"/>
      <c r="R52" s="162" t="s">
        <v>1816</v>
      </c>
      <c r="S52" s="113">
        <f>2.34*10^-5</f>
        <v>2.34E-5</v>
      </c>
      <c r="T52" s="162">
        <f>4.15*10^-6</f>
        <v>4.1500000000000001E-6</v>
      </c>
      <c r="U52" s="116">
        <f>4.29*10^-3</f>
        <v>4.2900000000000004E-3</v>
      </c>
      <c r="V52" s="116">
        <f>4.08*10^-10</f>
        <v>4.0800000000000004E-10</v>
      </c>
      <c r="W52" s="116">
        <f>1.01*10^-6</f>
        <v>1.0099999999999999E-6</v>
      </c>
      <c r="X52" s="116"/>
      <c r="Y52" s="116"/>
      <c r="Z52" s="116"/>
      <c r="AA52" s="116">
        <f>2.95*10^-5</f>
        <v>2.9500000000000006E-5</v>
      </c>
      <c r="AB52" s="116">
        <f>2.9*10^-3</f>
        <v>2.8999999999999998E-3</v>
      </c>
      <c r="AC52" s="116"/>
      <c r="AD52" s="116"/>
      <c r="AE52" s="116"/>
      <c r="AF52" s="116">
        <f>6.83*10^-4</f>
        <v>6.8300000000000001E-4</v>
      </c>
      <c r="AG52" s="115">
        <f>1.85</f>
        <v>1.85</v>
      </c>
    </row>
    <row r="53" spans="1:45" s="115" customFormat="1" ht="90" x14ac:dyDescent="0.2">
      <c r="A53" s="105">
        <v>36</v>
      </c>
      <c r="B53" s="51" t="s">
        <v>721</v>
      </c>
      <c r="C53" s="105" t="s">
        <v>27</v>
      </c>
      <c r="D53" s="106">
        <v>2012</v>
      </c>
      <c r="E53" s="51" t="s">
        <v>114</v>
      </c>
      <c r="F53" s="98" t="s">
        <v>720</v>
      </c>
      <c r="G53" s="107" t="s">
        <v>1107</v>
      </c>
      <c r="H53" s="121" t="s">
        <v>102</v>
      </c>
      <c r="I53" s="107" t="s">
        <v>1109</v>
      </c>
      <c r="J53" s="107" t="s">
        <v>446</v>
      </c>
      <c r="K53" s="51" t="s">
        <v>1108</v>
      </c>
      <c r="L53" s="51" t="s">
        <v>91</v>
      </c>
      <c r="M53" s="51" t="s">
        <v>448</v>
      </c>
      <c r="N53" s="51" t="s">
        <v>1110</v>
      </c>
      <c r="O53" s="111" t="s">
        <v>1112</v>
      </c>
      <c r="P53" s="51" t="s">
        <v>1111</v>
      </c>
      <c r="Q53" s="105"/>
      <c r="R53" s="105"/>
      <c r="S53" s="118"/>
      <c r="T53" s="51"/>
    </row>
    <row r="54" spans="1:45" s="115" customFormat="1" ht="120" x14ac:dyDescent="0.2">
      <c r="A54" s="105">
        <v>37</v>
      </c>
      <c r="B54" s="51" t="s">
        <v>167</v>
      </c>
      <c r="C54" s="100" t="s">
        <v>126</v>
      </c>
      <c r="D54" s="101">
        <v>2014</v>
      </c>
      <c r="E54" s="98" t="s">
        <v>114</v>
      </c>
      <c r="F54" s="98" t="s">
        <v>166</v>
      </c>
      <c r="G54" s="98" t="s">
        <v>333</v>
      </c>
      <c r="H54" s="121" t="s">
        <v>100</v>
      </c>
      <c r="I54" s="51" t="s">
        <v>275</v>
      </c>
      <c r="J54" s="98" t="s">
        <v>90</v>
      </c>
      <c r="K54" s="100" t="s">
        <v>336</v>
      </c>
      <c r="L54" s="100" t="s">
        <v>91</v>
      </c>
      <c r="M54" s="100" t="s">
        <v>94</v>
      </c>
      <c r="N54" s="98" t="s">
        <v>334</v>
      </c>
      <c r="O54" s="98" t="s">
        <v>337</v>
      </c>
      <c r="P54" s="100" t="s">
        <v>335</v>
      </c>
    </row>
    <row r="55" spans="1:45" s="115" customFormat="1" ht="60" x14ac:dyDescent="0.2">
      <c r="A55" s="105">
        <v>38</v>
      </c>
      <c r="B55" s="98" t="s">
        <v>723</v>
      </c>
      <c r="C55" s="51" t="s">
        <v>581</v>
      </c>
      <c r="D55" s="106">
        <v>2014</v>
      </c>
      <c r="E55" s="51" t="s">
        <v>28</v>
      </c>
      <c r="F55" s="98" t="s">
        <v>722</v>
      </c>
      <c r="G55" s="107" t="s">
        <v>1113</v>
      </c>
      <c r="H55" s="121" t="s">
        <v>98</v>
      </c>
      <c r="I55" s="107" t="s">
        <v>1116</v>
      </c>
      <c r="J55" s="107" t="s">
        <v>89</v>
      </c>
      <c r="K55" s="51" t="s">
        <v>1115</v>
      </c>
      <c r="L55" s="51" t="s">
        <v>91</v>
      </c>
      <c r="M55" s="51" t="s">
        <v>94</v>
      </c>
      <c r="N55" s="51" t="s">
        <v>1114</v>
      </c>
      <c r="O55" s="111" t="s">
        <v>1118</v>
      </c>
      <c r="P55" s="51" t="s">
        <v>1117</v>
      </c>
    </row>
    <row r="56" spans="1:45" s="115" customFormat="1" ht="75" x14ac:dyDescent="0.2">
      <c r="A56" s="105">
        <v>39</v>
      </c>
      <c r="B56" s="51" t="s">
        <v>725</v>
      </c>
      <c r="C56" s="51" t="s">
        <v>147</v>
      </c>
      <c r="D56" s="106">
        <v>2015</v>
      </c>
      <c r="E56" s="51" t="s">
        <v>114</v>
      </c>
      <c r="F56" s="51" t="s">
        <v>724</v>
      </c>
      <c r="G56" s="51" t="s">
        <v>1119</v>
      </c>
      <c r="H56" s="51" t="s">
        <v>100</v>
      </c>
      <c r="I56" s="51" t="s">
        <v>1121</v>
      </c>
      <c r="J56" s="51" t="s">
        <v>444</v>
      </c>
      <c r="K56" s="51" t="s">
        <v>1120</v>
      </c>
      <c r="L56" s="51" t="s">
        <v>441</v>
      </c>
      <c r="M56" s="51"/>
      <c r="N56" s="51" t="s">
        <v>361</v>
      </c>
      <c r="O56" s="51" t="s">
        <v>1122</v>
      </c>
      <c r="P56" s="111" t="s">
        <v>1123</v>
      </c>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c r="AQ56" s="112"/>
      <c r="AR56" s="112"/>
      <c r="AS56" s="112"/>
    </row>
    <row r="57" spans="1:45" s="115" customFormat="1" ht="105" x14ac:dyDescent="0.2">
      <c r="A57" s="105">
        <v>40</v>
      </c>
      <c r="B57" s="98" t="s">
        <v>727</v>
      </c>
      <c r="C57" s="51" t="s">
        <v>123</v>
      </c>
      <c r="D57" s="106">
        <v>2015</v>
      </c>
      <c r="E57" s="51" t="s">
        <v>704</v>
      </c>
      <c r="F57" s="98" t="s">
        <v>726</v>
      </c>
      <c r="G57" s="51" t="s">
        <v>1124</v>
      </c>
      <c r="H57" s="121" t="s">
        <v>103</v>
      </c>
      <c r="I57" s="51" t="s">
        <v>1126</v>
      </c>
      <c r="J57" s="51" t="s">
        <v>89</v>
      </c>
      <c r="K57" s="51" t="s">
        <v>1125</v>
      </c>
      <c r="L57" s="51" t="s">
        <v>91</v>
      </c>
      <c r="M57" s="51" t="s">
        <v>448</v>
      </c>
      <c r="N57" s="51" t="s">
        <v>1127</v>
      </c>
      <c r="O57" s="110" t="s">
        <v>18</v>
      </c>
      <c r="P57" s="51" t="s">
        <v>1128</v>
      </c>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c r="AR57" s="112"/>
      <c r="AS57" s="112"/>
    </row>
    <row r="58" spans="1:45" s="115" customFormat="1" ht="75" x14ac:dyDescent="0.2">
      <c r="A58" s="105">
        <v>41</v>
      </c>
      <c r="B58" s="98" t="s">
        <v>733</v>
      </c>
      <c r="C58" s="51" t="s">
        <v>581</v>
      </c>
      <c r="D58" s="106">
        <v>2009</v>
      </c>
      <c r="E58" s="51" t="s">
        <v>28</v>
      </c>
      <c r="F58" s="11" t="s">
        <v>732</v>
      </c>
      <c r="G58" s="51" t="s">
        <v>1129</v>
      </c>
      <c r="H58" s="121" t="s">
        <v>102</v>
      </c>
      <c r="I58" s="51" t="s">
        <v>341</v>
      </c>
      <c r="J58" s="51" t="s">
        <v>89</v>
      </c>
      <c r="K58" s="51" t="s">
        <v>1130</v>
      </c>
      <c r="L58" s="51" t="s">
        <v>91</v>
      </c>
      <c r="M58" s="51" t="s">
        <v>1047</v>
      </c>
      <c r="N58" s="51" t="s">
        <v>1132</v>
      </c>
      <c r="O58" s="110" t="s">
        <v>18</v>
      </c>
      <c r="P58" s="111" t="s">
        <v>1131</v>
      </c>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row>
    <row r="59" spans="1:45" s="115" customFormat="1" ht="75" x14ac:dyDescent="0.2">
      <c r="A59" s="105">
        <v>42</v>
      </c>
      <c r="B59" s="98" t="s">
        <v>735</v>
      </c>
      <c r="C59" s="51" t="s">
        <v>121</v>
      </c>
      <c r="D59" s="106">
        <v>2012</v>
      </c>
      <c r="E59" s="51" t="s">
        <v>729</v>
      </c>
      <c r="F59" s="51" t="s">
        <v>734</v>
      </c>
      <c r="G59" s="51" t="s">
        <v>1133</v>
      </c>
      <c r="H59" s="121" t="s">
        <v>102</v>
      </c>
      <c r="I59" s="51" t="s">
        <v>110</v>
      </c>
      <c r="J59" s="51" t="s">
        <v>444</v>
      </c>
      <c r="K59" s="51" t="s">
        <v>1134</v>
      </c>
      <c r="L59" s="51" t="s">
        <v>441</v>
      </c>
      <c r="M59" s="51"/>
      <c r="N59" s="51" t="s">
        <v>1135</v>
      </c>
      <c r="O59" s="110" t="s">
        <v>18</v>
      </c>
      <c r="P59" s="110" t="s">
        <v>18</v>
      </c>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c r="AP59" s="112"/>
      <c r="AQ59" s="112"/>
      <c r="AR59" s="112"/>
      <c r="AS59" s="112"/>
    </row>
    <row r="60" spans="1:45" s="115" customFormat="1" ht="90" x14ac:dyDescent="0.2">
      <c r="A60" s="105">
        <v>43</v>
      </c>
      <c r="B60" s="98" t="s">
        <v>516</v>
      </c>
      <c r="C60" s="51" t="s">
        <v>121</v>
      </c>
      <c r="D60" s="106">
        <v>2012</v>
      </c>
      <c r="E60" s="51" t="s">
        <v>115</v>
      </c>
      <c r="F60" s="51" t="s">
        <v>736</v>
      </c>
      <c r="G60" s="51" t="s">
        <v>1136</v>
      </c>
      <c r="H60" s="121" t="s">
        <v>98</v>
      </c>
      <c r="I60" s="51" t="s">
        <v>1137</v>
      </c>
      <c r="J60" s="51" t="s">
        <v>445</v>
      </c>
      <c r="K60" s="51" t="s">
        <v>1138</v>
      </c>
      <c r="L60" s="51" t="s">
        <v>441</v>
      </c>
      <c r="M60" s="51"/>
      <c r="N60" s="51" t="s">
        <v>1139</v>
      </c>
      <c r="O60" s="110" t="s">
        <v>18</v>
      </c>
      <c r="P60" s="110" t="s">
        <v>18</v>
      </c>
      <c r="Q60" s="120"/>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row>
    <row r="61" spans="1:45" s="115" customFormat="1" ht="42" customHeight="1" x14ac:dyDescent="0.2">
      <c r="A61" s="218">
        <v>44</v>
      </c>
      <c r="B61" s="206" t="s">
        <v>738</v>
      </c>
      <c r="C61" s="214" t="s">
        <v>82</v>
      </c>
      <c r="D61" s="218">
        <v>2015</v>
      </c>
      <c r="E61" s="214" t="s">
        <v>28</v>
      </c>
      <c r="F61" s="221" t="s">
        <v>737</v>
      </c>
      <c r="G61" s="214" t="s">
        <v>1140</v>
      </c>
      <c r="H61" s="206" t="s">
        <v>102</v>
      </c>
      <c r="I61" s="214" t="s">
        <v>1141</v>
      </c>
      <c r="J61" s="111" t="s">
        <v>446</v>
      </c>
      <c r="K61" s="214" t="s">
        <v>1142</v>
      </c>
      <c r="L61" s="214" t="s">
        <v>91</v>
      </c>
      <c r="M61" s="214" t="s">
        <v>448</v>
      </c>
      <c r="N61" s="214" t="s">
        <v>1148</v>
      </c>
      <c r="O61" s="213" t="s">
        <v>18</v>
      </c>
      <c r="P61" s="214" t="s">
        <v>1143</v>
      </c>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2"/>
      <c r="AS61" s="112"/>
    </row>
    <row r="62" spans="1:45" s="115" customFormat="1" ht="46" customHeight="1" x14ac:dyDescent="0.2">
      <c r="A62" s="218"/>
      <c r="B62" s="206"/>
      <c r="C62" s="214"/>
      <c r="D62" s="218"/>
      <c r="E62" s="214"/>
      <c r="F62" s="221"/>
      <c r="G62" s="214"/>
      <c r="H62" s="206"/>
      <c r="I62" s="214"/>
      <c r="J62" s="111" t="s">
        <v>441</v>
      </c>
      <c r="K62" s="214"/>
      <c r="L62" s="214"/>
      <c r="M62" s="214"/>
      <c r="N62" s="214"/>
      <c r="O62" s="213"/>
      <c r="P62" s="214"/>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2"/>
      <c r="AR62" s="112"/>
      <c r="AS62" s="112"/>
    </row>
    <row r="63" spans="1:45" s="115" customFormat="1" ht="165" x14ac:dyDescent="0.2">
      <c r="A63" s="105">
        <v>45</v>
      </c>
      <c r="B63" s="98" t="s">
        <v>738</v>
      </c>
      <c r="C63" s="51" t="s">
        <v>82</v>
      </c>
      <c r="D63" s="106">
        <v>2014</v>
      </c>
      <c r="E63" s="51" t="s">
        <v>114</v>
      </c>
      <c r="F63" s="130" t="s">
        <v>739</v>
      </c>
      <c r="G63" s="51" t="s">
        <v>1145</v>
      </c>
      <c r="H63" s="121" t="s">
        <v>103</v>
      </c>
      <c r="I63" s="51" t="s">
        <v>1147</v>
      </c>
      <c r="J63" s="51" t="s">
        <v>446</v>
      </c>
      <c r="K63" s="51" t="s">
        <v>1146</v>
      </c>
      <c r="L63" s="51" t="s">
        <v>91</v>
      </c>
      <c r="M63" s="51" t="s">
        <v>923</v>
      </c>
      <c r="N63" s="51" t="s">
        <v>1144</v>
      </c>
      <c r="O63" s="110" t="s">
        <v>18</v>
      </c>
      <c r="P63" s="111" t="s">
        <v>1149</v>
      </c>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c r="AS63" s="112"/>
    </row>
    <row r="64" spans="1:45" s="115" customFormat="1" ht="120" x14ac:dyDescent="0.2">
      <c r="A64" s="194">
        <v>46</v>
      </c>
      <c r="B64" s="194" t="s">
        <v>741</v>
      </c>
      <c r="C64" s="183" t="s">
        <v>162</v>
      </c>
      <c r="D64" s="182">
        <v>2006</v>
      </c>
      <c r="E64" s="183" t="s">
        <v>28</v>
      </c>
      <c r="F64" s="183" t="s">
        <v>740</v>
      </c>
      <c r="G64" s="183" t="s">
        <v>1153</v>
      </c>
      <c r="H64" s="183" t="s">
        <v>1150</v>
      </c>
      <c r="I64" s="183" t="s">
        <v>1155</v>
      </c>
      <c r="J64" s="183" t="s">
        <v>446</v>
      </c>
      <c r="K64" s="183" t="s">
        <v>1154</v>
      </c>
      <c r="L64" s="183" t="s">
        <v>441</v>
      </c>
      <c r="M64" s="183"/>
      <c r="N64" s="183" t="s">
        <v>1156</v>
      </c>
      <c r="O64" s="180" t="s">
        <v>18</v>
      </c>
      <c r="P64" s="183" t="s">
        <v>1152</v>
      </c>
      <c r="Q64" s="181" t="s">
        <v>1151</v>
      </c>
      <c r="R64" s="112"/>
      <c r="S64" s="112"/>
      <c r="T64" s="112"/>
      <c r="U64" s="112"/>
      <c r="V64" s="112"/>
      <c r="W64" s="112"/>
      <c r="X64" s="112"/>
      <c r="Y64" s="112"/>
      <c r="Z64" s="112"/>
      <c r="AA64" s="112"/>
      <c r="AB64" s="112"/>
      <c r="AC64" s="112"/>
      <c r="AD64" s="112"/>
      <c r="AE64" s="112"/>
      <c r="AF64" s="112"/>
      <c r="AG64" s="112"/>
      <c r="AH64" s="112"/>
      <c r="AI64" s="112"/>
      <c r="AJ64" s="112"/>
      <c r="AK64" s="112"/>
      <c r="AL64" s="112"/>
      <c r="AM64" s="112"/>
      <c r="AN64" s="112"/>
      <c r="AO64" s="112"/>
      <c r="AP64" s="112"/>
      <c r="AQ64" s="112"/>
      <c r="AR64" s="112"/>
      <c r="AS64" s="112"/>
    </row>
    <row r="65" spans="1:49" s="115" customFormat="1" ht="76" customHeight="1" x14ac:dyDescent="0.2">
      <c r="A65" s="220">
        <v>48</v>
      </c>
      <c r="B65" s="214" t="s">
        <v>743</v>
      </c>
      <c r="C65" s="214" t="s">
        <v>82</v>
      </c>
      <c r="D65" s="218">
        <v>2016</v>
      </c>
      <c r="E65" s="214" t="s">
        <v>114</v>
      </c>
      <c r="F65" s="214" t="s">
        <v>742</v>
      </c>
      <c r="G65" s="214" t="s">
        <v>1157</v>
      </c>
      <c r="H65" s="214" t="s">
        <v>103</v>
      </c>
      <c r="I65" s="214" t="s">
        <v>1158</v>
      </c>
      <c r="J65" s="214" t="s">
        <v>90</v>
      </c>
      <c r="K65" s="214" t="s">
        <v>314</v>
      </c>
      <c r="L65" s="214" t="s">
        <v>441</v>
      </c>
      <c r="M65" s="214"/>
      <c r="N65" s="214" t="s">
        <v>1061</v>
      </c>
      <c r="O65" s="213" t="s">
        <v>18</v>
      </c>
      <c r="P65" s="214" t="s">
        <v>1159</v>
      </c>
      <c r="Q65" s="214" t="s">
        <v>1729</v>
      </c>
      <c r="R65" s="162" t="s">
        <v>1727</v>
      </c>
      <c r="S65" s="112">
        <f>14.62*10^-3</f>
        <v>1.4619999999999999E-2</v>
      </c>
      <c r="T65" s="112">
        <f>2.97*10^-3</f>
        <v>2.9700000000000004E-3</v>
      </c>
      <c r="U65" s="112">
        <v>3.0811700000000002</v>
      </c>
      <c r="V65" s="112"/>
      <c r="W65" s="112">
        <f>0.08*10^-3</f>
        <v>8.0000000000000007E-5</v>
      </c>
      <c r="X65" s="112"/>
      <c r="Y65" s="112"/>
      <c r="Z65" s="112">
        <v>42.09</v>
      </c>
      <c r="AA65" s="112"/>
      <c r="AB65" s="112"/>
      <c r="AC65" s="112"/>
      <c r="AD65" s="112"/>
      <c r="AE65" s="112"/>
      <c r="AF65" s="112"/>
      <c r="AG65" s="112"/>
      <c r="AH65" s="112"/>
      <c r="AI65" s="112"/>
      <c r="AJ65" s="112"/>
      <c r="AK65" s="112"/>
      <c r="AL65" s="112"/>
      <c r="AM65" s="112"/>
      <c r="AN65" s="112"/>
      <c r="AO65" s="112"/>
      <c r="AP65" s="112"/>
      <c r="AQ65" s="112"/>
      <c r="AR65" s="112"/>
      <c r="AS65" s="112"/>
    </row>
    <row r="66" spans="1:49" s="115" customFormat="1" ht="88" customHeight="1" x14ac:dyDescent="0.2">
      <c r="A66" s="220"/>
      <c r="B66" s="214"/>
      <c r="C66" s="214"/>
      <c r="D66" s="218"/>
      <c r="E66" s="214"/>
      <c r="F66" s="214"/>
      <c r="G66" s="214"/>
      <c r="H66" s="214"/>
      <c r="I66" s="214"/>
      <c r="J66" s="214"/>
      <c r="K66" s="214"/>
      <c r="L66" s="214"/>
      <c r="M66" s="214"/>
      <c r="N66" s="214"/>
      <c r="O66" s="213"/>
      <c r="P66" s="214"/>
      <c r="Q66" s="214"/>
      <c r="R66" s="162" t="s">
        <v>1728</v>
      </c>
      <c r="S66" s="112">
        <f>28.31*10^-3</f>
        <v>2.8309999999999998E-2</v>
      </c>
      <c r="T66" s="112">
        <f>6.57*10^-3</f>
        <v>6.5700000000000003E-3</v>
      </c>
      <c r="U66" s="112">
        <v>5.4509999999999996</v>
      </c>
      <c r="V66" s="112"/>
      <c r="W66" s="112">
        <f>0.15*10^-3</f>
        <v>1.4999999999999999E-4</v>
      </c>
      <c r="X66" s="112"/>
      <c r="Y66" s="112"/>
      <c r="Z66" s="112">
        <v>72.44</v>
      </c>
      <c r="AA66" s="112"/>
      <c r="AB66" s="112"/>
      <c r="AC66" s="112"/>
      <c r="AD66" s="112"/>
      <c r="AE66" s="112"/>
      <c r="AF66" s="112"/>
      <c r="AG66" s="112"/>
      <c r="AH66" s="112"/>
      <c r="AI66" s="112"/>
      <c r="AJ66" s="112"/>
      <c r="AK66" s="112"/>
      <c r="AL66" s="112"/>
      <c r="AM66" s="112"/>
      <c r="AN66" s="112"/>
      <c r="AO66" s="112"/>
      <c r="AP66" s="112"/>
      <c r="AQ66" s="112"/>
      <c r="AR66" s="112"/>
      <c r="AS66" s="112"/>
    </row>
    <row r="67" spans="1:49" s="115" customFormat="1" ht="88" customHeight="1" x14ac:dyDescent="0.2">
      <c r="A67" s="220"/>
      <c r="B67" s="214"/>
      <c r="C67" s="214"/>
      <c r="D67" s="218"/>
      <c r="E67" s="214"/>
      <c r="F67" s="214"/>
      <c r="G67" s="214"/>
      <c r="H67" s="214"/>
      <c r="I67" s="214"/>
      <c r="J67" s="214"/>
      <c r="K67" s="214"/>
      <c r="L67" s="214"/>
      <c r="M67" s="214"/>
      <c r="N67" s="214"/>
      <c r="O67" s="213"/>
      <c r="P67" s="214"/>
      <c r="Q67" s="214" t="s">
        <v>1730</v>
      </c>
      <c r="R67" s="162" t="s">
        <v>1727</v>
      </c>
      <c r="S67" s="112">
        <f>14.62*10^-3</f>
        <v>1.4619999999999999E-2</v>
      </c>
      <c r="T67" s="112">
        <f>2.97*10^-3</f>
        <v>2.9700000000000004E-3</v>
      </c>
      <c r="U67" s="112">
        <v>3.0811700000000002</v>
      </c>
      <c r="V67" s="112"/>
      <c r="W67" s="112">
        <f>0.08*10^-3</f>
        <v>8.0000000000000007E-5</v>
      </c>
      <c r="X67" s="112"/>
      <c r="Y67" s="112"/>
      <c r="Z67" s="112">
        <v>42.09</v>
      </c>
      <c r="AA67" s="112"/>
      <c r="AB67" s="112"/>
      <c r="AC67" s="112"/>
      <c r="AD67" s="112"/>
      <c r="AE67" s="112"/>
      <c r="AF67" s="112"/>
      <c r="AG67" s="112"/>
      <c r="AH67" s="112"/>
      <c r="AI67" s="112"/>
      <c r="AJ67" s="112"/>
      <c r="AK67" s="112"/>
      <c r="AL67" s="112"/>
      <c r="AM67" s="112"/>
      <c r="AN67" s="112"/>
      <c r="AO67" s="112"/>
      <c r="AP67" s="112"/>
      <c r="AQ67" s="112"/>
      <c r="AR67" s="112"/>
      <c r="AS67" s="112"/>
    </row>
    <row r="68" spans="1:49" s="115" customFormat="1" ht="88" customHeight="1" x14ac:dyDescent="0.2">
      <c r="A68" s="220"/>
      <c r="B68" s="214"/>
      <c r="C68" s="214"/>
      <c r="D68" s="218"/>
      <c r="E68" s="214"/>
      <c r="F68" s="214"/>
      <c r="G68" s="214"/>
      <c r="H68" s="214"/>
      <c r="I68" s="214"/>
      <c r="J68" s="214"/>
      <c r="K68" s="214"/>
      <c r="L68" s="214"/>
      <c r="M68" s="214"/>
      <c r="N68" s="214"/>
      <c r="O68" s="213"/>
      <c r="P68" s="214"/>
      <c r="Q68" s="214"/>
      <c r="R68" s="162" t="s">
        <v>1728</v>
      </c>
      <c r="S68" s="112">
        <f>26.84*10^-3</f>
        <v>2.6839999999999999E-2</v>
      </c>
      <c r="T68" s="112">
        <f>6.58*10^-3</f>
        <v>6.5799999999999999E-3</v>
      </c>
      <c r="U68" s="112">
        <v>4.9418300000000004</v>
      </c>
      <c r="V68" s="112"/>
      <c r="W68" s="112">
        <f>0.14*10^-3</f>
        <v>1.4000000000000001E-4</v>
      </c>
      <c r="X68" s="112"/>
      <c r="Y68" s="112"/>
      <c r="Z68" s="112">
        <v>66.05</v>
      </c>
      <c r="AA68" s="112"/>
      <c r="AB68" s="112"/>
      <c r="AC68" s="112"/>
      <c r="AD68" s="112"/>
      <c r="AE68" s="112"/>
      <c r="AF68" s="112"/>
      <c r="AG68" s="112"/>
      <c r="AH68" s="112"/>
      <c r="AI68" s="112"/>
      <c r="AJ68" s="112"/>
      <c r="AK68" s="112"/>
      <c r="AL68" s="112"/>
      <c r="AM68" s="112"/>
      <c r="AN68" s="112"/>
      <c r="AO68" s="112"/>
      <c r="AP68" s="112"/>
      <c r="AQ68" s="112"/>
      <c r="AR68" s="112"/>
      <c r="AS68" s="112"/>
    </row>
    <row r="69" spans="1:49" s="115" customFormat="1" ht="75" x14ac:dyDescent="0.2">
      <c r="A69" s="105">
        <v>48</v>
      </c>
      <c r="B69" s="162" t="s">
        <v>745</v>
      </c>
      <c r="C69" s="162" t="s">
        <v>833</v>
      </c>
      <c r="D69" s="160">
        <v>2015</v>
      </c>
      <c r="E69" s="162" t="s">
        <v>661</v>
      </c>
      <c r="F69" s="112" t="s">
        <v>744</v>
      </c>
      <c r="G69" s="162" t="s">
        <v>1160</v>
      </c>
      <c r="H69" s="162" t="s">
        <v>1150</v>
      </c>
      <c r="I69" s="162" t="s">
        <v>1161</v>
      </c>
      <c r="J69" s="162" t="s">
        <v>446</v>
      </c>
      <c r="K69" s="162" t="s">
        <v>1165</v>
      </c>
      <c r="L69" s="162" t="s">
        <v>92</v>
      </c>
      <c r="M69" s="162" t="s">
        <v>1163</v>
      </c>
      <c r="N69" s="162" t="s">
        <v>1164</v>
      </c>
      <c r="O69" s="161" t="s">
        <v>18</v>
      </c>
      <c r="P69" s="161" t="s">
        <v>18</v>
      </c>
      <c r="Q69" s="162" t="s">
        <v>1162</v>
      </c>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c r="AO69" s="112"/>
      <c r="AP69" s="112"/>
      <c r="AQ69" s="112"/>
      <c r="AR69" s="112"/>
      <c r="AS69" s="112"/>
    </row>
    <row r="70" spans="1:49" s="115" customFormat="1" ht="78" customHeight="1" x14ac:dyDescent="0.2">
      <c r="A70" s="220">
        <v>49</v>
      </c>
      <c r="B70" s="214" t="s">
        <v>747</v>
      </c>
      <c r="C70" s="214" t="s">
        <v>189</v>
      </c>
      <c r="D70" s="218">
        <v>2010</v>
      </c>
      <c r="E70" s="214" t="s">
        <v>118</v>
      </c>
      <c r="F70" s="214" t="s">
        <v>746</v>
      </c>
      <c r="G70" s="214" t="s">
        <v>1166</v>
      </c>
      <c r="H70" s="214" t="s">
        <v>1095</v>
      </c>
      <c r="I70" s="214" t="s">
        <v>1167</v>
      </c>
      <c r="J70" s="214" t="s">
        <v>90</v>
      </c>
      <c r="K70" s="214" t="s">
        <v>1168</v>
      </c>
      <c r="L70" s="214" t="s">
        <v>441</v>
      </c>
      <c r="M70" s="214"/>
      <c r="N70" s="214" t="s">
        <v>1169</v>
      </c>
      <c r="O70" s="213" t="s">
        <v>18</v>
      </c>
      <c r="P70" s="214" t="s">
        <v>1170</v>
      </c>
      <c r="Q70" s="214" t="s">
        <v>1724</v>
      </c>
      <c r="R70" s="162" t="s">
        <v>1725</v>
      </c>
      <c r="S70" s="162">
        <f>30.73*10^-3</f>
        <v>3.073E-2</v>
      </c>
      <c r="T70" s="162">
        <f>3.81*10^-3</f>
        <v>3.81E-3</v>
      </c>
      <c r="U70" s="162">
        <v>2.6830699999999998</v>
      </c>
      <c r="V70" s="162"/>
      <c r="W70" s="162">
        <f>0.53*10^-3</f>
        <v>5.3000000000000009E-4</v>
      </c>
      <c r="X70" s="162"/>
      <c r="Y70" s="162"/>
      <c r="Z70" s="162">
        <v>27.77</v>
      </c>
      <c r="AA70" s="162"/>
      <c r="AB70" s="162"/>
      <c r="AC70" s="162"/>
      <c r="AD70" s="162"/>
      <c r="AE70" s="162"/>
      <c r="AF70" s="162"/>
      <c r="AG70" s="162"/>
      <c r="AH70" s="112"/>
      <c r="AI70" s="112"/>
      <c r="AJ70" s="112"/>
      <c r="AK70" s="112"/>
      <c r="AL70" s="112"/>
      <c r="AM70" s="112"/>
      <c r="AN70" s="112"/>
      <c r="AO70" s="112"/>
      <c r="AP70" s="112"/>
      <c r="AQ70" s="112"/>
      <c r="AR70" s="112"/>
      <c r="AS70" s="112"/>
    </row>
    <row r="71" spans="1:49" s="115" customFormat="1" ht="88" customHeight="1" x14ac:dyDescent="0.2">
      <c r="A71" s="220"/>
      <c r="B71" s="214"/>
      <c r="C71" s="214"/>
      <c r="D71" s="218"/>
      <c r="E71" s="214"/>
      <c r="F71" s="214"/>
      <c r="G71" s="214"/>
      <c r="H71" s="214"/>
      <c r="I71" s="214"/>
      <c r="J71" s="214"/>
      <c r="K71" s="214"/>
      <c r="L71" s="214"/>
      <c r="M71" s="214"/>
      <c r="N71" s="214"/>
      <c r="O71" s="213"/>
      <c r="P71" s="214"/>
      <c r="Q71" s="214"/>
      <c r="R71" s="162" t="s">
        <v>1726</v>
      </c>
      <c r="S71" s="162">
        <f>32.35*10^-3</f>
        <v>3.2350000000000004E-2</v>
      </c>
      <c r="T71" s="162">
        <f>3.99*10^-3</f>
        <v>3.9900000000000005E-3</v>
      </c>
      <c r="U71" s="162">
        <v>2.81637</v>
      </c>
      <c r="V71" s="162"/>
      <c r="W71" s="162">
        <f>0.55*10^-3</f>
        <v>5.5000000000000003E-4</v>
      </c>
      <c r="X71" s="162"/>
      <c r="Y71" s="162"/>
      <c r="Z71" s="162">
        <v>29.15</v>
      </c>
      <c r="AA71" s="162"/>
      <c r="AB71" s="162"/>
      <c r="AC71" s="162"/>
      <c r="AD71" s="162"/>
      <c r="AE71" s="162"/>
      <c r="AF71" s="162"/>
      <c r="AG71" s="162"/>
      <c r="AH71" s="112"/>
      <c r="AI71" s="112"/>
      <c r="AJ71" s="112"/>
      <c r="AK71" s="112"/>
      <c r="AL71" s="112"/>
      <c r="AM71" s="112"/>
      <c r="AN71" s="112"/>
      <c r="AO71" s="112"/>
      <c r="AP71" s="112"/>
      <c r="AQ71" s="112"/>
      <c r="AR71" s="112"/>
      <c r="AS71" s="112"/>
    </row>
    <row r="72" spans="1:49" s="115" customFormat="1" ht="90" x14ac:dyDescent="0.2">
      <c r="A72" s="105">
        <v>50</v>
      </c>
      <c r="B72" s="162" t="s">
        <v>749</v>
      </c>
      <c r="C72" s="162" t="s">
        <v>1171</v>
      </c>
      <c r="D72" s="160">
        <v>2016</v>
      </c>
      <c r="E72" s="162" t="s">
        <v>107</v>
      </c>
      <c r="F72" s="162" t="s">
        <v>748</v>
      </c>
      <c r="G72" s="162" t="s">
        <v>1172</v>
      </c>
      <c r="H72" s="162" t="s">
        <v>1177</v>
      </c>
      <c r="I72" s="162" t="s">
        <v>1176</v>
      </c>
      <c r="J72" s="162" t="s">
        <v>89</v>
      </c>
      <c r="K72" s="162" t="s">
        <v>1173</v>
      </c>
      <c r="L72" s="162" t="s">
        <v>91</v>
      </c>
      <c r="M72" s="162" t="s">
        <v>94</v>
      </c>
      <c r="N72" s="162" t="s">
        <v>1175</v>
      </c>
      <c r="O72" s="161" t="s">
        <v>18</v>
      </c>
      <c r="P72" s="162" t="s">
        <v>1174</v>
      </c>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2"/>
      <c r="AO72" s="112"/>
      <c r="AP72" s="112"/>
      <c r="AQ72" s="112"/>
      <c r="AR72" s="112"/>
      <c r="AS72" s="112"/>
    </row>
    <row r="73" spans="1:49" s="115" customFormat="1" ht="150" x14ac:dyDescent="0.2">
      <c r="A73" s="105">
        <v>51</v>
      </c>
      <c r="B73" s="162" t="s">
        <v>751</v>
      </c>
      <c r="C73" s="162" t="s">
        <v>121</v>
      </c>
      <c r="D73" s="160">
        <v>2016</v>
      </c>
      <c r="E73" s="162" t="s">
        <v>730</v>
      </c>
      <c r="F73" s="162" t="s">
        <v>750</v>
      </c>
      <c r="G73" s="162" t="s">
        <v>1178</v>
      </c>
      <c r="H73" s="162" t="s">
        <v>1150</v>
      </c>
      <c r="I73" s="162" t="s">
        <v>1179</v>
      </c>
      <c r="J73" s="162" t="s">
        <v>445</v>
      </c>
      <c r="K73" s="162" t="s">
        <v>1180</v>
      </c>
      <c r="L73" s="162" t="s">
        <v>441</v>
      </c>
      <c r="M73" s="162"/>
      <c r="N73" s="162" t="s">
        <v>361</v>
      </c>
      <c r="O73" s="161" t="s">
        <v>18</v>
      </c>
      <c r="P73" s="161" t="s">
        <v>18</v>
      </c>
      <c r="Q73" s="112"/>
      <c r="R73" s="162" t="s">
        <v>1723</v>
      </c>
      <c r="S73" s="162">
        <v>0.82199999999999995</v>
      </c>
      <c r="T73" s="162">
        <v>1.7000000000000001E-2</v>
      </c>
      <c r="U73" s="162">
        <v>1345.14</v>
      </c>
      <c r="V73" s="162"/>
      <c r="W73" s="162">
        <v>0.91400000000000003</v>
      </c>
      <c r="X73" s="162">
        <v>61993</v>
      </c>
      <c r="Y73" s="162"/>
      <c r="Z73" s="162"/>
      <c r="AA73" s="162"/>
      <c r="AB73" s="162"/>
      <c r="AC73" s="162">
        <v>4.1100000000000003</v>
      </c>
      <c r="AD73" s="162" t="s">
        <v>18</v>
      </c>
      <c r="AE73" s="162">
        <f>2.68*10^-11</f>
        <v>2.6800000000000001E-11</v>
      </c>
      <c r="AF73" s="162" t="s">
        <v>18</v>
      </c>
      <c r="AG73" s="162"/>
      <c r="AH73" s="162"/>
      <c r="AI73" s="162"/>
      <c r="AJ73" s="162"/>
      <c r="AK73" s="162"/>
      <c r="AL73" s="162"/>
      <c r="AM73" s="162"/>
      <c r="AN73" s="162"/>
      <c r="AO73" s="162"/>
      <c r="AP73" s="162"/>
      <c r="AQ73" s="162"/>
      <c r="AR73" s="162"/>
      <c r="AS73" s="162"/>
      <c r="AT73" s="105"/>
      <c r="AU73" s="105">
        <v>940</v>
      </c>
      <c r="AV73" s="105">
        <v>0.45</v>
      </c>
      <c r="AW73" s="105">
        <f>6.26*10^-4</f>
        <v>6.2600000000000004E-4</v>
      </c>
    </row>
    <row r="74" spans="1:49" s="115" customFormat="1" ht="120" x14ac:dyDescent="0.2">
      <c r="A74" s="105">
        <v>52</v>
      </c>
      <c r="B74" s="162" t="s">
        <v>753</v>
      </c>
      <c r="C74" s="162" t="s">
        <v>126</v>
      </c>
      <c r="D74" s="160">
        <v>2014</v>
      </c>
      <c r="E74" s="162" t="s">
        <v>114</v>
      </c>
      <c r="F74" s="162" t="s">
        <v>752</v>
      </c>
      <c r="G74" s="162" t="s">
        <v>1181</v>
      </c>
      <c r="H74" s="162" t="s">
        <v>100</v>
      </c>
      <c r="I74" s="162" t="s">
        <v>275</v>
      </c>
      <c r="J74" s="162" t="s">
        <v>89</v>
      </c>
      <c r="K74" s="162" t="s">
        <v>1182</v>
      </c>
      <c r="L74" s="162" t="s">
        <v>91</v>
      </c>
      <c r="M74" s="162" t="s">
        <v>448</v>
      </c>
      <c r="N74" s="162" t="s">
        <v>1184</v>
      </c>
      <c r="O74" s="159" t="s">
        <v>1183</v>
      </c>
      <c r="P74" s="159" t="s">
        <v>1185</v>
      </c>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2"/>
      <c r="AP74" s="112"/>
      <c r="AQ74" s="112"/>
      <c r="AR74" s="112"/>
      <c r="AS74" s="112"/>
    </row>
    <row r="75" spans="1:49" s="115" customFormat="1" ht="75" x14ac:dyDescent="0.2">
      <c r="A75" s="105">
        <v>53</v>
      </c>
      <c r="B75" s="162" t="s">
        <v>755</v>
      </c>
      <c r="C75" s="162" t="s">
        <v>82</v>
      </c>
      <c r="D75" s="160">
        <v>2012</v>
      </c>
      <c r="E75" s="162" t="s">
        <v>115</v>
      </c>
      <c r="F75" s="162" t="s">
        <v>754</v>
      </c>
      <c r="G75" s="162" t="s">
        <v>1186</v>
      </c>
      <c r="H75" s="162" t="s">
        <v>102</v>
      </c>
      <c r="I75" s="162" t="s">
        <v>110</v>
      </c>
      <c r="J75" s="162" t="s">
        <v>89</v>
      </c>
      <c r="K75" s="162" t="s">
        <v>1187</v>
      </c>
      <c r="L75" s="162" t="s">
        <v>650</v>
      </c>
      <c r="M75" s="162"/>
      <c r="N75" s="162" t="s">
        <v>1189</v>
      </c>
      <c r="O75" s="161" t="s">
        <v>18</v>
      </c>
      <c r="P75" s="159" t="s">
        <v>1188</v>
      </c>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2"/>
      <c r="AP75" s="112"/>
      <c r="AQ75" s="112"/>
      <c r="AR75" s="112"/>
      <c r="AS75" s="112"/>
    </row>
    <row r="76" spans="1:49" s="115" customFormat="1" ht="105" x14ac:dyDescent="0.2">
      <c r="A76" s="105">
        <v>54</v>
      </c>
      <c r="B76" s="162" t="s">
        <v>757</v>
      </c>
      <c r="C76" s="162" t="s">
        <v>8</v>
      </c>
      <c r="D76" s="160">
        <v>2013</v>
      </c>
      <c r="E76" s="162" t="s">
        <v>114</v>
      </c>
      <c r="F76" s="162" t="s">
        <v>756</v>
      </c>
      <c r="G76" s="162" t="s">
        <v>1190</v>
      </c>
      <c r="H76" s="162" t="s">
        <v>1194</v>
      </c>
      <c r="I76" s="162" t="s">
        <v>1195</v>
      </c>
      <c r="J76" s="162" t="s">
        <v>444</v>
      </c>
      <c r="K76" s="162" t="s">
        <v>1192</v>
      </c>
      <c r="L76" s="162" t="s">
        <v>91</v>
      </c>
      <c r="M76" s="162" t="s">
        <v>448</v>
      </c>
      <c r="N76" s="162" t="s">
        <v>1193</v>
      </c>
      <c r="O76" s="162" t="s">
        <v>1196</v>
      </c>
      <c r="P76" s="162" t="s">
        <v>1191</v>
      </c>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c r="AR76" s="112"/>
      <c r="AS76" s="112"/>
    </row>
    <row r="77" spans="1:49" s="115" customFormat="1" ht="75" x14ac:dyDescent="0.2">
      <c r="A77" s="105">
        <v>55</v>
      </c>
      <c r="B77" s="162" t="s">
        <v>195</v>
      </c>
      <c r="C77" s="105" t="s">
        <v>194</v>
      </c>
      <c r="D77" s="160">
        <v>2015</v>
      </c>
      <c r="E77" s="162" t="s">
        <v>114</v>
      </c>
      <c r="F77" s="162" t="s">
        <v>193</v>
      </c>
      <c r="G77" s="162" t="s">
        <v>376</v>
      </c>
      <c r="H77" s="162" t="s">
        <v>98</v>
      </c>
      <c r="I77" s="162" t="s">
        <v>377</v>
      </c>
      <c r="J77" s="162" t="s">
        <v>445</v>
      </c>
      <c r="K77" s="162" t="s">
        <v>488</v>
      </c>
      <c r="L77" s="162" t="s">
        <v>92</v>
      </c>
      <c r="M77" s="162" t="s">
        <v>443</v>
      </c>
      <c r="N77" s="162" t="s">
        <v>489</v>
      </c>
      <c r="O77" s="109" t="s">
        <v>18</v>
      </c>
      <c r="P77" s="105" t="s">
        <v>378</v>
      </c>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c r="AQ77" s="112"/>
      <c r="AR77" s="112"/>
      <c r="AS77" s="112"/>
    </row>
    <row r="78" spans="1:49" s="115" customFormat="1" ht="105" x14ac:dyDescent="0.2">
      <c r="A78" s="105">
        <v>56</v>
      </c>
      <c r="B78" s="162" t="s">
        <v>759</v>
      </c>
      <c r="C78" s="162" t="s">
        <v>1197</v>
      </c>
      <c r="D78" s="160">
        <v>2016</v>
      </c>
      <c r="E78" s="162" t="s">
        <v>114</v>
      </c>
      <c r="F78" s="162" t="s">
        <v>758</v>
      </c>
      <c r="G78" s="162" t="s">
        <v>1198</v>
      </c>
      <c r="H78" s="162" t="s">
        <v>103</v>
      </c>
      <c r="I78" s="162" t="s">
        <v>1200</v>
      </c>
      <c r="J78" s="162" t="s">
        <v>89</v>
      </c>
      <c r="K78" s="162" t="s">
        <v>1201</v>
      </c>
      <c r="L78" s="162" t="s">
        <v>443</v>
      </c>
      <c r="M78" s="162"/>
      <c r="N78" s="162" t="s">
        <v>1202</v>
      </c>
      <c r="O78" s="161" t="s">
        <v>18</v>
      </c>
      <c r="P78" s="159" t="s">
        <v>1199</v>
      </c>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c r="AO78" s="112"/>
      <c r="AP78" s="112"/>
      <c r="AQ78" s="112"/>
      <c r="AR78" s="112"/>
      <c r="AS78" s="112"/>
    </row>
    <row r="79" spans="1:49" s="115" customFormat="1" ht="60" x14ac:dyDescent="0.2">
      <c r="A79" s="105">
        <v>57</v>
      </c>
      <c r="B79" s="162" t="s">
        <v>761</v>
      </c>
      <c r="C79" s="162" t="s">
        <v>795</v>
      </c>
      <c r="D79" s="160">
        <v>2001</v>
      </c>
      <c r="E79" s="162" t="s">
        <v>118</v>
      </c>
      <c r="F79" s="162" t="s">
        <v>760</v>
      </c>
      <c r="G79" s="162" t="s">
        <v>1204</v>
      </c>
      <c r="H79" s="162" t="s">
        <v>1150</v>
      </c>
      <c r="I79" s="162" t="s">
        <v>1203</v>
      </c>
      <c r="J79" s="162" t="s">
        <v>445</v>
      </c>
      <c r="K79" s="162" t="s">
        <v>1205</v>
      </c>
      <c r="L79" s="162" t="s">
        <v>443</v>
      </c>
      <c r="M79" s="162"/>
      <c r="N79" s="162" t="s">
        <v>18</v>
      </c>
      <c r="O79" s="159" t="s">
        <v>1196</v>
      </c>
      <c r="P79" s="161" t="s">
        <v>18</v>
      </c>
      <c r="Q79" s="112"/>
      <c r="R79" s="112"/>
      <c r="S79" s="112"/>
      <c r="T79" s="112"/>
      <c r="U79" s="112"/>
      <c r="V79" s="112"/>
      <c r="W79" s="112"/>
      <c r="X79" s="112"/>
      <c r="Y79" s="112"/>
      <c r="Z79" s="112"/>
      <c r="AA79" s="112"/>
      <c r="AB79" s="112"/>
      <c r="AC79" s="112"/>
      <c r="AD79" s="112"/>
      <c r="AE79" s="112"/>
      <c r="AF79" s="112"/>
      <c r="AG79" s="112"/>
      <c r="AH79" s="112"/>
      <c r="AI79" s="112"/>
      <c r="AJ79" s="112"/>
      <c r="AK79" s="112"/>
      <c r="AL79" s="112"/>
      <c r="AM79" s="112"/>
      <c r="AN79" s="112"/>
      <c r="AO79" s="112"/>
      <c r="AP79" s="112"/>
      <c r="AQ79" s="112"/>
      <c r="AR79" s="112"/>
      <c r="AS79" s="112"/>
    </row>
    <row r="80" spans="1:49" s="115" customFormat="1" ht="75" x14ac:dyDescent="0.2">
      <c r="A80" s="105">
        <v>58</v>
      </c>
      <c r="B80" s="162" t="s">
        <v>763</v>
      </c>
      <c r="C80" s="162" t="s">
        <v>82</v>
      </c>
      <c r="D80" s="160">
        <v>2009</v>
      </c>
      <c r="E80" s="162" t="s">
        <v>28</v>
      </c>
      <c r="F80" s="162" t="s">
        <v>762</v>
      </c>
      <c r="G80" s="162" t="s">
        <v>1206</v>
      </c>
      <c r="H80" s="162" t="s">
        <v>1150</v>
      </c>
      <c r="I80" s="162" t="s">
        <v>1207</v>
      </c>
      <c r="J80" s="162" t="s">
        <v>89</v>
      </c>
      <c r="K80" s="162" t="s">
        <v>1208</v>
      </c>
      <c r="L80" s="162" t="s">
        <v>91</v>
      </c>
      <c r="M80" s="162" t="s">
        <v>1211</v>
      </c>
      <c r="N80" s="162" t="s">
        <v>1210</v>
      </c>
      <c r="O80" s="161" t="s">
        <v>18</v>
      </c>
      <c r="P80" s="159" t="s">
        <v>1209</v>
      </c>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2"/>
      <c r="AN80" s="112"/>
      <c r="AO80" s="112"/>
      <c r="AP80" s="112"/>
      <c r="AQ80" s="112"/>
      <c r="AR80" s="112"/>
      <c r="AS80" s="112"/>
    </row>
    <row r="81" spans="1:45" s="115" customFormat="1" ht="105" x14ac:dyDescent="0.2">
      <c r="A81" s="105">
        <v>59</v>
      </c>
      <c r="B81" s="98" t="s">
        <v>765</v>
      </c>
      <c r="C81" s="51" t="s">
        <v>82</v>
      </c>
      <c r="D81" s="106">
        <v>2010</v>
      </c>
      <c r="E81" s="51" t="s">
        <v>107</v>
      </c>
      <c r="F81" s="51" t="s">
        <v>764</v>
      </c>
      <c r="G81" s="51" t="s">
        <v>1212</v>
      </c>
      <c r="H81" s="121" t="s">
        <v>103</v>
      </c>
      <c r="I81" s="51" t="s">
        <v>1214</v>
      </c>
      <c r="J81" s="51" t="s">
        <v>89</v>
      </c>
      <c r="K81" s="51" t="s">
        <v>1213</v>
      </c>
      <c r="L81" s="51" t="s">
        <v>91</v>
      </c>
      <c r="M81" s="51" t="s">
        <v>931</v>
      </c>
      <c r="N81" s="51" t="s">
        <v>1216</v>
      </c>
      <c r="O81" s="132" t="s">
        <v>18</v>
      </c>
      <c r="P81" s="111" t="s">
        <v>460</v>
      </c>
      <c r="Q81" s="112"/>
      <c r="R81" s="112"/>
      <c r="S81" s="112"/>
      <c r="T81" s="112"/>
      <c r="U81" s="112"/>
      <c r="V81" s="112"/>
      <c r="W81" s="112"/>
      <c r="X81" s="112"/>
      <c r="Y81" s="112"/>
      <c r="Z81" s="112"/>
      <c r="AA81" s="112"/>
      <c r="AB81" s="112"/>
      <c r="AC81" s="112"/>
      <c r="AD81" s="112"/>
      <c r="AE81" s="112"/>
      <c r="AF81" s="112"/>
      <c r="AG81" s="112"/>
      <c r="AH81" s="112"/>
      <c r="AI81" s="112"/>
      <c r="AJ81" s="112"/>
      <c r="AK81" s="112"/>
      <c r="AL81" s="112"/>
      <c r="AM81" s="112"/>
      <c r="AN81" s="112"/>
      <c r="AO81" s="112"/>
      <c r="AP81" s="112"/>
      <c r="AQ81" s="112"/>
      <c r="AR81" s="112"/>
      <c r="AS81" s="112"/>
    </row>
    <row r="82" spans="1:45" s="115" customFormat="1" ht="120" x14ac:dyDescent="0.2">
      <c r="A82" s="105">
        <v>60</v>
      </c>
      <c r="B82" s="98" t="s">
        <v>767</v>
      </c>
      <c r="C82" s="51" t="s">
        <v>728</v>
      </c>
      <c r="D82" s="106">
        <v>2014</v>
      </c>
      <c r="E82" s="51" t="s">
        <v>114</v>
      </c>
      <c r="F82" s="51" t="s">
        <v>766</v>
      </c>
      <c r="G82" s="51" t="s">
        <v>1215</v>
      </c>
      <c r="H82" s="121" t="s">
        <v>103</v>
      </c>
      <c r="I82" s="51" t="s">
        <v>1218</v>
      </c>
      <c r="J82" s="51" t="s">
        <v>446</v>
      </c>
      <c r="K82" s="51" t="s">
        <v>1217</v>
      </c>
      <c r="L82" s="51" t="s">
        <v>91</v>
      </c>
      <c r="M82" s="51" t="s">
        <v>443</v>
      </c>
      <c r="N82" s="51" t="s">
        <v>1219</v>
      </c>
      <c r="O82" s="110" t="s">
        <v>18</v>
      </c>
      <c r="P82" s="134" t="s">
        <v>1220</v>
      </c>
      <c r="Q82" s="112"/>
      <c r="R82" s="112"/>
      <c r="S82" s="112"/>
      <c r="T82" s="112"/>
      <c r="U82" s="112"/>
      <c r="V82" s="112"/>
      <c r="W82" s="112"/>
      <c r="X82" s="112"/>
      <c r="Y82" s="112"/>
      <c r="Z82" s="112"/>
      <c r="AA82" s="112"/>
      <c r="AB82" s="112"/>
      <c r="AC82" s="112"/>
      <c r="AD82" s="112"/>
      <c r="AE82" s="112"/>
      <c r="AF82" s="112"/>
      <c r="AG82" s="112"/>
      <c r="AH82" s="112"/>
      <c r="AI82" s="112"/>
      <c r="AJ82" s="112"/>
      <c r="AK82" s="112"/>
      <c r="AL82" s="112"/>
      <c r="AM82" s="112"/>
      <c r="AN82" s="112"/>
      <c r="AO82" s="112"/>
      <c r="AP82" s="112"/>
      <c r="AQ82" s="112"/>
      <c r="AR82" s="112"/>
      <c r="AS82" s="112"/>
    </row>
    <row r="83" spans="1:45" s="115" customFormat="1" ht="105" x14ac:dyDescent="0.2">
      <c r="A83" s="105">
        <v>61</v>
      </c>
      <c r="B83" s="51" t="s">
        <v>200</v>
      </c>
      <c r="C83" s="100" t="s">
        <v>197</v>
      </c>
      <c r="D83" s="101">
        <v>2016</v>
      </c>
      <c r="E83" s="98" t="s">
        <v>164</v>
      </c>
      <c r="F83" s="16" t="s">
        <v>199</v>
      </c>
      <c r="G83" s="103" t="s">
        <v>383</v>
      </c>
      <c r="H83" s="51" t="s">
        <v>443</v>
      </c>
      <c r="I83" s="98" t="s">
        <v>386</v>
      </c>
      <c r="J83" s="98" t="s">
        <v>88</v>
      </c>
      <c r="K83" s="100" t="s">
        <v>384</v>
      </c>
      <c r="L83" s="100" t="s">
        <v>92</v>
      </c>
      <c r="M83" s="100" t="s">
        <v>443</v>
      </c>
      <c r="N83" s="51" t="s">
        <v>385</v>
      </c>
      <c r="O83" s="99" t="s">
        <v>18</v>
      </c>
      <c r="P83" s="99" t="s">
        <v>18</v>
      </c>
      <c r="Q83" s="112"/>
      <c r="R83" s="112"/>
      <c r="S83" s="112"/>
      <c r="T83" s="112"/>
      <c r="U83" s="112"/>
      <c r="V83" s="112"/>
      <c r="W83" s="112"/>
      <c r="X83" s="112"/>
      <c r="Y83" s="112"/>
      <c r="Z83" s="112"/>
      <c r="AA83" s="112"/>
      <c r="AB83" s="112"/>
      <c r="AC83" s="112"/>
      <c r="AD83" s="112"/>
      <c r="AE83" s="112"/>
      <c r="AF83" s="112"/>
      <c r="AG83" s="112"/>
      <c r="AH83" s="112"/>
      <c r="AI83" s="112"/>
      <c r="AJ83" s="112"/>
      <c r="AK83" s="112"/>
      <c r="AL83" s="112"/>
      <c r="AM83" s="112"/>
      <c r="AN83" s="112"/>
      <c r="AO83" s="112"/>
      <c r="AP83" s="112"/>
      <c r="AQ83" s="112"/>
      <c r="AR83" s="112"/>
      <c r="AS83" s="112"/>
    </row>
    <row r="84" spans="1:45" s="115" customFormat="1" ht="75" x14ac:dyDescent="0.2">
      <c r="A84" s="105">
        <v>62</v>
      </c>
      <c r="B84" s="98" t="s">
        <v>770</v>
      </c>
      <c r="C84" s="51" t="s">
        <v>769</v>
      </c>
      <c r="D84" s="106">
        <v>2011</v>
      </c>
      <c r="E84" s="51" t="s">
        <v>731</v>
      </c>
      <c r="F84" s="51" t="s">
        <v>768</v>
      </c>
      <c r="G84" s="51" t="s">
        <v>1221</v>
      </c>
      <c r="H84" s="121" t="s">
        <v>102</v>
      </c>
      <c r="I84" s="51" t="s">
        <v>110</v>
      </c>
      <c r="J84" s="51" t="s">
        <v>441</v>
      </c>
      <c r="K84" s="51" t="s">
        <v>1223</v>
      </c>
      <c r="L84" s="51" t="s">
        <v>92</v>
      </c>
      <c r="M84" s="51" t="s">
        <v>1224</v>
      </c>
      <c r="N84" s="51" t="s">
        <v>1222</v>
      </c>
      <c r="O84" s="110" t="s">
        <v>18</v>
      </c>
      <c r="P84" s="134" t="s">
        <v>378</v>
      </c>
      <c r="Q84" s="112"/>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c r="AO84" s="112"/>
      <c r="AP84" s="112"/>
      <c r="AQ84" s="112"/>
      <c r="AR84" s="112"/>
      <c r="AS84" s="112"/>
    </row>
    <row r="85" spans="1:45" s="115" customFormat="1" ht="75" x14ac:dyDescent="0.2">
      <c r="A85" s="105">
        <v>63</v>
      </c>
      <c r="B85" s="51" t="s">
        <v>775</v>
      </c>
      <c r="C85" s="51" t="s">
        <v>27</v>
      </c>
      <c r="D85" s="106">
        <v>2001</v>
      </c>
      <c r="E85" s="51" t="s">
        <v>660</v>
      </c>
      <c r="F85" s="51" t="s">
        <v>774</v>
      </c>
      <c r="G85" s="51" t="s">
        <v>1225</v>
      </c>
      <c r="H85" s="121" t="s">
        <v>103</v>
      </c>
      <c r="I85" s="51" t="s">
        <v>110</v>
      </c>
      <c r="J85" s="51" t="s">
        <v>446</v>
      </c>
      <c r="K85" s="51" t="s">
        <v>1227</v>
      </c>
      <c r="L85" s="51" t="s">
        <v>441</v>
      </c>
      <c r="M85" s="51"/>
      <c r="N85" s="51" t="s">
        <v>1226</v>
      </c>
      <c r="O85" s="110" t="s">
        <v>18</v>
      </c>
      <c r="P85" s="134" t="s">
        <v>1228</v>
      </c>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c r="AQ85" s="112"/>
      <c r="AR85" s="112"/>
      <c r="AS85" s="112"/>
    </row>
    <row r="86" spans="1:45" s="115" customFormat="1" ht="45" x14ac:dyDescent="0.2">
      <c r="A86" s="105">
        <v>64</v>
      </c>
      <c r="B86" s="51" t="s">
        <v>777</v>
      </c>
      <c r="C86" s="51" t="s">
        <v>82</v>
      </c>
      <c r="D86" s="106">
        <v>2011</v>
      </c>
      <c r="E86" s="51" t="s">
        <v>771</v>
      </c>
      <c r="F86" s="51" t="s">
        <v>776</v>
      </c>
      <c r="G86" s="51" t="s">
        <v>1229</v>
      </c>
      <c r="H86" s="121" t="s">
        <v>103</v>
      </c>
      <c r="I86" s="51" t="s">
        <v>110</v>
      </c>
      <c r="J86" s="51" t="s">
        <v>446</v>
      </c>
      <c r="K86" s="51" t="s">
        <v>1230</v>
      </c>
      <c r="L86" s="51" t="s">
        <v>441</v>
      </c>
      <c r="M86" s="51"/>
      <c r="N86" s="51" t="s">
        <v>1231</v>
      </c>
      <c r="O86" s="110" t="s">
        <v>18</v>
      </c>
      <c r="P86" s="132" t="s">
        <v>18</v>
      </c>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2"/>
      <c r="AN86" s="112"/>
      <c r="AO86" s="112"/>
      <c r="AP86" s="112"/>
      <c r="AQ86" s="112"/>
      <c r="AR86" s="112"/>
      <c r="AS86" s="112"/>
    </row>
    <row r="87" spans="1:45" s="115" customFormat="1" ht="75" x14ac:dyDescent="0.2">
      <c r="A87" s="105">
        <v>65</v>
      </c>
      <c r="B87" s="51" t="s">
        <v>779</v>
      </c>
      <c r="C87" s="51" t="s">
        <v>795</v>
      </c>
      <c r="D87" s="106">
        <v>2015</v>
      </c>
      <c r="E87" s="51" t="s">
        <v>772</v>
      </c>
      <c r="F87" s="51" t="s">
        <v>778</v>
      </c>
      <c r="G87" s="51" t="s">
        <v>1232</v>
      </c>
      <c r="H87" s="121" t="s">
        <v>98</v>
      </c>
      <c r="I87" s="51" t="s">
        <v>1236</v>
      </c>
      <c r="J87" s="51" t="s">
        <v>89</v>
      </c>
      <c r="K87" s="51" t="s">
        <v>1235</v>
      </c>
      <c r="L87" s="51" t="s">
        <v>91</v>
      </c>
      <c r="M87" s="51" t="s">
        <v>448</v>
      </c>
      <c r="N87" s="111" t="s">
        <v>1234</v>
      </c>
      <c r="O87" s="132" t="s">
        <v>18</v>
      </c>
      <c r="P87" s="51" t="s">
        <v>1233</v>
      </c>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c r="AO87" s="112"/>
      <c r="AP87" s="112"/>
      <c r="AQ87" s="112"/>
      <c r="AR87" s="112"/>
      <c r="AS87" s="112"/>
    </row>
    <row r="88" spans="1:45" s="115" customFormat="1" ht="105" x14ac:dyDescent="0.2">
      <c r="A88" s="105">
        <v>66</v>
      </c>
      <c r="B88" s="51" t="s">
        <v>781</v>
      </c>
      <c r="C88" s="51" t="s">
        <v>82</v>
      </c>
      <c r="D88" s="106">
        <v>2013</v>
      </c>
      <c r="E88" s="51" t="s">
        <v>773</v>
      </c>
      <c r="F88" s="51" t="s">
        <v>780</v>
      </c>
      <c r="G88" s="51" t="s">
        <v>1237</v>
      </c>
      <c r="H88" s="121" t="s">
        <v>102</v>
      </c>
      <c r="I88" s="51" t="s">
        <v>1238</v>
      </c>
      <c r="J88" s="51" t="s">
        <v>446</v>
      </c>
      <c r="K88" s="51" t="s">
        <v>1240</v>
      </c>
      <c r="L88" s="51" t="s">
        <v>91</v>
      </c>
      <c r="M88" s="51" t="s">
        <v>443</v>
      </c>
      <c r="N88" s="51" t="s">
        <v>1239</v>
      </c>
      <c r="O88" s="110" t="s">
        <v>18</v>
      </c>
      <c r="P88" s="106" t="s">
        <v>395</v>
      </c>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2"/>
      <c r="AN88" s="112"/>
      <c r="AO88" s="112"/>
      <c r="AP88" s="112"/>
      <c r="AQ88" s="112"/>
      <c r="AR88" s="112"/>
      <c r="AS88" s="112"/>
    </row>
    <row r="89" spans="1:45" s="115" customFormat="1" ht="90" x14ac:dyDescent="0.2">
      <c r="A89" s="105">
        <v>67</v>
      </c>
      <c r="B89" s="51" t="s">
        <v>783</v>
      </c>
      <c r="C89" s="51" t="s">
        <v>82</v>
      </c>
      <c r="D89" s="106">
        <v>2014</v>
      </c>
      <c r="E89" s="51" t="s">
        <v>28</v>
      </c>
      <c r="F89" s="98" t="s">
        <v>782</v>
      </c>
      <c r="G89" s="51" t="s">
        <v>1241</v>
      </c>
      <c r="H89" s="121" t="s">
        <v>102</v>
      </c>
      <c r="I89" s="51" t="s">
        <v>110</v>
      </c>
      <c r="J89" s="51" t="s">
        <v>446</v>
      </c>
      <c r="K89" s="51" t="s">
        <v>1243</v>
      </c>
      <c r="L89" s="51" t="s">
        <v>91</v>
      </c>
      <c r="M89" s="51" t="s">
        <v>94</v>
      </c>
      <c r="N89" s="51" t="s">
        <v>1242</v>
      </c>
      <c r="O89" s="110" t="s">
        <v>18</v>
      </c>
      <c r="P89" s="133" t="s">
        <v>395</v>
      </c>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c r="AO89" s="112"/>
      <c r="AP89" s="112"/>
      <c r="AQ89" s="112"/>
      <c r="AR89" s="112"/>
      <c r="AS89" s="112"/>
    </row>
    <row r="90" spans="1:45" s="115" customFormat="1" ht="75" x14ac:dyDescent="0.2">
      <c r="A90" s="105">
        <v>68</v>
      </c>
      <c r="B90" s="162" t="s">
        <v>785</v>
      </c>
      <c r="C90" s="162" t="s">
        <v>230</v>
      </c>
      <c r="D90" s="160">
        <v>2014</v>
      </c>
      <c r="E90" s="162" t="s">
        <v>164</v>
      </c>
      <c r="F90" s="162" t="s">
        <v>784</v>
      </c>
      <c r="G90" s="162" t="s">
        <v>1244</v>
      </c>
      <c r="H90" s="162" t="s">
        <v>100</v>
      </c>
      <c r="I90" s="162" t="s">
        <v>275</v>
      </c>
      <c r="J90" s="162" t="s">
        <v>90</v>
      </c>
      <c r="K90" s="162" t="s">
        <v>1245</v>
      </c>
      <c r="L90" s="162" t="s">
        <v>441</v>
      </c>
      <c r="M90" s="162"/>
      <c r="N90" s="162" t="s">
        <v>361</v>
      </c>
      <c r="O90" s="161" t="s">
        <v>18</v>
      </c>
      <c r="P90" s="161" t="s">
        <v>18</v>
      </c>
      <c r="Q90" s="112"/>
      <c r="R90" s="112"/>
      <c r="S90" s="112"/>
      <c r="T90" s="112"/>
      <c r="U90" s="112">
        <v>3.95</v>
      </c>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c r="AR90" s="112"/>
      <c r="AS90" s="112"/>
    </row>
    <row r="91" spans="1:45" s="115" customFormat="1" ht="90" x14ac:dyDescent="0.2">
      <c r="A91" s="105">
        <v>69</v>
      </c>
      <c r="B91" s="162" t="s">
        <v>787</v>
      </c>
      <c r="C91" s="162" t="s">
        <v>27</v>
      </c>
      <c r="D91" s="160">
        <v>2010</v>
      </c>
      <c r="E91" s="162" t="s">
        <v>107</v>
      </c>
      <c r="F91" s="162" t="s">
        <v>786</v>
      </c>
      <c r="G91" s="162" t="s">
        <v>1246</v>
      </c>
      <c r="H91" s="162" t="s">
        <v>98</v>
      </c>
      <c r="I91" s="162" t="s">
        <v>1247</v>
      </c>
      <c r="J91" s="162" t="s">
        <v>445</v>
      </c>
      <c r="K91" s="162" t="s">
        <v>1249</v>
      </c>
      <c r="L91" s="162" t="s">
        <v>441</v>
      </c>
      <c r="M91" s="162"/>
      <c r="N91" s="162" t="s">
        <v>1035</v>
      </c>
      <c r="O91" s="159" t="s">
        <v>1248</v>
      </c>
      <c r="P91" s="162" t="s">
        <v>1250</v>
      </c>
      <c r="Q91" s="112"/>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c r="AO91" s="112"/>
      <c r="AP91" s="112"/>
      <c r="AQ91" s="112"/>
      <c r="AR91" s="112"/>
      <c r="AS91" s="112"/>
    </row>
    <row r="92" spans="1:45" s="115" customFormat="1" ht="150" x14ac:dyDescent="0.2">
      <c r="A92" s="105">
        <v>70</v>
      </c>
      <c r="B92" s="162" t="s">
        <v>788</v>
      </c>
      <c r="C92" s="162" t="s">
        <v>121</v>
      </c>
      <c r="D92" s="160">
        <v>2003</v>
      </c>
      <c r="E92" s="162" t="s">
        <v>660</v>
      </c>
      <c r="F92" s="162" t="s">
        <v>789</v>
      </c>
      <c r="G92" s="162" t="s">
        <v>1252</v>
      </c>
      <c r="H92" s="162" t="s">
        <v>103</v>
      </c>
      <c r="I92" s="162" t="s">
        <v>110</v>
      </c>
      <c r="J92" s="162" t="s">
        <v>446</v>
      </c>
      <c r="K92" s="162" t="s">
        <v>1251</v>
      </c>
      <c r="L92" s="162" t="s">
        <v>441</v>
      </c>
      <c r="M92" s="162"/>
      <c r="N92" s="162" t="s">
        <v>1253</v>
      </c>
      <c r="O92" s="162" t="s">
        <v>1255</v>
      </c>
      <c r="P92" s="162" t="s">
        <v>1254</v>
      </c>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2"/>
      <c r="AN92" s="112"/>
      <c r="AO92" s="112"/>
      <c r="AP92" s="112"/>
      <c r="AQ92" s="112"/>
      <c r="AR92" s="112"/>
      <c r="AS92" s="112"/>
    </row>
    <row r="93" spans="1:45" s="115" customFormat="1" ht="120" x14ac:dyDescent="0.2">
      <c r="A93" s="105">
        <v>71</v>
      </c>
      <c r="B93" s="162" t="s">
        <v>221</v>
      </c>
      <c r="C93" s="162" t="s">
        <v>219</v>
      </c>
      <c r="D93" s="160">
        <v>2016</v>
      </c>
      <c r="E93" s="162" t="s">
        <v>115</v>
      </c>
      <c r="F93" s="162" t="s">
        <v>220</v>
      </c>
      <c r="G93" s="162" t="s">
        <v>415</v>
      </c>
      <c r="H93" s="162" t="s">
        <v>103</v>
      </c>
      <c r="I93" s="162" t="s">
        <v>110</v>
      </c>
      <c r="J93" s="162" t="s">
        <v>445</v>
      </c>
      <c r="K93" s="162" t="s">
        <v>416</v>
      </c>
      <c r="L93" s="162" t="s">
        <v>650</v>
      </c>
      <c r="M93" s="162"/>
      <c r="N93" s="162" t="s">
        <v>1715</v>
      </c>
      <c r="O93" s="162" t="s">
        <v>36</v>
      </c>
      <c r="P93" s="162" t="s">
        <v>418</v>
      </c>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c r="AS93" s="112"/>
    </row>
    <row r="94" spans="1:45" s="115" customFormat="1" ht="90" x14ac:dyDescent="0.2">
      <c r="A94" s="105">
        <v>72</v>
      </c>
      <c r="B94" s="162" t="s">
        <v>791</v>
      </c>
      <c r="C94" s="162" t="s">
        <v>27</v>
      </c>
      <c r="D94" s="160">
        <v>2016</v>
      </c>
      <c r="E94" s="162" t="s">
        <v>705</v>
      </c>
      <c r="F94" s="162" t="s">
        <v>790</v>
      </c>
      <c r="G94" s="162" t="s">
        <v>1256</v>
      </c>
      <c r="H94" s="162" t="s">
        <v>100</v>
      </c>
      <c r="I94" s="162" t="s">
        <v>275</v>
      </c>
      <c r="J94" s="162" t="s">
        <v>90</v>
      </c>
      <c r="K94" s="162" t="s">
        <v>1257</v>
      </c>
      <c r="L94" s="162" t="s">
        <v>91</v>
      </c>
      <c r="M94" s="162" t="s">
        <v>443</v>
      </c>
      <c r="N94" s="162" t="s">
        <v>1259</v>
      </c>
      <c r="O94" s="159" t="s">
        <v>1260</v>
      </c>
      <c r="P94" s="162" t="s">
        <v>1258</v>
      </c>
      <c r="Q94" s="162" t="s">
        <v>1261</v>
      </c>
      <c r="R94" s="112"/>
      <c r="S94" s="112"/>
      <c r="T94" s="112"/>
      <c r="U94" s="112"/>
      <c r="V94" s="112"/>
      <c r="W94" s="112"/>
      <c r="X94" s="112"/>
      <c r="Y94" s="112"/>
      <c r="Z94" s="112"/>
      <c r="AA94" s="112"/>
      <c r="AB94" s="112"/>
      <c r="AC94" s="112"/>
      <c r="AD94" s="112"/>
      <c r="AE94" s="112"/>
      <c r="AF94" s="112"/>
      <c r="AG94" s="112"/>
      <c r="AH94" s="112"/>
      <c r="AI94" s="112"/>
      <c r="AJ94" s="112"/>
      <c r="AK94" s="112"/>
      <c r="AL94" s="112"/>
      <c r="AM94" s="112"/>
      <c r="AN94" s="112"/>
      <c r="AO94" s="112"/>
      <c r="AP94" s="112"/>
      <c r="AQ94" s="112"/>
      <c r="AR94" s="112"/>
      <c r="AS94" s="112"/>
    </row>
    <row r="95" spans="1:45" s="115" customFormat="1" ht="105" x14ac:dyDescent="0.2">
      <c r="A95" s="105">
        <v>73</v>
      </c>
      <c r="B95" s="162" t="s">
        <v>228</v>
      </c>
      <c r="C95" s="162" t="s">
        <v>121</v>
      </c>
      <c r="D95" s="160">
        <v>2016</v>
      </c>
      <c r="E95" s="162" t="s">
        <v>215</v>
      </c>
      <c r="F95" s="162" t="s">
        <v>227</v>
      </c>
      <c r="G95" s="162" t="s">
        <v>426</v>
      </c>
      <c r="H95" s="162" t="s">
        <v>100</v>
      </c>
      <c r="I95" s="162" t="s">
        <v>275</v>
      </c>
      <c r="J95" s="162" t="s">
        <v>445</v>
      </c>
      <c r="K95" s="162" t="s">
        <v>428</v>
      </c>
      <c r="L95" s="162" t="s">
        <v>441</v>
      </c>
      <c r="M95" s="162"/>
      <c r="N95" s="162" t="s">
        <v>427</v>
      </c>
      <c r="O95" s="161" t="s">
        <v>18</v>
      </c>
      <c r="P95" s="161" t="s">
        <v>18</v>
      </c>
      <c r="Q95" s="162" t="s">
        <v>1713</v>
      </c>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c r="AO95" s="112"/>
      <c r="AP95" s="112"/>
      <c r="AQ95" s="112"/>
      <c r="AR95" s="112"/>
      <c r="AS95" s="112"/>
    </row>
    <row r="96" spans="1:45" s="115" customFormat="1" ht="75" x14ac:dyDescent="0.2">
      <c r="A96" s="105">
        <v>74</v>
      </c>
      <c r="B96" s="162" t="s">
        <v>793</v>
      </c>
      <c r="C96" s="162" t="s">
        <v>138</v>
      </c>
      <c r="D96" s="160">
        <v>2016</v>
      </c>
      <c r="E96" s="162" t="s">
        <v>660</v>
      </c>
      <c r="F96" s="162" t="s">
        <v>792</v>
      </c>
      <c r="G96" s="162" t="s">
        <v>1262</v>
      </c>
      <c r="H96" s="162" t="s">
        <v>98</v>
      </c>
      <c r="I96" s="162" t="s">
        <v>1265</v>
      </c>
      <c r="J96" s="162" t="s">
        <v>89</v>
      </c>
      <c r="K96" s="162" t="s">
        <v>1263</v>
      </c>
      <c r="L96" s="162" t="s">
        <v>441</v>
      </c>
      <c r="M96" s="162"/>
      <c r="N96" s="162" t="s">
        <v>1264</v>
      </c>
      <c r="O96" s="161" t="s">
        <v>18</v>
      </c>
      <c r="P96" s="161" t="s">
        <v>18</v>
      </c>
      <c r="Q96" s="112"/>
      <c r="R96" s="112"/>
      <c r="S96" s="112"/>
      <c r="T96" s="112"/>
      <c r="U96" s="112"/>
      <c r="V96" s="112"/>
      <c r="W96" s="112"/>
      <c r="X96" s="112"/>
      <c r="Y96" s="112"/>
      <c r="Z96" s="112"/>
      <c r="AA96" s="112"/>
      <c r="AB96" s="112"/>
      <c r="AC96" s="112"/>
      <c r="AD96" s="112"/>
      <c r="AE96" s="112"/>
      <c r="AF96" s="112"/>
      <c r="AG96" s="112"/>
      <c r="AH96" s="112"/>
      <c r="AI96" s="112"/>
      <c r="AJ96" s="112"/>
      <c r="AK96" s="112"/>
      <c r="AL96" s="112"/>
      <c r="AM96" s="112"/>
      <c r="AN96" s="112"/>
      <c r="AO96" s="112"/>
      <c r="AP96" s="112"/>
      <c r="AQ96" s="112"/>
      <c r="AR96" s="112"/>
      <c r="AS96" s="112"/>
    </row>
    <row r="97" spans="1:45" s="115" customFormat="1" ht="105" x14ac:dyDescent="0.2">
      <c r="A97" s="105">
        <v>75</v>
      </c>
      <c r="B97" s="51" t="s">
        <v>796</v>
      </c>
      <c r="C97" s="51" t="s">
        <v>795</v>
      </c>
      <c r="D97" s="106">
        <v>2015</v>
      </c>
      <c r="E97" s="51" t="s">
        <v>660</v>
      </c>
      <c r="F97" s="51" t="s">
        <v>794</v>
      </c>
      <c r="G97" s="51" t="s">
        <v>1266</v>
      </c>
      <c r="H97" s="121" t="s">
        <v>103</v>
      </c>
      <c r="I97" s="51" t="s">
        <v>1267</v>
      </c>
      <c r="J97" s="51" t="s">
        <v>89</v>
      </c>
      <c r="K97" s="51" t="s">
        <v>1268</v>
      </c>
      <c r="L97" s="51" t="s">
        <v>91</v>
      </c>
      <c r="M97" s="51" t="s">
        <v>1269</v>
      </c>
      <c r="N97" s="51" t="s">
        <v>1270</v>
      </c>
      <c r="O97" s="110" t="s">
        <v>18</v>
      </c>
      <c r="P97" s="132" t="s">
        <v>18</v>
      </c>
      <c r="Q97" s="112"/>
      <c r="R97" s="112"/>
      <c r="S97" s="112"/>
      <c r="T97" s="112"/>
      <c r="U97" s="112"/>
      <c r="V97" s="112"/>
      <c r="W97" s="112"/>
      <c r="X97" s="112"/>
      <c r="Y97" s="112"/>
      <c r="Z97" s="112"/>
      <c r="AA97" s="112"/>
      <c r="AB97" s="112"/>
      <c r="AC97" s="112"/>
      <c r="AD97" s="112"/>
      <c r="AE97" s="112"/>
      <c r="AF97" s="112"/>
      <c r="AG97" s="112"/>
      <c r="AH97" s="112"/>
      <c r="AI97" s="112"/>
      <c r="AJ97" s="112"/>
      <c r="AK97" s="112"/>
      <c r="AL97" s="112"/>
      <c r="AM97" s="112"/>
      <c r="AN97" s="112"/>
      <c r="AO97" s="112"/>
      <c r="AP97" s="112"/>
      <c r="AQ97" s="112"/>
      <c r="AR97" s="112"/>
      <c r="AS97" s="112"/>
    </row>
    <row r="98" spans="1:45" s="115" customFormat="1" ht="90" x14ac:dyDescent="0.2">
      <c r="A98" s="105">
        <v>76</v>
      </c>
      <c r="B98" s="51" t="s">
        <v>798</v>
      </c>
      <c r="C98" s="51" t="s">
        <v>795</v>
      </c>
      <c r="D98" s="106">
        <v>2015</v>
      </c>
      <c r="E98" s="51" t="s">
        <v>28</v>
      </c>
      <c r="F98" s="51" t="s">
        <v>797</v>
      </c>
      <c r="G98" s="51" t="s">
        <v>1271</v>
      </c>
      <c r="H98" s="121" t="s">
        <v>103</v>
      </c>
      <c r="I98" s="51" t="s">
        <v>1272</v>
      </c>
      <c r="J98" s="51" t="s">
        <v>89</v>
      </c>
      <c r="K98" s="51" t="s">
        <v>1268</v>
      </c>
      <c r="L98" s="51" t="s">
        <v>91</v>
      </c>
      <c r="M98" s="51" t="s">
        <v>1269</v>
      </c>
      <c r="N98" s="51" t="s">
        <v>1270</v>
      </c>
      <c r="O98" s="132" t="s">
        <v>18</v>
      </c>
      <c r="P98" s="132" t="s">
        <v>18</v>
      </c>
      <c r="Q98" s="112"/>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c r="AO98" s="112"/>
      <c r="AP98" s="112"/>
      <c r="AQ98" s="112"/>
      <c r="AR98" s="112"/>
      <c r="AS98" s="112"/>
    </row>
    <row r="99" spans="1:45" s="115" customFormat="1" ht="120" x14ac:dyDescent="0.2">
      <c r="A99" s="105">
        <v>77</v>
      </c>
      <c r="B99" s="51" t="s">
        <v>235</v>
      </c>
      <c r="C99" s="51" t="s">
        <v>113</v>
      </c>
      <c r="D99" s="101">
        <v>2016</v>
      </c>
      <c r="E99" s="98" t="s">
        <v>114</v>
      </c>
      <c r="F99" s="98" t="s">
        <v>234</v>
      </c>
      <c r="G99" s="98" t="s">
        <v>449</v>
      </c>
      <c r="H99" s="121" t="s">
        <v>100</v>
      </c>
      <c r="I99" s="98" t="s">
        <v>275</v>
      </c>
      <c r="J99" s="98" t="s">
        <v>90</v>
      </c>
      <c r="K99" s="98" t="s">
        <v>314</v>
      </c>
      <c r="L99" s="98" t="s">
        <v>91</v>
      </c>
      <c r="M99" s="98" t="s">
        <v>94</v>
      </c>
      <c r="N99" s="51" t="s">
        <v>451</v>
      </c>
      <c r="O99" s="98" t="s">
        <v>370</v>
      </c>
      <c r="P99" s="51" t="s">
        <v>452</v>
      </c>
      <c r="Q99" s="112"/>
      <c r="R99" s="112"/>
      <c r="S99" s="112"/>
      <c r="T99" s="112"/>
      <c r="U99" s="112"/>
      <c r="V99" s="112"/>
      <c r="W99" s="112"/>
      <c r="X99" s="112"/>
      <c r="Y99" s="112"/>
      <c r="Z99" s="112"/>
      <c r="AA99" s="112"/>
      <c r="AB99" s="112"/>
      <c r="AC99" s="112"/>
      <c r="AD99" s="112"/>
      <c r="AE99" s="112"/>
      <c r="AF99" s="112"/>
      <c r="AG99" s="112"/>
      <c r="AH99" s="112"/>
      <c r="AI99" s="112"/>
      <c r="AJ99" s="112"/>
      <c r="AK99" s="112"/>
      <c r="AL99" s="112"/>
      <c r="AM99" s="112"/>
      <c r="AN99" s="112"/>
      <c r="AO99" s="112"/>
      <c r="AP99" s="112"/>
      <c r="AQ99" s="112"/>
      <c r="AR99" s="112"/>
      <c r="AS99" s="112"/>
    </row>
    <row r="100" spans="1:45" s="115" customFormat="1" ht="135" x14ac:dyDescent="0.2">
      <c r="A100" s="105">
        <v>78</v>
      </c>
      <c r="B100" s="162" t="s">
        <v>800</v>
      </c>
      <c r="C100" s="162" t="s">
        <v>189</v>
      </c>
      <c r="D100" s="160">
        <v>2015</v>
      </c>
      <c r="E100" s="162" t="s">
        <v>114</v>
      </c>
      <c r="F100" s="162" t="s">
        <v>799</v>
      </c>
      <c r="G100" s="162" t="s">
        <v>1273</v>
      </c>
      <c r="H100" s="162" t="s">
        <v>100</v>
      </c>
      <c r="I100" s="162" t="s">
        <v>275</v>
      </c>
      <c r="J100" s="162" t="s">
        <v>90</v>
      </c>
      <c r="K100" s="162" t="s">
        <v>1274</v>
      </c>
      <c r="L100" s="162" t="s">
        <v>441</v>
      </c>
      <c r="M100" s="162"/>
      <c r="N100" s="162" t="s">
        <v>1275</v>
      </c>
      <c r="O100" s="161" t="s">
        <v>18</v>
      </c>
      <c r="P100" s="162" t="s">
        <v>1276</v>
      </c>
      <c r="Q100" s="162" t="s">
        <v>1277</v>
      </c>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c r="AO100" s="112"/>
      <c r="AP100" s="112"/>
      <c r="AQ100" s="112"/>
      <c r="AR100" s="112"/>
      <c r="AS100" s="112"/>
    </row>
    <row r="101" spans="1:45" s="115" customFormat="1" ht="135" x14ac:dyDescent="0.2">
      <c r="A101" s="105">
        <v>79</v>
      </c>
      <c r="B101" s="162" t="s">
        <v>237</v>
      </c>
      <c r="C101" s="162" t="s">
        <v>194</v>
      </c>
      <c r="D101" s="160">
        <v>2015</v>
      </c>
      <c r="E101" s="162" t="s">
        <v>118</v>
      </c>
      <c r="F101" s="162" t="s">
        <v>236</v>
      </c>
      <c r="G101" s="162" t="s">
        <v>801</v>
      </c>
      <c r="H101" s="162" t="s">
        <v>100</v>
      </c>
      <c r="I101" s="162" t="s">
        <v>275</v>
      </c>
      <c r="J101" s="162" t="s">
        <v>90</v>
      </c>
      <c r="K101" s="162" t="s">
        <v>454</v>
      </c>
      <c r="L101" s="162" t="s">
        <v>650</v>
      </c>
      <c r="M101" s="162"/>
      <c r="N101" s="162" t="s">
        <v>455</v>
      </c>
      <c r="O101" s="162" t="s">
        <v>456</v>
      </c>
      <c r="P101" s="162" t="s">
        <v>378</v>
      </c>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c r="AO101" s="112"/>
      <c r="AP101" s="112"/>
      <c r="AQ101" s="112"/>
      <c r="AR101" s="112"/>
      <c r="AS101" s="112"/>
    </row>
    <row r="102" spans="1:45" s="115" customFormat="1" ht="135" x14ac:dyDescent="0.2">
      <c r="A102" s="105">
        <v>80</v>
      </c>
      <c r="B102" s="162" t="s">
        <v>803</v>
      </c>
      <c r="C102" s="162" t="s">
        <v>194</v>
      </c>
      <c r="D102" s="160">
        <v>2016</v>
      </c>
      <c r="E102" s="162" t="s">
        <v>114</v>
      </c>
      <c r="F102" s="162" t="s">
        <v>802</v>
      </c>
      <c r="G102" s="162" t="s">
        <v>1278</v>
      </c>
      <c r="H102" s="162" t="s">
        <v>98</v>
      </c>
      <c r="I102" s="162" t="s">
        <v>1280</v>
      </c>
      <c r="J102" s="162" t="s">
        <v>446</v>
      </c>
      <c r="K102" s="162" t="s">
        <v>1279</v>
      </c>
      <c r="L102" s="162" t="s">
        <v>92</v>
      </c>
      <c r="M102" s="162" t="s">
        <v>1281</v>
      </c>
      <c r="N102" s="159" t="s">
        <v>1282</v>
      </c>
      <c r="O102" s="161" t="s">
        <v>18</v>
      </c>
      <c r="P102" s="162" t="s">
        <v>378</v>
      </c>
      <c r="Q102" s="112"/>
      <c r="R102" s="112"/>
      <c r="S102" s="112"/>
      <c r="T102" s="112"/>
      <c r="U102" s="112"/>
      <c r="V102" s="112"/>
      <c r="W102" s="112"/>
      <c r="X102" s="112"/>
      <c r="Y102" s="112"/>
      <c r="Z102" s="112"/>
      <c r="AA102" s="112"/>
      <c r="AB102" s="112"/>
      <c r="AC102" s="112"/>
      <c r="AD102" s="112"/>
      <c r="AE102" s="112"/>
      <c r="AF102" s="112"/>
      <c r="AG102" s="112"/>
      <c r="AH102" s="112"/>
      <c r="AI102" s="112"/>
      <c r="AJ102" s="112"/>
      <c r="AK102" s="112"/>
      <c r="AL102" s="112"/>
      <c r="AM102" s="112"/>
      <c r="AN102" s="112"/>
      <c r="AO102" s="112"/>
      <c r="AP102" s="112"/>
      <c r="AQ102" s="112"/>
      <c r="AR102" s="112"/>
      <c r="AS102" s="112"/>
    </row>
    <row r="103" spans="1:45" s="115" customFormat="1" ht="90" x14ac:dyDescent="0.2">
      <c r="A103" s="105">
        <v>81</v>
      </c>
      <c r="B103" s="162" t="s">
        <v>805</v>
      </c>
      <c r="C103" s="105" t="s">
        <v>121</v>
      </c>
      <c r="D103" s="160">
        <v>2015</v>
      </c>
      <c r="E103" s="162" t="s">
        <v>706</v>
      </c>
      <c r="F103" s="162" t="s">
        <v>804</v>
      </c>
      <c r="G103" s="162" t="s">
        <v>1283</v>
      </c>
      <c r="H103" s="162" t="s">
        <v>1150</v>
      </c>
      <c r="I103" s="162" t="s">
        <v>1285</v>
      </c>
      <c r="J103" s="162" t="s">
        <v>90</v>
      </c>
      <c r="K103" s="162" t="s">
        <v>1284</v>
      </c>
      <c r="L103" s="162" t="s">
        <v>91</v>
      </c>
      <c r="M103" s="162" t="s">
        <v>443</v>
      </c>
      <c r="N103" s="162" t="s">
        <v>1286</v>
      </c>
      <c r="O103" s="161" t="s">
        <v>18</v>
      </c>
      <c r="P103" s="161" t="s">
        <v>18</v>
      </c>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c r="AO103" s="112"/>
      <c r="AP103" s="112"/>
      <c r="AQ103" s="112"/>
      <c r="AR103" s="112"/>
      <c r="AS103" s="112"/>
    </row>
    <row r="104" spans="1:45" s="115" customFormat="1" ht="75" x14ac:dyDescent="0.2">
      <c r="A104" s="105">
        <v>82</v>
      </c>
      <c r="B104" s="162" t="s">
        <v>807</v>
      </c>
      <c r="C104" s="105" t="s">
        <v>144</v>
      </c>
      <c r="D104" s="160">
        <v>2014</v>
      </c>
      <c r="E104" s="162" t="s">
        <v>164</v>
      </c>
      <c r="F104" s="162" t="s">
        <v>806</v>
      </c>
      <c r="G104" s="162" t="s">
        <v>1287</v>
      </c>
      <c r="H104" s="162" t="s">
        <v>1150</v>
      </c>
      <c r="I104" s="162" t="s">
        <v>1291</v>
      </c>
      <c r="J104" s="162" t="s">
        <v>446</v>
      </c>
      <c r="K104" s="162" t="s">
        <v>1289</v>
      </c>
      <c r="L104" s="162" t="s">
        <v>91</v>
      </c>
      <c r="M104" s="162" t="s">
        <v>448</v>
      </c>
      <c r="N104" s="162" t="s">
        <v>1290</v>
      </c>
      <c r="O104" s="162" t="s">
        <v>370</v>
      </c>
      <c r="P104" s="162" t="s">
        <v>1288</v>
      </c>
      <c r="Q104" s="112"/>
      <c r="R104" s="112"/>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c r="AO104" s="112"/>
      <c r="AP104" s="112"/>
      <c r="AQ104" s="112"/>
      <c r="AR104" s="112"/>
      <c r="AS104" s="112"/>
    </row>
    <row r="105" spans="1:45" s="115" customFormat="1" ht="75" x14ac:dyDescent="0.2">
      <c r="A105" s="105">
        <v>83</v>
      </c>
      <c r="B105" s="162" t="s">
        <v>809</v>
      </c>
      <c r="C105" s="105" t="s">
        <v>126</v>
      </c>
      <c r="D105" s="160">
        <v>2016</v>
      </c>
      <c r="E105" s="162" t="s">
        <v>118</v>
      </c>
      <c r="F105" s="162" t="s">
        <v>808</v>
      </c>
      <c r="G105" s="162" t="s">
        <v>1294</v>
      </c>
      <c r="H105" s="162" t="s">
        <v>1292</v>
      </c>
      <c r="I105" s="162" t="s">
        <v>1293</v>
      </c>
      <c r="J105" s="162" t="s">
        <v>446</v>
      </c>
      <c r="K105" s="162" t="s">
        <v>1295</v>
      </c>
      <c r="L105" s="162" t="s">
        <v>91</v>
      </c>
      <c r="M105" s="162" t="s">
        <v>1269</v>
      </c>
      <c r="N105" s="162" t="s">
        <v>1296</v>
      </c>
      <c r="O105" s="162" t="s">
        <v>456</v>
      </c>
      <c r="P105" s="162" t="s">
        <v>1297</v>
      </c>
      <c r="Q105" s="112"/>
      <c r="R105" s="112"/>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2"/>
      <c r="AN105" s="112"/>
      <c r="AO105" s="112"/>
      <c r="AP105" s="112"/>
      <c r="AQ105" s="112"/>
      <c r="AR105" s="112"/>
      <c r="AS105" s="112"/>
    </row>
    <row r="106" spans="1:45" s="115" customFormat="1" ht="75" x14ac:dyDescent="0.2">
      <c r="A106" s="105">
        <v>84</v>
      </c>
      <c r="B106" s="162" t="s">
        <v>811</v>
      </c>
      <c r="C106" s="105" t="s">
        <v>121</v>
      </c>
      <c r="D106" s="160">
        <v>2016</v>
      </c>
      <c r="E106" s="162" t="s">
        <v>114</v>
      </c>
      <c r="F106" s="162" t="s">
        <v>810</v>
      </c>
      <c r="G106" s="162" t="s">
        <v>1298</v>
      </c>
      <c r="H106" s="162" t="s">
        <v>1150</v>
      </c>
      <c r="I106" s="162" t="s">
        <v>1299</v>
      </c>
      <c r="J106" s="162" t="s">
        <v>445</v>
      </c>
      <c r="K106" s="162" t="s">
        <v>1300</v>
      </c>
      <c r="L106" s="162" t="s">
        <v>441</v>
      </c>
      <c r="M106" s="162"/>
      <c r="N106" s="162" t="s">
        <v>1302</v>
      </c>
      <c r="O106" s="161" t="s">
        <v>18</v>
      </c>
      <c r="P106" s="162" t="s">
        <v>1301</v>
      </c>
      <c r="Q106" s="112" t="s">
        <v>1303</v>
      </c>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row>
    <row r="107" spans="1:45" s="115" customFormat="1" ht="120" x14ac:dyDescent="0.2">
      <c r="A107" s="105">
        <v>85</v>
      </c>
      <c r="B107" s="162" t="s">
        <v>813</v>
      </c>
      <c r="C107" s="105" t="s">
        <v>138</v>
      </c>
      <c r="D107" s="160">
        <v>2017</v>
      </c>
      <c r="E107" s="162" t="s">
        <v>114</v>
      </c>
      <c r="F107" s="162" t="s">
        <v>812</v>
      </c>
      <c r="G107" s="162" t="s">
        <v>1304</v>
      </c>
      <c r="H107" s="162" t="s">
        <v>1305</v>
      </c>
      <c r="I107" s="162" t="s">
        <v>1306</v>
      </c>
      <c r="J107" s="162" t="s">
        <v>444</v>
      </c>
      <c r="K107" s="162" t="s">
        <v>1307</v>
      </c>
      <c r="L107" s="162" t="s">
        <v>441</v>
      </c>
      <c r="M107" s="162"/>
      <c r="N107" s="162" t="s">
        <v>1308</v>
      </c>
      <c r="O107" s="162" t="s">
        <v>1069</v>
      </c>
      <c r="P107" s="162" t="s">
        <v>1309</v>
      </c>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row>
    <row r="108" spans="1:45" s="115" customFormat="1" ht="75" x14ac:dyDescent="0.2">
      <c r="A108" s="105">
        <v>86</v>
      </c>
      <c r="B108" s="162" t="s">
        <v>815</v>
      </c>
      <c r="C108" s="105" t="s">
        <v>138</v>
      </c>
      <c r="D108" s="160">
        <v>2015</v>
      </c>
      <c r="E108" s="162" t="s">
        <v>114</v>
      </c>
      <c r="F108" s="162" t="s">
        <v>814</v>
      </c>
      <c r="G108" s="162" t="s">
        <v>1311</v>
      </c>
      <c r="H108" s="162" t="s">
        <v>98</v>
      </c>
      <c r="I108" s="162" t="s">
        <v>1310</v>
      </c>
      <c r="J108" s="162" t="s">
        <v>446</v>
      </c>
      <c r="K108" s="162" t="s">
        <v>1312</v>
      </c>
      <c r="L108" s="162" t="s">
        <v>441</v>
      </c>
      <c r="M108" s="162"/>
      <c r="N108" s="162" t="s">
        <v>1035</v>
      </c>
      <c r="O108" s="161" t="s">
        <v>18</v>
      </c>
      <c r="P108" s="161" t="s">
        <v>18</v>
      </c>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row>
    <row r="109" spans="1:45" s="115" customFormat="1" ht="105" x14ac:dyDescent="0.2">
      <c r="A109" s="105">
        <v>87</v>
      </c>
      <c r="B109" s="162" t="s">
        <v>817</v>
      </c>
      <c r="C109" s="105" t="s">
        <v>138</v>
      </c>
      <c r="D109" s="160">
        <v>2014</v>
      </c>
      <c r="E109" s="162" t="s">
        <v>118</v>
      </c>
      <c r="F109" s="162" t="s">
        <v>816</v>
      </c>
      <c r="G109" s="162" t="s">
        <v>1313</v>
      </c>
      <c r="H109" s="162" t="s">
        <v>1150</v>
      </c>
      <c r="I109" s="162" t="s">
        <v>1314</v>
      </c>
      <c r="J109" s="162" t="s">
        <v>444</v>
      </c>
      <c r="K109" s="162" t="s">
        <v>1315</v>
      </c>
      <c r="L109" s="162" t="s">
        <v>91</v>
      </c>
      <c r="M109" s="162" t="s">
        <v>94</v>
      </c>
      <c r="N109" s="162" t="s">
        <v>1316</v>
      </c>
      <c r="O109" s="161" t="s">
        <v>18</v>
      </c>
      <c r="P109" s="162" t="s">
        <v>1317</v>
      </c>
      <c r="Q109" s="112"/>
      <c r="R109" s="112"/>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c r="AO109" s="112"/>
      <c r="AP109" s="112"/>
      <c r="AQ109" s="112"/>
      <c r="AR109" s="112"/>
      <c r="AS109" s="112"/>
    </row>
    <row r="110" spans="1:45" s="115" customFormat="1" ht="105" x14ac:dyDescent="0.2">
      <c r="A110" s="105">
        <v>88</v>
      </c>
      <c r="B110" s="162" t="s">
        <v>254</v>
      </c>
      <c r="C110" s="162" t="s">
        <v>121</v>
      </c>
      <c r="D110" s="160">
        <v>2015</v>
      </c>
      <c r="E110" s="162" t="s">
        <v>107</v>
      </c>
      <c r="F110" s="162" t="s">
        <v>253</v>
      </c>
      <c r="G110" s="162" t="s">
        <v>480</v>
      </c>
      <c r="H110" s="162" t="s">
        <v>1712</v>
      </c>
      <c r="I110" s="162" t="s">
        <v>481</v>
      </c>
      <c r="J110" s="162" t="s">
        <v>445</v>
      </c>
      <c r="K110" s="162" t="s">
        <v>482</v>
      </c>
      <c r="L110" s="162" t="s">
        <v>91</v>
      </c>
      <c r="M110" s="162" t="s">
        <v>94</v>
      </c>
      <c r="N110" s="162" t="s">
        <v>483</v>
      </c>
      <c r="O110" s="162" t="s">
        <v>568</v>
      </c>
      <c r="P110" s="162" t="s">
        <v>484</v>
      </c>
      <c r="Q110" s="112"/>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2"/>
      <c r="AN110" s="112"/>
      <c r="AO110" s="112"/>
      <c r="AP110" s="112"/>
      <c r="AQ110" s="112"/>
      <c r="AR110" s="112"/>
      <c r="AS110" s="112"/>
    </row>
    <row r="111" spans="1:45" s="115" customFormat="1" ht="135" x14ac:dyDescent="0.2">
      <c r="A111" s="105">
        <v>89</v>
      </c>
      <c r="B111" s="162" t="s">
        <v>819</v>
      </c>
      <c r="C111" s="105" t="s">
        <v>82</v>
      </c>
      <c r="D111" s="160">
        <v>2011</v>
      </c>
      <c r="E111" s="162" t="s">
        <v>28</v>
      </c>
      <c r="F111" s="162" t="s">
        <v>818</v>
      </c>
      <c r="G111" s="162" t="s">
        <v>1318</v>
      </c>
      <c r="H111" s="162" t="s">
        <v>102</v>
      </c>
      <c r="I111" s="162" t="s">
        <v>1321</v>
      </c>
      <c r="J111" s="162" t="s">
        <v>88</v>
      </c>
      <c r="K111" s="162" t="s">
        <v>1320</v>
      </c>
      <c r="L111" s="162" t="s">
        <v>91</v>
      </c>
      <c r="M111" s="162" t="s">
        <v>448</v>
      </c>
      <c r="N111" s="162" t="s">
        <v>1322</v>
      </c>
      <c r="O111" s="161" t="s">
        <v>18</v>
      </c>
      <c r="P111" s="159" t="s">
        <v>1319</v>
      </c>
      <c r="Q111" s="162" t="s">
        <v>1323</v>
      </c>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c r="AO111" s="112"/>
      <c r="AP111" s="112"/>
      <c r="AQ111" s="112"/>
      <c r="AR111" s="112"/>
      <c r="AS111" s="112"/>
    </row>
    <row r="112" spans="1:45" s="115" customFormat="1" ht="75" x14ac:dyDescent="0.2">
      <c r="A112" s="105">
        <v>90</v>
      </c>
      <c r="B112" s="162" t="s">
        <v>821</v>
      </c>
      <c r="C112" s="105" t="s">
        <v>82</v>
      </c>
      <c r="D112" s="160">
        <v>2017</v>
      </c>
      <c r="E112" s="162" t="s">
        <v>114</v>
      </c>
      <c r="F112" s="162" t="s">
        <v>820</v>
      </c>
      <c r="G112" s="162" t="s">
        <v>1324</v>
      </c>
      <c r="H112" s="162" t="s">
        <v>1328</v>
      </c>
      <c r="I112" s="162" t="s">
        <v>1326</v>
      </c>
      <c r="J112" s="162" t="s">
        <v>447</v>
      </c>
      <c r="K112" s="162" t="s">
        <v>1327</v>
      </c>
      <c r="L112" s="162" t="s">
        <v>91</v>
      </c>
      <c r="M112" s="162" t="s">
        <v>96</v>
      </c>
      <c r="N112" s="162" t="s">
        <v>1325</v>
      </c>
      <c r="O112" s="161" t="s">
        <v>18</v>
      </c>
      <c r="P112" s="159" t="s">
        <v>378</v>
      </c>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row>
    <row r="113" spans="1:45" s="115" customFormat="1" ht="165" x14ac:dyDescent="0.2">
      <c r="A113" s="105">
        <v>91</v>
      </c>
      <c r="B113" s="162" t="s">
        <v>823</v>
      </c>
      <c r="C113" s="105" t="s">
        <v>138</v>
      </c>
      <c r="D113" s="160">
        <v>2015</v>
      </c>
      <c r="E113" s="162" t="s">
        <v>114</v>
      </c>
      <c r="F113" s="162" t="s">
        <v>822</v>
      </c>
      <c r="G113" s="162" t="s">
        <v>1329</v>
      </c>
      <c r="H113" s="162" t="s">
        <v>1150</v>
      </c>
      <c r="I113" s="162" t="s">
        <v>1330</v>
      </c>
      <c r="J113" s="162" t="s">
        <v>441</v>
      </c>
      <c r="K113" s="162" t="s">
        <v>1331</v>
      </c>
      <c r="L113" s="162" t="s">
        <v>441</v>
      </c>
      <c r="M113" s="162"/>
      <c r="N113" s="162" t="s">
        <v>1332</v>
      </c>
      <c r="O113" s="161" t="s">
        <v>18</v>
      </c>
      <c r="P113" s="161" t="s">
        <v>18</v>
      </c>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row>
    <row r="114" spans="1:45" s="115" customFormat="1" ht="90" x14ac:dyDescent="0.2">
      <c r="A114" s="105">
        <v>92</v>
      </c>
      <c r="B114" s="162" t="s">
        <v>825</v>
      </c>
      <c r="C114" s="105" t="s">
        <v>138</v>
      </c>
      <c r="D114" s="160">
        <v>2016</v>
      </c>
      <c r="E114" s="162" t="s">
        <v>660</v>
      </c>
      <c r="F114" s="162" t="s">
        <v>824</v>
      </c>
      <c r="G114" s="162" t="s">
        <v>1333</v>
      </c>
      <c r="H114" s="162" t="s">
        <v>98</v>
      </c>
      <c r="I114" s="162" t="s">
        <v>1334</v>
      </c>
      <c r="J114" s="162" t="s">
        <v>446</v>
      </c>
      <c r="K114" s="162" t="s">
        <v>1337</v>
      </c>
      <c r="L114" s="162" t="s">
        <v>441</v>
      </c>
      <c r="M114" s="162"/>
      <c r="N114" s="162" t="s">
        <v>1336</v>
      </c>
      <c r="O114" s="162" t="s">
        <v>1335</v>
      </c>
      <c r="P114" s="161" t="s">
        <v>18</v>
      </c>
      <c r="Q114" s="162" t="s">
        <v>1711</v>
      </c>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row>
    <row r="115" spans="1:45" s="115" customFormat="1" ht="90" x14ac:dyDescent="0.2">
      <c r="A115" s="105">
        <v>93</v>
      </c>
      <c r="B115" s="162" t="s">
        <v>828</v>
      </c>
      <c r="C115" s="105" t="s">
        <v>130</v>
      </c>
      <c r="D115" s="160">
        <v>2015</v>
      </c>
      <c r="E115" s="162" t="s">
        <v>826</v>
      </c>
      <c r="F115" s="162" t="s">
        <v>827</v>
      </c>
      <c r="G115" s="162" t="s">
        <v>873</v>
      </c>
      <c r="H115" s="162" t="s">
        <v>102</v>
      </c>
      <c r="I115" s="162" t="s">
        <v>341</v>
      </c>
      <c r="J115" s="162" t="s">
        <v>447</v>
      </c>
      <c r="K115" s="162" t="s">
        <v>874</v>
      </c>
      <c r="L115" s="162" t="s">
        <v>443</v>
      </c>
      <c r="M115" s="162"/>
      <c r="N115" s="162" t="s">
        <v>876</v>
      </c>
      <c r="O115" s="161" t="s">
        <v>18</v>
      </c>
      <c r="P115" s="162" t="s">
        <v>875</v>
      </c>
      <c r="Q115" s="112"/>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c r="AO115" s="112"/>
      <c r="AP115" s="112"/>
      <c r="AQ115" s="112"/>
      <c r="AR115" s="112"/>
      <c r="AS115" s="112"/>
    </row>
    <row r="116" spans="1:45" s="115" customFormat="1" ht="255" x14ac:dyDescent="0.2">
      <c r="A116" s="105">
        <v>94</v>
      </c>
      <c r="B116" s="162" t="s">
        <v>830</v>
      </c>
      <c r="C116" s="105" t="s">
        <v>144</v>
      </c>
      <c r="D116" s="160">
        <v>2014</v>
      </c>
      <c r="E116" s="162" t="s">
        <v>63</v>
      </c>
      <c r="F116" s="162" t="s">
        <v>829</v>
      </c>
      <c r="G116" s="162" t="s">
        <v>877</v>
      </c>
      <c r="H116" s="162" t="s">
        <v>102</v>
      </c>
      <c r="I116" s="162" t="s">
        <v>341</v>
      </c>
      <c r="J116" s="162" t="s">
        <v>89</v>
      </c>
      <c r="K116" s="162" t="s">
        <v>879</v>
      </c>
      <c r="L116" s="162" t="s">
        <v>91</v>
      </c>
      <c r="M116" s="162" t="s">
        <v>94</v>
      </c>
      <c r="N116" s="162" t="s">
        <v>878</v>
      </c>
      <c r="O116" s="161" t="s">
        <v>18</v>
      </c>
      <c r="P116" s="112" t="s">
        <v>880</v>
      </c>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row>
    <row r="117" spans="1:45" s="115" customFormat="1" ht="90" x14ac:dyDescent="0.2">
      <c r="A117" s="105">
        <v>95</v>
      </c>
      <c r="B117" s="105" t="s">
        <v>831</v>
      </c>
      <c r="C117" s="105" t="s">
        <v>833</v>
      </c>
      <c r="D117" s="160">
        <v>2016</v>
      </c>
      <c r="E117" s="162" t="s">
        <v>63</v>
      </c>
      <c r="F117" s="162" t="s">
        <v>832</v>
      </c>
      <c r="G117" s="162" t="s">
        <v>886</v>
      </c>
      <c r="H117" s="162" t="s">
        <v>102</v>
      </c>
      <c r="I117" s="162" t="s">
        <v>884</v>
      </c>
      <c r="J117" s="162" t="s">
        <v>89</v>
      </c>
      <c r="K117" s="162" t="s">
        <v>885</v>
      </c>
      <c r="L117" s="162" t="s">
        <v>441</v>
      </c>
      <c r="M117" s="162"/>
      <c r="N117" s="162" t="s">
        <v>881</v>
      </c>
      <c r="O117" s="161" t="s">
        <v>18</v>
      </c>
      <c r="P117" s="159" t="s">
        <v>304</v>
      </c>
      <c r="Q117" s="112"/>
      <c r="R117" s="112"/>
      <c r="S117" s="112"/>
      <c r="T117" s="112"/>
      <c r="U117" s="112"/>
      <c r="V117" s="112"/>
      <c r="W117" s="112"/>
      <c r="X117" s="112"/>
      <c r="Y117" s="112"/>
      <c r="Z117" s="112"/>
      <c r="AA117" s="112"/>
      <c r="AB117" s="112"/>
      <c r="AC117" s="112"/>
      <c r="AD117" s="112"/>
      <c r="AE117" s="112"/>
      <c r="AF117" s="112"/>
      <c r="AG117" s="112"/>
      <c r="AH117" s="112"/>
      <c r="AI117" s="112"/>
      <c r="AJ117" s="112"/>
      <c r="AK117" s="112"/>
      <c r="AL117" s="112"/>
      <c r="AM117" s="112"/>
      <c r="AN117" s="112"/>
      <c r="AO117" s="112"/>
      <c r="AP117" s="112"/>
      <c r="AQ117" s="112"/>
      <c r="AR117" s="112"/>
      <c r="AS117" s="112"/>
    </row>
    <row r="118" spans="1:45" s="115" customFormat="1" ht="90" x14ac:dyDescent="0.2">
      <c r="A118" s="105"/>
      <c r="B118" s="105" t="s">
        <v>831</v>
      </c>
      <c r="C118" s="105" t="s">
        <v>833</v>
      </c>
      <c r="D118" s="160">
        <v>2016</v>
      </c>
      <c r="E118" s="162" t="s">
        <v>63</v>
      </c>
      <c r="F118" s="162" t="s">
        <v>882</v>
      </c>
      <c r="G118" s="162" t="s">
        <v>883</v>
      </c>
      <c r="H118" s="162" t="s">
        <v>102</v>
      </c>
      <c r="I118" s="162" t="s">
        <v>884</v>
      </c>
      <c r="J118" s="162" t="s">
        <v>89</v>
      </c>
      <c r="K118" s="162" t="s">
        <v>885</v>
      </c>
      <c r="L118" s="162" t="s">
        <v>441</v>
      </c>
      <c r="M118" s="162"/>
      <c r="N118" s="162" t="s">
        <v>881</v>
      </c>
      <c r="O118" s="161" t="s">
        <v>18</v>
      </c>
      <c r="P118" s="159" t="s">
        <v>315</v>
      </c>
      <c r="Q118" s="112"/>
      <c r="R118" s="112"/>
      <c r="S118" s="112"/>
      <c r="T118" s="112"/>
      <c r="U118" s="112"/>
      <c r="V118" s="112"/>
      <c r="W118" s="112"/>
      <c r="X118" s="112"/>
      <c r="Y118" s="112"/>
      <c r="Z118" s="112"/>
      <c r="AA118" s="112"/>
      <c r="AB118" s="112"/>
      <c r="AC118" s="112"/>
      <c r="AD118" s="112"/>
      <c r="AE118" s="112"/>
      <c r="AF118" s="112"/>
      <c r="AG118" s="112"/>
      <c r="AH118" s="112"/>
      <c r="AI118" s="112"/>
      <c r="AJ118" s="112"/>
      <c r="AK118" s="112"/>
      <c r="AL118" s="112"/>
      <c r="AM118" s="112"/>
      <c r="AN118" s="112"/>
      <c r="AO118" s="112"/>
      <c r="AP118" s="112"/>
      <c r="AQ118" s="112"/>
      <c r="AR118" s="112"/>
      <c r="AS118" s="112"/>
    </row>
    <row r="119" spans="1:45" s="115" customFormat="1" ht="225" x14ac:dyDescent="0.2">
      <c r="A119" s="105">
        <v>96</v>
      </c>
      <c r="B119" s="162" t="s">
        <v>496</v>
      </c>
      <c r="C119" s="162" t="s">
        <v>121</v>
      </c>
      <c r="D119" s="160">
        <v>2008</v>
      </c>
      <c r="E119" s="162" t="s">
        <v>63</v>
      </c>
      <c r="F119" s="162" t="s">
        <v>652</v>
      </c>
      <c r="G119" s="162" t="s">
        <v>653</v>
      </c>
      <c r="H119" s="162" t="s">
        <v>103</v>
      </c>
      <c r="I119" s="162" t="s">
        <v>547</v>
      </c>
      <c r="J119" s="162" t="s">
        <v>444</v>
      </c>
      <c r="K119" s="162" t="s">
        <v>654</v>
      </c>
      <c r="L119" s="162" t="s">
        <v>441</v>
      </c>
      <c r="M119" s="162"/>
      <c r="N119" s="162" t="s">
        <v>655</v>
      </c>
      <c r="O119" s="159" t="s">
        <v>656</v>
      </c>
      <c r="P119" s="159" t="s">
        <v>304</v>
      </c>
      <c r="Q119" s="112"/>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c r="AO119" s="112"/>
      <c r="AP119" s="112"/>
      <c r="AQ119" s="112"/>
      <c r="AR119" s="112"/>
      <c r="AS119" s="112"/>
    </row>
    <row r="120" spans="1:45" s="115" customFormat="1" ht="225" x14ac:dyDescent="0.2">
      <c r="A120" s="105"/>
      <c r="B120" s="162" t="s">
        <v>496</v>
      </c>
      <c r="C120" s="162" t="s">
        <v>121</v>
      </c>
      <c r="D120" s="160">
        <v>2008</v>
      </c>
      <c r="E120" s="162" t="s">
        <v>63</v>
      </c>
      <c r="F120" s="162" t="s">
        <v>497</v>
      </c>
      <c r="G120" s="162" t="s">
        <v>546</v>
      </c>
      <c r="H120" s="162" t="s">
        <v>103</v>
      </c>
      <c r="I120" s="162" t="s">
        <v>547</v>
      </c>
      <c r="J120" s="162" t="s">
        <v>444</v>
      </c>
      <c r="K120" s="162" t="s">
        <v>548</v>
      </c>
      <c r="L120" s="162" t="s">
        <v>441</v>
      </c>
      <c r="M120" s="162"/>
      <c r="N120" s="162" t="s">
        <v>655</v>
      </c>
      <c r="O120" s="159" t="s">
        <v>656</v>
      </c>
      <c r="P120" s="159" t="s">
        <v>549</v>
      </c>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c r="AO120" s="112"/>
      <c r="AP120" s="112"/>
      <c r="AQ120" s="112"/>
      <c r="AR120" s="112"/>
      <c r="AS120" s="112"/>
    </row>
    <row r="121" spans="1:45" s="115" customFormat="1" ht="135" x14ac:dyDescent="0.2">
      <c r="A121" s="105">
        <v>97</v>
      </c>
      <c r="B121" s="162" t="s">
        <v>668</v>
      </c>
      <c r="C121" s="105" t="s">
        <v>126</v>
      </c>
      <c r="D121" s="160">
        <v>2010</v>
      </c>
      <c r="E121" s="162" t="s">
        <v>63</v>
      </c>
      <c r="F121" s="162" t="s">
        <v>834</v>
      </c>
      <c r="G121" s="162" t="s">
        <v>889</v>
      </c>
      <c r="H121" s="162" t="s">
        <v>103</v>
      </c>
      <c r="I121" s="162" t="s">
        <v>341</v>
      </c>
      <c r="J121" s="162" t="s">
        <v>89</v>
      </c>
      <c r="K121" s="162" t="s">
        <v>887</v>
      </c>
      <c r="L121" s="162" t="s">
        <v>91</v>
      </c>
      <c r="M121" s="162" t="s">
        <v>448</v>
      </c>
      <c r="N121" s="162" t="s">
        <v>888</v>
      </c>
      <c r="O121" s="162" t="s">
        <v>890</v>
      </c>
      <c r="P121" s="162" t="s">
        <v>891</v>
      </c>
      <c r="Q121" s="112"/>
      <c r="R121" s="112"/>
      <c r="S121" s="112"/>
      <c r="T121" s="112"/>
      <c r="U121" s="112"/>
      <c r="V121" s="112"/>
      <c r="W121" s="112"/>
      <c r="X121" s="112"/>
      <c r="Y121" s="112"/>
      <c r="Z121" s="112"/>
      <c r="AA121" s="112"/>
      <c r="AB121" s="112"/>
      <c r="AC121" s="112"/>
      <c r="AD121" s="112"/>
      <c r="AE121" s="112"/>
      <c r="AF121" s="112"/>
      <c r="AG121" s="112"/>
      <c r="AH121" s="112"/>
      <c r="AI121" s="112"/>
      <c r="AJ121" s="112"/>
      <c r="AK121" s="112"/>
      <c r="AL121" s="112"/>
      <c r="AM121" s="112"/>
      <c r="AN121" s="112"/>
      <c r="AO121" s="112"/>
      <c r="AP121" s="112"/>
      <c r="AQ121" s="112"/>
      <c r="AR121" s="112"/>
      <c r="AS121" s="112"/>
    </row>
    <row r="122" spans="1:45" s="115" customFormat="1" ht="135" x14ac:dyDescent="0.2">
      <c r="A122" s="105">
        <v>98</v>
      </c>
      <c r="B122" s="105" t="s">
        <v>836</v>
      </c>
      <c r="C122" s="105" t="s">
        <v>144</v>
      </c>
      <c r="D122" s="160">
        <v>2011</v>
      </c>
      <c r="E122" s="162" t="s">
        <v>63</v>
      </c>
      <c r="F122" s="162" t="s">
        <v>835</v>
      </c>
      <c r="G122" s="162" t="s">
        <v>892</v>
      </c>
      <c r="H122" s="162" t="s">
        <v>103</v>
      </c>
      <c r="I122" s="162" t="s">
        <v>341</v>
      </c>
      <c r="J122" s="162" t="s">
        <v>441</v>
      </c>
      <c r="K122" s="162" t="s">
        <v>893</v>
      </c>
      <c r="L122" s="162" t="s">
        <v>91</v>
      </c>
      <c r="M122" s="162" t="s">
        <v>94</v>
      </c>
      <c r="N122" s="162" t="s">
        <v>895</v>
      </c>
      <c r="O122" s="161" t="s">
        <v>18</v>
      </c>
      <c r="P122" s="162" t="s">
        <v>894</v>
      </c>
      <c r="Q122" s="112"/>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c r="AO122" s="112"/>
      <c r="AP122" s="112"/>
      <c r="AQ122" s="112"/>
      <c r="AR122" s="112"/>
      <c r="AS122" s="112"/>
    </row>
    <row r="123" spans="1:45" ht="75" x14ac:dyDescent="0.2">
      <c r="A123" s="105">
        <v>99</v>
      </c>
      <c r="B123" s="98" t="s">
        <v>502</v>
      </c>
      <c r="C123" s="51" t="s">
        <v>147</v>
      </c>
      <c r="D123" s="101">
        <v>2010</v>
      </c>
      <c r="E123" s="98" t="s">
        <v>63</v>
      </c>
      <c r="F123" s="98" t="s">
        <v>503</v>
      </c>
      <c r="G123" s="98" t="s">
        <v>560</v>
      </c>
      <c r="H123" s="121" t="s">
        <v>103</v>
      </c>
      <c r="I123" s="98" t="s">
        <v>110</v>
      </c>
      <c r="J123" s="98" t="s">
        <v>446</v>
      </c>
      <c r="K123" s="98" t="s">
        <v>561</v>
      </c>
      <c r="L123" s="98" t="s">
        <v>441</v>
      </c>
      <c r="M123" s="98"/>
      <c r="N123" s="98" t="s">
        <v>562</v>
      </c>
      <c r="O123" s="104" t="s">
        <v>18</v>
      </c>
      <c r="P123" s="104" t="s">
        <v>18</v>
      </c>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row>
    <row r="124" spans="1:45" ht="105" x14ac:dyDescent="0.2">
      <c r="A124" s="105">
        <v>100</v>
      </c>
      <c r="B124" s="98" t="s">
        <v>841</v>
      </c>
      <c r="C124" s="100" t="s">
        <v>8</v>
      </c>
      <c r="D124" s="101">
        <v>2014</v>
      </c>
      <c r="E124" s="98" t="s">
        <v>63</v>
      </c>
      <c r="F124" s="98" t="s">
        <v>837</v>
      </c>
      <c r="G124" s="98" t="s">
        <v>897</v>
      </c>
      <c r="H124" s="121" t="s">
        <v>103</v>
      </c>
      <c r="I124" s="121" t="s">
        <v>341</v>
      </c>
      <c r="J124" s="121" t="s">
        <v>446</v>
      </c>
      <c r="K124" s="98" t="s">
        <v>898</v>
      </c>
      <c r="L124" s="121" t="s">
        <v>91</v>
      </c>
      <c r="M124" s="121" t="s">
        <v>94</v>
      </c>
      <c r="N124" s="98" t="s">
        <v>900</v>
      </c>
      <c r="O124" s="98" t="s">
        <v>899</v>
      </c>
      <c r="P124" s="121" t="s">
        <v>896</v>
      </c>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row>
    <row r="125" spans="1:45" s="115" customFormat="1" ht="165" x14ac:dyDescent="0.2">
      <c r="A125" s="105">
        <v>101</v>
      </c>
      <c r="B125" s="162" t="s">
        <v>840</v>
      </c>
      <c r="C125" s="105" t="s">
        <v>901</v>
      </c>
      <c r="D125" s="160">
        <v>2012</v>
      </c>
      <c r="E125" s="162" t="s">
        <v>838</v>
      </c>
      <c r="F125" s="162" t="s">
        <v>839</v>
      </c>
      <c r="G125" s="162" t="s">
        <v>902</v>
      </c>
      <c r="H125" s="162"/>
      <c r="I125" s="162" t="s">
        <v>905</v>
      </c>
      <c r="J125" s="162" t="s">
        <v>446</v>
      </c>
      <c r="K125" s="162" t="s">
        <v>903</v>
      </c>
      <c r="L125" s="162" t="s">
        <v>441</v>
      </c>
      <c r="M125" s="162"/>
      <c r="N125" s="162" t="s">
        <v>904</v>
      </c>
      <c r="O125" s="161" t="s">
        <v>18</v>
      </c>
      <c r="P125" s="162" t="s">
        <v>908</v>
      </c>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2"/>
      <c r="AN125" s="112"/>
      <c r="AO125" s="112"/>
      <c r="AP125" s="112"/>
      <c r="AQ125" s="112"/>
      <c r="AR125" s="112"/>
      <c r="AS125" s="112"/>
    </row>
    <row r="126" spans="1:45" s="115" customFormat="1" ht="105" x14ac:dyDescent="0.2">
      <c r="A126" s="105">
        <v>102</v>
      </c>
      <c r="B126" s="162" t="s">
        <v>843</v>
      </c>
      <c r="C126" s="105" t="s">
        <v>901</v>
      </c>
      <c r="D126" s="160">
        <v>2015</v>
      </c>
      <c r="E126" s="162" t="s">
        <v>826</v>
      </c>
      <c r="F126" s="162" t="s">
        <v>842</v>
      </c>
      <c r="G126" s="162" t="s">
        <v>906</v>
      </c>
      <c r="H126" s="162" t="s">
        <v>100</v>
      </c>
      <c r="I126" s="162" t="s">
        <v>275</v>
      </c>
      <c r="J126" s="162" t="s">
        <v>446</v>
      </c>
      <c r="K126" s="162" t="s">
        <v>907</v>
      </c>
      <c r="L126" s="162" t="s">
        <v>441</v>
      </c>
      <c r="M126" s="162"/>
      <c r="N126" s="162" t="s">
        <v>904</v>
      </c>
      <c r="O126" s="161" t="s">
        <v>18</v>
      </c>
      <c r="P126" s="162" t="s">
        <v>908</v>
      </c>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c r="AO126" s="112"/>
      <c r="AP126" s="112"/>
      <c r="AQ126" s="112"/>
      <c r="AR126" s="112"/>
      <c r="AS126" s="112"/>
    </row>
    <row r="127" spans="1:45" s="115" customFormat="1" ht="90" x14ac:dyDescent="0.2">
      <c r="A127" s="105">
        <v>103</v>
      </c>
      <c r="B127" s="162" t="s">
        <v>508</v>
      </c>
      <c r="C127" s="162" t="s">
        <v>82</v>
      </c>
      <c r="D127" s="160">
        <v>2014</v>
      </c>
      <c r="E127" s="162" t="s">
        <v>63</v>
      </c>
      <c r="F127" s="162" t="s">
        <v>509</v>
      </c>
      <c r="G127" s="162" t="s">
        <v>573</v>
      </c>
      <c r="H127" s="162" t="s">
        <v>103</v>
      </c>
      <c r="I127" s="162" t="s">
        <v>574</v>
      </c>
      <c r="J127" s="162" t="s">
        <v>446</v>
      </c>
      <c r="K127" s="162" t="s">
        <v>575</v>
      </c>
      <c r="L127" s="162" t="s">
        <v>441</v>
      </c>
      <c r="M127" s="162"/>
      <c r="N127" s="162" t="s">
        <v>361</v>
      </c>
      <c r="O127" s="161" t="s">
        <v>18</v>
      </c>
      <c r="P127" s="161" t="s">
        <v>18</v>
      </c>
      <c r="Q127" s="112"/>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2"/>
      <c r="AN127" s="112"/>
      <c r="AO127" s="112"/>
      <c r="AP127" s="112"/>
      <c r="AQ127" s="112"/>
      <c r="AR127" s="112"/>
      <c r="AS127" s="112"/>
    </row>
    <row r="128" spans="1:45" s="115" customFormat="1" ht="90" x14ac:dyDescent="0.2">
      <c r="A128" s="105">
        <v>104</v>
      </c>
      <c r="B128" s="162" t="s">
        <v>510</v>
      </c>
      <c r="C128" s="162" t="s">
        <v>177</v>
      </c>
      <c r="D128" s="160">
        <v>2016</v>
      </c>
      <c r="E128" s="162" t="s">
        <v>63</v>
      </c>
      <c r="F128" s="162" t="s">
        <v>511</v>
      </c>
      <c r="G128" s="162" t="s">
        <v>576</v>
      </c>
      <c r="H128" s="162" t="s">
        <v>100</v>
      </c>
      <c r="I128" s="162" t="s">
        <v>579</v>
      </c>
      <c r="J128" s="162" t="s">
        <v>90</v>
      </c>
      <c r="K128" s="162" t="s">
        <v>578</v>
      </c>
      <c r="L128" s="162" t="s">
        <v>441</v>
      </c>
      <c r="M128" s="162"/>
      <c r="N128" s="162" t="s">
        <v>580</v>
      </c>
      <c r="O128" s="161" t="s">
        <v>18</v>
      </c>
      <c r="P128" s="159" t="s">
        <v>577</v>
      </c>
      <c r="Q128" s="162" t="s">
        <v>1706</v>
      </c>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2"/>
      <c r="AN128" s="112"/>
      <c r="AO128" s="112"/>
      <c r="AP128" s="112"/>
      <c r="AQ128" s="112"/>
      <c r="AR128" s="112"/>
      <c r="AS128" s="112"/>
    </row>
    <row r="129" spans="1:45" s="115" customFormat="1" ht="105" x14ac:dyDescent="0.2">
      <c r="A129" s="105">
        <v>105</v>
      </c>
      <c r="B129" s="105" t="s">
        <v>845</v>
      </c>
      <c r="C129" s="105" t="s">
        <v>121</v>
      </c>
      <c r="D129" s="160">
        <v>2006</v>
      </c>
      <c r="E129" s="162" t="s">
        <v>63</v>
      </c>
      <c r="F129" s="162" t="s">
        <v>844</v>
      </c>
      <c r="G129" s="162" t="s">
        <v>909</v>
      </c>
      <c r="H129" s="162" t="s">
        <v>103</v>
      </c>
      <c r="I129" s="162" t="s">
        <v>910</v>
      </c>
      <c r="J129" s="162" t="s">
        <v>441</v>
      </c>
      <c r="K129" s="162" t="s">
        <v>911</v>
      </c>
      <c r="L129" s="162" t="s">
        <v>441</v>
      </c>
      <c r="M129" s="162"/>
      <c r="N129" s="162" t="s">
        <v>913</v>
      </c>
      <c r="O129" s="162" t="s">
        <v>912</v>
      </c>
      <c r="P129" s="162" t="s">
        <v>304</v>
      </c>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2"/>
    </row>
    <row r="130" spans="1:45" s="115" customFormat="1" ht="90" x14ac:dyDescent="0.2">
      <c r="A130" s="105">
        <v>106</v>
      </c>
      <c r="B130" s="162" t="s">
        <v>61</v>
      </c>
      <c r="C130" s="162" t="s">
        <v>62</v>
      </c>
      <c r="D130" s="160">
        <v>2015</v>
      </c>
      <c r="E130" s="162" t="s">
        <v>63</v>
      </c>
      <c r="F130" s="162" t="s">
        <v>64</v>
      </c>
      <c r="G130" s="162" t="s">
        <v>585</v>
      </c>
      <c r="H130" s="162" t="s">
        <v>1150</v>
      </c>
      <c r="I130" s="162" t="s">
        <v>586</v>
      </c>
      <c r="J130" s="162" t="s">
        <v>447</v>
      </c>
      <c r="K130" s="162" t="s">
        <v>587</v>
      </c>
      <c r="L130" s="162" t="s">
        <v>91</v>
      </c>
      <c r="M130" s="162" t="s">
        <v>94</v>
      </c>
      <c r="N130" s="162" t="s">
        <v>79</v>
      </c>
      <c r="O130" s="161" t="s">
        <v>18</v>
      </c>
      <c r="P130" s="160" t="s">
        <v>70</v>
      </c>
      <c r="Q130" s="162" t="s">
        <v>1708</v>
      </c>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c r="AO130" s="112"/>
      <c r="AP130" s="112"/>
      <c r="AQ130" s="112"/>
      <c r="AR130" s="112"/>
      <c r="AS130" s="112"/>
    </row>
    <row r="131" spans="1:45" ht="90" x14ac:dyDescent="0.2">
      <c r="A131" s="105">
        <v>107</v>
      </c>
      <c r="B131" s="98" t="s">
        <v>847</v>
      </c>
      <c r="C131" s="100" t="s">
        <v>27</v>
      </c>
      <c r="D131" s="101">
        <v>2015</v>
      </c>
      <c r="E131" s="98" t="s">
        <v>63</v>
      </c>
      <c r="F131" s="98" t="s">
        <v>846</v>
      </c>
      <c r="G131" s="98" t="s">
        <v>914</v>
      </c>
      <c r="H131" s="121" t="s">
        <v>102</v>
      </c>
      <c r="I131" s="98" t="s">
        <v>341</v>
      </c>
      <c r="J131" s="122" t="s">
        <v>445</v>
      </c>
      <c r="K131" s="98" t="s">
        <v>916</v>
      </c>
      <c r="L131" s="122" t="s">
        <v>441</v>
      </c>
      <c r="M131" s="122"/>
      <c r="N131" s="98" t="s">
        <v>915</v>
      </c>
      <c r="O131" s="126" t="s">
        <v>18</v>
      </c>
      <c r="P131" s="122" t="s">
        <v>940</v>
      </c>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row>
    <row r="132" spans="1:45" s="115" customFormat="1" ht="60" x14ac:dyDescent="0.2">
      <c r="A132" s="105">
        <v>108</v>
      </c>
      <c r="B132" s="162" t="s">
        <v>849</v>
      </c>
      <c r="C132" s="105" t="s">
        <v>581</v>
      </c>
      <c r="D132" s="160">
        <v>2013</v>
      </c>
      <c r="E132" s="162" t="s">
        <v>63</v>
      </c>
      <c r="F132" s="162" t="s">
        <v>848</v>
      </c>
      <c r="G132" s="162" t="s">
        <v>917</v>
      </c>
      <c r="H132" s="162" t="s">
        <v>1095</v>
      </c>
      <c r="I132" s="162" t="s">
        <v>281</v>
      </c>
      <c r="J132" s="162" t="s">
        <v>90</v>
      </c>
      <c r="K132" s="162" t="s">
        <v>919</v>
      </c>
      <c r="L132" s="162" t="s">
        <v>91</v>
      </c>
      <c r="M132" s="162" t="s">
        <v>94</v>
      </c>
      <c r="N132" s="162" t="s">
        <v>920</v>
      </c>
      <c r="O132" s="162" t="s">
        <v>918</v>
      </c>
      <c r="P132" s="162" t="s">
        <v>921</v>
      </c>
      <c r="Q132" s="162" t="s">
        <v>1709</v>
      </c>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c r="AO132" s="112"/>
      <c r="AP132" s="112"/>
      <c r="AQ132" s="112"/>
      <c r="AR132" s="112"/>
      <c r="AS132" s="112"/>
    </row>
    <row r="133" spans="1:45" ht="90" x14ac:dyDescent="0.2">
      <c r="A133" s="105">
        <v>109</v>
      </c>
      <c r="B133" s="98" t="s">
        <v>514</v>
      </c>
      <c r="C133" s="51" t="s">
        <v>121</v>
      </c>
      <c r="D133" s="101">
        <v>2014</v>
      </c>
      <c r="E133" s="98" t="s">
        <v>63</v>
      </c>
      <c r="F133" s="98" t="s">
        <v>515</v>
      </c>
      <c r="G133" s="98" t="s">
        <v>588</v>
      </c>
      <c r="H133" s="121" t="s">
        <v>98</v>
      </c>
      <c r="I133" s="98" t="s">
        <v>589</v>
      </c>
      <c r="J133" s="98" t="s">
        <v>445</v>
      </c>
      <c r="K133" s="98" t="s">
        <v>590</v>
      </c>
      <c r="L133" s="98" t="s">
        <v>441</v>
      </c>
      <c r="M133" s="98"/>
      <c r="N133" s="98" t="s">
        <v>591</v>
      </c>
      <c r="O133" s="104" t="s">
        <v>18</v>
      </c>
      <c r="P133" s="99" t="s">
        <v>18</v>
      </c>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row>
    <row r="134" spans="1:45" ht="165" x14ac:dyDescent="0.2">
      <c r="A134" s="105">
        <v>110</v>
      </c>
      <c r="B134" s="98" t="s">
        <v>516</v>
      </c>
      <c r="C134" s="51" t="s">
        <v>121</v>
      </c>
      <c r="D134" s="101">
        <v>2013</v>
      </c>
      <c r="E134" s="98" t="s">
        <v>63</v>
      </c>
      <c r="F134" s="98" t="s">
        <v>517</v>
      </c>
      <c r="G134" s="98" t="s">
        <v>592</v>
      </c>
      <c r="H134" s="121" t="s">
        <v>443</v>
      </c>
      <c r="I134" s="98" t="s">
        <v>649</v>
      </c>
      <c r="J134" s="98" t="s">
        <v>441</v>
      </c>
      <c r="K134" s="98" t="s">
        <v>647</v>
      </c>
      <c r="L134" s="98" t="s">
        <v>441</v>
      </c>
      <c r="M134" s="98"/>
      <c r="N134" s="98" t="s">
        <v>646</v>
      </c>
      <c r="O134" s="104" t="s">
        <v>18</v>
      </c>
      <c r="P134" s="104" t="s">
        <v>18</v>
      </c>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row>
    <row r="135" spans="1:45" ht="105" x14ac:dyDescent="0.2">
      <c r="A135" s="105">
        <v>111</v>
      </c>
      <c r="B135" s="98" t="s">
        <v>851</v>
      </c>
      <c r="C135" s="100" t="s">
        <v>130</v>
      </c>
      <c r="D135" s="101">
        <v>2016</v>
      </c>
      <c r="E135" s="98" t="s">
        <v>826</v>
      </c>
      <c r="F135" s="98" t="s">
        <v>850</v>
      </c>
      <c r="G135" s="98" t="s">
        <v>922</v>
      </c>
      <c r="H135" s="121" t="s">
        <v>103</v>
      </c>
      <c r="I135" s="98" t="s">
        <v>925</v>
      </c>
      <c r="J135" s="122" t="s">
        <v>446</v>
      </c>
      <c r="K135" s="98" t="s">
        <v>927</v>
      </c>
      <c r="L135" s="122" t="s">
        <v>91</v>
      </c>
      <c r="M135" s="122" t="s">
        <v>923</v>
      </c>
      <c r="N135" s="98" t="s">
        <v>926</v>
      </c>
      <c r="O135" s="126" t="s">
        <v>18</v>
      </c>
      <c r="P135" s="122" t="s">
        <v>924</v>
      </c>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row>
    <row r="136" spans="1:45" ht="90" x14ac:dyDescent="0.2">
      <c r="A136" s="105">
        <v>112</v>
      </c>
      <c r="B136" s="98" t="s">
        <v>853</v>
      </c>
      <c r="C136" s="122" t="s">
        <v>928</v>
      </c>
      <c r="D136" s="101">
        <v>2015</v>
      </c>
      <c r="E136" s="98" t="s">
        <v>63</v>
      </c>
      <c r="F136" s="98" t="s">
        <v>852</v>
      </c>
      <c r="G136" s="98" t="s">
        <v>929</v>
      </c>
      <c r="H136" s="121" t="s">
        <v>100</v>
      </c>
      <c r="I136" s="125" t="s">
        <v>275</v>
      </c>
      <c r="J136" s="122" t="s">
        <v>88</v>
      </c>
      <c r="K136" s="122" t="s">
        <v>933</v>
      </c>
      <c r="L136" s="122" t="s">
        <v>91</v>
      </c>
      <c r="M136" s="122" t="s">
        <v>931</v>
      </c>
      <c r="N136" s="122" t="s">
        <v>930</v>
      </c>
      <c r="O136" s="122" t="s">
        <v>932</v>
      </c>
      <c r="P136" s="122" t="s">
        <v>934</v>
      </c>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row>
    <row r="137" spans="1:45" ht="75" x14ac:dyDescent="0.2">
      <c r="A137" s="105">
        <v>113</v>
      </c>
      <c r="B137" s="98" t="s">
        <v>855</v>
      </c>
      <c r="C137" s="100" t="s">
        <v>82</v>
      </c>
      <c r="D137" s="101">
        <v>2012</v>
      </c>
      <c r="E137" s="98" t="s">
        <v>63</v>
      </c>
      <c r="F137" s="98" t="s">
        <v>854</v>
      </c>
      <c r="G137" s="98" t="s">
        <v>935</v>
      </c>
      <c r="H137" s="121" t="s">
        <v>1194</v>
      </c>
      <c r="I137" s="122" t="s">
        <v>937</v>
      </c>
      <c r="J137" s="122" t="s">
        <v>444</v>
      </c>
      <c r="K137" s="122" t="s">
        <v>936</v>
      </c>
      <c r="L137" s="122" t="s">
        <v>91</v>
      </c>
      <c r="M137" s="122" t="s">
        <v>448</v>
      </c>
      <c r="N137" s="122" t="s">
        <v>938</v>
      </c>
      <c r="O137" s="126" t="s">
        <v>18</v>
      </c>
      <c r="P137" s="122" t="s">
        <v>939</v>
      </c>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row>
    <row r="138" spans="1:45" ht="150" x14ac:dyDescent="0.2">
      <c r="A138" s="105">
        <v>114</v>
      </c>
      <c r="B138" s="98" t="s">
        <v>857</v>
      </c>
      <c r="C138" s="100" t="s">
        <v>126</v>
      </c>
      <c r="D138" s="101">
        <v>2015</v>
      </c>
      <c r="E138" s="98" t="s">
        <v>63</v>
      </c>
      <c r="F138" s="98" t="s">
        <v>856</v>
      </c>
      <c r="G138" s="98" t="s">
        <v>941</v>
      </c>
      <c r="H138" s="121" t="s">
        <v>103</v>
      </c>
      <c r="I138" s="122" t="s">
        <v>341</v>
      </c>
      <c r="J138" s="122" t="s">
        <v>89</v>
      </c>
      <c r="K138" s="122" t="s">
        <v>943</v>
      </c>
      <c r="L138" s="122" t="s">
        <v>91</v>
      </c>
      <c r="M138" s="122" t="s">
        <v>923</v>
      </c>
      <c r="N138" s="122" t="s">
        <v>944</v>
      </c>
      <c r="O138" s="122" t="s">
        <v>945</v>
      </c>
      <c r="P138" s="122" t="s">
        <v>942</v>
      </c>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row>
    <row r="139" spans="1:45" ht="120" x14ac:dyDescent="0.2">
      <c r="A139" s="105">
        <v>115</v>
      </c>
      <c r="B139" s="13" t="s">
        <v>859</v>
      </c>
      <c r="C139" s="123" t="s">
        <v>82</v>
      </c>
      <c r="D139" s="124">
        <v>2016</v>
      </c>
      <c r="E139" s="98" t="s">
        <v>63</v>
      </c>
      <c r="F139" s="98" t="s">
        <v>858</v>
      </c>
      <c r="G139" s="98" t="s">
        <v>946</v>
      </c>
      <c r="H139" s="121" t="s">
        <v>98</v>
      </c>
      <c r="I139" s="122" t="s">
        <v>948</v>
      </c>
      <c r="J139" s="122" t="s">
        <v>447</v>
      </c>
      <c r="K139" s="122" t="s">
        <v>947</v>
      </c>
      <c r="L139" s="122" t="s">
        <v>91</v>
      </c>
      <c r="M139" s="122" t="s">
        <v>94</v>
      </c>
      <c r="N139" s="122" t="s">
        <v>950</v>
      </c>
      <c r="O139" s="126" t="s">
        <v>18</v>
      </c>
      <c r="P139" s="122" t="s">
        <v>949</v>
      </c>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row>
    <row r="140" spans="1:45" ht="180" x14ac:dyDescent="0.2">
      <c r="A140" s="105">
        <v>116</v>
      </c>
      <c r="B140" s="98" t="s">
        <v>527</v>
      </c>
      <c r="C140" s="51" t="s">
        <v>82</v>
      </c>
      <c r="D140" s="101">
        <v>2014</v>
      </c>
      <c r="E140" s="98" t="s">
        <v>528</v>
      </c>
      <c r="F140" s="98" t="s">
        <v>529</v>
      </c>
      <c r="G140" s="98" t="s">
        <v>611</v>
      </c>
      <c r="H140" s="121" t="s">
        <v>1328</v>
      </c>
      <c r="I140" s="98" t="s">
        <v>613</v>
      </c>
      <c r="J140" s="98" t="s">
        <v>90</v>
      </c>
      <c r="K140" s="98" t="s">
        <v>612</v>
      </c>
      <c r="L140" s="98" t="s">
        <v>91</v>
      </c>
      <c r="M140" s="98" t="s">
        <v>94</v>
      </c>
      <c r="N140" s="98" t="s">
        <v>615</v>
      </c>
      <c r="O140" s="104" t="s">
        <v>18</v>
      </c>
      <c r="P140" s="98" t="s">
        <v>614</v>
      </c>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row>
    <row r="141" spans="1:45" s="115" customFormat="1" ht="90" x14ac:dyDescent="0.2">
      <c r="A141" s="105">
        <v>117</v>
      </c>
      <c r="B141" s="162" t="s">
        <v>861</v>
      </c>
      <c r="C141" s="105" t="s">
        <v>197</v>
      </c>
      <c r="D141" s="160">
        <v>2003</v>
      </c>
      <c r="E141" s="162" t="s">
        <v>63</v>
      </c>
      <c r="F141" s="162" t="s">
        <v>860</v>
      </c>
      <c r="G141" s="162" t="s">
        <v>951</v>
      </c>
      <c r="H141" s="162" t="s">
        <v>1150</v>
      </c>
      <c r="I141" s="162" t="s">
        <v>956</v>
      </c>
      <c r="J141" s="162" t="s">
        <v>441</v>
      </c>
      <c r="K141" s="162" t="s">
        <v>952</v>
      </c>
      <c r="L141" s="162" t="s">
        <v>441</v>
      </c>
      <c r="M141" s="162"/>
      <c r="N141" s="162" t="s">
        <v>953</v>
      </c>
      <c r="O141" s="162" t="s">
        <v>954</v>
      </c>
      <c r="P141" s="162" t="s">
        <v>955</v>
      </c>
      <c r="Q141" s="162" t="s">
        <v>1703</v>
      </c>
      <c r="R141" s="112"/>
      <c r="S141" s="112"/>
      <c r="T141" s="112"/>
      <c r="U141" s="112"/>
      <c r="V141" s="112"/>
      <c r="W141" s="112"/>
      <c r="X141" s="112"/>
      <c r="Y141" s="112"/>
      <c r="Z141" s="112">
        <v>0.90200000000000002</v>
      </c>
      <c r="AA141" s="112"/>
      <c r="AB141" s="112"/>
      <c r="AC141" s="112"/>
      <c r="AD141" s="112"/>
      <c r="AE141" s="112"/>
      <c r="AF141" s="112"/>
      <c r="AG141" s="112"/>
      <c r="AH141" s="112"/>
      <c r="AI141" s="112"/>
      <c r="AJ141" s="112"/>
      <c r="AK141" s="112"/>
      <c r="AL141" s="112"/>
      <c r="AM141" s="112"/>
      <c r="AN141" s="112"/>
      <c r="AO141" s="112"/>
      <c r="AP141" s="112"/>
      <c r="AQ141" s="112"/>
      <c r="AR141" s="112"/>
      <c r="AS141" s="112"/>
    </row>
    <row r="142" spans="1:45" ht="105" x14ac:dyDescent="0.2">
      <c r="A142" s="105">
        <v>118</v>
      </c>
      <c r="B142" s="98" t="s">
        <v>862</v>
      </c>
      <c r="C142" s="100" t="s">
        <v>123</v>
      </c>
      <c r="D142" s="101">
        <v>2005</v>
      </c>
      <c r="E142" s="98" t="s">
        <v>63</v>
      </c>
      <c r="F142" s="98" t="s">
        <v>863</v>
      </c>
      <c r="G142" s="122" t="s">
        <v>957</v>
      </c>
      <c r="H142" s="139" t="s">
        <v>1095</v>
      </c>
      <c r="I142" s="139" t="s">
        <v>281</v>
      </c>
      <c r="J142" s="122" t="s">
        <v>90</v>
      </c>
      <c r="K142" s="122" t="s">
        <v>958</v>
      </c>
      <c r="L142" s="122" t="s">
        <v>441</v>
      </c>
      <c r="M142" s="122"/>
      <c r="N142" s="122" t="s">
        <v>959</v>
      </c>
      <c r="O142" s="122" t="s">
        <v>370</v>
      </c>
      <c r="P142" s="122" t="s">
        <v>960</v>
      </c>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row>
    <row r="143" spans="1:45" ht="90" x14ac:dyDescent="0.2">
      <c r="A143" s="105">
        <v>119</v>
      </c>
      <c r="B143" s="98" t="s">
        <v>865</v>
      </c>
      <c r="C143" s="100" t="s">
        <v>901</v>
      </c>
      <c r="D143" s="101">
        <v>2015</v>
      </c>
      <c r="E143" s="98" t="s">
        <v>826</v>
      </c>
      <c r="F143" s="98" t="s">
        <v>864</v>
      </c>
      <c r="G143" s="122" t="s">
        <v>961</v>
      </c>
      <c r="H143" s="122" t="s">
        <v>1095</v>
      </c>
      <c r="I143" s="122" t="s">
        <v>1710</v>
      </c>
      <c r="J143" s="122" t="s">
        <v>89</v>
      </c>
      <c r="K143" s="122" t="s">
        <v>963</v>
      </c>
      <c r="L143" s="122" t="s">
        <v>441</v>
      </c>
      <c r="M143" s="122"/>
      <c r="N143" s="122" t="s">
        <v>962</v>
      </c>
      <c r="O143" s="126" t="s">
        <v>18</v>
      </c>
      <c r="P143" s="122" t="s">
        <v>964</v>
      </c>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row>
    <row r="144" spans="1:45" ht="90" x14ac:dyDescent="0.2">
      <c r="A144" s="105">
        <v>120</v>
      </c>
      <c r="B144" s="98" t="s">
        <v>867</v>
      </c>
      <c r="C144" s="100" t="s">
        <v>769</v>
      </c>
      <c r="D144" s="101">
        <v>2011</v>
      </c>
      <c r="E144" s="98" t="s">
        <v>63</v>
      </c>
      <c r="F144" s="98" t="s">
        <v>866</v>
      </c>
      <c r="G144" s="122" t="s">
        <v>967</v>
      </c>
      <c r="H144" s="122" t="s">
        <v>102</v>
      </c>
      <c r="I144" s="122" t="s">
        <v>968</v>
      </c>
      <c r="J144" s="122" t="s">
        <v>441</v>
      </c>
      <c r="K144" s="122" t="s">
        <v>966</v>
      </c>
      <c r="L144" s="122" t="s">
        <v>91</v>
      </c>
      <c r="M144" s="122" t="s">
        <v>443</v>
      </c>
      <c r="N144" s="122" t="s">
        <v>969</v>
      </c>
      <c r="O144" s="126" t="s">
        <v>18</v>
      </c>
      <c r="P144" s="122" t="s">
        <v>965</v>
      </c>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row>
    <row r="145" spans="1:45" ht="70" customHeight="1" x14ac:dyDescent="0.2">
      <c r="A145" s="220">
        <v>121</v>
      </c>
      <c r="B145" s="206" t="s">
        <v>869</v>
      </c>
      <c r="C145" s="207" t="s">
        <v>144</v>
      </c>
      <c r="D145" s="207">
        <v>2016</v>
      </c>
      <c r="E145" s="206" t="s">
        <v>63</v>
      </c>
      <c r="F145" s="206" t="s">
        <v>868</v>
      </c>
      <c r="G145" s="206" t="s">
        <v>970</v>
      </c>
      <c r="H145" s="206" t="s">
        <v>102</v>
      </c>
      <c r="I145" s="206" t="s">
        <v>341</v>
      </c>
      <c r="J145" s="125" t="s">
        <v>447</v>
      </c>
      <c r="K145" s="125" t="s">
        <v>971</v>
      </c>
      <c r="L145" s="206" t="s">
        <v>91</v>
      </c>
      <c r="M145" s="206" t="s">
        <v>94</v>
      </c>
      <c r="N145" s="206" t="s">
        <v>972</v>
      </c>
      <c r="O145" s="201" t="s">
        <v>18</v>
      </c>
      <c r="P145" s="206" t="s">
        <v>973</v>
      </c>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row>
    <row r="146" spans="1:45" ht="30" x14ac:dyDescent="0.2">
      <c r="A146" s="220"/>
      <c r="B146" s="206"/>
      <c r="C146" s="207"/>
      <c r="D146" s="207"/>
      <c r="E146" s="206"/>
      <c r="F146" s="206"/>
      <c r="G146" s="206"/>
      <c r="H146" s="206"/>
      <c r="I146" s="206"/>
      <c r="J146" s="125" t="s">
        <v>89</v>
      </c>
      <c r="K146" s="125" t="s">
        <v>974</v>
      </c>
      <c r="L146" s="206"/>
      <c r="M146" s="206"/>
      <c r="N146" s="206"/>
      <c r="O146" s="201"/>
      <c r="P146" s="206"/>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row>
    <row r="147" spans="1:45" x14ac:dyDescent="0.2">
      <c r="A147" s="1">
        <v>122</v>
      </c>
      <c r="E147" s="13"/>
      <c r="G147" s="96"/>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row>
    <row r="148" spans="1:45" x14ac:dyDescent="0.2">
      <c r="G148" s="96"/>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row>
    <row r="149" spans="1:45" x14ac:dyDescent="0.2">
      <c r="G149" s="96"/>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row>
    <row r="150" spans="1:45" x14ac:dyDescent="0.2">
      <c r="G150" s="96"/>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row>
    <row r="151" spans="1:45" x14ac:dyDescent="0.2">
      <c r="G151" s="96"/>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row>
    <row r="152" spans="1:45" x14ac:dyDescent="0.2">
      <c r="G152" s="96"/>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row>
    <row r="153" spans="1:45" x14ac:dyDescent="0.2">
      <c r="G153" s="96"/>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row>
    <row r="154" spans="1:45" x14ac:dyDescent="0.2">
      <c r="G154" s="96"/>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row>
    <row r="155" spans="1:45" x14ac:dyDescent="0.2">
      <c r="G155" s="96"/>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row>
    <row r="156" spans="1:45" x14ac:dyDescent="0.2">
      <c r="G156" s="96"/>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row>
    <row r="157" spans="1:45" x14ac:dyDescent="0.2">
      <c r="G157" s="96"/>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row>
    <row r="158" spans="1:45" x14ac:dyDescent="0.2">
      <c r="G158" s="96"/>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row>
    <row r="159" spans="1:45" x14ac:dyDescent="0.2">
      <c r="G159" s="96"/>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row>
    <row r="160" spans="1:45" x14ac:dyDescent="0.2">
      <c r="G160" s="96"/>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row>
    <row r="161" spans="7:45" x14ac:dyDescent="0.2">
      <c r="G161" s="96"/>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row>
    <row r="162" spans="7:45" x14ac:dyDescent="0.2">
      <c r="G162" s="96"/>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row>
    <row r="163" spans="7:45" x14ac:dyDescent="0.2">
      <c r="G163" s="96"/>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row>
    <row r="164" spans="7:45" x14ac:dyDescent="0.2">
      <c r="G164" s="96"/>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row>
    <row r="165" spans="7:45" x14ac:dyDescent="0.2">
      <c r="G165" s="96"/>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row>
    <row r="166" spans="7:45" x14ac:dyDescent="0.2">
      <c r="G166" s="96"/>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row>
    <row r="167" spans="7:45" x14ac:dyDescent="0.2">
      <c r="G167" s="96"/>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row>
    <row r="168" spans="7:45" x14ac:dyDescent="0.2">
      <c r="G168" s="96"/>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row>
    <row r="169" spans="7:45" x14ac:dyDescent="0.2">
      <c r="G169" s="96"/>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row>
    <row r="170" spans="7:45" x14ac:dyDescent="0.2">
      <c r="G170" s="96"/>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row>
    <row r="171" spans="7:45" x14ac:dyDescent="0.2">
      <c r="G171" s="96"/>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row>
    <row r="172" spans="7:45" x14ac:dyDescent="0.2">
      <c r="G172" s="96"/>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row>
    <row r="173" spans="7:45" x14ac:dyDescent="0.2">
      <c r="G173" s="96"/>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row>
    <row r="174" spans="7:45" x14ac:dyDescent="0.2">
      <c r="G174" s="96"/>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row>
    <row r="175" spans="7:45" x14ac:dyDescent="0.2">
      <c r="G175" s="96"/>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row>
    <row r="176" spans="7:45" x14ac:dyDescent="0.2">
      <c r="G176" s="96"/>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row>
    <row r="177" spans="7:45" x14ac:dyDescent="0.2">
      <c r="G177" s="96"/>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row>
    <row r="178" spans="7:45" x14ac:dyDescent="0.2">
      <c r="G178" s="96"/>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row>
    <row r="179" spans="7:45" x14ac:dyDescent="0.2">
      <c r="G179" s="96"/>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row>
    <row r="180" spans="7:45" x14ac:dyDescent="0.2">
      <c r="G180" s="96"/>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row>
    <row r="181" spans="7:45" x14ac:dyDescent="0.2">
      <c r="G181" s="96"/>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row>
    <row r="182" spans="7:45" x14ac:dyDescent="0.2">
      <c r="G182" s="96"/>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row>
    <row r="183" spans="7:45" x14ac:dyDescent="0.2">
      <c r="G183" s="96"/>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row>
    <row r="184" spans="7:45" x14ac:dyDescent="0.2">
      <c r="G184" s="96"/>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row>
    <row r="185" spans="7:45" x14ac:dyDescent="0.2">
      <c r="G185" s="96"/>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row>
    <row r="186" spans="7:45" x14ac:dyDescent="0.2">
      <c r="G186" s="96"/>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row>
    <row r="187" spans="7:45" x14ac:dyDescent="0.2">
      <c r="G187" s="96"/>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row>
    <row r="188" spans="7:45" x14ac:dyDescent="0.2">
      <c r="G188" s="96"/>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row>
    <row r="189" spans="7:45" x14ac:dyDescent="0.2">
      <c r="G189" s="96"/>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row>
    <row r="190" spans="7:45" x14ac:dyDescent="0.2">
      <c r="G190" s="96"/>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row>
    <row r="191" spans="7:45" x14ac:dyDescent="0.2">
      <c r="G191" s="96"/>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row>
    <row r="192" spans="7:45" x14ac:dyDescent="0.2">
      <c r="G192" s="96"/>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row>
    <row r="193" spans="7:45" x14ac:dyDescent="0.2">
      <c r="G193" s="96"/>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row>
    <row r="194" spans="7:45" x14ac:dyDescent="0.2">
      <c r="G194" s="96"/>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row>
    <row r="195" spans="7:45" x14ac:dyDescent="0.2">
      <c r="G195" s="96"/>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row>
    <row r="196" spans="7:45" x14ac:dyDescent="0.2">
      <c r="G196" s="96"/>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row>
    <row r="197" spans="7:45" x14ac:dyDescent="0.2">
      <c r="G197" s="96"/>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row>
    <row r="198" spans="7:45" x14ac:dyDescent="0.2">
      <c r="G198" s="96"/>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row>
    <row r="199" spans="7:45" x14ac:dyDescent="0.2">
      <c r="G199" s="96"/>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row>
    <row r="200" spans="7:45" x14ac:dyDescent="0.2">
      <c r="G200" s="96"/>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row>
    <row r="201" spans="7:45" x14ac:dyDescent="0.2">
      <c r="G201" s="96"/>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row>
    <row r="202" spans="7:45" x14ac:dyDescent="0.2">
      <c r="G202" s="96"/>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row>
    <row r="203" spans="7:45" x14ac:dyDescent="0.2">
      <c r="G203" s="96"/>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row>
    <row r="204" spans="7:45" x14ac:dyDescent="0.2">
      <c r="G204" s="96"/>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row>
    <row r="205" spans="7:45" x14ac:dyDescent="0.2">
      <c r="G205" s="96"/>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row>
    <row r="206" spans="7:45" x14ac:dyDescent="0.2">
      <c r="G206" s="96"/>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row>
    <row r="207" spans="7:45" x14ac:dyDescent="0.2">
      <c r="G207" s="96"/>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row>
    <row r="208" spans="7:45" x14ac:dyDescent="0.2">
      <c r="G208" s="96"/>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row>
    <row r="209" spans="7:45" x14ac:dyDescent="0.2">
      <c r="G209" s="96"/>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row>
    <row r="210" spans="7:45" x14ac:dyDescent="0.2">
      <c r="G210" s="96"/>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row>
    <row r="211" spans="7:45" x14ac:dyDescent="0.2">
      <c r="G211" s="96"/>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row>
    <row r="212" spans="7:45" x14ac:dyDescent="0.2">
      <c r="G212" s="96"/>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row>
    <row r="213" spans="7:45" x14ac:dyDescent="0.2">
      <c r="G213" s="96"/>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row>
    <row r="214" spans="7:45" x14ac:dyDescent="0.2">
      <c r="G214" s="96"/>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row>
    <row r="215" spans="7:45" x14ac:dyDescent="0.2">
      <c r="G215" s="96"/>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row>
    <row r="216" spans="7:45" x14ac:dyDescent="0.2">
      <c r="G216" s="96"/>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row>
    <row r="217" spans="7:45" x14ac:dyDescent="0.2">
      <c r="G217" s="96"/>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row>
    <row r="218" spans="7:45" x14ac:dyDescent="0.2">
      <c r="G218" s="96"/>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row>
    <row r="219" spans="7:45" x14ac:dyDescent="0.2">
      <c r="G219" s="96"/>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row>
    <row r="220" spans="7:45" x14ac:dyDescent="0.2">
      <c r="G220" s="96"/>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row>
    <row r="221" spans="7:45" x14ac:dyDescent="0.2">
      <c r="G221" s="96"/>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row>
    <row r="222" spans="7:45" x14ac:dyDescent="0.2">
      <c r="G222" s="96"/>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row>
    <row r="223" spans="7:45" x14ac:dyDescent="0.2">
      <c r="G223" s="96"/>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row>
    <row r="224" spans="7:45" x14ac:dyDescent="0.2">
      <c r="G224" s="96"/>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row>
    <row r="225" spans="7:45" x14ac:dyDescent="0.2">
      <c r="G225" s="96"/>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row>
    <row r="226" spans="7:45" x14ac:dyDescent="0.2">
      <c r="G226" s="96"/>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row>
    <row r="227" spans="7:45" x14ac:dyDescent="0.2">
      <c r="G227" s="96"/>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row>
    <row r="228" spans="7:45" x14ac:dyDescent="0.2">
      <c r="G228" s="96"/>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row>
    <row r="229" spans="7:45" x14ac:dyDescent="0.2">
      <c r="G229" s="96"/>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row>
    <row r="230" spans="7:45" x14ac:dyDescent="0.2">
      <c r="G230" s="96"/>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row>
    <row r="231" spans="7:45" x14ac:dyDescent="0.2">
      <c r="G231" s="96"/>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row>
  </sheetData>
  <mergeCells count="117">
    <mergeCell ref="O61:O62"/>
    <mergeCell ref="P61:P62"/>
    <mergeCell ref="M145:M146"/>
    <mergeCell ref="N145:N146"/>
    <mergeCell ref="O145:O146"/>
    <mergeCell ref="P145:P146"/>
    <mergeCell ref="F145:F146"/>
    <mergeCell ref="G145:G146"/>
    <mergeCell ref="H145:H146"/>
    <mergeCell ref="I145:I146"/>
    <mergeCell ref="L145:L146"/>
    <mergeCell ref="M70:M71"/>
    <mergeCell ref="N70:N71"/>
    <mergeCell ref="F70:F71"/>
    <mergeCell ref="G70:G71"/>
    <mergeCell ref="H70:H71"/>
    <mergeCell ref="I70:I71"/>
    <mergeCell ref="N61:N62"/>
    <mergeCell ref="N65:N68"/>
    <mergeCell ref="O65:O68"/>
    <mergeCell ref="P65:P68"/>
    <mergeCell ref="A145:A146"/>
    <mergeCell ref="B145:B146"/>
    <mergeCell ref="C145:C146"/>
    <mergeCell ref="D145:D146"/>
    <mergeCell ref="E145:E146"/>
    <mergeCell ref="A61:A62"/>
    <mergeCell ref="B61:B62"/>
    <mergeCell ref="C61:C62"/>
    <mergeCell ref="D61:D62"/>
    <mergeCell ref="E61:E62"/>
    <mergeCell ref="A70:A71"/>
    <mergeCell ref="B70:B71"/>
    <mergeCell ref="C70:C71"/>
    <mergeCell ref="D70:D71"/>
    <mergeCell ref="E70:E71"/>
    <mergeCell ref="B1:E1"/>
    <mergeCell ref="B2:E2"/>
    <mergeCell ref="F61:F62"/>
    <mergeCell ref="G61:G62"/>
    <mergeCell ref="H61:H62"/>
    <mergeCell ref="I61:I62"/>
    <mergeCell ref="K61:K62"/>
    <mergeCell ref="L61:L62"/>
    <mergeCell ref="M61:M62"/>
    <mergeCell ref="Q65:Q66"/>
    <mergeCell ref="Q67:Q68"/>
    <mergeCell ref="O70:O71"/>
    <mergeCell ref="P70:P71"/>
    <mergeCell ref="Q70:Q71"/>
    <mergeCell ref="A65:A68"/>
    <mergeCell ref="B65:B68"/>
    <mergeCell ref="C65:C68"/>
    <mergeCell ref="D65:D68"/>
    <mergeCell ref="E65:E68"/>
    <mergeCell ref="F65:F68"/>
    <mergeCell ref="G65:G68"/>
    <mergeCell ref="H65:H68"/>
    <mergeCell ref="I65:I68"/>
    <mergeCell ref="J65:J68"/>
    <mergeCell ref="K65:K68"/>
    <mergeCell ref="L65:L68"/>
    <mergeCell ref="M65:M68"/>
    <mergeCell ref="J70:J71"/>
    <mergeCell ref="K70:K71"/>
    <mergeCell ref="L70:L71"/>
    <mergeCell ref="Q41:Q45"/>
    <mergeCell ref="Q46:Q50"/>
    <mergeCell ref="N41:N50"/>
    <mergeCell ref="O41:O50"/>
    <mergeCell ref="A27:A31"/>
    <mergeCell ref="B27:B31"/>
    <mergeCell ref="C27:C31"/>
    <mergeCell ref="D27:D31"/>
    <mergeCell ref="E27:E31"/>
    <mergeCell ref="F27:F31"/>
    <mergeCell ref="G27:G31"/>
    <mergeCell ref="H27:H31"/>
    <mergeCell ref="I27:I31"/>
    <mergeCell ref="J27:J31"/>
    <mergeCell ref="K27:K31"/>
    <mergeCell ref="L27:L31"/>
    <mergeCell ref="M27:M31"/>
    <mergeCell ref="K41:K50"/>
    <mergeCell ref="L41:L50"/>
    <mergeCell ref="M41:M50"/>
    <mergeCell ref="F41:F50"/>
    <mergeCell ref="G41:G50"/>
    <mergeCell ref="H41:H50"/>
    <mergeCell ref="I41:I50"/>
    <mergeCell ref="A51:A52"/>
    <mergeCell ref="B51:B52"/>
    <mergeCell ref="C51:C52"/>
    <mergeCell ref="D51:D52"/>
    <mergeCell ref="E51:E52"/>
    <mergeCell ref="N27:N31"/>
    <mergeCell ref="O27:O31"/>
    <mergeCell ref="P27:P31"/>
    <mergeCell ref="P41:P50"/>
    <mergeCell ref="J41:J50"/>
    <mergeCell ref="A41:A50"/>
    <mergeCell ref="B41:B50"/>
    <mergeCell ref="C41:C50"/>
    <mergeCell ref="D41:D50"/>
    <mergeCell ref="E41:E50"/>
    <mergeCell ref="P51:P52"/>
    <mergeCell ref="Q51:Q52"/>
    <mergeCell ref="K51:K52"/>
    <mergeCell ref="L51:L52"/>
    <mergeCell ref="M51:M52"/>
    <mergeCell ref="N51:N52"/>
    <mergeCell ref="O51:O52"/>
    <mergeCell ref="F51:F52"/>
    <mergeCell ref="G51:G52"/>
    <mergeCell ref="H51:H52"/>
    <mergeCell ref="I51:I52"/>
    <mergeCell ref="J51:J52"/>
  </mergeCells>
  <pageMargins left="0.51181102362204722" right="0.51181102362204722" top="0.78740157480314965" bottom="0.78740157480314965" header="0.31496062992125984" footer="0.31496062992125984"/>
  <pageSetup paperSize="9" orientation="portrait"/>
  <ignoredErrors>
    <ignoredError sqref="M84" numberStoredAsText="1"/>
  </ignoredError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Lists!$F$3:$F$7</xm:f>
          </x14:formula1>
          <xm:sqref>L69:L70 L72:L145 L63:L65 L32:L41 L4:L27 L51 L53:L61</xm:sqref>
        </x14:dataValidation>
        <x14:dataValidation type="list" allowBlank="1" showInputMessage="1" showErrorMessage="1" xr:uid="{00000000-0002-0000-0200-000001000000}">
          <x14:formula1>
            <xm:f>Lists!$H$3:$H$21</xm:f>
          </x14:formula1>
          <xm:sqref>M69:M70 M72:M146 M63:M65 M32:M41 M4:M27 M51 M53:M61</xm:sqref>
        </x14:dataValidation>
        <x14:dataValidation type="list" allowBlank="1" showInputMessage="1" showErrorMessage="1" xr:uid="{00000000-0002-0000-0200-000002000000}">
          <x14:formula1>
            <xm:f>Lists!$B$3:$B$21</xm:f>
          </x14:formula1>
          <xm:sqref>H69:H70 H72:H145 H63:H65 H32:H41 H4:H27 H51 H53:H61</xm:sqref>
        </x14:dataValidation>
        <x14:dataValidation type="list" allowBlank="1" showInputMessage="1" showErrorMessage="1" xr:uid="{00000000-0002-0000-0200-000003000000}">
          <x14:formula1>
            <xm:f>Lists!$D$3:$D$15</xm:f>
          </x14:formula1>
          <xm:sqref>J72:J146 J32:J41 J4:J27 J69:J70 J51 J53:J65</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Y237"/>
  <sheetViews>
    <sheetView zoomScale="90" zoomScaleNormal="90" zoomScalePageLayoutView="90" workbookViewId="0">
      <pane xSplit="2" ySplit="3" topLeftCell="H8" activePane="bottomRight" state="frozen"/>
      <selection pane="topRight" activeCell="C1" sqref="C1"/>
      <selection pane="bottomLeft" activeCell="A4" sqref="A4"/>
      <selection pane="bottomRight" activeCell="C4" sqref="C4"/>
    </sheetView>
  </sheetViews>
  <sheetFormatPr baseColWidth="10" defaultColWidth="8.83203125" defaultRowHeight="15" outlineLevelCol="1" x14ac:dyDescent="0.2"/>
  <cols>
    <col min="1" max="1" width="4.33203125" style="1" customWidth="1"/>
    <col min="2" max="2" width="25.5" customWidth="1"/>
    <col min="3" max="3" width="13.6640625" customWidth="1"/>
    <col min="4" max="4" width="8.83203125" style="52"/>
    <col min="5" max="5" width="17.5" customWidth="1"/>
    <col min="6" max="6" width="19.33203125" customWidth="1"/>
    <col min="7" max="7" width="38.5" style="1" customWidth="1"/>
    <col min="8" max="8" width="15" customWidth="1"/>
    <col min="9" max="9" width="31.83203125" customWidth="1"/>
    <col min="10" max="10" width="6" customWidth="1"/>
    <col min="11" max="11" width="24.83203125" customWidth="1"/>
    <col min="12" max="12" width="10.5" customWidth="1"/>
    <col min="13" max="13" width="10.33203125" customWidth="1"/>
    <col min="14" max="14" width="27.33203125" customWidth="1"/>
    <col min="15" max="15" width="29" style="58" customWidth="1"/>
    <col min="16" max="16" width="22.33203125" style="58" customWidth="1"/>
    <col min="17" max="17" width="22.33203125" customWidth="1" outlineLevel="1"/>
    <col min="18" max="18" width="23" customWidth="1" outlineLevel="1"/>
    <col min="19" max="20" width="14.83203125" customWidth="1"/>
    <col min="21" max="21" width="14.5" customWidth="1"/>
    <col min="22" max="22" width="17.5" customWidth="1"/>
    <col min="23" max="23" width="18.33203125" bestFit="1" customWidth="1"/>
    <col min="24" max="24" width="14.5" bestFit="1" customWidth="1"/>
    <col min="25" max="25" width="13.5" bestFit="1" customWidth="1"/>
    <col min="26" max="26" width="14.83203125" bestFit="1" customWidth="1"/>
    <col min="27" max="27" width="27" bestFit="1" customWidth="1"/>
    <col min="28" max="28" width="32.83203125" bestFit="1" customWidth="1"/>
    <col min="29" max="29" width="32.83203125" customWidth="1"/>
    <col min="30" max="30" width="36.1640625" bestFit="1" customWidth="1"/>
    <col min="31" max="31" width="42.6640625" bestFit="1" customWidth="1"/>
    <col min="32" max="32" width="32" bestFit="1" customWidth="1"/>
    <col min="33" max="33" width="37.83203125" bestFit="1" customWidth="1"/>
    <col min="34" max="34" width="32.83203125" bestFit="1" customWidth="1"/>
    <col min="35" max="35" width="23.6640625" bestFit="1" customWidth="1"/>
    <col min="36" max="36" width="25.6640625" bestFit="1" customWidth="1"/>
    <col min="37" max="37" width="22.1640625" bestFit="1" customWidth="1"/>
    <col min="38" max="38" width="25.5" bestFit="1" customWidth="1"/>
    <col min="39" max="39" width="24.33203125" bestFit="1" customWidth="1"/>
    <col min="40" max="40" width="26" bestFit="1" customWidth="1"/>
    <col min="41" max="41" width="27" bestFit="1" customWidth="1"/>
    <col min="42" max="42" width="28.83203125" bestFit="1" customWidth="1"/>
    <col min="43" max="43" width="26" bestFit="1" customWidth="1"/>
    <col min="44" max="44" width="25.33203125" bestFit="1" customWidth="1"/>
    <col min="45" max="45" width="24.6640625" bestFit="1" customWidth="1"/>
    <col min="46" max="46" width="28.83203125" bestFit="1" customWidth="1"/>
    <col min="47" max="47" width="23.83203125" bestFit="1" customWidth="1"/>
    <col min="48" max="48" width="20.33203125" bestFit="1" customWidth="1"/>
    <col min="49" max="49" width="12.5" bestFit="1" customWidth="1"/>
    <col min="50" max="50" width="25.83203125" bestFit="1" customWidth="1"/>
  </cols>
  <sheetData>
    <row r="1" spans="1:50" x14ac:dyDescent="0.2">
      <c r="A1" s="12"/>
      <c r="B1" s="210" t="s">
        <v>0</v>
      </c>
      <c r="C1" s="210"/>
      <c r="D1" s="210"/>
      <c r="E1" s="210"/>
      <c r="G1"/>
      <c r="O1"/>
      <c r="P1"/>
    </row>
    <row r="2" spans="1:50" x14ac:dyDescent="0.2">
      <c r="A2" s="12"/>
      <c r="B2" s="211" t="s">
        <v>1</v>
      </c>
      <c r="C2" s="211"/>
      <c r="D2" s="211"/>
      <c r="E2" s="211"/>
      <c r="G2"/>
      <c r="O2"/>
      <c r="P2"/>
    </row>
    <row r="3" spans="1:50" s="3" customFormat="1" ht="14" x14ac:dyDescent="0.2">
      <c r="A3" s="26" t="s">
        <v>9</v>
      </c>
      <c r="B3" s="27" t="s">
        <v>2</v>
      </c>
      <c r="C3" s="27" t="s">
        <v>3</v>
      </c>
      <c r="D3" s="27" t="s">
        <v>4</v>
      </c>
      <c r="E3" s="27" t="s">
        <v>5</v>
      </c>
      <c r="F3" s="27" t="s">
        <v>7</v>
      </c>
      <c r="G3" s="27" t="s">
        <v>6</v>
      </c>
      <c r="H3" s="27" t="s">
        <v>32</v>
      </c>
      <c r="I3" s="27" t="s">
        <v>436</v>
      </c>
      <c r="J3" s="27" t="s">
        <v>450</v>
      </c>
      <c r="K3" s="27" t="s">
        <v>437</v>
      </c>
      <c r="L3" s="27" t="s">
        <v>16</v>
      </c>
      <c r="M3" s="27" t="s">
        <v>93</v>
      </c>
      <c r="N3" s="27" t="s">
        <v>438</v>
      </c>
      <c r="O3" s="27" t="s">
        <v>35</v>
      </c>
      <c r="P3" s="27" t="s">
        <v>68</v>
      </c>
      <c r="Q3" s="27"/>
      <c r="R3" s="27"/>
      <c r="S3" s="27" t="s">
        <v>77</v>
      </c>
      <c r="T3" s="27" t="s">
        <v>19</v>
      </c>
      <c r="U3" s="28" t="s">
        <v>20</v>
      </c>
      <c r="V3" s="28" t="s">
        <v>21</v>
      </c>
      <c r="W3" s="28" t="s">
        <v>75</v>
      </c>
      <c r="X3" s="28" t="s">
        <v>22</v>
      </c>
      <c r="Y3" s="28" t="s">
        <v>23</v>
      </c>
      <c r="Z3" s="28" t="s">
        <v>24</v>
      </c>
      <c r="AA3" s="28" t="s">
        <v>37</v>
      </c>
      <c r="AB3" s="28" t="s">
        <v>406</v>
      </c>
      <c r="AC3" s="28" t="s">
        <v>1749</v>
      </c>
      <c r="AD3" s="28" t="s">
        <v>1718</v>
      </c>
      <c r="AE3" s="28" t="s">
        <v>1719</v>
      </c>
      <c r="AF3" s="28" t="s">
        <v>1720</v>
      </c>
      <c r="AG3" s="28" t="s">
        <v>1105</v>
      </c>
      <c r="AH3" s="28" t="s">
        <v>1106</v>
      </c>
      <c r="AI3" s="28" t="s">
        <v>1467</v>
      </c>
      <c r="AJ3" s="28" t="s">
        <v>1504</v>
      </c>
      <c r="AK3" s="28" t="s">
        <v>1520</v>
      </c>
      <c r="AL3" s="28" t="s">
        <v>1521</v>
      </c>
      <c r="AM3" s="28" t="s">
        <v>1522</v>
      </c>
      <c r="AN3" s="28" t="s">
        <v>1523</v>
      </c>
      <c r="AO3" s="28" t="s">
        <v>1524</v>
      </c>
      <c r="AP3" s="28" t="s">
        <v>1526</v>
      </c>
      <c r="AQ3" s="28" t="s">
        <v>1525</v>
      </c>
      <c r="AR3" s="28" t="s">
        <v>1527</v>
      </c>
      <c r="AS3" s="27" t="s">
        <v>1528</v>
      </c>
      <c r="AT3" s="27" t="s">
        <v>1529</v>
      </c>
      <c r="AU3" s="27" t="s">
        <v>1716</v>
      </c>
      <c r="AV3" s="27" t="s">
        <v>1717</v>
      </c>
      <c r="AW3" s="27" t="s">
        <v>1722</v>
      </c>
      <c r="AX3" s="27" t="s">
        <v>1721</v>
      </c>
    </row>
    <row r="4" spans="1:50" s="108" customFormat="1" ht="165" x14ac:dyDescent="0.2">
      <c r="A4" s="105">
        <v>1</v>
      </c>
      <c r="B4" s="162" t="s">
        <v>658</v>
      </c>
      <c r="C4" s="105" t="s">
        <v>126</v>
      </c>
      <c r="D4" s="160">
        <v>2008</v>
      </c>
      <c r="E4" s="162" t="s">
        <v>222</v>
      </c>
      <c r="F4" s="162" t="s">
        <v>657</v>
      </c>
      <c r="G4" s="107" t="s">
        <v>975</v>
      </c>
      <c r="H4" s="162" t="s">
        <v>102</v>
      </c>
      <c r="I4" s="107" t="s">
        <v>110</v>
      </c>
      <c r="J4" s="107" t="s">
        <v>441</v>
      </c>
      <c r="K4" s="162" t="s">
        <v>976</v>
      </c>
      <c r="L4" s="162" t="s">
        <v>441</v>
      </c>
      <c r="M4" s="162"/>
      <c r="N4" s="162" t="s">
        <v>977</v>
      </c>
      <c r="O4" s="109" t="s">
        <v>18</v>
      </c>
      <c r="P4" s="109" t="s">
        <v>18</v>
      </c>
      <c r="Q4" s="105"/>
      <c r="R4" s="105"/>
      <c r="S4" s="107"/>
      <c r="T4" s="162"/>
    </row>
    <row r="5" spans="1:50" s="108" customFormat="1" ht="90" x14ac:dyDescent="0.2">
      <c r="A5" s="105">
        <v>2</v>
      </c>
      <c r="B5" s="162" t="s">
        <v>1339</v>
      </c>
      <c r="C5" s="162" t="s">
        <v>1340</v>
      </c>
      <c r="D5" s="160">
        <v>2014</v>
      </c>
      <c r="E5" s="162" t="s">
        <v>660</v>
      </c>
      <c r="F5" s="112" t="s">
        <v>1338</v>
      </c>
      <c r="G5" s="107" t="s">
        <v>1424</v>
      </c>
      <c r="H5" s="162" t="s">
        <v>443</v>
      </c>
      <c r="I5" s="107" t="s">
        <v>315</v>
      </c>
      <c r="J5" s="107" t="s">
        <v>89</v>
      </c>
      <c r="K5" s="162" t="s">
        <v>1425</v>
      </c>
      <c r="L5" s="162" t="s">
        <v>441</v>
      </c>
      <c r="M5" s="162"/>
      <c r="N5" s="162" t="s">
        <v>361</v>
      </c>
      <c r="O5" s="109" t="s">
        <v>18</v>
      </c>
      <c r="P5" s="109" t="s">
        <v>304</v>
      </c>
      <c r="Q5" s="105" t="s">
        <v>1426</v>
      </c>
      <c r="R5" s="105"/>
      <c r="S5" s="162"/>
      <c r="T5" s="162"/>
    </row>
    <row r="6" spans="1:50" s="108" customFormat="1" ht="90" x14ac:dyDescent="0.2">
      <c r="A6" s="105">
        <v>3</v>
      </c>
      <c r="B6" s="162" t="s">
        <v>670</v>
      </c>
      <c r="C6" s="105" t="s">
        <v>126</v>
      </c>
      <c r="D6" s="160">
        <v>2010</v>
      </c>
      <c r="E6" s="162" t="s">
        <v>114</v>
      </c>
      <c r="F6" s="162" t="s">
        <v>669</v>
      </c>
      <c r="G6" s="162" t="s">
        <v>998</v>
      </c>
      <c r="H6" s="162" t="s">
        <v>1658</v>
      </c>
      <c r="I6" s="162" t="s">
        <v>999</v>
      </c>
      <c r="J6" s="105" t="s">
        <v>444</v>
      </c>
      <c r="K6" s="162" t="s">
        <v>1000</v>
      </c>
      <c r="L6" s="162" t="s">
        <v>91</v>
      </c>
      <c r="M6" s="162" t="s">
        <v>448</v>
      </c>
      <c r="N6" s="162" t="s">
        <v>1001</v>
      </c>
      <c r="O6" s="162" t="s">
        <v>370</v>
      </c>
      <c r="P6" s="162" t="s">
        <v>1002</v>
      </c>
      <c r="Q6" s="162"/>
      <c r="R6" s="162"/>
      <c r="S6" s="107"/>
      <c r="T6" s="162"/>
    </row>
    <row r="7" spans="1:50" s="108" customFormat="1" ht="90" x14ac:dyDescent="0.2">
      <c r="A7" s="105">
        <v>4</v>
      </c>
      <c r="B7" s="162" t="s">
        <v>1342</v>
      </c>
      <c r="C7" s="105" t="s">
        <v>27</v>
      </c>
      <c r="D7" s="160">
        <v>2016</v>
      </c>
      <c r="E7" s="162" t="s">
        <v>164</v>
      </c>
      <c r="F7" s="162" t="s">
        <v>1341</v>
      </c>
      <c r="G7" s="107" t="s">
        <v>1429</v>
      </c>
      <c r="H7" s="162" t="s">
        <v>100</v>
      </c>
      <c r="I7" s="107" t="s">
        <v>275</v>
      </c>
      <c r="J7" s="107" t="s">
        <v>89</v>
      </c>
      <c r="K7" s="162" t="s">
        <v>1428</v>
      </c>
      <c r="L7" s="162" t="s">
        <v>91</v>
      </c>
      <c r="M7" s="162" t="s">
        <v>1269</v>
      </c>
      <c r="N7" s="162" t="s">
        <v>1430</v>
      </c>
      <c r="O7" s="160" t="s">
        <v>1069</v>
      </c>
      <c r="P7" s="160" t="s">
        <v>1427</v>
      </c>
      <c r="Q7" s="105"/>
      <c r="R7" s="105"/>
      <c r="S7" s="112"/>
      <c r="T7" s="162"/>
    </row>
    <row r="8" spans="1:50" s="105" customFormat="1" ht="90" x14ac:dyDescent="0.2">
      <c r="A8" s="105">
        <v>5</v>
      </c>
      <c r="B8" s="162" t="s">
        <v>1344</v>
      </c>
      <c r="C8" s="105" t="s">
        <v>113</v>
      </c>
      <c r="D8" s="160">
        <v>2015</v>
      </c>
      <c r="E8" s="162" t="s">
        <v>660</v>
      </c>
      <c r="F8" s="162" t="s">
        <v>1343</v>
      </c>
      <c r="G8" s="107" t="s">
        <v>1431</v>
      </c>
      <c r="H8" s="107" t="s">
        <v>100</v>
      </c>
      <c r="I8" s="107" t="s">
        <v>275</v>
      </c>
      <c r="J8" s="107" t="s">
        <v>88</v>
      </c>
      <c r="K8" s="162" t="s">
        <v>1432</v>
      </c>
      <c r="L8" s="162" t="s">
        <v>650</v>
      </c>
      <c r="M8" s="162"/>
      <c r="N8" s="162" t="s">
        <v>1433</v>
      </c>
      <c r="O8" s="109" t="s">
        <v>18</v>
      </c>
      <c r="P8" s="159" t="s">
        <v>1434</v>
      </c>
      <c r="Q8" s="162" t="s">
        <v>1435</v>
      </c>
      <c r="S8" s="162"/>
      <c r="T8" s="162"/>
    </row>
    <row r="9" spans="1:50" s="105" customFormat="1" ht="105" x14ac:dyDescent="0.2">
      <c r="A9" s="105">
        <v>6</v>
      </c>
      <c r="B9" s="162" t="s">
        <v>1346</v>
      </c>
      <c r="C9" s="105" t="s">
        <v>138</v>
      </c>
      <c r="D9" s="160">
        <v>2015</v>
      </c>
      <c r="E9" s="162" t="s">
        <v>114</v>
      </c>
      <c r="F9" s="162" t="s">
        <v>1345</v>
      </c>
      <c r="G9" s="162" t="s">
        <v>1436</v>
      </c>
      <c r="H9" s="162" t="s">
        <v>98</v>
      </c>
      <c r="I9" s="162" t="s">
        <v>1437</v>
      </c>
      <c r="J9" s="162" t="s">
        <v>89</v>
      </c>
      <c r="K9" s="162" t="s">
        <v>1440</v>
      </c>
      <c r="L9" s="162" t="s">
        <v>441</v>
      </c>
      <c r="M9" s="162"/>
      <c r="N9" s="162" t="s">
        <v>1438</v>
      </c>
      <c r="O9" s="109" t="s">
        <v>18</v>
      </c>
      <c r="P9" s="159" t="s">
        <v>1439</v>
      </c>
      <c r="S9" s="162"/>
    </row>
    <row r="10" spans="1:50" s="105" customFormat="1" ht="120" x14ac:dyDescent="0.2">
      <c r="A10" s="105">
        <v>7</v>
      </c>
      <c r="B10" s="162" t="s">
        <v>677</v>
      </c>
      <c r="C10" s="105" t="s">
        <v>121</v>
      </c>
      <c r="D10" s="160">
        <v>2007</v>
      </c>
      <c r="E10" s="162" t="s">
        <v>118</v>
      </c>
      <c r="F10" s="162" t="s">
        <v>678</v>
      </c>
      <c r="G10" s="107" t="s">
        <v>1017</v>
      </c>
      <c r="H10" s="162" t="s">
        <v>102</v>
      </c>
      <c r="I10" s="162" t="s">
        <v>1021</v>
      </c>
      <c r="J10" s="162" t="s">
        <v>446</v>
      </c>
      <c r="K10" s="162" t="s">
        <v>1019</v>
      </c>
      <c r="L10" s="162" t="s">
        <v>441</v>
      </c>
      <c r="M10" s="162"/>
      <c r="N10" s="162" t="s">
        <v>1020</v>
      </c>
      <c r="O10" s="161" t="s">
        <v>18</v>
      </c>
      <c r="P10" s="161" t="s">
        <v>18</v>
      </c>
      <c r="S10" s="162"/>
    </row>
    <row r="11" spans="1:50" s="105" customFormat="1" ht="120" x14ac:dyDescent="0.2">
      <c r="A11" s="105">
        <v>8</v>
      </c>
      <c r="B11" s="162" t="s">
        <v>179</v>
      </c>
      <c r="C11" s="105" t="s">
        <v>121</v>
      </c>
      <c r="D11" s="160">
        <v>2015</v>
      </c>
      <c r="E11" s="162" t="s">
        <v>116</v>
      </c>
      <c r="F11" s="162" t="s">
        <v>127</v>
      </c>
      <c r="G11" s="162" t="s">
        <v>268</v>
      </c>
      <c r="H11" s="162" t="s">
        <v>100</v>
      </c>
      <c r="I11" s="162" t="s">
        <v>275</v>
      </c>
      <c r="J11" s="162" t="s">
        <v>90</v>
      </c>
      <c r="K11" s="162" t="s">
        <v>267</v>
      </c>
      <c r="L11" s="162" t="s">
        <v>443</v>
      </c>
      <c r="M11" s="162"/>
      <c r="N11" s="105" t="s">
        <v>269</v>
      </c>
      <c r="O11" s="109" t="s">
        <v>18</v>
      </c>
      <c r="P11" s="159" t="s">
        <v>495</v>
      </c>
      <c r="Q11" s="162"/>
      <c r="R11" s="162"/>
      <c r="S11" s="107"/>
    </row>
    <row r="12" spans="1:50" s="105" customFormat="1" ht="150" x14ac:dyDescent="0.2">
      <c r="A12" s="105">
        <v>9</v>
      </c>
      <c r="B12" s="162" t="s">
        <v>680</v>
      </c>
      <c r="C12" s="105" t="s">
        <v>138</v>
      </c>
      <c r="D12" s="160">
        <v>2016</v>
      </c>
      <c r="E12" s="162" t="s">
        <v>114</v>
      </c>
      <c r="F12" s="162" t="s">
        <v>679</v>
      </c>
      <c r="G12" s="162" t="s">
        <v>1022</v>
      </c>
      <c r="H12" s="162" t="s">
        <v>443</v>
      </c>
      <c r="I12" s="162" t="s">
        <v>315</v>
      </c>
      <c r="J12" s="162" t="s">
        <v>89</v>
      </c>
      <c r="K12" s="162" t="s">
        <v>1024</v>
      </c>
      <c r="L12" s="162" t="s">
        <v>441</v>
      </c>
      <c r="M12" s="162"/>
      <c r="N12" s="162" t="s">
        <v>1756</v>
      </c>
      <c r="O12" s="160" t="s">
        <v>1025</v>
      </c>
      <c r="P12" s="162" t="s">
        <v>1023</v>
      </c>
      <c r="S12" s="162"/>
      <c r="T12" s="162"/>
    </row>
    <row r="13" spans="1:50" s="105" customFormat="1" ht="90" x14ac:dyDescent="0.2">
      <c r="A13" s="105">
        <v>10</v>
      </c>
      <c r="B13" s="162" t="s">
        <v>1348</v>
      </c>
      <c r="C13" s="105" t="s">
        <v>138</v>
      </c>
      <c r="D13" s="160">
        <v>2012</v>
      </c>
      <c r="E13" s="162" t="s">
        <v>660</v>
      </c>
      <c r="F13" s="162" t="s">
        <v>1347</v>
      </c>
      <c r="G13" s="162" t="s">
        <v>1441</v>
      </c>
      <c r="H13" s="162" t="s">
        <v>98</v>
      </c>
      <c r="I13" s="162" t="s">
        <v>1442</v>
      </c>
      <c r="J13" s="162" t="s">
        <v>446</v>
      </c>
      <c r="K13" s="162" t="s">
        <v>494</v>
      </c>
      <c r="L13" s="162" t="s">
        <v>441</v>
      </c>
      <c r="M13" s="162"/>
      <c r="N13" s="162" t="s">
        <v>1443</v>
      </c>
      <c r="O13" s="109" t="s">
        <v>18</v>
      </c>
      <c r="P13" s="109" t="s">
        <v>18</v>
      </c>
      <c r="S13" s="162"/>
      <c r="T13" s="162"/>
    </row>
    <row r="14" spans="1:50" s="105" customFormat="1" ht="90" x14ac:dyDescent="0.2">
      <c r="A14" s="105">
        <v>11</v>
      </c>
      <c r="B14" s="162" t="s">
        <v>686</v>
      </c>
      <c r="C14" s="160" t="s">
        <v>245</v>
      </c>
      <c r="D14" s="160">
        <v>2008</v>
      </c>
      <c r="E14" s="162" t="s">
        <v>107</v>
      </c>
      <c r="F14" s="162" t="s">
        <v>685</v>
      </c>
      <c r="G14" s="107" t="s">
        <v>1444</v>
      </c>
      <c r="H14" s="162" t="s">
        <v>99</v>
      </c>
      <c r="I14" s="162" t="s">
        <v>1446</v>
      </c>
      <c r="J14" s="162" t="s">
        <v>445</v>
      </c>
      <c r="K14" s="162" t="s">
        <v>1445</v>
      </c>
      <c r="L14" s="162" t="s">
        <v>441</v>
      </c>
      <c r="M14" s="162"/>
      <c r="N14" s="162" t="s">
        <v>1032</v>
      </c>
      <c r="O14" s="162" t="s">
        <v>568</v>
      </c>
      <c r="P14" s="160" t="s">
        <v>395</v>
      </c>
      <c r="S14" s="162"/>
      <c r="T14" s="162"/>
    </row>
    <row r="15" spans="1:50" s="105" customFormat="1" ht="150" x14ac:dyDescent="0.2">
      <c r="A15" s="105">
        <v>12</v>
      </c>
      <c r="B15" s="162" t="s">
        <v>1350</v>
      </c>
      <c r="C15" s="105" t="s">
        <v>121</v>
      </c>
      <c r="D15" s="160">
        <v>2010</v>
      </c>
      <c r="E15" s="162" t="s">
        <v>107</v>
      </c>
      <c r="F15" s="162" t="s">
        <v>1349</v>
      </c>
      <c r="G15" s="162" t="s">
        <v>1447</v>
      </c>
      <c r="H15" s="162" t="s">
        <v>1095</v>
      </c>
      <c r="I15" s="162" t="s">
        <v>1448</v>
      </c>
      <c r="J15" s="162" t="s">
        <v>446</v>
      </c>
      <c r="K15" s="162" t="s">
        <v>1450</v>
      </c>
      <c r="L15" s="162" t="s">
        <v>441</v>
      </c>
      <c r="M15" s="162"/>
      <c r="N15" s="105" t="s">
        <v>361</v>
      </c>
      <c r="O15" s="109" t="s">
        <v>18</v>
      </c>
      <c r="P15" s="159" t="s">
        <v>1449</v>
      </c>
      <c r="S15" s="162"/>
      <c r="T15" s="162"/>
    </row>
    <row r="16" spans="1:50" s="105" customFormat="1" ht="75" x14ac:dyDescent="0.2">
      <c r="A16" s="105">
        <v>13</v>
      </c>
      <c r="B16" s="162" t="s">
        <v>1352</v>
      </c>
      <c r="C16" s="105" t="s">
        <v>1451</v>
      </c>
      <c r="D16" s="160">
        <v>2016</v>
      </c>
      <c r="E16" s="162" t="s">
        <v>114</v>
      </c>
      <c r="F16" s="162" t="s">
        <v>1351</v>
      </c>
      <c r="G16" s="162" t="s">
        <v>1453</v>
      </c>
      <c r="H16" s="162" t="s">
        <v>1095</v>
      </c>
      <c r="I16" s="162" t="s">
        <v>281</v>
      </c>
      <c r="J16" s="162" t="s">
        <v>88</v>
      </c>
      <c r="K16" s="162" t="s">
        <v>1452</v>
      </c>
      <c r="L16" s="162" t="s">
        <v>92</v>
      </c>
      <c r="M16" s="162" t="s">
        <v>443</v>
      </c>
      <c r="N16" s="162" t="s">
        <v>1454</v>
      </c>
      <c r="O16" s="109" t="s">
        <v>18</v>
      </c>
      <c r="P16" s="162" t="s">
        <v>378</v>
      </c>
      <c r="S16" s="162"/>
    </row>
    <row r="17" spans="1:35" s="105" customFormat="1" ht="75" x14ac:dyDescent="0.2">
      <c r="A17" s="105">
        <v>14</v>
      </c>
      <c r="B17" s="162" t="s">
        <v>1354</v>
      </c>
      <c r="C17" s="105" t="s">
        <v>230</v>
      </c>
      <c r="D17" s="160">
        <v>2014</v>
      </c>
      <c r="E17" s="162" t="s">
        <v>164</v>
      </c>
      <c r="F17" s="162" t="s">
        <v>1353</v>
      </c>
      <c r="G17" s="162" t="s">
        <v>1455</v>
      </c>
      <c r="H17" s="162" t="s">
        <v>102</v>
      </c>
      <c r="I17" s="162" t="s">
        <v>1457</v>
      </c>
      <c r="J17" s="162" t="s">
        <v>446</v>
      </c>
      <c r="K17" s="162" t="s">
        <v>1456</v>
      </c>
      <c r="L17" s="162" t="s">
        <v>91</v>
      </c>
      <c r="M17" s="162" t="s">
        <v>97</v>
      </c>
      <c r="N17" s="162" t="s">
        <v>1463</v>
      </c>
      <c r="O17" s="109" t="s">
        <v>1462</v>
      </c>
      <c r="P17" s="162" t="s">
        <v>378</v>
      </c>
      <c r="Q17" s="162" t="s">
        <v>1458</v>
      </c>
      <c r="S17" s="162"/>
    </row>
    <row r="18" spans="1:35" s="105" customFormat="1" ht="23" customHeight="1" x14ac:dyDescent="0.2">
      <c r="A18" s="220">
        <v>15</v>
      </c>
      <c r="B18" s="214" t="s">
        <v>1356</v>
      </c>
      <c r="C18" s="218" t="s">
        <v>156</v>
      </c>
      <c r="D18" s="218">
        <v>2011</v>
      </c>
      <c r="E18" s="214" t="s">
        <v>107</v>
      </c>
      <c r="F18" s="214" t="s">
        <v>1355</v>
      </c>
      <c r="G18" s="214" t="s">
        <v>1459</v>
      </c>
      <c r="H18" s="214" t="s">
        <v>100</v>
      </c>
      <c r="I18" s="218" t="s">
        <v>275</v>
      </c>
      <c r="J18" s="218" t="s">
        <v>444</v>
      </c>
      <c r="K18" s="214" t="s">
        <v>1460</v>
      </c>
      <c r="L18" s="214" t="s">
        <v>441</v>
      </c>
      <c r="M18" s="214"/>
      <c r="N18" s="214" t="s">
        <v>1461</v>
      </c>
      <c r="O18" s="214" t="s">
        <v>456</v>
      </c>
      <c r="P18" s="214" t="s">
        <v>304</v>
      </c>
      <c r="Q18" s="213" t="s">
        <v>1468</v>
      </c>
      <c r="R18" s="162" t="s">
        <v>1464</v>
      </c>
      <c r="S18" s="162"/>
      <c r="AI18" s="105">
        <v>64</v>
      </c>
    </row>
    <row r="19" spans="1:35" s="105" customFormat="1" ht="23" customHeight="1" x14ac:dyDescent="0.2">
      <c r="A19" s="220"/>
      <c r="B19" s="214"/>
      <c r="C19" s="218"/>
      <c r="D19" s="218"/>
      <c r="E19" s="214"/>
      <c r="F19" s="214"/>
      <c r="G19" s="214"/>
      <c r="H19" s="214"/>
      <c r="I19" s="218"/>
      <c r="J19" s="218"/>
      <c r="K19" s="214"/>
      <c r="L19" s="214"/>
      <c r="M19" s="214"/>
      <c r="N19" s="214"/>
      <c r="O19" s="214"/>
      <c r="P19" s="214"/>
      <c r="Q19" s="213"/>
      <c r="R19" s="162" t="s">
        <v>1465</v>
      </c>
      <c r="S19" s="162"/>
      <c r="AI19" s="105">
        <v>92.9</v>
      </c>
    </row>
    <row r="20" spans="1:35" s="105" customFormat="1" ht="23" customHeight="1" x14ac:dyDescent="0.2">
      <c r="A20" s="220"/>
      <c r="B20" s="214"/>
      <c r="C20" s="218"/>
      <c r="D20" s="218"/>
      <c r="E20" s="214"/>
      <c r="F20" s="214"/>
      <c r="G20" s="214"/>
      <c r="H20" s="214"/>
      <c r="I20" s="218"/>
      <c r="J20" s="218"/>
      <c r="K20" s="214"/>
      <c r="L20" s="214"/>
      <c r="M20" s="214"/>
      <c r="N20" s="214"/>
      <c r="O20" s="214"/>
      <c r="P20" s="214"/>
      <c r="Q20" s="213"/>
      <c r="R20" s="162" t="s">
        <v>1466</v>
      </c>
      <c r="S20" s="162"/>
      <c r="AI20" s="105">
        <v>232</v>
      </c>
    </row>
    <row r="21" spans="1:35" s="105" customFormat="1" ht="23" customHeight="1" x14ac:dyDescent="0.2">
      <c r="A21" s="220"/>
      <c r="B21" s="214"/>
      <c r="C21" s="218"/>
      <c r="D21" s="218"/>
      <c r="E21" s="214"/>
      <c r="F21" s="214"/>
      <c r="G21" s="214"/>
      <c r="H21" s="214" t="s">
        <v>1095</v>
      </c>
      <c r="I21" s="218" t="s">
        <v>281</v>
      </c>
      <c r="J21" s="218"/>
      <c r="K21" s="214"/>
      <c r="L21" s="214"/>
      <c r="M21" s="214"/>
      <c r="N21" s="214"/>
      <c r="O21" s="214"/>
      <c r="P21" s="214"/>
      <c r="Q21" s="213"/>
      <c r="R21" s="162" t="s">
        <v>1464</v>
      </c>
      <c r="S21" s="162"/>
      <c r="AI21" s="105">
        <v>77.400000000000006</v>
      </c>
    </row>
    <row r="22" spans="1:35" s="105" customFormat="1" ht="23" customHeight="1" x14ac:dyDescent="0.2">
      <c r="A22" s="220"/>
      <c r="B22" s="214"/>
      <c r="C22" s="218"/>
      <c r="D22" s="218"/>
      <c r="E22" s="214"/>
      <c r="F22" s="214"/>
      <c r="G22" s="214"/>
      <c r="H22" s="214"/>
      <c r="I22" s="218"/>
      <c r="J22" s="218"/>
      <c r="K22" s="214"/>
      <c r="L22" s="214"/>
      <c r="M22" s="214"/>
      <c r="N22" s="214"/>
      <c r="O22" s="214"/>
      <c r="P22" s="214"/>
      <c r="Q22" s="213"/>
      <c r="R22" s="162" t="s">
        <v>1465</v>
      </c>
      <c r="S22" s="162"/>
      <c r="AI22" s="105">
        <v>107.5</v>
      </c>
    </row>
    <row r="23" spans="1:35" s="105" customFormat="1" ht="23" customHeight="1" x14ac:dyDescent="0.2">
      <c r="A23" s="220"/>
      <c r="B23" s="214"/>
      <c r="C23" s="218"/>
      <c r="D23" s="218"/>
      <c r="E23" s="214"/>
      <c r="F23" s="214"/>
      <c r="G23" s="214"/>
      <c r="H23" s="214"/>
      <c r="I23" s="218"/>
      <c r="J23" s="218"/>
      <c r="K23" s="214"/>
      <c r="L23" s="214"/>
      <c r="M23" s="214"/>
      <c r="N23" s="214"/>
      <c r="O23" s="214"/>
      <c r="P23" s="214"/>
      <c r="Q23" s="213"/>
      <c r="R23" s="162" t="s">
        <v>1466</v>
      </c>
      <c r="S23" s="162"/>
      <c r="AI23" s="105">
        <v>251.8</v>
      </c>
    </row>
    <row r="24" spans="1:35" s="105" customFormat="1" ht="120" x14ac:dyDescent="0.2">
      <c r="A24" s="105">
        <v>16</v>
      </c>
      <c r="B24" s="162" t="s">
        <v>1358</v>
      </c>
      <c r="C24" s="105" t="s">
        <v>147</v>
      </c>
      <c r="D24" s="160">
        <v>2015</v>
      </c>
      <c r="E24" s="162" t="s">
        <v>114</v>
      </c>
      <c r="F24" s="162" t="s">
        <v>1357</v>
      </c>
      <c r="G24" s="162" t="s">
        <v>1469</v>
      </c>
      <c r="H24" s="162" t="s">
        <v>102</v>
      </c>
      <c r="I24" s="162" t="s">
        <v>110</v>
      </c>
      <c r="J24" s="162" t="s">
        <v>90</v>
      </c>
      <c r="K24" s="162" t="s">
        <v>1470</v>
      </c>
      <c r="L24" s="105" t="s">
        <v>91</v>
      </c>
      <c r="M24" s="105" t="s">
        <v>94</v>
      </c>
      <c r="N24" s="162" t="s">
        <v>1471</v>
      </c>
      <c r="O24" s="162" t="s">
        <v>456</v>
      </c>
      <c r="P24" s="159" t="s">
        <v>1472</v>
      </c>
      <c r="Q24" s="162" t="s">
        <v>1473</v>
      </c>
      <c r="S24" s="162"/>
    </row>
    <row r="25" spans="1:35" s="105" customFormat="1" ht="120" x14ac:dyDescent="0.2">
      <c r="A25" s="105">
        <v>17</v>
      </c>
      <c r="B25" s="162" t="s">
        <v>1360</v>
      </c>
      <c r="C25" s="105" t="s">
        <v>82</v>
      </c>
      <c r="D25" s="160">
        <v>2017</v>
      </c>
      <c r="E25" s="162" t="s">
        <v>1361</v>
      </c>
      <c r="F25" s="162" t="s">
        <v>1359</v>
      </c>
      <c r="G25" s="162" t="s">
        <v>1474</v>
      </c>
      <c r="H25" s="162" t="s">
        <v>98</v>
      </c>
      <c r="I25" s="162" t="s">
        <v>1475</v>
      </c>
      <c r="J25" s="162" t="s">
        <v>445</v>
      </c>
      <c r="K25" s="162" t="s">
        <v>1476</v>
      </c>
      <c r="L25" s="162" t="s">
        <v>441</v>
      </c>
      <c r="M25" s="162"/>
      <c r="N25" s="162" t="s">
        <v>1477</v>
      </c>
      <c r="O25" s="109" t="s">
        <v>18</v>
      </c>
      <c r="P25" s="109" t="s">
        <v>18</v>
      </c>
      <c r="S25" s="162"/>
      <c r="T25" s="162"/>
    </row>
    <row r="26" spans="1:35" s="115" customFormat="1" ht="75" x14ac:dyDescent="0.2">
      <c r="A26" s="105">
        <v>18</v>
      </c>
      <c r="B26" s="162" t="s">
        <v>692</v>
      </c>
      <c r="C26" s="105" t="s">
        <v>144</v>
      </c>
      <c r="D26" s="160">
        <v>2009</v>
      </c>
      <c r="E26" s="162" t="s">
        <v>28</v>
      </c>
      <c r="F26" s="162" t="s">
        <v>691</v>
      </c>
      <c r="G26" s="162" t="s">
        <v>1044</v>
      </c>
      <c r="H26" s="162" t="s">
        <v>103</v>
      </c>
      <c r="I26" s="162" t="s">
        <v>1045</v>
      </c>
      <c r="J26" s="162" t="s">
        <v>446</v>
      </c>
      <c r="K26" s="162" t="s">
        <v>1049</v>
      </c>
      <c r="L26" s="162" t="s">
        <v>91</v>
      </c>
      <c r="M26" s="162" t="s">
        <v>1047</v>
      </c>
      <c r="N26" s="162" t="s">
        <v>1046</v>
      </c>
      <c r="O26" s="160" t="s">
        <v>996</v>
      </c>
      <c r="P26" s="159" t="s">
        <v>1048</v>
      </c>
      <c r="Q26" s="105"/>
      <c r="R26" s="105"/>
      <c r="S26" s="162"/>
      <c r="T26" s="162"/>
    </row>
    <row r="27" spans="1:35" s="115" customFormat="1" ht="60" x14ac:dyDescent="0.2">
      <c r="A27" s="105">
        <v>19</v>
      </c>
      <c r="B27" s="162" t="s">
        <v>1363</v>
      </c>
      <c r="C27" s="105" t="s">
        <v>156</v>
      </c>
      <c r="D27" s="160">
        <v>2016</v>
      </c>
      <c r="E27" s="162" t="s">
        <v>660</v>
      </c>
      <c r="F27" s="162" t="s">
        <v>1362</v>
      </c>
      <c r="G27" s="162" t="s">
        <v>1478</v>
      </c>
      <c r="H27" s="162" t="s">
        <v>100</v>
      </c>
      <c r="I27" s="162" t="s">
        <v>275</v>
      </c>
      <c r="J27" s="162" t="s">
        <v>446</v>
      </c>
      <c r="K27" s="162" t="s">
        <v>1479</v>
      </c>
      <c r="L27" s="162" t="s">
        <v>441</v>
      </c>
      <c r="M27" s="162"/>
      <c r="N27" s="162" t="s">
        <v>1480</v>
      </c>
      <c r="O27" s="109" t="s">
        <v>18</v>
      </c>
      <c r="P27" s="161" t="s">
        <v>18</v>
      </c>
      <c r="Q27" s="105"/>
      <c r="R27" s="105"/>
      <c r="S27" s="162"/>
      <c r="T27" s="105"/>
    </row>
    <row r="28" spans="1:35" s="115" customFormat="1" ht="120" x14ac:dyDescent="0.2">
      <c r="A28" s="105">
        <v>20</v>
      </c>
      <c r="B28" s="162" t="s">
        <v>1364</v>
      </c>
      <c r="C28" s="105" t="s">
        <v>138</v>
      </c>
      <c r="D28" s="160">
        <v>2016</v>
      </c>
      <c r="E28" s="162" t="s">
        <v>118</v>
      </c>
      <c r="F28" s="162" t="s">
        <v>137</v>
      </c>
      <c r="G28" s="162" t="s">
        <v>284</v>
      </c>
      <c r="H28" s="162" t="s">
        <v>1482</v>
      </c>
      <c r="I28" s="162" t="s">
        <v>1481</v>
      </c>
      <c r="J28" s="162" t="s">
        <v>90</v>
      </c>
      <c r="K28" s="162" t="s">
        <v>1483</v>
      </c>
      <c r="L28" s="105" t="s">
        <v>441</v>
      </c>
      <c r="M28" s="105"/>
      <c r="N28" s="162" t="s">
        <v>1484</v>
      </c>
      <c r="O28" s="109" t="s">
        <v>18</v>
      </c>
      <c r="P28" s="159" t="s">
        <v>1485</v>
      </c>
      <c r="Q28" s="105"/>
      <c r="R28" s="105"/>
      <c r="S28" s="162"/>
      <c r="T28" s="105"/>
    </row>
    <row r="29" spans="1:35" s="115" customFormat="1" ht="75" x14ac:dyDescent="0.2">
      <c r="A29" s="105">
        <v>21</v>
      </c>
      <c r="B29" s="162" t="s">
        <v>143</v>
      </c>
      <c r="C29" s="105" t="s">
        <v>144</v>
      </c>
      <c r="D29" s="160">
        <v>2016</v>
      </c>
      <c r="E29" s="162" t="s">
        <v>116</v>
      </c>
      <c r="F29" s="162" t="s">
        <v>142</v>
      </c>
      <c r="G29" s="107" t="s">
        <v>291</v>
      </c>
      <c r="H29" s="107" t="s">
        <v>103</v>
      </c>
      <c r="I29" s="162" t="s">
        <v>110</v>
      </c>
      <c r="J29" s="162" t="s">
        <v>90</v>
      </c>
      <c r="K29" s="162" t="s">
        <v>293</v>
      </c>
      <c r="L29" s="162" t="s">
        <v>91</v>
      </c>
      <c r="M29" s="162" t="s">
        <v>448</v>
      </c>
      <c r="N29" s="105" t="s">
        <v>292</v>
      </c>
      <c r="O29" s="162" t="s">
        <v>294</v>
      </c>
      <c r="P29" s="162" t="s">
        <v>1917</v>
      </c>
      <c r="Q29" s="162" t="s">
        <v>1755</v>
      </c>
      <c r="R29" s="105"/>
      <c r="S29" s="162"/>
      <c r="T29" s="162"/>
    </row>
    <row r="30" spans="1:35" s="116" customFormat="1" ht="120" x14ac:dyDescent="0.2">
      <c r="A30" s="105">
        <v>22</v>
      </c>
      <c r="B30" s="162" t="s">
        <v>1367</v>
      </c>
      <c r="C30" s="105" t="s">
        <v>1366</v>
      </c>
      <c r="D30" s="160">
        <v>2016</v>
      </c>
      <c r="E30" s="162" t="s">
        <v>114</v>
      </c>
      <c r="F30" s="162" t="s">
        <v>1365</v>
      </c>
      <c r="G30" s="162" t="s">
        <v>1486</v>
      </c>
      <c r="H30" s="162" t="s">
        <v>1150</v>
      </c>
      <c r="I30" s="162" t="s">
        <v>1487</v>
      </c>
      <c r="J30" s="162" t="s">
        <v>1489</v>
      </c>
      <c r="K30" s="162" t="s">
        <v>1488</v>
      </c>
      <c r="L30" s="162" t="s">
        <v>92</v>
      </c>
      <c r="M30" s="162" t="s">
        <v>1224</v>
      </c>
      <c r="N30" s="162" t="s">
        <v>1490</v>
      </c>
      <c r="O30" s="109" t="s">
        <v>18</v>
      </c>
      <c r="P30" s="105" t="s">
        <v>1052</v>
      </c>
      <c r="Q30" s="105"/>
      <c r="R30" s="105"/>
      <c r="S30" s="162"/>
    </row>
    <row r="31" spans="1:35" s="115" customFormat="1" ht="90" x14ac:dyDescent="0.2">
      <c r="A31" s="105">
        <v>23</v>
      </c>
      <c r="B31" s="162" t="s">
        <v>695</v>
      </c>
      <c r="C31" s="105" t="s">
        <v>697</v>
      </c>
      <c r="D31" s="160">
        <v>2016</v>
      </c>
      <c r="E31" s="162" t="s">
        <v>114</v>
      </c>
      <c r="F31" s="162" t="s">
        <v>696</v>
      </c>
      <c r="G31" s="162" t="s">
        <v>1055</v>
      </c>
      <c r="H31" s="162" t="s">
        <v>98</v>
      </c>
      <c r="I31" s="162" t="s">
        <v>1057</v>
      </c>
      <c r="J31" s="162" t="s">
        <v>89</v>
      </c>
      <c r="K31" s="162" t="s">
        <v>1056</v>
      </c>
      <c r="L31" s="162" t="s">
        <v>91</v>
      </c>
      <c r="M31" s="162" t="s">
        <v>95</v>
      </c>
      <c r="N31" s="162" t="s">
        <v>1054</v>
      </c>
      <c r="O31" s="109"/>
      <c r="P31" s="105" t="s">
        <v>1058</v>
      </c>
      <c r="Q31" s="105"/>
      <c r="R31" s="105"/>
      <c r="S31" s="162"/>
      <c r="T31" s="162"/>
    </row>
    <row r="32" spans="1:35" s="115" customFormat="1" ht="24" customHeight="1" x14ac:dyDescent="0.2">
      <c r="A32" s="220">
        <v>24</v>
      </c>
      <c r="B32" s="214" t="s">
        <v>699</v>
      </c>
      <c r="C32" s="218" t="s">
        <v>126</v>
      </c>
      <c r="D32" s="218">
        <v>2016</v>
      </c>
      <c r="E32" s="214" t="s">
        <v>118</v>
      </c>
      <c r="F32" s="214" t="s">
        <v>698</v>
      </c>
      <c r="G32" s="214" t="s">
        <v>1059</v>
      </c>
      <c r="H32" s="219" t="s">
        <v>100</v>
      </c>
      <c r="I32" s="214" t="s">
        <v>1063</v>
      </c>
      <c r="J32" s="214" t="s">
        <v>444</v>
      </c>
      <c r="K32" s="214" t="s">
        <v>1060</v>
      </c>
      <c r="L32" s="214" t="s">
        <v>441</v>
      </c>
      <c r="M32" s="214"/>
      <c r="N32" s="214" t="s">
        <v>1061</v>
      </c>
      <c r="O32" s="214" t="s">
        <v>1064</v>
      </c>
      <c r="P32" s="214" t="s">
        <v>1062</v>
      </c>
      <c r="Q32" s="105"/>
      <c r="R32" s="105" t="s">
        <v>1744</v>
      </c>
      <c r="S32" s="162">
        <f>1.51*10^-2</f>
        <v>1.5100000000000001E-2</v>
      </c>
      <c r="T32" s="162">
        <f>1.1*10^-3</f>
        <v>1.1000000000000001E-3</v>
      </c>
      <c r="U32" s="105">
        <v>2.42</v>
      </c>
      <c r="V32" s="105" t="s">
        <v>1750</v>
      </c>
      <c r="W32" s="105">
        <f>9.52*10^-4</f>
        <v>9.5200000000000005E-4</v>
      </c>
      <c r="X32" s="105"/>
      <c r="Y32" s="105"/>
      <c r="Z32" s="105"/>
      <c r="AA32" s="105"/>
      <c r="AB32" s="105">
        <v>0.318</v>
      </c>
      <c r="AC32" s="105">
        <f>1.46*10^2</f>
        <v>146</v>
      </c>
      <c r="AD32" s="105"/>
      <c r="AE32" s="105"/>
      <c r="AF32" s="105"/>
      <c r="AG32" s="105"/>
    </row>
    <row r="33" spans="1:36" s="115" customFormat="1" ht="24" customHeight="1" x14ac:dyDescent="0.2">
      <c r="A33" s="220"/>
      <c r="B33" s="214"/>
      <c r="C33" s="218"/>
      <c r="D33" s="218"/>
      <c r="E33" s="214"/>
      <c r="F33" s="214"/>
      <c r="G33" s="214"/>
      <c r="H33" s="219"/>
      <c r="I33" s="214"/>
      <c r="J33" s="214"/>
      <c r="K33" s="214"/>
      <c r="L33" s="214"/>
      <c r="M33" s="214"/>
      <c r="N33" s="214"/>
      <c r="O33" s="214"/>
      <c r="P33" s="214"/>
      <c r="Q33" s="105"/>
      <c r="R33" s="105" t="s">
        <v>1746</v>
      </c>
      <c r="S33" s="162">
        <f>8.03*10^-3</f>
        <v>8.0299999999999989E-3</v>
      </c>
      <c r="T33" s="162">
        <f>9.2*10^-4</f>
        <v>9.1999999999999992E-4</v>
      </c>
      <c r="U33" s="105">
        <v>0.998</v>
      </c>
      <c r="V33" s="105" t="s">
        <v>1751</v>
      </c>
      <c r="W33" s="105">
        <f>5.27*10^-4</f>
        <v>5.2700000000000002E-4</v>
      </c>
      <c r="X33" s="105"/>
      <c r="Y33" s="105"/>
      <c r="Z33" s="105"/>
      <c r="AA33" s="105"/>
      <c r="AB33" s="105">
        <v>0.128</v>
      </c>
      <c r="AC33" s="105">
        <v>77.2</v>
      </c>
      <c r="AD33" s="105"/>
      <c r="AE33" s="105"/>
      <c r="AF33" s="105"/>
      <c r="AG33" s="105"/>
    </row>
    <row r="34" spans="1:36" s="115" customFormat="1" ht="24" customHeight="1" x14ac:dyDescent="0.2">
      <c r="A34" s="220"/>
      <c r="B34" s="214"/>
      <c r="C34" s="218"/>
      <c r="D34" s="218"/>
      <c r="E34" s="214"/>
      <c r="F34" s="214"/>
      <c r="G34" s="214"/>
      <c r="H34" s="219"/>
      <c r="I34" s="214"/>
      <c r="J34" s="214"/>
      <c r="K34" s="214"/>
      <c r="L34" s="214"/>
      <c r="M34" s="214"/>
      <c r="N34" s="214"/>
      <c r="O34" s="214"/>
      <c r="P34" s="214"/>
      <c r="Q34" s="105"/>
      <c r="R34" s="105" t="s">
        <v>1747</v>
      </c>
      <c r="S34" s="162">
        <f>1.45*10^-2</f>
        <v>1.4499999999999999E-2</v>
      </c>
      <c r="T34" s="162">
        <f>1.06*10^-3</f>
        <v>1.0600000000000002E-3</v>
      </c>
      <c r="U34" s="105">
        <v>2.34</v>
      </c>
      <c r="V34" s="105" t="s">
        <v>1752</v>
      </c>
      <c r="W34" s="105">
        <f>8.75*10^-4</f>
        <v>8.7500000000000002E-4</v>
      </c>
      <c r="X34" s="105"/>
      <c r="Y34" s="105"/>
      <c r="Z34" s="105"/>
      <c r="AA34" s="105"/>
      <c r="AB34" s="105">
        <v>0.20899999999999999</v>
      </c>
      <c r="AC34" s="105">
        <v>133</v>
      </c>
      <c r="AD34" s="105"/>
      <c r="AE34" s="105"/>
      <c r="AF34" s="105"/>
      <c r="AG34" s="105"/>
    </row>
    <row r="35" spans="1:36" s="115" customFormat="1" ht="24" customHeight="1" x14ac:dyDescent="0.2">
      <c r="A35" s="220"/>
      <c r="B35" s="214"/>
      <c r="C35" s="218"/>
      <c r="D35" s="218"/>
      <c r="E35" s="214"/>
      <c r="F35" s="214"/>
      <c r="G35" s="214"/>
      <c r="H35" s="219"/>
      <c r="I35" s="214"/>
      <c r="J35" s="214"/>
      <c r="K35" s="214"/>
      <c r="L35" s="214"/>
      <c r="M35" s="214"/>
      <c r="N35" s="214"/>
      <c r="O35" s="214"/>
      <c r="P35" s="214"/>
      <c r="Q35" s="105"/>
      <c r="R35" s="105" t="s">
        <v>1748</v>
      </c>
      <c r="S35" s="162">
        <f>6.61*10^-3</f>
        <v>6.6100000000000004E-3</v>
      </c>
      <c r="T35" s="162">
        <f>8.44*10^-4</f>
        <v>8.4400000000000002E-4</v>
      </c>
      <c r="U35" s="105">
        <v>0.749</v>
      </c>
      <c r="V35" s="105" t="s">
        <v>1753</v>
      </c>
      <c r="W35" s="105">
        <f>4.15*10^-4</f>
        <v>4.1500000000000006E-4</v>
      </c>
      <c r="X35" s="105"/>
      <c r="Y35" s="105"/>
      <c r="Z35" s="105"/>
      <c r="AA35" s="105"/>
      <c r="AB35" s="105">
        <v>0.108</v>
      </c>
      <c r="AC35" s="105">
        <v>58.8</v>
      </c>
      <c r="AD35" s="105"/>
      <c r="AE35" s="105"/>
      <c r="AF35" s="105"/>
      <c r="AG35" s="105"/>
    </row>
    <row r="36" spans="1:36" s="115" customFormat="1" ht="24" customHeight="1" x14ac:dyDescent="0.2">
      <c r="A36" s="220"/>
      <c r="B36" s="214"/>
      <c r="C36" s="218"/>
      <c r="D36" s="218"/>
      <c r="E36" s="214"/>
      <c r="F36" s="214"/>
      <c r="G36" s="214"/>
      <c r="H36" s="219"/>
      <c r="I36" s="214"/>
      <c r="J36" s="214"/>
      <c r="K36" s="214"/>
      <c r="L36" s="214"/>
      <c r="M36" s="214"/>
      <c r="N36" s="214"/>
      <c r="O36" s="214"/>
      <c r="P36" s="214"/>
      <c r="Q36" s="105"/>
      <c r="R36" s="105" t="s">
        <v>1745</v>
      </c>
      <c r="S36" s="162">
        <f>8.38*10^-3</f>
        <v>8.3800000000000003E-3</v>
      </c>
      <c r="T36" s="162">
        <f>7.31*10^-4</f>
        <v>7.3099999999999999E-4</v>
      </c>
      <c r="U36" s="105">
        <v>1.51</v>
      </c>
      <c r="V36" s="105" t="s">
        <v>1754</v>
      </c>
      <c r="W36" s="105">
        <f>5.54*10^-4</f>
        <v>5.5400000000000002E-4</v>
      </c>
      <c r="X36" s="105"/>
      <c r="Y36" s="105"/>
      <c r="Z36" s="105"/>
      <c r="AA36" s="105"/>
      <c r="AB36" s="105">
        <v>0.13</v>
      </c>
      <c r="AC36" s="105">
        <v>84.4</v>
      </c>
      <c r="AD36" s="105"/>
      <c r="AE36" s="105"/>
      <c r="AF36" s="105"/>
      <c r="AG36" s="105"/>
    </row>
    <row r="37" spans="1:36" s="115" customFormat="1" ht="120" x14ac:dyDescent="0.2">
      <c r="A37" s="105">
        <v>25</v>
      </c>
      <c r="B37" s="162" t="s">
        <v>701</v>
      </c>
      <c r="C37" s="105" t="s">
        <v>126</v>
      </c>
      <c r="D37" s="160">
        <v>2009</v>
      </c>
      <c r="E37" s="162" t="s">
        <v>683</v>
      </c>
      <c r="F37" s="162" t="s">
        <v>700</v>
      </c>
      <c r="G37" s="162" t="s">
        <v>1065</v>
      </c>
      <c r="H37" s="162" t="s">
        <v>1150</v>
      </c>
      <c r="I37" s="162" t="s">
        <v>1068</v>
      </c>
      <c r="J37" s="162" t="s">
        <v>441</v>
      </c>
      <c r="K37" s="162" t="s">
        <v>1066</v>
      </c>
      <c r="L37" s="162" t="s">
        <v>441</v>
      </c>
      <c r="M37" s="162"/>
      <c r="N37" s="162" t="s">
        <v>1035</v>
      </c>
      <c r="O37" s="159" t="s">
        <v>1069</v>
      </c>
      <c r="P37" s="161" t="s">
        <v>18</v>
      </c>
      <c r="Q37" s="162" t="s">
        <v>1067</v>
      </c>
      <c r="R37" s="162"/>
      <c r="S37" s="162"/>
      <c r="T37" s="162"/>
    </row>
    <row r="38" spans="1:36" s="115" customFormat="1" ht="150" x14ac:dyDescent="0.2">
      <c r="A38" s="105">
        <v>26</v>
      </c>
      <c r="B38" s="162" t="s">
        <v>708</v>
      </c>
      <c r="C38" s="105" t="s">
        <v>113</v>
      </c>
      <c r="D38" s="160">
        <v>2015</v>
      </c>
      <c r="E38" s="162" t="s">
        <v>705</v>
      </c>
      <c r="F38" s="162" t="s">
        <v>707</v>
      </c>
      <c r="G38" s="162" t="s">
        <v>1074</v>
      </c>
      <c r="H38" s="162" t="s">
        <v>98</v>
      </c>
      <c r="I38" s="162" t="s">
        <v>1077</v>
      </c>
      <c r="J38" s="162" t="s">
        <v>89</v>
      </c>
      <c r="K38" s="162" t="s">
        <v>1075</v>
      </c>
      <c r="L38" s="162" t="s">
        <v>92</v>
      </c>
      <c r="M38" s="162" t="s">
        <v>443</v>
      </c>
      <c r="N38" s="105" t="s">
        <v>1076</v>
      </c>
      <c r="O38" s="109" t="s">
        <v>18</v>
      </c>
      <c r="P38" s="109" t="s">
        <v>18</v>
      </c>
      <c r="Q38" s="162" t="s">
        <v>1088</v>
      </c>
      <c r="R38" s="162"/>
      <c r="S38" s="162"/>
      <c r="T38" s="162"/>
    </row>
    <row r="39" spans="1:36" s="115" customFormat="1" ht="120" x14ac:dyDescent="0.2">
      <c r="A39" s="105">
        <v>27</v>
      </c>
      <c r="B39" s="162" t="s">
        <v>1368</v>
      </c>
      <c r="C39" s="105" t="s">
        <v>82</v>
      </c>
      <c r="D39" s="160">
        <v>2015</v>
      </c>
      <c r="E39" s="162" t="s">
        <v>660</v>
      </c>
      <c r="F39" s="162" t="s">
        <v>1369</v>
      </c>
      <c r="G39" s="162" t="s">
        <v>1491</v>
      </c>
      <c r="H39" s="162" t="s">
        <v>103</v>
      </c>
      <c r="I39" s="162" t="s">
        <v>1493</v>
      </c>
      <c r="J39" s="162" t="s">
        <v>446</v>
      </c>
      <c r="K39" s="162" t="s">
        <v>1492</v>
      </c>
      <c r="L39" s="162" t="s">
        <v>91</v>
      </c>
      <c r="M39" s="162" t="s">
        <v>448</v>
      </c>
      <c r="N39" s="162" t="s">
        <v>1494</v>
      </c>
      <c r="O39" s="109" t="s">
        <v>18</v>
      </c>
      <c r="P39" s="160" t="s">
        <v>378</v>
      </c>
      <c r="Q39" s="162"/>
      <c r="R39" s="105"/>
      <c r="S39" s="137" t="s">
        <v>1503</v>
      </c>
      <c r="T39" s="162"/>
    </row>
    <row r="40" spans="1:36" s="115" customFormat="1" ht="41" customHeight="1" x14ac:dyDescent="0.2">
      <c r="A40" s="220">
        <v>28</v>
      </c>
      <c r="B40" s="214" t="s">
        <v>1371</v>
      </c>
      <c r="C40" s="214" t="s">
        <v>135</v>
      </c>
      <c r="D40" s="218">
        <v>2016</v>
      </c>
      <c r="E40" s="214" t="s">
        <v>114</v>
      </c>
      <c r="F40" s="214" t="s">
        <v>1370</v>
      </c>
      <c r="G40" s="214" t="s">
        <v>1495</v>
      </c>
      <c r="H40" s="214" t="s">
        <v>1095</v>
      </c>
      <c r="I40" s="214" t="s">
        <v>1496</v>
      </c>
      <c r="J40" s="214" t="s">
        <v>444</v>
      </c>
      <c r="K40" s="214" t="s">
        <v>1502</v>
      </c>
      <c r="L40" s="214" t="s">
        <v>441</v>
      </c>
      <c r="M40" s="214"/>
      <c r="N40" s="214" t="s">
        <v>1497</v>
      </c>
      <c r="O40" s="213" t="s">
        <v>18</v>
      </c>
      <c r="P40" s="214" t="s">
        <v>1498</v>
      </c>
      <c r="Q40" s="217"/>
      <c r="R40" s="105" t="s">
        <v>1499</v>
      </c>
      <c r="S40" s="162">
        <v>0.20699999999999999</v>
      </c>
      <c r="T40" s="162"/>
      <c r="U40" s="115">
        <v>4.43</v>
      </c>
      <c r="AJ40" s="115">
        <v>2.3E-3</v>
      </c>
    </row>
    <row r="41" spans="1:36" s="115" customFormat="1" ht="41" customHeight="1" x14ac:dyDescent="0.2">
      <c r="A41" s="220"/>
      <c r="B41" s="214"/>
      <c r="C41" s="214"/>
      <c r="D41" s="218"/>
      <c r="E41" s="214"/>
      <c r="F41" s="214"/>
      <c r="G41" s="214"/>
      <c r="H41" s="214"/>
      <c r="I41" s="214"/>
      <c r="J41" s="214"/>
      <c r="K41" s="214"/>
      <c r="L41" s="214"/>
      <c r="M41" s="214"/>
      <c r="N41" s="214"/>
      <c r="O41" s="213"/>
      <c r="P41" s="214"/>
      <c r="Q41" s="217"/>
      <c r="R41" s="105" t="s">
        <v>1500</v>
      </c>
      <c r="S41" s="162">
        <v>0.126</v>
      </c>
      <c r="T41" s="162"/>
      <c r="U41" s="115">
        <v>3.16</v>
      </c>
      <c r="AJ41" s="115">
        <v>1.6000000000000001E-3</v>
      </c>
    </row>
    <row r="42" spans="1:36" s="115" customFormat="1" ht="41" customHeight="1" x14ac:dyDescent="0.2">
      <c r="A42" s="220"/>
      <c r="B42" s="214"/>
      <c r="C42" s="214"/>
      <c r="D42" s="218"/>
      <c r="E42" s="214"/>
      <c r="F42" s="214"/>
      <c r="G42" s="214"/>
      <c r="H42" s="214"/>
      <c r="I42" s="214"/>
      <c r="J42" s="214"/>
      <c r="K42" s="214"/>
      <c r="L42" s="214"/>
      <c r="M42" s="214"/>
      <c r="N42" s="214"/>
      <c r="O42" s="213"/>
      <c r="P42" s="214"/>
      <c r="Q42" s="217"/>
      <c r="R42" s="105" t="s">
        <v>1501</v>
      </c>
      <c r="S42" s="162">
        <v>0.308</v>
      </c>
      <c r="T42" s="162"/>
      <c r="U42" s="115">
        <v>8.07</v>
      </c>
      <c r="AJ42" s="115">
        <v>4.4999999999999997E-3</v>
      </c>
    </row>
    <row r="43" spans="1:36" s="115" customFormat="1" ht="75" x14ac:dyDescent="0.2">
      <c r="A43" s="105">
        <v>29</v>
      </c>
      <c r="B43" s="162" t="s">
        <v>1373</v>
      </c>
      <c r="C43" s="105" t="s">
        <v>138</v>
      </c>
      <c r="D43" s="160">
        <v>2015</v>
      </c>
      <c r="E43" s="162" t="s">
        <v>660</v>
      </c>
      <c r="F43" s="162" t="s">
        <v>1372</v>
      </c>
      <c r="G43" s="162" t="s">
        <v>1505</v>
      </c>
      <c r="H43" s="162" t="s">
        <v>102</v>
      </c>
      <c r="I43" s="162" t="s">
        <v>1506</v>
      </c>
      <c r="J43" s="162" t="s">
        <v>446</v>
      </c>
      <c r="K43" s="105" t="s">
        <v>1507</v>
      </c>
      <c r="L43" s="105" t="s">
        <v>441</v>
      </c>
      <c r="M43" s="105"/>
      <c r="N43" s="162" t="s">
        <v>361</v>
      </c>
      <c r="O43" s="161" t="s">
        <v>18</v>
      </c>
      <c r="P43" s="161" t="s">
        <v>18</v>
      </c>
      <c r="Q43" s="105"/>
      <c r="R43" s="105"/>
      <c r="S43" s="162"/>
      <c r="T43" s="162"/>
    </row>
    <row r="44" spans="1:36" s="115" customFormat="1" ht="90" x14ac:dyDescent="0.2">
      <c r="A44" s="105">
        <v>30</v>
      </c>
      <c r="B44" s="162" t="s">
        <v>152</v>
      </c>
      <c r="C44" s="105" t="s">
        <v>106</v>
      </c>
      <c r="D44" s="160">
        <v>2015</v>
      </c>
      <c r="E44" s="162" t="s">
        <v>114</v>
      </c>
      <c r="F44" s="162" t="s">
        <v>153</v>
      </c>
      <c r="G44" s="162" t="s">
        <v>307</v>
      </c>
      <c r="H44" s="162" t="s">
        <v>1095</v>
      </c>
      <c r="I44" s="162" t="s">
        <v>1743</v>
      </c>
      <c r="J44" s="162" t="s">
        <v>88</v>
      </c>
      <c r="K44" s="105" t="s">
        <v>310</v>
      </c>
      <c r="L44" s="105" t="s">
        <v>441</v>
      </c>
      <c r="M44" s="105"/>
      <c r="N44" s="162" t="s">
        <v>308</v>
      </c>
      <c r="O44" s="161" t="s">
        <v>18</v>
      </c>
      <c r="P44" s="162" t="s">
        <v>309</v>
      </c>
      <c r="Q44" s="159"/>
      <c r="R44" s="105"/>
      <c r="S44" s="117"/>
      <c r="T44" s="162"/>
    </row>
    <row r="45" spans="1:36" s="115" customFormat="1" ht="75" x14ac:dyDescent="0.2">
      <c r="A45" s="105">
        <v>31</v>
      </c>
      <c r="B45" s="162" t="s">
        <v>712</v>
      </c>
      <c r="C45" s="105" t="s">
        <v>126</v>
      </c>
      <c r="D45" s="160">
        <v>2012</v>
      </c>
      <c r="E45" s="162" t="s">
        <v>107</v>
      </c>
      <c r="F45" s="162" t="s">
        <v>711</v>
      </c>
      <c r="G45" s="162" t="s">
        <v>1084</v>
      </c>
      <c r="H45" s="162" t="s">
        <v>100</v>
      </c>
      <c r="I45" s="162" t="s">
        <v>275</v>
      </c>
      <c r="J45" s="162" t="s">
        <v>446</v>
      </c>
      <c r="K45" s="107" t="s">
        <v>1086</v>
      </c>
      <c r="L45" s="107" t="s">
        <v>441</v>
      </c>
      <c r="M45" s="107"/>
      <c r="N45" s="162" t="s">
        <v>1087</v>
      </c>
      <c r="O45" s="109" t="s">
        <v>18</v>
      </c>
      <c r="P45" s="109" t="s">
        <v>18</v>
      </c>
      <c r="Q45" s="159" t="s">
        <v>1085</v>
      </c>
      <c r="R45" s="105"/>
      <c r="S45" s="118"/>
      <c r="T45" s="162"/>
    </row>
    <row r="46" spans="1:36" s="115" customFormat="1" ht="75" x14ac:dyDescent="0.2">
      <c r="A46" s="105">
        <v>32</v>
      </c>
      <c r="B46" s="162" t="s">
        <v>155</v>
      </c>
      <c r="C46" s="105" t="s">
        <v>156</v>
      </c>
      <c r="D46" s="160">
        <v>2015</v>
      </c>
      <c r="E46" s="162" t="s">
        <v>114</v>
      </c>
      <c r="F46" s="113" t="s">
        <v>154</v>
      </c>
      <c r="G46" s="162" t="s">
        <v>312</v>
      </c>
      <c r="H46" s="162" t="s">
        <v>443</v>
      </c>
      <c r="I46" s="162" t="s">
        <v>315</v>
      </c>
      <c r="J46" s="162" t="s">
        <v>90</v>
      </c>
      <c r="K46" s="105" t="s">
        <v>314</v>
      </c>
      <c r="L46" s="105" t="s">
        <v>441</v>
      </c>
      <c r="M46" s="105"/>
      <c r="N46" s="105" t="s">
        <v>273</v>
      </c>
      <c r="O46" s="162" t="s">
        <v>313</v>
      </c>
      <c r="P46" s="109" t="s">
        <v>18</v>
      </c>
      <c r="Q46" s="105"/>
      <c r="R46" s="105"/>
      <c r="S46" s="107"/>
      <c r="T46" s="162"/>
    </row>
    <row r="47" spans="1:36" s="115" customFormat="1" ht="90" x14ac:dyDescent="0.2">
      <c r="A47" s="105">
        <v>33</v>
      </c>
      <c r="B47" s="162" t="s">
        <v>716</v>
      </c>
      <c r="C47" s="105" t="s">
        <v>121</v>
      </c>
      <c r="D47" s="160">
        <v>2016</v>
      </c>
      <c r="E47" s="162" t="s">
        <v>114</v>
      </c>
      <c r="F47" s="162" t="s">
        <v>715</v>
      </c>
      <c r="G47" s="107" t="s">
        <v>1092</v>
      </c>
      <c r="H47" s="162" t="s">
        <v>1095</v>
      </c>
      <c r="I47" s="107" t="s">
        <v>281</v>
      </c>
      <c r="J47" s="107" t="s">
        <v>90</v>
      </c>
      <c r="K47" s="107" t="s">
        <v>1093</v>
      </c>
      <c r="L47" s="107" t="s">
        <v>443</v>
      </c>
      <c r="M47" s="107"/>
      <c r="N47" s="105" t="s">
        <v>269</v>
      </c>
      <c r="O47" s="173" t="s">
        <v>2149</v>
      </c>
      <c r="P47" s="109" t="s">
        <v>18</v>
      </c>
      <c r="Q47" s="105"/>
      <c r="R47" s="105"/>
      <c r="S47" s="119"/>
      <c r="T47" s="162"/>
    </row>
    <row r="48" spans="1:36" s="115" customFormat="1" ht="29" customHeight="1" x14ac:dyDescent="0.2">
      <c r="A48" s="220">
        <v>34</v>
      </c>
      <c r="B48" s="214" t="s">
        <v>158</v>
      </c>
      <c r="C48" s="218" t="s">
        <v>27</v>
      </c>
      <c r="D48" s="218">
        <v>2010</v>
      </c>
      <c r="E48" s="214" t="s">
        <v>107</v>
      </c>
      <c r="F48" s="214" t="s">
        <v>157</v>
      </c>
      <c r="G48" s="214" t="s">
        <v>316</v>
      </c>
      <c r="H48" s="214" t="s">
        <v>100</v>
      </c>
      <c r="I48" s="214" t="s">
        <v>872</v>
      </c>
      <c r="J48" s="214" t="s">
        <v>90</v>
      </c>
      <c r="K48" s="214" t="s">
        <v>871</v>
      </c>
      <c r="L48" s="214" t="s">
        <v>441</v>
      </c>
      <c r="M48" s="214"/>
      <c r="N48" s="214" t="s">
        <v>318</v>
      </c>
      <c r="O48" s="217" t="s">
        <v>18</v>
      </c>
      <c r="P48" s="214" t="s">
        <v>870</v>
      </c>
      <c r="Q48" s="214" t="s">
        <v>1739</v>
      </c>
      <c r="R48" s="162" t="s">
        <v>1734</v>
      </c>
      <c r="S48" s="118"/>
      <c r="T48" s="162"/>
      <c r="AA48" s="115">
        <f>6.1*10^-2</f>
        <v>6.0999999999999999E-2</v>
      </c>
    </row>
    <row r="49" spans="1:77" s="115" customFormat="1" ht="29" customHeight="1" x14ac:dyDescent="0.2">
      <c r="A49" s="220"/>
      <c r="B49" s="214"/>
      <c r="C49" s="218"/>
      <c r="D49" s="218"/>
      <c r="E49" s="214"/>
      <c r="F49" s="214"/>
      <c r="G49" s="214"/>
      <c r="H49" s="214"/>
      <c r="I49" s="214"/>
      <c r="J49" s="214"/>
      <c r="K49" s="214"/>
      <c r="L49" s="214"/>
      <c r="M49" s="214"/>
      <c r="N49" s="214"/>
      <c r="O49" s="217"/>
      <c r="P49" s="214"/>
      <c r="Q49" s="218"/>
      <c r="R49" s="162" t="s">
        <v>1735</v>
      </c>
      <c r="S49" s="118"/>
      <c r="T49" s="162"/>
      <c r="AA49" s="115">
        <f>6.1*10^-2</f>
        <v>6.0999999999999999E-2</v>
      </c>
    </row>
    <row r="50" spans="1:77" s="115" customFormat="1" ht="29" customHeight="1" x14ac:dyDescent="0.2">
      <c r="A50" s="220"/>
      <c r="B50" s="214"/>
      <c r="C50" s="218"/>
      <c r="D50" s="218"/>
      <c r="E50" s="214"/>
      <c r="F50" s="214"/>
      <c r="G50" s="214"/>
      <c r="H50" s="214"/>
      <c r="I50" s="214"/>
      <c r="J50" s="214"/>
      <c r="K50" s="214"/>
      <c r="L50" s="214"/>
      <c r="M50" s="214"/>
      <c r="N50" s="214"/>
      <c r="O50" s="217"/>
      <c r="P50" s="214"/>
      <c r="Q50" s="218"/>
      <c r="R50" s="162" t="s">
        <v>1736</v>
      </c>
      <c r="S50" s="118"/>
      <c r="T50" s="162"/>
      <c r="AA50" s="115">
        <f>6.1*10^-2</f>
        <v>6.0999999999999999E-2</v>
      </c>
    </row>
    <row r="51" spans="1:77" s="115" customFormat="1" ht="29" customHeight="1" x14ac:dyDescent="0.2">
      <c r="A51" s="220"/>
      <c r="B51" s="214"/>
      <c r="C51" s="218"/>
      <c r="D51" s="218"/>
      <c r="E51" s="214"/>
      <c r="F51" s="214"/>
      <c r="G51" s="214"/>
      <c r="H51" s="214"/>
      <c r="I51" s="214"/>
      <c r="J51" s="214"/>
      <c r="K51" s="214"/>
      <c r="L51" s="214"/>
      <c r="M51" s="214"/>
      <c r="N51" s="214"/>
      <c r="O51" s="217"/>
      <c r="P51" s="214"/>
      <c r="Q51" s="218"/>
      <c r="R51" s="162" t="s">
        <v>1737</v>
      </c>
      <c r="S51" s="118"/>
      <c r="T51" s="162"/>
      <c r="AA51" s="115">
        <f>6.1*10^-2</f>
        <v>6.0999999999999999E-2</v>
      </c>
    </row>
    <row r="52" spans="1:77" s="115" customFormat="1" ht="29" customHeight="1" x14ac:dyDescent="0.2">
      <c r="A52" s="220"/>
      <c r="B52" s="214"/>
      <c r="C52" s="218"/>
      <c r="D52" s="218"/>
      <c r="E52" s="214"/>
      <c r="F52" s="214"/>
      <c r="G52" s="214"/>
      <c r="H52" s="214"/>
      <c r="I52" s="214"/>
      <c r="J52" s="214"/>
      <c r="K52" s="214"/>
      <c r="L52" s="214"/>
      <c r="M52" s="214"/>
      <c r="N52" s="214"/>
      <c r="O52" s="217"/>
      <c r="P52" s="214"/>
      <c r="Q52" s="218"/>
      <c r="R52" s="162" t="s">
        <v>1738</v>
      </c>
      <c r="S52" s="118"/>
      <c r="T52" s="162"/>
      <c r="AA52" s="115">
        <v>0</v>
      </c>
    </row>
    <row r="53" spans="1:77" s="115" customFormat="1" ht="29" customHeight="1" x14ac:dyDescent="0.2">
      <c r="A53" s="220"/>
      <c r="B53" s="214"/>
      <c r="C53" s="218"/>
      <c r="D53" s="218"/>
      <c r="E53" s="214"/>
      <c r="F53" s="214"/>
      <c r="G53" s="214"/>
      <c r="H53" s="214"/>
      <c r="I53" s="214"/>
      <c r="J53" s="214"/>
      <c r="K53" s="214"/>
      <c r="L53" s="214"/>
      <c r="M53" s="214"/>
      <c r="N53" s="214"/>
      <c r="O53" s="217"/>
      <c r="P53" s="214"/>
      <c r="Q53" s="214" t="s">
        <v>1740</v>
      </c>
      <c r="R53" s="162" t="s">
        <v>1734</v>
      </c>
      <c r="S53" s="118"/>
      <c r="T53" s="162"/>
      <c r="AA53" s="115">
        <f>1.1*10^12</f>
        <v>1100000000000</v>
      </c>
    </row>
    <row r="54" spans="1:77" s="115" customFormat="1" ht="29" customHeight="1" x14ac:dyDescent="0.2">
      <c r="A54" s="220"/>
      <c r="B54" s="214"/>
      <c r="C54" s="218"/>
      <c r="D54" s="218"/>
      <c r="E54" s="214"/>
      <c r="F54" s="214"/>
      <c r="G54" s="214"/>
      <c r="H54" s="214"/>
      <c r="I54" s="214"/>
      <c r="J54" s="214"/>
      <c r="K54" s="214"/>
      <c r="L54" s="214"/>
      <c r="M54" s="214"/>
      <c r="N54" s="214"/>
      <c r="O54" s="217"/>
      <c r="P54" s="214"/>
      <c r="Q54" s="218"/>
      <c r="R54" s="162" t="s">
        <v>1735</v>
      </c>
      <c r="S54" s="118"/>
      <c r="T54" s="162"/>
      <c r="AA54" s="115">
        <f>1.1*10^12</f>
        <v>1100000000000</v>
      </c>
    </row>
    <row r="55" spans="1:77" s="115" customFormat="1" ht="29" customHeight="1" x14ac:dyDescent="0.2">
      <c r="A55" s="220"/>
      <c r="B55" s="214"/>
      <c r="C55" s="218"/>
      <c r="D55" s="218"/>
      <c r="E55" s="214"/>
      <c r="F55" s="214"/>
      <c r="G55" s="214"/>
      <c r="H55" s="214"/>
      <c r="I55" s="214"/>
      <c r="J55" s="214"/>
      <c r="K55" s="214"/>
      <c r="L55" s="214"/>
      <c r="M55" s="214"/>
      <c r="N55" s="214"/>
      <c r="O55" s="217"/>
      <c r="P55" s="214"/>
      <c r="Q55" s="218"/>
      <c r="R55" s="162" t="s">
        <v>1736</v>
      </c>
      <c r="S55" s="118"/>
      <c r="T55" s="162"/>
      <c r="AA55" s="115">
        <f>4.1*10^5</f>
        <v>409999.99999999994</v>
      </c>
    </row>
    <row r="56" spans="1:77" s="115" customFormat="1" ht="29" customHeight="1" x14ac:dyDescent="0.2">
      <c r="A56" s="220"/>
      <c r="B56" s="214"/>
      <c r="C56" s="218"/>
      <c r="D56" s="218"/>
      <c r="E56" s="214"/>
      <c r="F56" s="214"/>
      <c r="G56" s="214"/>
      <c r="H56" s="214"/>
      <c r="I56" s="214"/>
      <c r="J56" s="214"/>
      <c r="K56" s="214"/>
      <c r="L56" s="214"/>
      <c r="M56" s="214"/>
      <c r="N56" s="214"/>
      <c r="O56" s="217"/>
      <c r="P56" s="214"/>
      <c r="Q56" s="218"/>
      <c r="R56" s="162" t="s">
        <v>1737</v>
      </c>
      <c r="S56" s="118"/>
      <c r="T56" s="162"/>
      <c r="AA56" s="115">
        <f>1.1*10^12</f>
        <v>1100000000000</v>
      </c>
    </row>
    <row r="57" spans="1:77" s="115" customFormat="1" ht="30" x14ac:dyDescent="0.2">
      <c r="A57" s="220"/>
      <c r="B57" s="214"/>
      <c r="C57" s="218"/>
      <c r="D57" s="218"/>
      <c r="E57" s="214"/>
      <c r="F57" s="214"/>
      <c r="G57" s="214"/>
      <c r="H57" s="214"/>
      <c r="I57" s="214"/>
      <c r="J57" s="214"/>
      <c r="K57" s="214"/>
      <c r="L57" s="214"/>
      <c r="M57" s="214"/>
      <c r="N57" s="214"/>
      <c r="O57" s="217"/>
      <c r="P57" s="214"/>
      <c r="Q57" s="218"/>
      <c r="R57" s="162" t="s">
        <v>1738</v>
      </c>
      <c r="S57" s="118"/>
      <c r="T57" s="162"/>
      <c r="AA57" s="115">
        <f>-1.4*10^11</f>
        <v>-140000000000</v>
      </c>
    </row>
    <row r="58" spans="1:77" s="115" customFormat="1" ht="70" customHeight="1" x14ac:dyDescent="0.2">
      <c r="A58" s="220">
        <v>35</v>
      </c>
      <c r="B58" s="214" t="s">
        <v>719</v>
      </c>
      <c r="C58" s="218" t="s">
        <v>27</v>
      </c>
      <c r="D58" s="218">
        <v>2011</v>
      </c>
      <c r="E58" s="214" t="s">
        <v>114</v>
      </c>
      <c r="F58" s="219" t="s">
        <v>718</v>
      </c>
      <c r="G58" s="214" t="s">
        <v>1099</v>
      </c>
      <c r="H58" s="214" t="s">
        <v>100</v>
      </c>
      <c r="I58" s="216" t="s">
        <v>1100</v>
      </c>
      <c r="J58" s="216" t="s">
        <v>90</v>
      </c>
      <c r="K58" s="214" t="s">
        <v>1101</v>
      </c>
      <c r="L58" s="214" t="s">
        <v>91</v>
      </c>
      <c r="M58" s="214" t="s">
        <v>443</v>
      </c>
      <c r="N58" s="214" t="s">
        <v>1104</v>
      </c>
      <c r="O58" s="214" t="s">
        <v>1103</v>
      </c>
      <c r="P58" s="214" t="s">
        <v>1102</v>
      </c>
      <c r="Q58" s="214" t="s">
        <v>1731</v>
      </c>
      <c r="R58" s="162" t="s">
        <v>1732</v>
      </c>
      <c r="S58" s="113">
        <f>3.85*10^-2</f>
        <v>3.85E-2</v>
      </c>
      <c r="T58" s="162">
        <f>6.97*10^-3</f>
        <v>6.9699999999999996E-3</v>
      </c>
      <c r="U58" s="116">
        <v>6.87</v>
      </c>
      <c r="V58" s="116">
        <f>6.73*10^-7</f>
        <v>6.7300000000000006E-7</v>
      </c>
      <c r="W58" s="116">
        <f>1.6*10^-3</f>
        <v>1.6000000000000001E-3</v>
      </c>
      <c r="X58" s="116"/>
      <c r="Y58" s="116"/>
      <c r="Z58" s="116"/>
      <c r="AA58" s="116" t="s">
        <v>1733</v>
      </c>
      <c r="AB58" s="116">
        <v>4.6399999999999997</v>
      </c>
      <c r="AC58" s="116"/>
      <c r="AD58" s="116"/>
      <c r="AE58" s="116"/>
      <c r="AF58" s="116"/>
      <c r="AG58" s="116">
        <v>1.05</v>
      </c>
      <c r="AH58" s="116">
        <f>2.79*10^-3</f>
        <v>2.7899999999999999E-3</v>
      </c>
    </row>
    <row r="59" spans="1:77" s="115" customFormat="1" x14ac:dyDescent="0.2">
      <c r="A59" s="220"/>
      <c r="B59" s="214"/>
      <c r="C59" s="218"/>
      <c r="D59" s="218"/>
      <c r="E59" s="214"/>
      <c r="F59" s="219"/>
      <c r="G59" s="214"/>
      <c r="H59" s="214"/>
      <c r="I59" s="216"/>
      <c r="J59" s="216"/>
      <c r="K59" s="214"/>
      <c r="L59" s="214"/>
      <c r="M59" s="214"/>
      <c r="N59" s="214"/>
      <c r="O59" s="214"/>
      <c r="P59" s="214"/>
      <c r="Q59" s="214"/>
      <c r="R59" s="162" t="s">
        <v>1538</v>
      </c>
      <c r="S59" s="113">
        <f>1.49*10^-3</f>
        <v>1.49E-3</v>
      </c>
      <c r="T59" s="162">
        <f>2.9*10^-6</f>
        <v>2.8999999999999998E-6</v>
      </c>
      <c r="U59" s="116">
        <f>2.4*10^-3</f>
        <v>2.3999999999999998E-3</v>
      </c>
      <c r="V59" s="116">
        <f>2.63*10^-10</f>
        <v>2.6300000000000002E-10</v>
      </c>
      <c r="W59" s="116">
        <f>5.26*10^-7</f>
        <v>5.2599999999999992E-7</v>
      </c>
      <c r="X59" s="116"/>
      <c r="Y59" s="116"/>
      <c r="Z59" s="116"/>
      <c r="AA59" s="116">
        <f>1.64*10^-5</f>
        <v>1.6399999999999999E-5</v>
      </c>
      <c r="AB59" s="116">
        <f>1.61*10^-3</f>
        <v>1.6100000000000001E-3</v>
      </c>
      <c r="AC59" s="116"/>
      <c r="AD59" s="116"/>
      <c r="AF59" s="116"/>
      <c r="AG59" s="116">
        <f>3.15*10^-4</f>
        <v>3.1500000000000001E-4</v>
      </c>
      <c r="AH59" s="116">
        <f>7.2*10^-1</f>
        <v>0.72000000000000008</v>
      </c>
    </row>
    <row r="60" spans="1:77" s="115" customFormat="1" ht="90" x14ac:dyDescent="0.2">
      <c r="A60" s="105">
        <v>36</v>
      </c>
      <c r="B60" s="162" t="s">
        <v>160</v>
      </c>
      <c r="C60" s="105" t="s">
        <v>194</v>
      </c>
      <c r="D60" s="160">
        <v>2013</v>
      </c>
      <c r="E60" s="162" t="s">
        <v>116</v>
      </c>
      <c r="F60" s="113" t="s">
        <v>159</v>
      </c>
      <c r="G60" s="162" t="s">
        <v>319</v>
      </c>
      <c r="H60" s="162" t="s">
        <v>1150</v>
      </c>
      <c r="I60" s="162" t="s">
        <v>321</v>
      </c>
      <c r="J60" s="162" t="s">
        <v>446</v>
      </c>
      <c r="K60" s="162" t="s">
        <v>320</v>
      </c>
      <c r="L60" s="162" t="s">
        <v>91</v>
      </c>
      <c r="M60" s="162" t="s">
        <v>448</v>
      </c>
      <c r="N60" s="105" t="s">
        <v>322</v>
      </c>
      <c r="O60" s="162" t="s">
        <v>568</v>
      </c>
      <c r="P60" s="105" t="s">
        <v>317</v>
      </c>
      <c r="Q60" s="105"/>
      <c r="R60" s="105"/>
      <c r="S60" s="113"/>
      <c r="T60" s="162"/>
      <c r="U60" s="116"/>
      <c r="V60" s="116"/>
      <c r="W60" s="116"/>
      <c r="X60" s="116"/>
      <c r="Y60" s="116"/>
      <c r="Z60" s="116"/>
      <c r="AA60" s="116"/>
      <c r="AB60" s="116"/>
      <c r="AC60" s="116"/>
      <c r="AD60" s="116"/>
      <c r="AE60" s="116"/>
      <c r="AF60" s="116"/>
      <c r="AG60" s="116"/>
      <c r="AH60" s="116"/>
    </row>
    <row r="61" spans="1:77" s="115" customFormat="1" ht="90" x14ac:dyDescent="0.2">
      <c r="A61" s="105">
        <v>37</v>
      </c>
      <c r="B61" s="162" t="s">
        <v>721</v>
      </c>
      <c r="C61" s="105" t="s">
        <v>27</v>
      </c>
      <c r="D61" s="160">
        <v>2012</v>
      </c>
      <c r="E61" s="162" t="s">
        <v>114</v>
      </c>
      <c r="F61" s="162" t="s">
        <v>720</v>
      </c>
      <c r="G61" s="107" t="s">
        <v>1107</v>
      </c>
      <c r="H61" s="162" t="s">
        <v>102</v>
      </c>
      <c r="I61" s="107" t="s">
        <v>1109</v>
      </c>
      <c r="J61" s="107" t="s">
        <v>446</v>
      </c>
      <c r="K61" s="162" t="s">
        <v>1108</v>
      </c>
      <c r="L61" s="162" t="s">
        <v>91</v>
      </c>
      <c r="M61" s="162" t="s">
        <v>448</v>
      </c>
      <c r="N61" s="162" t="s">
        <v>1110</v>
      </c>
      <c r="O61" s="159" t="s">
        <v>1112</v>
      </c>
      <c r="P61" s="162" t="s">
        <v>1111</v>
      </c>
      <c r="Q61" s="105"/>
      <c r="R61" s="105"/>
      <c r="S61" s="118"/>
      <c r="T61" s="162"/>
    </row>
    <row r="62" spans="1:77" s="115" customFormat="1" ht="24" customHeight="1" x14ac:dyDescent="0.2">
      <c r="A62" s="220">
        <v>38</v>
      </c>
      <c r="B62" s="214" t="s">
        <v>1375</v>
      </c>
      <c r="C62" s="214" t="s">
        <v>135</v>
      </c>
      <c r="D62" s="218">
        <v>2016</v>
      </c>
      <c r="E62" s="214" t="s">
        <v>107</v>
      </c>
      <c r="F62" s="214" t="s">
        <v>1374</v>
      </c>
      <c r="G62" s="216" t="s">
        <v>1508</v>
      </c>
      <c r="H62" s="214" t="s">
        <v>1095</v>
      </c>
      <c r="I62" s="216" t="s">
        <v>1510</v>
      </c>
      <c r="J62" s="216" t="s">
        <v>444</v>
      </c>
      <c r="K62" s="214" t="s">
        <v>1511</v>
      </c>
      <c r="L62" s="214" t="s">
        <v>441</v>
      </c>
      <c r="M62" s="214"/>
      <c r="N62" s="214" t="s">
        <v>1512</v>
      </c>
      <c r="O62" s="213" t="s">
        <v>18</v>
      </c>
      <c r="P62" s="214" t="s">
        <v>1509</v>
      </c>
      <c r="Q62" s="214" t="s">
        <v>1513</v>
      </c>
      <c r="R62" s="105" t="s">
        <v>1514</v>
      </c>
      <c r="S62" s="105"/>
      <c r="T62" s="105"/>
      <c r="U62" s="105">
        <v>23</v>
      </c>
      <c r="V62" s="105">
        <f>8.99*10^-7</f>
        <v>8.9899999999999999E-7</v>
      </c>
      <c r="W62" s="105"/>
      <c r="X62" s="105">
        <v>341</v>
      </c>
      <c r="Y62" s="105"/>
      <c r="Z62" s="105"/>
      <c r="AA62" s="105"/>
      <c r="AB62" s="105"/>
      <c r="AC62" s="105"/>
      <c r="AD62" s="105"/>
      <c r="AE62" s="105"/>
      <c r="AF62" s="105"/>
      <c r="AG62" s="105"/>
      <c r="AH62" s="105"/>
      <c r="AI62" s="105"/>
      <c r="AJ62" s="105">
        <v>0.03</v>
      </c>
      <c r="AK62" s="105">
        <v>0.23</v>
      </c>
      <c r="AL62" s="105">
        <v>0.02</v>
      </c>
      <c r="AM62" s="105">
        <v>40</v>
      </c>
      <c r="AN62" s="105">
        <v>0.02</v>
      </c>
      <c r="AO62" s="105">
        <v>462</v>
      </c>
      <c r="AP62" s="105">
        <v>43</v>
      </c>
      <c r="AQ62" s="105">
        <v>0.98</v>
      </c>
      <c r="AR62" s="105">
        <v>0.01</v>
      </c>
      <c r="AS62" s="105">
        <v>0.14000000000000001</v>
      </c>
      <c r="AT62" s="105">
        <v>5.9999999999999995E-4</v>
      </c>
      <c r="AU62" s="105">
        <v>0.14000000000000001</v>
      </c>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row>
    <row r="63" spans="1:77" s="115" customFormat="1" ht="24" customHeight="1" x14ac:dyDescent="0.2">
      <c r="A63" s="220"/>
      <c r="B63" s="214"/>
      <c r="C63" s="214"/>
      <c r="D63" s="218"/>
      <c r="E63" s="214"/>
      <c r="F63" s="214"/>
      <c r="G63" s="216"/>
      <c r="H63" s="214"/>
      <c r="I63" s="216"/>
      <c r="J63" s="216"/>
      <c r="K63" s="214"/>
      <c r="L63" s="214"/>
      <c r="M63" s="214"/>
      <c r="N63" s="214"/>
      <c r="O63" s="213"/>
      <c r="P63" s="214"/>
      <c r="Q63" s="214"/>
      <c r="R63" s="105" t="s">
        <v>1515</v>
      </c>
      <c r="S63" s="105"/>
      <c r="T63" s="105"/>
      <c r="U63" s="105">
        <v>33</v>
      </c>
      <c r="V63" s="105">
        <f>9.91*10^-7</f>
        <v>9.9099999999999991E-7</v>
      </c>
      <c r="W63" s="105"/>
      <c r="X63" s="105">
        <v>518</v>
      </c>
      <c r="Y63" s="105"/>
      <c r="Z63" s="105"/>
      <c r="AA63" s="105"/>
      <c r="AB63" s="105"/>
      <c r="AC63" s="105"/>
      <c r="AD63" s="105"/>
      <c r="AE63" s="105"/>
      <c r="AF63" s="105"/>
      <c r="AG63" s="105"/>
      <c r="AH63" s="105"/>
      <c r="AI63" s="105"/>
      <c r="AJ63" s="105">
        <v>0.05</v>
      </c>
      <c r="AK63" s="105">
        <v>0.05</v>
      </c>
      <c r="AL63" s="105">
        <v>0.03</v>
      </c>
      <c r="AM63" s="105">
        <v>82</v>
      </c>
      <c r="AN63" s="105">
        <v>0.02</v>
      </c>
      <c r="AO63" s="105">
        <v>879</v>
      </c>
      <c r="AP63" s="105">
        <v>44</v>
      </c>
      <c r="AQ63" s="105">
        <v>1.29</v>
      </c>
      <c r="AR63" s="105">
        <v>0.01</v>
      </c>
      <c r="AS63" s="105">
        <v>0.19</v>
      </c>
      <c r="AT63" s="105">
        <v>6.9999999999999999E-4</v>
      </c>
      <c r="AU63" s="105">
        <v>0.1</v>
      </c>
      <c r="AV63" s="105"/>
      <c r="AW63" s="105"/>
      <c r="AX63" s="105"/>
      <c r="AY63" s="105"/>
      <c r="AZ63" s="105"/>
      <c r="BA63" s="105"/>
      <c r="BB63" s="105"/>
      <c r="BC63" s="105"/>
      <c r="BD63" s="105"/>
      <c r="BE63" s="105"/>
      <c r="BF63" s="105"/>
      <c r="BG63" s="105"/>
      <c r="BH63" s="105"/>
      <c r="BI63" s="105"/>
      <c r="BJ63" s="105"/>
      <c r="BK63" s="105"/>
      <c r="BL63" s="105"/>
      <c r="BM63" s="105"/>
      <c r="BN63" s="105"/>
      <c r="BO63" s="105"/>
      <c r="BP63" s="105"/>
      <c r="BQ63" s="105"/>
      <c r="BR63" s="105"/>
      <c r="BS63" s="105"/>
      <c r="BT63" s="105"/>
      <c r="BU63" s="105"/>
      <c r="BV63" s="105"/>
      <c r="BW63" s="105"/>
      <c r="BX63" s="105"/>
      <c r="BY63" s="105"/>
    </row>
    <row r="64" spans="1:77" s="115" customFormat="1" ht="24" customHeight="1" x14ac:dyDescent="0.2">
      <c r="A64" s="220"/>
      <c r="B64" s="214"/>
      <c r="C64" s="214"/>
      <c r="D64" s="218"/>
      <c r="E64" s="214"/>
      <c r="F64" s="214"/>
      <c r="G64" s="216"/>
      <c r="H64" s="214"/>
      <c r="I64" s="216"/>
      <c r="J64" s="216"/>
      <c r="K64" s="214"/>
      <c r="L64" s="214"/>
      <c r="M64" s="214"/>
      <c r="N64" s="214"/>
      <c r="O64" s="213"/>
      <c r="P64" s="214"/>
      <c r="Q64" s="214"/>
      <c r="R64" s="105" t="s">
        <v>1516</v>
      </c>
      <c r="S64" s="105"/>
      <c r="T64" s="105"/>
      <c r="U64" s="105">
        <v>12</v>
      </c>
      <c r="V64" s="105">
        <f>4.43*10^-7</f>
        <v>4.4299999999999993E-7</v>
      </c>
      <c r="W64" s="105"/>
      <c r="X64" s="105">
        <v>235</v>
      </c>
      <c r="Y64" s="105"/>
      <c r="Z64" s="105"/>
      <c r="AA64" s="105"/>
      <c r="AB64" s="105"/>
      <c r="AC64" s="105"/>
      <c r="AD64" s="105"/>
      <c r="AE64" s="105"/>
      <c r="AF64" s="105"/>
      <c r="AG64" s="105"/>
      <c r="AH64" s="105"/>
      <c r="AI64" s="105"/>
      <c r="AJ64" s="105">
        <v>0.03</v>
      </c>
      <c r="AK64" s="105">
        <v>0.05</v>
      </c>
      <c r="AL64" s="105">
        <v>0.02</v>
      </c>
      <c r="AM64" s="105">
        <v>51</v>
      </c>
      <c r="AN64" s="105">
        <v>6.0000000000000001E-3</v>
      </c>
      <c r="AO64" s="105">
        <v>282</v>
      </c>
      <c r="AP64" s="105">
        <v>25</v>
      </c>
      <c r="AQ64" s="105">
        <v>0.98</v>
      </c>
      <c r="AR64" s="105">
        <v>8.0000000000000002E-3</v>
      </c>
      <c r="AS64" s="105">
        <v>0.13</v>
      </c>
      <c r="AT64" s="105">
        <v>2.9999999999999997E-4</v>
      </c>
      <c r="AU64" s="105">
        <v>0.11</v>
      </c>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5"/>
      <c r="BR64" s="105"/>
      <c r="BS64" s="105"/>
      <c r="BT64" s="105"/>
      <c r="BU64" s="105"/>
      <c r="BV64" s="105"/>
      <c r="BW64" s="105"/>
      <c r="BX64" s="105"/>
      <c r="BY64" s="105"/>
    </row>
    <row r="65" spans="1:77" s="115" customFormat="1" ht="24" customHeight="1" x14ac:dyDescent="0.2">
      <c r="A65" s="220"/>
      <c r="B65" s="214"/>
      <c r="C65" s="214"/>
      <c r="D65" s="218"/>
      <c r="E65" s="214"/>
      <c r="F65" s="214"/>
      <c r="G65" s="216"/>
      <c r="H65" s="214"/>
      <c r="I65" s="216"/>
      <c r="J65" s="216"/>
      <c r="K65" s="214"/>
      <c r="L65" s="214"/>
      <c r="M65" s="214"/>
      <c r="N65" s="214"/>
      <c r="O65" s="213"/>
      <c r="P65" s="214"/>
      <c r="Q65" s="214"/>
      <c r="R65" s="105" t="s">
        <v>1517</v>
      </c>
      <c r="S65" s="105"/>
      <c r="T65" s="105"/>
      <c r="U65" s="105">
        <v>9</v>
      </c>
      <c r="V65" s="105">
        <f>-1.35*10^-5</f>
        <v>-1.3500000000000001E-5</v>
      </c>
      <c r="W65" s="105"/>
      <c r="X65" s="105">
        <v>156</v>
      </c>
      <c r="Y65" s="105"/>
      <c r="Z65" s="105"/>
      <c r="AA65" s="105"/>
      <c r="AB65" s="105"/>
      <c r="AC65" s="105"/>
      <c r="AD65" s="105"/>
      <c r="AE65" s="105"/>
      <c r="AF65" s="105"/>
      <c r="AG65" s="105"/>
      <c r="AH65" s="105"/>
      <c r="AI65" s="105"/>
      <c r="AJ65" s="105">
        <v>0.02</v>
      </c>
      <c r="AK65" s="105">
        <v>-0.27</v>
      </c>
      <c r="AL65" s="105">
        <v>-0.49</v>
      </c>
      <c r="AM65" s="105">
        <v>-75</v>
      </c>
      <c r="AN65" s="105">
        <v>-0.02</v>
      </c>
      <c r="AO65" s="105">
        <v>-3032</v>
      </c>
      <c r="AP65" s="105">
        <v>-1079</v>
      </c>
      <c r="AQ65" s="105">
        <v>0.54</v>
      </c>
      <c r="AR65" s="105">
        <v>-0.13</v>
      </c>
      <c r="AS65" s="105">
        <v>0.06</v>
      </c>
      <c r="AT65" s="105">
        <v>-0.27</v>
      </c>
      <c r="AU65" s="105">
        <v>-0.21</v>
      </c>
      <c r="AV65" s="105"/>
      <c r="AW65" s="105"/>
      <c r="AX65" s="105"/>
      <c r="AY65" s="105"/>
      <c r="AZ65" s="105"/>
      <c r="BA65" s="105"/>
      <c r="BB65" s="105"/>
      <c r="BC65" s="105"/>
      <c r="BD65" s="105"/>
      <c r="BE65" s="105"/>
      <c r="BF65" s="105"/>
      <c r="BG65" s="105"/>
      <c r="BH65" s="105"/>
      <c r="BI65" s="105"/>
      <c r="BJ65" s="105"/>
      <c r="BK65" s="105"/>
      <c r="BL65" s="105"/>
      <c r="BM65" s="105"/>
      <c r="BN65" s="105"/>
      <c r="BO65" s="105"/>
      <c r="BP65" s="105"/>
      <c r="BQ65" s="105"/>
      <c r="BR65" s="105"/>
      <c r="BS65" s="105"/>
      <c r="BT65" s="105"/>
      <c r="BU65" s="105"/>
      <c r="BV65" s="105"/>
      <c r="BW65" s="105"/>
      <c r="BX65" s="105"/>
      <c r="BY65" s="105"/>
    </row>
    <row r="66" spans="1:77" s="115" customFormat="1" ht="24" customHeight="1" x14ac:dyDescent="0.2">
      <c r="A66" s="220"/>
      <c r="B66" s="214"/>
      <c r="C66" s="214"/>
      <c r="D66" s="218"/>
      <c r="E66" s="214"/>
      <c r="F66" s="214"/>
      <c r="G66" s="216"/>
      <c r="H66" s="214"/>
      <c r="I66" s="216"/>
      <c r="J66" s="216"/>
      <c r="K66" s="214"/>
      <c r="L66" s="214"/>
      <c r="M66" s="214"/>
      <c r="N66" s="214"/>
      <c r="O66" s="213"/>
      <c r="P66" s="214"/>
      <c r="Q66" s="214"/>
      <c r="R66" s="105" t="s">
        <v>1518</v>
      </c>
      <c r="S66" s="105"/>
      <c r="T66" s="105"/>
      <c r="U66" s="105">
        <v>32</v>
      </c>
      <c r="V66" s="105">
        <f>9.88*10^-7</f>
        <v>9.8800000000000011E-7</v>
      </c>
      <c r="W66" s="105"/>
      <c r="X66" s="105">
        <v>496</v>
      </c>
      <c r="Y66" s="105"/>
      <c r="Z66" s="105"/>
      <c r="AA66" s="105"/>
      <c r="AB66" s="105"/>
      <c r="AC66" s="105"/>
      <c r="AD66" s="105"/>
      <c r="AE66" s="105"/>
      <c r="AF66" s="105"/>
      <c r="AG66" s="105"/>
      <c r="AH66" s="105"/>
      <c r="AI66" s="105"/>
      <c r="AJ66" s="105">
        <v>0.05</v>
      </c>
      <c r="AK66" s="105">
        <v>0.05</v>
      </c>
      <c r="AL66" s="105">
        <v>0.03</v>
      </c>
      <c r="AM66" s="105">
        <v>72</v>
      </c>
      <c r="AN66" s="105">
        <v>0.02</v>
      </c>
      <c r="AO66" s="105">
        <v>821</v>
      </c>
      <c r="AP66" s="105">
        <v>44</v>
      </c>
      <c r="AQ66" s="105">
        <v>1.27</v>
      </c>
      <c r="AR66" s="105">
        <v>0.01</v>
      </c>
      <c r="AS66" s="105">
        <v>0.19</v>
      </c>
      <c r="AT66" s="105">
        <v>6.9999999999999999E-4</v>
      </c>
      <c r="AU66" s="105">
        <v>0.1</v>
      </c>
      <c r="AV66" s="105"/>
      <c r="AW66" s="105"/>
      <c r="AX66" s="105"/>
      <c r="AY66" s="105"/>
      <c r="AZ66" s="105"/>
      <c r="BA66" s="105"/>
      <c r="BB66" s="105"/>
      <c r="BC66" s="105"/>
      <c r="BD66" s="105"/>
      <c r="BE66" s="105"/>
      <c r="BF66" s="105"/>
      <c r="BG66" s="105"/>
      <c r="BH66" s="105"/>
      <c r="BI66" s="105"/>
      <c r="BJ66" s="105"/>
      <c r="BK66" s="105"/>
      <c r="BL66" s="105"/>
      <c r="BM66" s="105"/>
      <c r="BN66" s="105"/>
      <c r="BO66" s="105"/>
      <c r="BP66" s="105"/>
      <c r="BQ66" s="105"/>
      <c r="BR66" s="105"/>
      <c r="BS66" s="105"/>
      <c r="BT66" s="105"/>
      <c r="BU66" s="105"/>
      <c r="BV66" s="105"/>
      <c r="BW66" s="105"/>
      <c r="BX66" s="105"/>
      <c r="BY66" s="105"/>
    </row>
    <row r="67" spans="1:77" s="115" customFormat="1" ht="24" customHeight="1" x14ac:dyDescent="0.2">
      <c r="A67" s="220"/>
      <c r="B67" s="214"/>
      <c r="C67" s="214"/>
      <c r="D67" s="218"/>
      <c r="E67" s="214"/>
      <c r="F67" s="214"/>
      <c r="G67" s="216"/>
      <c r="H67" s="214"/>
      <c r="I67" s="216"/>
      <c r="J67" s="216"/>
      <c r="K67" s="214"/>
      <c r="L67" s="214"/>
      <c r="M67" s="214"/>
      <c r="N67" s="214"/>
      <c r="O67" s="213"/>
      <c r="P67" s="214"/>
      <c r="Q67" s="214"/>
      <c r="R67" s="105" t="s">
        <v>1519</v>
      </c>
      <c r="S67" s="105"/>
      <c r="T67" s="105"/>
      <c r="U67" s="105">
        <v>11</v>
      </c>
      <c r="V67" s="105">
        <f>4.38*10^-7</f>
        <v>4.3799999999999998E-7</v>
      </c>
      <c r="W67" s="105"/>
      <c r="X67" s="105">
        <v>211</v>
      </c>
      <c r="Y67" s="105"/>
      <c r="Z67" s="105"/>
      <c r="AA67" s="105"/>
      <c r="AB67" s="105"/>
      <c r="AC67" s="105"/>
      <c r="AD67" s="105"/>
      <c r="AE67" s="105"/>
      <c r="AF67" s="105"/>
      <c r="AG67" s="105"/>
      <c r="AH67" s="105"/>
      <c r="AI67" s="105"/>
      <c r="AJ67" s="105">
        <v>0.03</v>
      </c>
      <c r="AK67" s="105">
        <v>0.05</v>
      </c>
      <c r="AL67" s="105">
        <v>0.01</v>
      </c>
      <c r="AM67" s="105">
        <v>38</v>
      </c>
      <c r="AN67" s="105">
        <v>5.0000000000000001E-3</v>
      </c>
      <c r="AO67" s="105">
        <v>204</v>
      </c>
      <c r="AP67" s="105">
        <v>25</v>
      </c>
      <c r="AQ67" s="105">
        <v>0.95</v>
      </c>
      <c r="AR67" s="105">
        <v>8.0000000000000002E-3</v>
      </c>
      <c r="AS67" s="105">
        <v>0.13</v>
      </c>
      <c r="AT67" s="105">
        <v>2.9999999999999997E-4</v>
      </c>
      <c r="AU67" s="105">
        <v>0.11</v>
      </c>
      <c r="AV67" s="105"/>
      <c r="AW67" s="105"/>
      <c r="AX67" s="105"/>
      <c r="AY67" s="105"/>
      <c r="AZ67" s="105"/>
      <c r="BA67" s="105"/>
      <c r="BB67" s="105"/>
      <c r="BC67" s="105"/>
      <c r="BD67" s="105"/>
      <c r="BE67" s="105"/>
      <c r="BF67" s="105"/>
      <c r="BG67" s="105"/>
      <c r="BH67" s="105"/>
      <c r="BI67" s="105"/>
      <c r="BJ67" s="105"/>
      <c r="BK67" s="105"/>
      <c r="BL67" s="105"/>
      <c r="BM67" s="105"/>
      <c r="BN67" s="105"/>
      <c r="BO67" s="105"/>
      <c r="BP67" s="105"/>
      <c r="BQ67" s="105"/>
      <c r="BR67" s="105"/>
      <c r="BS67" s="105"/>
      <c r="BT67" s="105"/>
      <c r="BU67" s="105"/>
      <c r="BV67" s="105"/>
      <c r="BW67" s="105"/>
      <c r="BX67" s="105"/>
      <c r="BY67" s="105"/>
    </row>
    <row r="68" spans="1:77" s="115" customFormat="1" ht="120" x14ac:dyDescent="0.2">
      <c r="A68" s="105">
        <v>39</v>
      </c>
      <c r="B68" s="162" t="s">
        <v>1377</v>
      </c>
      <c r="C68" s="162" t="s">
        <v>616</v>
      </c>
      <c r="D68" s="160">
        <v>2008</v>
      </c>
      <c r="E68" s="162" t="s">
        <v>660</v>
      </c>
      <c r="F68" s="162" t="s">
        <v>1376</v>
      </c>
      <c r="G68" s="162" t="s">
        <v>1530</v>
      </c>
      <c r="H68" s="162" t="s">
        <v>1150</v>
      </c>
      <c r="I68" s="162" t="s">
        <v>1531</v>
      </c>
      <c r="J68" s="162" t="s">
        <v>446</v>
      </c>
      <c r="K68" s="162" t="s">
        <v>1532</v>
      </c>
      <c r="L68" s="162" t="s">
        <v>441</v>
      </c>
      <c r="M68" s="162"/>
      <c r="N68" s="138" t="s">
        <v>1533</v>
      </c>
      <c r="O68" s="161" t="s">
        <v>18</v>
      </c>
      <c r="P68" s="161" t="s">
        <v>18</v>
      </c>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c r="AQ68" s="112"/>
      <c r="AR68" s="112"/>
      <c r="AS68" s="112"/>
      <c r="AT68" s="112"/>
    </row>
    <row r="69" spans="1:77" s="115" customFormat="1" ht="90" x14ac:dyDescent="0.2">
      <c r="A69" s="105">
        <v>40</v>
      </c>
      <c r="B69" s="162" t="s">
        <v>1379</v>
      </c>
      <c r="C69" s="162" t="s">
        <v>126</v>
      </c>
      <c r="D69" s="160">
        <v>2014</v>
      </c>
      <c r="E69" s="162" t="s">
        <v>114</v>
      </c>
      <c r="F69" s="162" t="s">
        <v>1378</v>
      </c>
      <c r="G69" s="162" t="s">
        <v>1535</v>
      </c>
      <c r="H69" s="162" t="s">
        <v>102</v>
      </c>
      <c r="I69" s="162" t="s">
        <v>110</v>
      </c>
      <c r="J69" s="162" t="s">
        <v>446</v>
      </c>
      <c r="K69" s="162" t="s">
        <v>1536</v>
      </c>
      <c r="L69" s="162" t="s">
        <v>91</v>
      </c>
      <c r="M69" s="162" t="s">
        <v>94</v>
      </c>
      <c r="N69" s="162" t="s">
        <v>1534</v>
      </c>
      <c r="O69" s="159" t="s">
        <v>456</v>
      </c>
      <c r="P69" s="162" t="s">
        <v>304</v>
      </c>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c r="AO69" s="112"/>
      <c r="AP69" s="112"/>
      <c r="AQ69" s="112"/>
      <c r="AR69" s="112"/>
      <c r="AS69" s="112"/>
      <c r="AT69" s="112"/>
    </row>
    <row r="70" spans="1:77" s="115" customFormat="1" ht="120" x14ac:dyDescent="0.2">
      <c r="A70" s="105">
        <v>41</v>
      </c>
      <c r="B70" s="162" t="s">
        <v>167</v>
      </c>
      <c r="C70" s="105" t="s">
        <v>126</v>
      </c>
      <c r="D70" s="160">
        <v>2014</v>
      </c>
      <c r="E70" s="162" t="s">
        <v>114</v>
      </c>
      <c r="F70" s="162" t="s">
        <v>166</v>
      </c>
      <c r="G70" s="162" t="s">
        <v>333</v>
      </c>
      <c r="H70" s="162" t="s">
        <v>100</v>
      </c>
      <c r="I70" s="162" t="s">
        <v>275</v>
      </c>
      <c r="J70" s="162" t="s">
        <v>90</v>
      </c>
      <c r="K70" s="105" t="s">
        <v>336</v>
      </c>
      <c r="L70" s="105" t="s">
        <v>91</v>
      </c>
      <c r="M70" s="105" t="s">
        <v>94</v>
      </c>
      <c r="N70" s="162" t="s">
        <v>334</v>
      </c>
      <c r="O70" s="162" t="s">
        <v>337</v>
      </c>
      <c r="P70" s="105" t="s">
        <v>335</v>
      </c>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2"/>
      <c r="AN70" s="112"/>
      <c r="AO70" s="112"/>
      <c r="AP70" s="112"/>
      <c r="AQ70" s="112"/>
      <c r="AR70" s="112"/>
      <c r="AS70" s="112"/>
      <c r="AT70" s="112"/>
    </row>
    <row r="71" spans="1:77" s="115" customFormat="1" ht="60" x14ac:dyDescent="0.2">
      <c r="A71" s="105">
        <v>42</v>
      </c>
      <c r="B71" s="162" t="s">
        <v>723</v>
      </c>
      <c r="C71" s="162" t="s">
        <v>581</v>
      </c>
      <c r="D71" s="160">
        <v>2014</v>
      </c>
      <c r="E71" s="162" t="s">
        <v>28</v>
      </c>
      <c r="F71" s="162" t="s">
        <v>722</v>
      </c>
      <c r="G71" s="107" t="s">
        <v>1113</v>
      </c>
      <c r="H71" s="162" t="s">
        <v>98</v>
      </c>
      <c r="I71" s="107" t="s">
        <v>1116</v>
      </c>
      <c r="J71" s="107" t="s">
        <v>89</v>
      </c>
      <c r="K71" s="162" t="s">
        <v>1115</v>
      </c>
      <c r="L71" s="162" t="s">
        <v>91</v>
      </c>
      <c r="M71" s="162" t="s">
        <v>94</v>
      </c>
      <c r="N71" s="162" t="s">
        <v>1114</v>
      </c>
      <c r="O71" s="159" t="s">
        <v>1118</v>
      </c>
      <c r="P71" s="162" t="s">
        <v>1117</v>
      </c>
      <c r="Q71" s="112"/>
      <c r="R71" s="112"/>
      <c r="S71" s="112"/>
      <c r="T71" s="112"/>
      <c r="U71" s="112"/>
      <c r="V71" s="112"/>
      <c r="W71" s="112"/>
      <c r="X71" s="112"/>
      <c r="Y71" s="112" t="s">
        <v>1542</v>
      </c>
      <c r="Z71" s="112"/>
      <c r="AA71" s="112"/>
      <c r="AB71" s="112"/>
      <c r="AC71" s="112"/>
      <c r="AD71" s="112"/>
      <c r="AE71" s="112"/>
      <c r="AF71" s="112"/>
      <c r="AG71" s="112"/>
      <c r="AH71" s="112"/>
      <c r="AI71" s="112"/>
      <c r="AJ71" s="112"/>
      <c r="AK71" s="112"/>
      <c r="AL71" s="112"/>
      <c r="AM71" s="112"/>
      <c r="AN71" s="112"/>
      <c r="AO71" s="112"/>
      <c r="AP71" s="112"/>
      <c r="AQ71" s="112"/>
      <c r="AR71" s="112"/>
      <c r="AS71" s="112"/>
      <c r="AT71" s="112"/>
    </row>
    <row r="72" spans="1:77" s="115" customFormat="1" ht="120" x14ac:dyDescent="0.2">
      <c r="A72" s="105">
        <v>43</v>
      </c>
      <c r="B72" s="162" t="s">
        <v>1381</v>
      </c>
      <c r="C72" s="162" t="s">
        <v>177</v>
      </c>
      <c r="D72" s="160">
        <v>2015</v>
      </c>
      <c r="E72" s="162" t="s">
        <v>660</v>
      </c>
      <c r="F72" s="162" t="s">
        <v>1380</v>
      </c>
      <c r="G72" s="162" t="s">
        <v>1537</v>
      </c>
      <c r="H72" s="162" t="s">
        <v>100</v>
      </c>
      <c r="I72" s="162" t="s">
        <v>275</v>
      </c>
      <c r="J72" s="162" t="s">
        <v>88</v>
      </c>
      <c r="K72" s="162" t="s">
        <v>1538</v>
      </c>
      <c r="L72" s="162" t="s">
        <v>91</v>
      </c>
      <c r="M72" s="162" t="s">
        <v>443</v>
      </c>
      <c r="N72" s="162" t="s">
        <v>1543</v>
      </c>
      <c r="O72" s="159" t="s">
        <v>313</v>
      </c>
      <c r="P72" s="161" t="s">
        <v>18</v>
      </c>
      <c r="Q72" s="120"/>
      <c r="R72" s="159" t="s">
        <v>1539</v>
      </c>
      <c r="S72" s="112"/>
      <c r="T72" s="112"/>
      <c r="U72" s="162" t="s">
        <v>1540</v>
      </c>
      <c r="V72" s="112"/>
      <c r="W72" s="112"/>
      <c r="X72" s="112"/>
      <c r="Y72" s="162" t="s">
        <v>1541</v>
      </c>
      <c r="Z72" s="112"/>
      <c r="AA72" s="112"/>
      <c r="AB72" s="112"/>
      <c r="AC72" s="112"/>
      <c r="AD72" s="112"/>
      <c r="AE72" s="112"/>
      <c r="AF72" s="112"/>
      <c r="AG72" s="112"/>
      <c r="AH72" s="112"/>
      <c r="AI72" s="112"/>
      <c r="AJ72" s="112"/>
      <c r="AK72" s="112"/>
      <c r="AL72" s="112"/>
      <c r="AM72" s="112"/>
      <c r="AN72" s="112"/>
      <c r="AO72" s="112"/>
      <c r="AP72" s="112"/>
      <c r="AQ72" s="112"/>
      <c r="AR72" s="112"/>
      <c r="AS72" s="112"/>
      <c r="AT72" s="112"/>
    </row>
    <row r="73" spans="1:77" s="115" customFormat="1" ht="75" x14ac:dyDescent="0.2">
      <c r="A73" s="105">
        <v>44</v>
      </c>
      <c r="B73" s="162" t="s">
        <v>1382</v>
      </c>
      <c r="C73" s="162" t="s">
        <v>177</v>
      </c>
      <c r="D73" s="160">
        <v>2014</v>
      </c>
      <c r="E73" s="162" t="s">
        <v>114</v>
      </c>
      <c r="F73" s="162" t="s">
        <v>175</v>
      </c>
      <c r="G73" s="162" t="s">
        <v>345</v>
      </c>
      <c r="H73" s="162" t="s">
        <v>102</v>
      </c>
      <c r="I73" s="162" t="s">
        <v>346</v>
      </c>
      <c r="J73" s="162" t="s">
        <v>88</v>
      </c>
      <c r="K73" s="162" t="s">
        <v>1544</v>
      </c>
      <c r="L73" s="162" t="s">
        <v>91</v>
      </c>
      <c r="M73" s="162" t="s">
        <v>448</v>
      </c>
      <c r="N73" s="162" t="s">
        <v>1545</v>
      </c>
      <c r="O73" s="161" t="s">
        <v>18</v>
      </c>
      <c r="P73" s="161" t="s">
        <v>18</v>
      </c>
      <c r="Q73" s="120"/>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c r="AR73" s="112"/>
      <c r="AS73" s="112"/>
      <c r="AT73" s="112"/>
    </row>
    <row r="74" spans="1:77" s="115" customFormat="1" ht="90" x14ac:dyDescent="0.2">
      <c r="A74" s="105">
        <v>45</v>
      </c>
      <c r="B74" s="162" t="s">
        <v>516</v>
      </c>
      <c r="C74" s="162" t="s">
        <v>121</v>
      </c>
      <c r="D74" s="160">
        <v>2012</v>
      </c>
      <c r="E74" s="162" t="s">
        <v>115</v>
      </c>
      <c r="F74" s="162" t="s">
        <v>736</v>
      </c>
      <c r="G74" s="162" t="s">
        <v>1136</v>
      </c>
      <c r="H74" s="162" t="s">
        <v>98</v>
      </c>
      <c r="I74" s="162" t="s">
        <v>1137</v>
      </c>
      <c r="J74" s="162" t="s">
        <v>445</v>
      </c>
      <c r="K74" s="162" t="s">
        <v>1138</v>
      </c>
      <c r="L74" s="162" t="s">
        <v>441</v>
      </c>
      <c r="M74" s="162"/>
      <c r="N74" s="162" t="s">
        <v>1139</v>
      </c>
      <c r="O74" s="161" t="s">
        <v>18</v>
      </c>
      <c r="P74" s="161" t="s">
        <v>18</v>
      </c>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2"/>
      <c r="AP74" s="112"/>
      <c r="AQ74" s="112"/>
      <c r="AR74" s="112"/>
      <c r="AS74" s="112"/>
      <c r="AT74" s="112"/>
    </row>
    <row r="75" spans="1:77" s="115" customFormat="1" ht="165" x14ac:dyDescent="0.2">
      <c r="A75" s="105">
        <v>46</v>
      </c>
      <c r="B75" s="162" t="s">
        <v>1384</v>
      </c>
      <c r="C75" s="162" t="s">
        <v>147</v>
      </c>
      <c r="D75" s="160">
        <v>2016</v>
      </c>
      <c r="E75" s="162" t="s">
        <v>215</v>
      </c>
      <c r="F75" s="162" t="s">
        <v>1383</v>
      </c>
      <c r="G75" s="162" t="s">
        <v>1546</v>
      </c>
      <c r="H75" s="162" t="s">
        <v>99</v>
      </c>
      <c r="I75" s="162" t="s">
        <v>1548</v>
      </c>
      <c r="J75" s="162" t="s">
        <v>446</v>
      </c>
      <c r="K75" s="162" t="s">
        <v>1547</v>
      </c>
      <c r="L75" s="162" t="s">
        <v>91</v>
      </c>
      <c r="M75" s="162" t="s">
        <v>94</v>
      </c>
      <c r="N75" s="162" t="s">
        <v>1549</v>
      </c>
      <c r="O75" s="161" t="s">
        <v>18</v>
      </c>
      <c r="P75" s="162" t="s">
        <v>1550</v>
      </c>
      <c r="Q75" s="159"/>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2"/>
      <c r="AP75" s="112"/>
      <c r="AQ75" s="112"/>
      <c r="AR75" s="112"/>
      <c r="AS75" s="112"/>
      <c r="AT75" s="112"/>
    </row>
    <row r="76" spans="1:77" s="115" customFormat="1" ht="75" x14ac:dyDescent="0.2">
      <c r="A76" s="105">
        <v>47</v>
      </c>
      <c r="B76" s="162" t="s">
        <v>1385</v>
      </c>
      <c r="C76" s="162" t="s">
        <v>138</v>
      </c>
      <c r="D76" s="160">
        <v>2015</v>
      </c>
      <c r="E76" s="162" t="s">
        <v>164</v>
      </c>
      <c r="F76" s="162" t="s">
        <v>183</v>
      </c>
      <c r="G76" s="162" t="s">
        <v>358</v>
      </c>
      <c r="H76" s="162" t="s">
        <v>98</v>
      </c>
      <c r="I76" s="162" t="s">
        <v>1552</v>
      </c>
      <c r="J76" s="162" t="s">
        <v>90</v>
      </c>
      <c r="K76" s="162" t="s">
        <v>1551</v>
      </c>
      <c r="L76" s="162" t="s">
        <v>441</v>
      </c>
      <c r="M76" s="162"/>
      <c r="N76" s="162" t="s">
        <v>361</v>
      </c>
      <c r="O76" s="161" t="s">
        <v>18</v>
      </c>
      <c r="P76" s="161" t="s">
        <v>18</v>
      </c>
      <c r="Q76" s="162" t="s">
        <v>1553</v>
      </c>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c r="AR76" s="112"/>
      <c r="AS76" s="112"/>
      <c r="AT76" s="112"/>
    </row>
    <row r="77" spans="1:77" s="115" customFormat="1" ht="76" customHeight="1" x14ac:dyDescent="0.2">
      <c r="A77" s="220">
        <v>48</v>
      </c>
      <c r="B77" s="214" t="s">
        <v>743</v>
      </c>
      <c r="C77" s="214" t="s">
        <v>82</v>
      </c>
      <c r="D77" s="218">
        <v>2016</v>
      </c>
      <c r="E77" s="214" t="s">
        <v>114</v>
      </c>
      <c r="F77" s="214" t="s">
        <v>742</v>
      </c>
      <c r="G77" s="214" t="s">
        <v>1157</v>
      </c>
      <c r="H77" s="214" t="s">
        <v>103</v>
      </c>
      <c r="I77" s="214" t="s">
        <v>1158</v>
      </c>
      <c r="J77" s="214" t="s">
        <v>90</v>
      </c>
      <c r="K77" s="214" t="s">
        <v>314</v>
      </c>
      <c r="L77" s="214" t="s">
        <v>441</v>
      </c>
      <c r="M77" s="214"/>
      <c r="N77" s="214" t="s">
        <v>1061</v>
      </c>
      <c r="O77" s="213" t="s">
        <v>18</v>
      </c>
      <c r="P77" s="214" t="s">
        <v>1159</v>
      </c>
      <c r="Q77" s="214" t="s">
        <v>1729</v>
      </c>
      <c r="R77" s="162" t="s">
        <v>1727</v>
      </c>
      <c r="S77" s="112">
        <f>14.62*10^-3</f>
        <v>1.4619999999999999E-2</v>
      </c>
      <c r="T77" s="112">
        <f>2.97*10^-3</f>
        <v>2.9700000000000004E-3</v>
      </c>
      <c r="U77" s="112">
        <v>3.0811700000000002</v>
      </c>
      <c r="V77" s="112"/>
      <c r="W77" s="112">
        <f>0.08*10^-3</f>
        <v>8.0000000000000007E-5</v>
      </c>
      <c r="X77" s="112"/>
      <c r="Y77" s="112"/>
      <c r="Z77" s="112">
        <v>42.09</v>
      </c>
      <c r="AA77" s="112"/>
      <c r="AB77" s="112"/>
      <c r="AC77" s="112"/>
      <c r="AD77" s="112"/>
      <c r="AE77" s="112"/>
      <c r="AF77" s="112"/>
      <c r="AG77" s="112"/>
      <c r="AH77" s="112"/>
      <c r="AI77" s="112"/>
      <c r="AJ77" s="112"/>
      <c r="AK77" s="112"/>
      <c r="AL77" s="112"/>
      <c r="AM77" s="112"/>
      <c r="AN77" s="112"/>
      <c r="AO77" s="112"/>
      <c r="AP77" s="112"/>
      <c r="AQ77" s="112"/>
      <c r="AR77" s="112"/>
      <c r="AS77" s="112"/>
      <c r="AT77" s="112"/>
    </row>
    <row r="78" spans="1:77" s="115" customFormat="1" ht="88" customHeight="1" x14ac:dyDescent="0.2">
      <c r="A78" s="220"/>
      <c r="B78" s="214"/>
      <c r="C78" s="214"/>
      <c r="D78" s="218"/>
      <c r="E78" s="214"/>
      <c r="F78" s="214"/>
      <c r="G78" s="214"/>
      <c r="H78" s="214"/>
      <c r="I78" s="214"/>
      <c r="J78" s="214"/>
      <c r="K78" s="214"/>
      <c r="L78" s="214"/>
      <c r="M78" s="214"/>
      <c r="N78" s="214"/>
      <c r="O78" s="213"/>
      <c r="P78" s="214"/>
      <c r="Q78" s="214"/>
      <c r="R78" s="162" t="s">
        <v>1728</v>
      </c>
      <c r="S78" s="112">
        <f>28.31*10^-3</f>
        <v>2.8309999999999998E-2</v>
      </c>
      <c r="T78" s="112">
        <f>6.57*10^-3</f>
        <v>6.5700000000000003E-3</v>
      </c>
      <c r="U78" s="112">
        <v>5.4509999999999996</v>
      </c>
      <c r="V78" s="112"/>
      <c r="W78" s="112">
        <f>0.15*10^-3</f>
        <v>1.4999999999999999E-4</v>
      </c>
      <c r="X78" s="112"/>
      <c r="Y78" s="112"/>
      <c r="Z78" s="112">
        <v>72.44</v>
      </c>
      <c r="AA78" s="112"/>
      <c r="AB78" s="112"/>
      <c r="AC78" s="112"/>
      <c r="AD78" s="112"/>
      <c r="AE78" s="112"/>
      <c r="AF78" s="112"/>
      <c r="AG78" s="112"/>
      <c r="AH78" s="112"/>
      <c r="AI78" s="112"/>
      <c r="AJ78" s="112"/>
      <c r="AK78" s="112"/>
      <c r="AL78" s="112"/>
      <c r="AM78" s="112"/>
      <c r="AN78" s="112"/>
      <c r="AO78" s="112"/>
      <c r="AP78" s="112"/>
      <c r="AQ78" s="112"/>
      <c r="AR78" s="112"/>
      <c r="AS78" s="112"/>
      <c r="AT78" s="112"/>
    </row>
    <row r="79" spans="1:77" s="115" customFormat="1" ht="88" customHeight="1" x14ac:dyDescent="0.2">
      <c r="A79" s="220"/>
      <c r="B79" s="214"/>
      <c r="C79" s="214"/>
      <c r="D79" s="218"/>
      <c r="E79" s="214"/>
      <c r="F79" s="214"/>
      <c r="G79" s="214"/>
      <c r="H79" s="214"/>
      <c r="I79" s="214"/>
      <c r="J79" s="214"/>
      <c r="K79" s="214"/>
      <c r="L79" s="214"/>
      <c r="M79" s="214"/>
      <c r="N79" s="214"/>
      <c r="O79" s="213"/>
      <c r="P79" s="214"/>
      <c r="Q79" s="214" t="s">
        <v>1730</v>
      </c>
      <c r="R79" s="162" t="s">
        <v>1727</v>
      </c>
      <c r="S79" s="112">
        <f>14.62*10^-3</f>
        <v>1.4619999999999999E-2</v>
      </c>
      <c r="T79" s="112">
        <f>2.97*10^-3</f>
        <v>2.9700000000000004E-3</v>
      </c>
      <c r="U79" s="112">
        <v>3.0811700000000002</v>
      </c>
      <c r="V79" s="112"/>
      <c r="W79" s="112">
        <f>0.08*10^-3</f>
        <v>8.0000000000000007E-5</v>
      </c>
      <c r="X79" s="112"/>
      <c r="Y79" s="112"/>
      <c r="Z79" s="112">
        <v>42.09</v>
      </c>
      <c r="AA79" s="112"/>
      <c r="AB79" s="112"/>
      <c r="AC79" s="112"/>
      <c r="AD79" s="112"/>
      <c r="AE79" s="112"/>
      <c r="AF79" s="112"/>
      <c r="AG79" s="112"/>
      <c r="AH79" s="112"/>
      <c r="AI79" s="112"/>
      <c r="AJ79" s="112"/>
      <c r="AK79" s="112"/>
      <c r="AL79" s="112"/>
      <c r="AM79" s="112"/>
      <c r="AN79" s="112"/>
      <c r="AO79" s="112"/>
      <c r="AP79" s="112"/>
      <c r="AQ79" s="112"/>
      <c r="AR79" s="112"/>
      <c r="AS79" s="112"/>
      <c r="AT79" s="112"/>
    </row>
    <row r="80" spans="1:77" s="115" customFormat="1" ht="88" customHeight="1" x14ac:dyDescent="0.2">
      <c r="A80" s="220"/>
      <c r="B80" s="214"/>
      <c r="C80" s="214"/>
      <c r="D80" s="218"/>
      <c r="E80" s="214"/>
      <c r="F80" s="214"/>
      <c r="G80" s="214"/>
      <c r="H80" s="214"/>
      <c r="I80" s="214"/>
      <c r="J80" s="214"/>
      <c r="K80" s="214"/>
      <c r="L80" s="214"/>
      <c r="M80" s="214"/>
      <c r="N80" s="214"/>
      <c r="O80" s="213"/>
      <c r="P80" s="214"/>
      <c r="Q80" s="214"/>
      <c r="R80" s="162" t="s">
        <v>1728</v>
      </c>
      <c r="S80" s="112">
        <f>26.84*10^-3</f>
        <v>2.6839999999999999E-2</v>
      </c>
      <c r="T80" s="112">
        <f>6.58*10^-3</f>
        <v>6.5799999999999999E-3</v>
      </c>
      <c r="U80" s="112">
        <v>4.9418300000000004</v>
      </c>
      <c r="V80" s="112"/>
      <c r="W80" s="112">
        <f>0.14*10^-3</f>
        <v>1.4000000000000001E-4</v>
      </c>
      <c r="X80" s="112"/>
      <c r="Y80" s="112"/>
      <c r="Z80" s="112">
        <v>66.05</v>
      </c>
      <c r="AA80" s="112"/>
      <c r="AB80" s="112"/>
      <c r="AC80" s="112"/>
      <c r="AD80" s="112"/>
      <c r="AE80" s="112"/>
      <c r="AF80" s="112"/>
      <c r="AG80" s="112"/>
      <c r="AH80" s="112"/>
      <c r="AI80" s="112"/>
      <c r="AJ80" s="112"/>
      <c r="AK80" s="112"/>
      <c r="AL80" s="112"/>
      <c r="AM80" s="112"/>
      <c r="AN80" s="112"/>
      <c r="AO80" s="112"/>
      <c r="AP80" s="112"/>
      <c r="AQ80" s="112"/>
      <c r="AR80" s="112"/>
      <c r="AS80" s="112"/>
      <c r="AT80" s="112"/>
    </row>
    <row r="81" spans="1:57" s="115" customFormat="1" ht="120" x14ac:dyDescent="0.2">
      <c r="A81" s="105">
        <v>49</v>
      </c>
      <c r="B81" s="162" t="s">
        <v>187</v>
      </c>
      <c r="C81" s="162" t="s">
        <v>230</v>
      </c>
      <c r="D81" s="160">
        <v>2016</v>
      </c>
      <c r="E81" s="162" t="s">
        <v>114</v>
      </c>
      <c r="F81" s="162" t="s">
        <v>185</v>
      </c>
      <c r="G81" s="162" t="s">
        <v>362</v>
      </c>
      <c r="H81" s="162" t="s">
        <v>102</v>
      </c>
      <c r="I81" s="162" t="s">
        <v>110</v>
      </c>
      <c r="J81" s="162" t="s">
        <v>89</v>
      </c>
      <c r="K81" s="162" t="s">
        <v>363</v>
      </c>
      <c r="L81" s="162" t="s">
        <v>91</v>
      </c>
      <c r="M81" s="162" t="s">
        <v>94</v>
      </c>
      <c r="N81" s="162" t="s">
        <v>365</v>
      </c>
      <c r="O81" s="162" t="s">
        <v>375</v>
      </c>
      <c r="P81" s="162" t="s">
        <v>364</v>
      </c>
      <c r="Q81" s="162"/>
      <c r="R81" s="112"/>
      <c r="S81" s="112"/>
      <c r="T81" s="112"/>
      <c r="U81" s="112"/>
      <c r="V81" s="112"/>
      <c r="W81" s="112"/>
      <c r="X81" s="112"/>
      <c r="Y81" s="112"/>
      <c r="Z81" s="112"/>
      <c r="AA81" s="112"/>
      <c r="AB81" s="112"/>
      <c r="AC81" s="112"/>
      <c r="AD81" s="112"/>
      <c r="AE81" s="112"/>
      <c r="AF81" s="112"/>
      <c r="AG81" s="112"/>
      <c r="AH81" s="112"/>
      <c r="AI81" s="112"/>
      <c r="AJ81" s="112"/>
      <c r="AK81" s="112"/>
      <c r="AL81" s="112"/>
      <c r="AM81" s="112"/>
      <c r="AN81" s="112"/>
      <c r="AO81" s="112"/>
      <c r="AP81" s="112"/>
      <c r="AQ81" s="112"/>
      <c r="AR81" s="112"/>
      <c r="AS81" s="112"/>
      <c r="AT81" s="112"/>
    </row>
    <row r="82" spans="1:57" s="115" customFormat="1" ht="78" customHeight="1" x14ac:dyDescent="0.2">
      <c r="A82" s="220">
        <v>50</v>
      </c>
      <c r="B82" s="214" t="s">
        <v>747</v>
      </c>
      <c r="C82" s="214" t="s">
        <v>189</v>
      </c>
      <c r="D82" s="218">
        <v>2010</v>
      </c>
      <c r="E82" s="214" t="s">
        <v>118</v>
      </c>
      <c r="F82" s="214" t="s">
        <v>746</v>
      </c>
      <c r="G82" s="214" t="s">
        <v>1166</v>
      </c>
      <c r="H82" s="214" t="s">
        <v>1095</v>
      </c>
      <c r="I82" s="214" t="s">
        <v>1167</v>
      </c>
      <c r="J82" s="214" t="s">
        <v>90</v>
      </c>
      <c r="K82" s="214" t="s">
        <v>1168</v>
      </c>
      <c r="L82" s="214" t="s">
        <v>441</v>
      </c>
      <c r="M82" s="214"/>
      <c r="N82" s="214" t="s">
        <v>1169</v>
      </c>
      <c r="O82" s="213" t="s">
        <v>18</v>
      </c>
      <c r="P82" s="214" t="s">
        <v>1170</v>
      </c>
      <c r="Q82" s="214" t="s">
        <v>1724</v>
      </c>
      <c r="R82" s="162" t="s">
        <v>1725</v>
      </c>
      <c r="S82" s="162">
        <f>30.73*10^-3</f>
        <v>3.073E-2</v>
      </c>
      <c r="T82" s="162">
        <f>3.81*10^-3</f>
        <v>3.81E-3</v>
      </c>
      <c r="U82" s="162">
        <v>2.6830699999999998</v>
      </c>
      <c r="V82" s="162"/>
      <c r="W82" s="162">
        <f>0.53*10^-3</f>
        <v>5.3000000000000009E-4</v>
      </c>
      <c r="X82" s="162"/>
      <c r="Y82" s="162"/>
      <c r="Z82" s="162">
        <v>27.77</v>
      </c>
      <c r="AA82" s="162"/>
      <c r="AB82" s="162"/>
      <c r="AC82" s="162"/>
      <c r="AD82" s="162"/>
      <c r="AE82" s="162"/>
      <c r="AF82" s="162"/>
      <c r="AG82" s="162"/>
      <c r="AH82" s="162"/>
      <c r="AI82" s="112"/>
      <c r="AJ82" s="112"/>
      <c r="AK82" s="112"/>
      <c r="AL82" s="112"/>
      <c r="AM82" s="112"/>
      <c r="AN82" s="112"/>
      <c r="AO82" s="112"/>
      <c r="AP82" s="112"/>
      <c r="AQ82" s="112"/>
      <c r="AR82" s="112"/>
      <c r="AS82" s="112"/>
      <c r="AT82" s="112"/>
    </row>
    <row r="83" spans="1:57" s="115" customFormat="1" ht="88" customHeight="1" x14ac:dyDescent="0.2">
      <c r="A83" s="220"/>
      <c r="B83" s="214"/>
      <c r="C83" s="214"/>
      <c r="D83" s="218"/>
      <c r="E83" s="214"/>
      <c r="F83" s="214"/>
      <c r="G83" s="214"/>
      <c r="H83" s="214"/>
      <c r="I83" s="214"/>
      <c r="J83" s="214"/>
      <c r="K83" s="214"/>
      <c r="L83" s="214"/>
      <c r="M83" s="214"/>
      <c r="N83" s="214"/>
      <c r="O83" s="213"/>
      <c r="P83" s="214"/>
      <c r="Q83" s="214"/>
      <c r="R83" s="162" t="s">
        <v>1726</v>
      </c>
      <c r="S83" s="162">
        <f>32.35*10^-3</f>
        <v>3.2350000000000004E-2</v>
      </c>
      <c r="T83" s="162">
        <f>3.99*10^-3</f>
        <v>3.9900000000000005E-3</v>
      </c>
      <c r="U83" s="162">
        <v>2.81637</v>
      </c>
      <c r="V83" s="162"/>
      <c r="W83" s="162">
        <f>0.55*10^-3</f>
        <v>5.5000000000000003E-4</v>
      </c>
      <c r="X83" s="162"/>
      <c r="Y83" s="162"/>
      <c r="Z83" s="162">
        <v>29.15</v>
      </c>
      <c r="AA83" s="162"/>
      <c r="AB83" s="162"/>
      <c r="AC83" s="162"/>
      <c r="AD83" s="162"/>
      <c r="AE83" s="162"/>
      <c r="AF83" s="162"/>
      <c r="AG83" s="162"/>
      <c r="AH83" s="162"/>
      <c r="AI83" s="112"/>
      <c r="AJ83" s="112"/>
      <c r="AK83" s="112"/>
      <c r="AL83" s="112"/>
      <c r="AM83" s="112"/>
      <c r="AN83" s="112"/>
      <c r="AO83" s="112"/>
      <c r="AP83" s="112"/>
      <c r="AQ83" s="112"/>
      <c r="AR83" s="112"/>
      <c r="AS83" s="112"/>
      <c r="AT83" s="112"/>
    </row>
    <row r="84" spans="1:57" s="115" customFormat="1" ht="150" x14ac:dyDescent="0.2">
      <c r="A84" s="105">
        <v>51</v>
      </c>
      <c r="B84" s="162" t="s">
        <v>751</v>
      </c>
      <c r="C84" s="162" t="s">
        <v>121</v>
      </c>
      <c r="D84" s="160">
        <v>2016</v>
      </c>
      <c r="E84" s="162" t="s">
        <v>730</v>
      </c>
      <c r="F84" s="162" t="s">
        <v>750</v>
      </c>
      <c r="G84" s="162" t="s">
        <v>1178</v>
      </c>
      <c r="H84" s="162" t="s">
        <v>1150</v>
      </c>
      <c r="I84" s="162" t="s">
        <v>1179</v>
      </c>
      <c r="J84" s="162" t="s">
        <v>445</v>
      </c>
      <c r="K84" s="162" t="s">
        <v>1180</v>
      </c>
      <c r="L84" s="162" t="s">
        <v>441</v>
      </c>
      <c r="M84" s="162"/>
      <c r="N84" s="162" t="s">
        <v>361</v>
      </c>
      <c r="O84" s="161" t="s">
        <v>18</v>
      </c>
      <c r="P84" s="161" t="s">
        <v>18</v>
      </c>
      <c r="Q84" s="112"/>
      <c r="R84" s="162" t="s">
        <v>1723</v>
      </c>
      <c r="S84" s="162">
        <v>0.82199999999999995</v>
      </c>
      <c r="T84" s="162">
        <v>1.7000000000000001E-2</v>
      </c>
      <c r="U84" s="162">
        <v>1345.14</v>
      </c>
      <c r="V84" s="162"/>
      <c r="W84" s="162">
        <v>0.91400000000000003</v>
      </c>
      <c r="X84" s="162">
        <v>61993</v>
      </c>
      <c r="Y84" s="162"/>
      <c r="Z84" s="162"/>
      <c r="AA84" s="162"/>
      <c r="AB84" s="162"/>
      <c r="AC84" s="162"/>
      <c r="AD84" s="162">
        <v>4.1100000000000003</v>
      </c>
      <c r="AE84" s="162" t="s">
        <v>18</v>
      </c>
      <c r="AF84" s="162">
        <f>2.68*10^-11</f>
        <v>2.6800000000000001E-11</v>
      </c>
      <c r="AG84" s="162" t="s">
        <v>18</v>
      </c>
      <c r="AH84" s="162"/>
      <c r="AI84" s="162"/>
      <c r="AJ84" s="162"/>
      <c r="AK84" s="162"/>
      <c r="AL84" s="162"/>
      <c r="AM84" s="162"/>
      <c r="AN84" s="162"/>
      <c r="AO84" s="162"/>
      <c r="AP84" s="162"/>
      <c r="AQ84" s="162"/>
      <c r="AR84" s="162"/>
      <c r="AS84" s="162"/>
      <c r="AT84" s="162"/>
      <c r="AU84" s="105"/>
      <c r="AV84" s="105">
        <v>940</v>
      </c>
      <c r="AW84" s="105">
        <v>0.45</v>
      </c>
      <c r="AX84" s="105">
        <f>6.26*10^-4</f>
        <v>6.2600000000000004E-4</v>
      </c>
      <c r="AY84" s="105"/>
      <c r="AZ84" s="105"/>
      <c r="BA84" s="105"/>
      <c r="BB84" s="105"/>
      <c r="BC84" s="105"/>
      <c r="BD84" s="105"/>
      <c r="BE84" s="105"/>
    </row>
    <row r="85" spans="1:57" s="115" customFormat="1" ht="120" x14ac:dyDescent="0.2">
      <c r="A85" s="105">
        <v>52</v>
      </c>
      <c r="B85" s="162" t="s">
        <v>753</v>
      </c>
      <c r="C85" s="162" t="s">
        <v>126</v>
      </c>
      <c r="D85" s="160">
        <v>2014</v>
      </c>
      <c r="E85" s="162" t="s">
        <v>114</v>
      </c>
      <c r="F85" s="162" t="s">
        <v>752</v>
      </c>
      <c r="G85" s="162" t="s">
        <v>1181</v>
      </c>
      <c r="H85" s="162" t="s">
        <v>100</v>
      </c>
      <c r="I85" s="162" t="s">
        <v>275</v>
      </c>
      <c r="J85" s="162" t="s">
        <v>89</v>
      </c>
      <c r="K85" s="162" t="s">
        <v>1182</v>
      </c>
      <c r="L85" s="162" t="s">
        <v>91</v>
      </c>
      <c r="M85" s="162" t="s">
        <v>448</v>
      </c>
      <c r="N85" s="162" t="s">
        <v>1184</v>
      </c>
      <c r="O85" s="159" t="s">
        <v>1183</v>
      </c>
      <c r="P85" s="159" t="s">
        <v>1185</v>
      </c>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c r="AQ85" s="112"/>
      <c r="AR85" s="112"/>
      <c r="AS85" s="112"/>
      <c r="AT85" s="112"/>
    </row>
    <row r="86" spans="1:57" s="115" customFormat="1" ht="75" x14ac:dyDescent="0.2">
      <c r="A86" s="105">
        <v>53</v>
      </c>
      <c r="B86" s="162" t="s">
        <v>755</v>
      </c>
      <c r="C86" s="162" t="s">
        <v>82</v>
      </c>
      <c r="D86" s="160">
        <v>2012</v>
      </c>
      <c r="E86" s="162" t="s">
        <v>115</v>
      </c>
      <c r="F86" s="162" t="s">
        <v>754</v>
      </c>
      <c r="G86" s="162" t="s">
        <v>1186</v>
      </c>
      <c r="H86" s="162" t="s">
        <v>102</v>
      </c>
      <c r="I86" s="162" t="s">
        <v>110</v>
      </c>
      <c r="J86" s="162" t="s">
        <v>89</v>
      </c>
      <c r="K86" s="162" t="s">
        <v>1187</v>
      </c>
      <c r="L86" s="162" t="s">
        <v>650</v>
      </c>
      <c r="M86" s="162"/>
      <c r="N86" s="162" t="s">
        <v>1189</v>
      </c>
      <c r="O86" s="161" t="s">
        <v>18</v>
      </c>
      <c r="P86" s="159" t="s">
        <v>1188</v>
      </c>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2"/>
      <c r="AN86" s="112"/>
      <c r="AO86" s="112"/>
      <c r="AP86" s="112"/>
      <c r="AQ86" s="112"/>
      <c r="AR86" s="112"/>
      <c r="AS86" s="112"/>
      <c r="AT86" s="112"/>
    </row>
    <row r="87" spans="1:57" s="115" customFormat="1" ht="90" x14ac:dyDescent="0.2">
      <c r="A87" s="105">
        <v>54</v>
      </c>
      <c r="B87" s="162" t="s">
        <v>1386</v>
      </c>
      <c r="C87" s="162" t="s">
        <v>156</v>
      </c>
      <c r="D87" s="160">
        <v>2010</v>
      </c>
      <c r="E87" s="162" t="s">
        <v>115</v>
      </c>
      <c r="F87" s="162" t="s">
        <v>1387</v>
      </c>
      <c r="G87" s="162" t="s">
        <v>1554</v>
      </c>
      <c r="H87" s="162" t="s">
        <v>102</v>
      </c>
      <c r="I87" s="162" t="s">
        <v>1555</v>
      </c>
      <c r="J87" s="162" t="s">
        <v>447</v>
      </c>
      <c r="K87" s="162" t="s">
        <v>1558</v>
      </c>
      <c r="L87" s="162" t="s">
        <v>441</v>
      </c>
      <c r="M87" s="162"/>
      <c r="N87" s="162" t="s">
        <v>1556</v>
      </c>
      <c r="O87" s="161" t="s">
        <v>18</v>
      </c>
      <c r="P87" s="162" t="s">
        <v>1557</v>
      </c>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c r="AO87" s="112"/>
      <c r="AP87" s="112"/>
      <c r="AQ87" s="112"/>
      <c r="AR87" s="112"/>
      <c r="AS87" s="112"/>
      <c r="AT87" s="112"/>
    </row>
    <row r="88" spans="1:57" s="115" customFormat="1" ht="105" x14ac:dyDescent="0.2">
      <c r="A88" s="105">
        <v>55</v>
      </c>
      <c r="B88" s="162" t="s">
        <v>757</v>
      </c>
      <c r="C88" s="162" t="s">
        <v>8</v>
      </c>
      <c r="D88" s="160">
        <v>2013</v>
      </c>
      <c r="E88" s="162" t="s">
        <v>114</v>
      </c>
      <c r="F88" s="162" t="s">
        <v>756</v>
      </c>
      <c r="G88" s="162" t="s">
        <v>1190</v>
      </c>
      <c r="H88" s="162" t="s">
        <v>1194</v>
      </c>
      <c r="I88" s="162" t="s">
        <v>1195</v>
      </c>
      <c r="J88" s="162" t="s">
        <v>444</v>
      </c>
      <c r="K88" s="162" t="s">
        <v>1192</v>
      </c>
      <c r="L88" s="162" t="s">
        <v>91</v>
      </c>
      <c r="M88" s="162" t="s">
        <v>448</v>
      </c>
      <c r="N88" s="162" t="s">
        <v>1193</v>
      </c>
      <c r="O88" s="162" t="s">
        <v>1196</v>
      </c>
      <c r="P88" s="162" t="s">
        <v>1191</v>
      </c>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2"/>
      <c r="AN88" s="112"/>
      <c r="AO88" s="112"/>
      <c r="AP88" s="112"/>
      <c r="AQ88" s="112"/>
      <c r="AR88" s="112"/>
      <c r="AS88" s="112"/>
      <c r="AT88" s="112"/>
    </row>
    <row r="89" spans="1:57" s="115" customFormat="1" ht="75" x14ac:dyDescent="0.2">
      <c r="A89" s="105">
        <v>56</v>
      </c>
      <c r="B89" s="162" t="s">
        <v>195</v>
      </c>
      <c r="C89" s="105" t="s">
        <v>194</v>
      </c>
      <c r="D89" s="160">
        <v>2015</v>
      </c>
      <c r="E89" s="162" t="s">
        <v>114</v>
      </c>
      <c r="F89" s="162" t="s">
        <v>193</v>
      </c>
      <c r="G89" s="162" t="s">
        <v>376</v>
      </c>
      <c r="H89" s="162" t="s">
        <v>98</v>
      </c>
      <c r="I89" s="162" t="s">
        <v>377</v>
      </c>
      <c r="J89" s="162" t="s">
        <v>445</v>
      </c>
      <c r="K89" s="162" t="s">
        <v>488</v>
      </c>
      <c r="L89" s="162" t="s">
        <v>92</v>
      </c>
      <c r="M89" s="162" t="s">
        <v>443</v>
      </c>
      <c r="N89" s="162" t="s">
        <v>489</v>
      </c>
      <c r="O89" s="109" t="s">
        <v>18</v>
      </c>
      <c r="P89" s="105" t="s">
        <v>378</v>
      </c>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c r="AO89" s="112"/>
      <c r="AP89" s="112"/>
      <c r="AQ89" s="112"/>
      <c r="AR89" s="112"/>
      <c r="AS89" s="112"/>
      <c r="AT89" s="112"/>
    </row>
    <row r="90" spans="1:57" s="115" customFormat="1" ht="60" x14ac:dyDescent="0.2">
      <c r="A90" s="105">
        <v>57</v>
      </c>
      <c r="B90" s="162" t="s">
        <v>761</v>
      </c>
      <c r="C90" s="162" t="s">
        <v>795</v>
      </c>
      <c r="D90" s="160">
        <v>2001</v>
      </c>
      <c r="E90" s="162" t="s">
        <v>118</v>
      </c>
      <c r="F90" s="162" t="s">
        <v>760</v>
      </c>
      <c r="G90" s="162" t="s">
        <v>1204</v>
      </c>
      <c r="H90" s="162" t="s">
        <v>1150</v>
      </c>
      <c r="I90" s="162" t="s">
        <v>1203</v>
      </c>
      <c r="J90" s="162" t="s">
        <v>445</v>
      </c>
      <c r="K90" s="162" t="s">
        <v>1205</v>
      </c>
      <c r="L90" s="162" t="s">
        <v>443</v>
      </c>
      <c r="M90" s="162"/>
      <c r="N90" s="162" t="s">
        <v>18</v>
      </c>
      <c r="O90" s="159" t="s">
        <v>1196</v>
      </c>
      <c r="P90" s="161" t="s">
        <v>18</v>
      </c>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c r="AR90" s="112"/>
      <c r="AS90" s="112"/>
      <c r="AT90" s="112"/>
    </row>
    <row r="91" spans="1:57" s="115" customFormat="1" ht="105" x14ac:dyDescent="0.2">
      <c r="A91" s="105">
        <v>58</v>
      </c>
      <c r="B91" s="162" t="s">
        <v>1389</v>
      </c>
      <c r="C91" s="162" t="s">
        <v>126</v>
      </c>
      <c r="D91" s="160">
        <v>2016</v>
      </c>
      <c r="E91" s="162" t="s">
        <v>164</v>
      </c>
      <c r="F91" s="162" t="s">
        <v>1388</v>
      </c>
      <c r="G91" s="162" t="s">
        <v>1559</v>
      </c>
      <c r="H91" s="162" t="s">
        <v>100</v>
      </c>
      <c r="I91" s="162" t="s">
        <v>275</v>
      </c>
      <c r="J91" s="162" t="s">
        <v>90</v>
      </c>
      <c r="K91" s="162" t="s">
        <v>1560</v>
      </c>
      <c r="L91" s="162" t="s">
        <v>91</v>
      </c>
      <c r="M91" s="162" t="s">
        <v>94</v>
      </c>
      <c r="N91" s="162" t="s">
        <v>1561</v>
      </c>
      <c r="O91" s="159" t="s">
        <v>456</v>
      </c>
      <c r="P91" s="159" t="s">
        <v>1058</v>
      </c>
      <c r="Q91" s="162" t="s">
        <v>1562</v>
      </c>
      <c r="R91" s="112"/>
      <c r="S91" s="112"/>
      <c r="T91" s="112"/>
      <c r="U91" s="112"/>
      <c r="V91" s="112"/>
      <c r="W91" s="112"/>
      <c r="X91" s="112"/>
      <c r="Y91" s="112"/>
      <c r="Z91" s="112"/>
      <c r="AA91" s="112"/>
      <c r="AB91" s="112"/>
      <c r="AC91" s="112"/>
      <c r="AD91" s="112"/>
      <c r="AE91" s="112"/>
      <c r="AF91" s="112"/>
      <c r="AG91" s="112"/>
      <c r="AH91" s="112"/>
      <c r="AI91" s="112"/>
      <c r="AJ91" s="112"/>
      <c r="AK91" s="112"/>
      <c r="AL91" s="112"/>
      <c r="AM91" s="112"/>
      <c r="AN91" s="112"/>
      <c r="AO91" s="112"/>
      <c r="AP91" s="112"/>
      <c r="AQ91" s="112"/>
      <c r="AR91" s="112"/>
      <c r="AS91" s="112"/>
      <c r="AT91" s="112"/>
    </row>
    <row r="92" spans="1:57" s="115" customFormat="1" ht="150" x14ac:dyDescent="0.2">
      <c r="A92" s="105">
        <v>59</v>
      </c>
      <c r="B92" s="162" t="s">
        <v>1391</v>
      </c>
      <c r="C92" s="162" t="s">
        <v>1366</v>
      </c>
      <c r="D92" s="160">
        <v>2014</v>
      </c>
      <c r="E92" s="162" t="s">
        <v>28</v>
      </c>
      <c r="F92" s="162" t="s">
        <v>1390</v>
      </c>
      <c r="G92" s="162" t="s">
        <v>1563</v>
      </c>
      <c r="H92" s="162" t="s">
        <v>102</v>
      </c>
      <c r="I92" s="162" t="s">
        <v>110</v>
      </c>
      <c r="J92" s="162" t="s">
        <v>446</v>
      </c>
      <c r="K92" s="162" t="s">
        <v>1566</v>
      </c>
      <c r="L92" s="162" t="s">
        <v>91</v>
      </c>
      <c r="M92" s="162" t="s">
        <v>94</v>
      </c>
      <c r="N92" s="162" t="s">
        <v>1564</v>
      </c>
      <c r="O92" s="161" t="s">
        <v>18</v>
      </c>
      <c r="P92" s="159" t="s">
        <v>1565</v>
      </c>
      <c r="Q92" s="112"/>
      <c r="R92" s="112"/>
      <c r="S92" s="112"/>
      <c r="T92" s="112"/>
      <c r="U92" s="112"/>
      <c r="V92" s="112"/>
      <c r="W92" s="112"/>
      <c r="X92" s="112"/>
      <c r="Y92" s="112"/>
      <c r="Z92" s="112"/>
      <c r="AA92" s="112"/>
      <c r="AB92" s="112"/>
      <c r="AC92" s="112"/>
      <c r="AD92" s="112"/>
      <c r="AE92" s="112"/>
      <c r="AF92" s="112"/>
      <c r="AG92" s="112"/>
      <c r="AH92" s="112"/>
      <c r="AI92" s="112"/>
      <c r="AJ92" s="112"/>
      <c r="AK92" s="112"/>
      <c r="AL92" s="112"/>
      <c r="AM92" s="112"/>
      <c r="AN92" s="112"/>
      <c r="AO92" s="112"/>
      <c r="AP92" s="112"/>
      <c r="AQ92" s="112"/>
      <c r="AR92" s="112"/>
      <c r="AS92" s="112"/>
      <c r="AT92" s="112"/>
    </row>
    <row r="93" spans="1:57" s="115" customFormat="1" ht="75" x14ac:dyDescent="0.2">
      <c r="A93" s="105">
        <v>60</v>
      </c>
      <c r="B93" s="162" t="s">
        <v>1393</v>
      </c>
      <c r="C93" s="162" t="s">
        <v>230</v>
      </c>
      <c r="D93" s="160">
        <v>2013</v>
      </c>
      <c r="E93" s="162" t="s">
        <v>660</v>
      </c>
      <c r="F93" s="162" t="s">
        <v>1392</v>
      </c>
      <c r="G93" s="162" t="s">
        <v>1567</v>
      </c>
      <c r="H93" s="162" t="s">
        <v>102</v>
      </c>
      <c r="I93" s="162" t="s">
        <v>110</v>
      </c>
      <c r="J93" s="162" t="s">
        <v>446</v>
      </c>
      <c r="K93" s="162" t="s">
        <v>1568</v>
      </c>
      <c r="L93" s="162" t="s">
        <v>441</v>
      </c>
      <c r="M93" s="162"/>
      <c r="N93" s="162" t="s">
        <v>361</v>
      </c>
      <c r="O93" s="161" t="s">
        <v>18</v>
      </c>
      <c r="P93" s="161" t="s">
        <v>18</v>
      </c>
      <c r="Q93" s="112"/>
      <c r="R93" s="112"/>
      <c r="S93" s="112"/>
      <c r="T93" s="112"/>
      <c r="U93" s="112"/>
      <c r="V93" s="112"/>
      <c r="W93" s="112"/>
      <c r="X93" s="112"/>
      <c r="Y93" s="112"/>
      <c r="Z93" s="112"/>
      <c r="AA93" s="112"/>
      <c r="AB93" s="112"/>
      <c r="AC93" s="112"/>
      <c r="AD93" s="112"/>
      <c r="AE93" s="112"/>
      <c r="AF93" s="112"/>
      <c r="AG93" s="112"/>
      <c r="AH93" s="112"/>
      <c r="AI93" s="112"/>
      <c r="AJ93" s="112"/>
      <c r="AK93" s="112"/>
      <c r="AL93" s="112"/>
      <c r="AM93" s="112"/>
      <c r="AN93" s="112"/>
      <c r="AO93" s="112"/>
      <c r="AP93" s="112"/>
      <c r="AQ93" s="112"/>
      <c r="AR93" s="112"/>
      <c r="AS93" s="112"/>
      <c r="AT93" s="112"/>
    </row>
    <row r="94" spans="1:57" s="115" customFormat="1" ht="120" x14ac:dyDescent="0.2">
      <c r="A94" s="105">
        <v>61</v>
      </c>
      <c r="B94" s="162" t="s">
        <v>201</v>
      </c>
      <c r="C94" s="105" t="s">
        <v>27</v>
      </c>
      <c r="D94" s="160">
        <v>2014</v>
      </c>
      <c r="E94" s="162" t="s">
        <v>28</v>
      </c>
      <c r="F94" s="113" t="s">
        <v>29</v>
      </c>
      <c r="G94" s="107" t="s">
        <v>382</v>
      </c>
      <c r="H94" s="107" t="s">
        <v>102</v>
      </c>
      <c r="I94" s="107" t="s">
        <v>33</v>
      </c>
      <c r="J94" s="107" t="s">
        <v>89</v>
      </c>
      <c r="K94" s="162" t="s">
        <v>59</v>
      </c>
      <c r="L94" s="162" t="s">
        <v>91</v>
      </c>
      <c r="M94" s="162" t="s">
        <v>443</v>
      </c>
      <c r="N94" s="162" t="s">
        <v>31</v>
      </c>
      <c r="O94" s="162" t="s">
        <v>36</v>
      </c>
      <c r="P94" s="162" t="s">
        <v>69</v>
      </c>
      <c r="Q94" s="112"/>
      <c r="R94" s="112"/>
      <c r="S94" s="112"/>
      <c r="T94" s="112"/>
      <c r="U94" s="112"/>
      <c r="V94" s="112"/>
      <c r="W94" s="112"/>
      <c r="X94" s="112"/>
      <c r="Y94" s="112"/>
      <c r="Z94" s="112"/>
      <c r="AA94" s="112"/>
      <c r="AB94" s="112"/>
      <c r="AC94" s="112"/>
      <c r="AD94" s="112"/>
      <c r="AE94" s="112"/>
      <c r="AF94" s="112"/>
      <c r="AG94" s="112"/>
      <c r="AH94" s="112"/>
      <c r="AI94" s="112"/>
      <c r="AJ94" s="112"/>
      <c r="AK94" s="112"/>
      <c r="AL94" s="112"/>
      <c r="AM94" s="112"/>
      <c r="AN94" s="112"/>
      <c r="AO94" s="112"/>
      <c r="AP94" s="112"/>
      <c r="AQ94" s="112"/>
      <c r="AR94" s="112"/>
      <c r="AS94" s="112"/>
      <c r="AT94" s="112"/>
    </row>
    <row r="95" spans="1:57" s="115" customFormat="1" ht="225" x14ac:dyDescent="0.2">
      <c r="A95" s="105">
        <v>62</v>
      </c>
      <c r="B95" s="162" t="s">
        <v>1396</v>
      </c>
      <c r="C95" s="162" t="s">
        <v>1395</v>
      </c>
      <c r="D95" s="160">
        <v>2013</v>
      </c>
      <c r="E95" s="162" t="s">
        <v>1397</v>
      </c>
      <c r="F95" s="162" t="s">
        <v>1394</v>
      </c>
      <c r="G95" s="162" t="s">
        <v>1569</v>
      </c>
      <c r="H95" s="162" t="s">
        <v>102</v>
      </c>
      <c r="I95" s="162" t="s">
        <v>110</v>
      </c>
      <c r="J95" s="162" t="s">
        <v>441</v>
      </c>
      <c r="K95" s="162" t="s">
        <v>1570</v>
      </c>
      <c r="L95" s="162" t="s">
        <v>441</v>
      </c>
      <c r="M95" s="162"/>
      <c r="N95" s="162" t="s">
        <v>1571</v>
      </c>
      <c r="O95" s="161" t="s">
        <v>18</v>
      </c>
      <c r="P95" s="161" t="s">
        <v>18</v>
      </c>
      <c r="Q95" s="112"/>
      <c r="R95" s="112"/>
      <c r="S95" s="112"/>
      <c r="T95" s="112"/>
      <c r="U95" s="112"/>
      <c r="V95" s="112"/>
      <c r="W95" s="112"/>
      <c r="X95" s="112"/>
      <c r="Y95" s="112"/>
      <c r="Z95" s="112"/>
      <c r="AA95" s="112"/>
      <c r="AB95" s="112"/>
      <c r="AC95" s="112"/>
      <c r="AD95" s="112"/>
      <c r="AE95" s="112"/>
      <c r="AF95" s="112"/>
      <c r="AG95" s="112"/>
      <c r="AH95" s="112"/>
      <c r="AI95" s="112"/>
      <c r="AJ95" s="112"/>
      <c r="AK95" s="112"/>
      <c r="AL95" s="112"/>
      <c r="AM95" s="112"/>
      <c r="AN95" s="112"/>
      <c r="AO95" s="112"/>
      <c r="AP95" s="112"/>
      <c r="AQ95" s="112"/>
      <c r="AR95" s="112"/>
      <c r="AS95" s="112"/>
      <c r="AT95" s="112"/>
    </row>
    <row r="96" spans="1:57" s="115" customFormat="1" ht="90" x14ac:dyDescent="0.2">
      <c r="A96" s="105">
        <v>63</v>
      </c>
      <c r="B96" s="162" t="s">
        <v>1399</v>
      </c>
      <c r="C96" s="162" t="s">
        <v>174</v>
      </c>
      <c r="D96" s="160">
        <v>2014</v>
      </c>
      <c r="E96" s="162" t="s">
        <v>28</v>
      </c>
      <c r="F96" s="162" t="s">
        <v>1398</v>
      </c>
      <c r="G96" s="162" t="s">
        <v>1572</v>
      </c>
      <c r="H96" s="162" t="s">
        <v>102</v>
      </c>
      <c r="I96" s="162" t="s">
        <v>110</v>
      </c>
      <c r="J96" s="162" t="s">
        <v>446</v>
      </c>
      <c r="K96" s="162" t="s">
        <v>1573</v>
      </c>
      <c r="L96" s="162" t="s">
        <v>441</v>
      </c>
      <c r="M96" s="162"/>
      <c r="N96" s="162" t="s">
        <v>1574</v>
      </c>
      <c r="O96" s="161" t="s">
        <v>18</v>
      </c>
      <c r="P96" s="161" t="s">
        <v>18</v>
      </c>
      <c r="Q96" s="112"/>
      <c r="R96" s="112"/>
      <c r="S96" s="112"/>
      <c r="T96" s="112"/>
      <c r="U96" s="112"/>
      <c r="V96" s="112"/>
      <c r="W96" s="112"/>
      <c r="X96" s="112"/>
      <c r="Y96" s="112"/>
      <c r="Z96" s="112"/>
      <c r="AA96" s="112"/>
      <c r="AB96" s="112"/>
      <c r="AC96" s="112"/>
      <c r="AD96" s="112"/>
      <c r="AE96" s="112"/>
      <c r="AF96" s="112"/>
      <c r="AG96" s="112"/>
      <c r="AH96" s="112"/>
      <c r="AI96" s="112"/>
      <c r="AJ96" s="112"/>
      <c r="AK96" s="112"/>
      <c r="AL96" s="112"/>
      <c r="AM96" s="112"/>
      <c r="AN96" s="112"/>
      <c r="AO96" s="112"/>
      <c r="AP96" s="112"/>
      <c r="AQ96" s="112"/>
      <c r="AR96" s="112"/>
      <c r="AS96" s="112"/>
      <c r="AT96" s="112"/>
    </row>
    <row r="97" spans="1:46" s="115" customFormat="1" ht="90" x14ac:dyDescent="0.2">
      <c r="A97" s="105">
        <v>64</v>
      </c>
      <c r="B97" s="162" t="s">
        <v>1401</v>
      </c>
      <c r="C97" s="162" t="s">
        <v>121</v>
      </c>
      <c r="D97" s="160">
        <v>2015</v>
      </c>
      <c r="E97" s="162" t="s">
        <v>114</v>
      </c>
      <c r="F97" s="162" t="s">
        <v>1400</v>
      </c>
      <c r="G97" s="162" t="s">
        <v>1575</v>
      </c>
      <c r="H97" s="162" t="s">
        <v>98</v>
      </c>
      <c r="I97" s="162" t="s">
        <v>1576</v>
      </c>
      <c r="J97" s="162" t="s">
        <v>446</v>
      </c>
      <c r="K97" s="162" t="s">
        <v>1579</v>
      </c>
      <c r="L97" s="162" t="s">
        <v>91</v>
      </c>
      <c r="M97" s="162" t="s">
        <v>94</v>
      </c>
      <c r="N97" s="162" t="s">
        <v>1578</v>
      </c>
      <c r="O97" s="161" t="s">
        <v>18</v>
      </c>
      <c r="P97" s="159" t="s">
        <v>1577</v>
      </c>
      <c r="Q97" s="112"/>
      <c r="R97" s="112"/>
      <c r="S97" s="112"/>
      <c r="T97" s="112"/>
      <c r="U97" s="112"/>
      <c r="V97" s="112"/>
      <c r="W97" s="112"/>
      <c r="X97" s="112"/>
      <c r="Y97" s="112"/>
      <c r="Z97" s="112"/>
      <c r="AA97" s="112"/>
      <c r="AB97" s="112"/>
      <c r="AC97" s="112"/>
      <c r="AD97" s="112"/>
      <c r="AE97" s="112"/>
      <c r="AF97" s="112"/>
      <c r="AG97" s="112"/>
      <c r="AH97" s="112"/>
      <c r="AI97" s="112"/>
      <c r="AJ97" s="112"/>
      <c r="AK97" s="112"/>
      <c r="AL97" s="112"/>
      <c r="AM97" s="112"/>
      <c r="AN97" s="112"/>
      <c r="AO97" s="112"/>
      <c r="AP97" s="112"/>
      <c r="AQ97" s="112"/>
      <c r="AR97" s="112"/>
      <c r="AS97" s="112"/>
      <c r="AT97" s="112"/>
    </row>
    <row r="98" spans="1:46" s="115" customFormat="1" ht="75" x14ac:dyDescent="0.2">
      <c r="A98" s="105">
        <v>65</v>
      </c>
      <c r="B98" s="162" t="s">
        <v>1403</v>
      </c>
      <c r="C98" s="162" t="s">
        <v>1340</v>
      </c>
      <c r="D98" s="160">
        <v>2013</v>
      </c>
      <c r="E98" s="162" t="s">
        <v>28</v>
      </c>
      <c r="F98" s="162" t="s">
        <v>1402</v>
      </c>
      <c r="G98" s="162" t="s">
        <v>1580</v>
      </c>
      <c r="H98" s="162"/>
      <c r="I98" s="162"/>
      <c r="J98" s="162" t="s">
        <v>89</v>
      </c>
      <c r="K98" s="162" t="s">
        <v>1581</v>
      </c>
      <c r="L98" s="162"/>
      <c r="M98" s="162"/>
      <c r="N98" s="159"/>
      <c r="O98" s="161"/>
      <c r="P98" s="162"/>
      <c r="Q98" s="112" t="s">
        <v>1582</v>
      </c>
      <c r="R98" s="112"/>
      <c r="S98" s="112"/>
      <c r="T98" s="112"/>
      <c r="U98" s="112"/>
      <c r="V98" s="112"/>
      <c r="W98" s="112"/>
      <c r="X98" s="112"/>
      <c r="Y98" s="112"/>
      <c r="Z98" s="112"/>
      <c r="AA98" s="112"/>
      <c r="AB98" s="112"/>
      <c r="AC98" s="112"/>
      <c r="AD98" s="112"/>
      <c r="AE98" s="112"/>
      <c r="AF98" s="112"/>
      <c r="AG98" s="112"/>
      <c r="AH98" s="112"/>
      <c r="AI98" s="112"/>
      <c r="AJ98" s="112"/>
      <c r="AK98" s="112"/>
      <c r="AL98" s="112"/>
      <c r="AM98" s="112"/>
      <c r="AN98" s="112"/>
      <c r="AO98" s="112"/>
      <c r="AP98" s="112"/>
      <c r="AQ98" s="112"/>
      <c r="AR98" s="112"/>
      <c r="AS98" s="112"/>
      <c r="AT98" s="112"/>
    </row>
    <row r="99" spans="1:46" s="115" customFormat="1" ht="150" x14ac:dyDescent="0.2">
      <c r="A99" s="105">
        <v>66</v>
      </c>
      <c r="B99" s="162" t="s">
        <v>788</v>
      </c>
      <c r="C99" s="162" t="s">
        <v>121</v>
      </c>
      <c r="D99" s="160">
        <v>2003</v>
      </c>
      <c r="E99" s="162" t="s">
        <v>660</v>
      </c>
      <c r="F99" s="162" t="s">
        <v>789</v>
      </c>
      <c r="G99" s="162" t="s">
        <v>1252</v>
      </c>
      <c r="H99" s="162" t="s">
        <v>103</v>
      </c>
      <c r="I99" s="162" t="s">
        <v>110</v>
      </c>
      <c r="J99" s="162" t="s">
        <v>446</v>
      </c>
      <c r="K99" s="162" t="s">
        <v>1251</v>
      </c>
      <c r="L99" s="162" t="s">
        <v>441</v>
      </c>
      <c r="M99" s="162"/>
      <c r="N99" s="162" t="s">
        <v>1253</v>
      </c>
      <c r="O99" s="162" t="s">
        <v>1255</v>
      </c>
      <c r="P99" s="162" t="s">
        <v>1254</v>
      </c>
      <c r="Q99" s="112"/>
      <c r="R99" s="112"/>
      <c r="S99" s="112"/>
      <c r="T99" s="112"/>
      <c r="U99" s="112"/>
      <c r="V99" s="112"/>
      <c r="W99" s="112"/>
      <c r="X99" s="112"/>
      <c r="Y99" s="112"/>
      <c r="Z99" s="142">
        <f>4600*10^3</f>
        <v>4600000</v>
      </c>
      <c r="AA99" s="112"/>
      <c r="AB99" s="112"/>
      <c r="AC99" s="112"/>
      <c r="AD99" s="112"/>
      <c r="AE99" s="112"/>
      <c r="AF99" s="112"/>
      <c r="AG99" s="112"/>
      <c r="AH99" s="112"/>
      <c r="AI99" s="112"/>
      <c r="AJ99" s="112"/>
      <c r="AK99" s="112"/>
      <c r="AL99" s="112"/>
      <c r="AM99" s="112"/>
      <c r="AN99" s="112"/>
      <c r="AO99" s="112"/>
      <c r="AP99" s="112"/>
      <c r="AQ99" s="112"/>
      <c r="AR99" s="112"/>
      <c r="AS99" s="112"/>
      <c r="AT99" s="112"/>
    </row>
    <row r="100" spans="1:46" s="115" customFormat="1" ht="120" x14ac:dyDescent="0.2">
      <c r="A100" s="105">
        <v>67</v>
      </c>
      <c r="B100" s="162" t="s">
        <v>221</v>
      </c>
      <c r="C100" s="162" t="s">
        <v>219</v>
      </c>
      <c r="D100" s="160">
        <v>2016</v>
      </c>
      <c r="E100" s="162" t="s">
        <v>115</v>
      </c>
      <c r="F100" s="162" t="s">
        <v>220</v>
      </c>
      <c r="G100" s="162" t="s">
        <v>415</v>
      </c>
      <c r="H100" s="162" t="s">
        <v>103</v>
      </c>
      <c r="I100" s="162" t="s">
        <v>110</v>
      </c>
      <c r="J100" s="162" t="s">
        <v>445</v>
      </c>
      <c r="K100" s="162" t="s">
        <v>416</v>
      </c>
      <c r="L100" s="162" t="s">
        <v>650</v>
      </c>
      <c r="M100" s="162"/>
      <c r="N100" s="162" t="s">
        <v>1714</v>
      </c>
      <c r="O100" s="162" t="s">
        <v>36</v>
      </c>
      <c r="P100" s="162" t="s">
        <v>418</v>
      </c>
      <c r="Q100" s="112"/>
      <c r="R100" s="112"/>
      <c r="S100" s="112"/>
      <c r="T100" s="112"/>
      <c r="U100" s="112"/>
      <c r="V100" s="112"/>
      <c r="W100" s="112"/>
      <c r="X100" s="112"/>
      <c r="Y100" s="112"/>
      <c r="Z100" s="112"/>
      <c r="AA100" s="112"/>
      <c r="AB100" s="112"/>
      <c r="AC100" s="112"/>
      <c r="AD100" s="112"/>
      <c r="AE100" s="112"/>
      <c r="AF100" s="112"/>
      <c r="AG100" s="112"/>
      <c r="AH100" s="112"/>
      <c r="AI100" s="112"/>
      <c r="AJ100" s="112"/>
      <c r="AK100" s="112"/>
      <c r="AL100" s="112"/>
      <c r="AM100" s="112"/>
      <c r="AN100" s="112"/>
      <c r="AO100" s="112"/>
      <c r="AP100" s="112"/>
      <c r="AQ100" s="112"/>
      <c r="AR100" s="112"/>
      <c r="AS100" s="112"/>
      <c r="AT100" s="112"/>
    </row>
    <row r="101" spans="1:46" s="115" customFormat="1" ht="75" x14ac:dyDescent="0.2">
      <c r="A101" s="105">
        <v>68</v>
      </c>
      <c r="B101" s="162" t="s">
        <v>1405</v>
      </c>
      <c r="C101" s="162" t="s">
        <v>989</v>
      </c>
      <c r="D101" s="160">
        <v>2000</v>
      </c>
      <c r="E101" s="162" t="s">
        <v>731</v>
      </c>
      <c r="F101" s="162" t="s">
        <v>1404</v>
      </c>
      <c r="G101" s="162" t="s">
        <v>1583</v>
      </c>
      <c r="H101" s="162" t="s">
        <v>102</v>
      </c>
      <c r="I101" s="162" t="s">
        <v>110</v>
      </c>
      <c r="J101" s="162" t="s">
        <v>88</v>
      </c>
      <c r="K101" s="162" t="s">
        <v>1584</v>
      </c>
      <c r="L101" s="162" t="s">
        <v>441</v>
      </c>
      <c r="M101" s="162"/>
      <c r="N101" s="162" t="s">
        <v>361</v>
      </c>
      <c r="O101" s="161" t="s">
        <v>18</v>
      </c>
      <c r="P101" s="161" t="s">
        <v>18</v>
      </c>
      <c r="Q101" s="112"/>
      <c r="R101" s="112"/>
      <c r="S101" s="112"/>
      <c r="T101" s="112"/>
      <c r="U101" s="112"/>
      <c r="V101" s="112"/>
      <c r="W101" s="112"/>
      <c r="X101" s="112"/>
      <c r="Y101" s="112"/>
      <c r="Z101" s="112"/>
      <c r="AA101" s="112"/>
      <c r="AB101" s="112"/>
      <c r="AC101" s="112"/>
      <c r="AD101" s="112"/>
      <c r="AE101" s="112"/>
      <c r="AF101" s="112"/>
      <c r="AG101" s="112"/>
      <c r="AH101" s="112"/>
      <c r="AI101" s="112"/>
      <c r="AJ101" s="112"/>
      <c r="AK101" s="112"/>
      <c r="AL101" s="112"/>
      <c r="AM101" s="112"/>
      <c r="AN101" s="112"/>
      <c r="AO101" s="112"/>
      <c r="AP101" s="112"/>
      <c r="AQ101" s="112"/>
      <c r="AR101" s="112"/>
      <c r="AS101" s="112"/>
      <c r="AT101" s="112"/>
    </row>
    <row r="102" spans="1:46" s="115" customFormat="1" ht="90" x14ac:dyDescent="0.2">
      <c r="A102" s="105">
        <v>69</v>
      </c>
      <c r="B102" s="162" t="s">
        <v>791</v>
      </c>
      <c r="C102" s="162" t="s">
        <v>27</v>
      </c>
      <c r="D102" s="160">
        <v>2016</v>
      </c>
      <c r="E102" s="162" t="s">
        <v>705</v>
      </c>
      <c r="F102" s="162" t="s">
        <v>790</v>
      </c>
      <c r="G102" s="162" t="s">
        <v>1256</v>
      </c>
      <c r="H102" s="162" t="s">
        <v>100</v>
      </c>
      <c r="I102" s="162" t="s">
        <v>275</v>
      </c>
      <c r="J102" s="162" t="s">
        <v>90</v>
      </c>
      <c r="K102" s="162" t="s">
        <v>1257</v>
      </c>
      <c r="L102" s="162" t="s">
        <v>91</v>
      </c>
      <c r="M102" s="162" t="s">
        <v>443</v>
      </c>
      <c r="N102" s="162" t="s">
        <v>1259</v>
      </c>
      <c r="O102" s="159" t="s">
        <v>1260</v>
      </c>
      <c r="P102" s="162" t="s">
        <v>1258</v>
      </c>
      <c r="Q102" s="162" t="s">
        <v>1261</v>
      </c>
      <c r="R102" s="112"/>
      <c r="S102" s="112"/>
      <c r="T102" s="112"/>
      <c r="U102" s="112"/>
      <c r="V102" s="112"/>
      <c r="W102" s="112"/>
      <c r="X102" s="112"/>
      <c r="Y102" s="112"/>
      <c r="Z102" s="112"/>
      <c r="AA102" s="112"/>
      <c r="AB102" s="112"/>
      <c r="AC102" s="112"/>
      <c r="AD102" s="112"/>
      <c r="AE102" s="112"/>
      <c r="AF102" s="112"/>
      <c r="AG102" s="112"/>
      <c r="AH102" s="112"/>
      <c r="AI102" s="112"/>
      <c r="AJ102" s="112"/>
      <c r="AK102" s="112"/>
      <c r="AL102" s="112"/>
      <c r="AM102" s="112"/>
      <c r="AN102" s="112"/>
      <c r="AO102" s="112"/>
      <c r="AP102" s="112"/>
      <c r="AQ102" s="112"/>
      <c r="AR102" s="112"/>
      <c r="AS102" s="112"/>
      <c r="AT102" s="112"/>
    </row>
    <row r="103" spans="1:46" s="115" customFormat="1" ht="60" x14ac:dyDescent="0.2">
      <c r="A103" s="105">
        <v>70</v>
      </c>
      <c r="B103" s="162" t="s">
        <v>1407</v>
      </c>
      <c r="C103" s="162" t="s">
        <v>1586</v>
      </c>
      <c r="D103" s="160">
        <v>2014</v>
      </c>
      <c r="E103" s="162" t="s">
        <v>83</v>
      </c>
      <c r="F103" s="162" t="s">
        <v>1406</v>
      </c>
      <c r="G103" s="162" t="s">
        <v>1585</v>
      </c>
      <c r="H103" s="162" t="s">
        <v>1150</v>
      </c>
      <c r="I103" s="162" t="s">
        <v>1587</v>
      </c>
      <c r="J103" s="162" t="s">
        <v>445</v>
      </c>
      <c r="K103" s="162" t="s">
        <v>1588</v>
      </c>
      <c r="L103" s="162" t="s">
        <v>441</v>
      </c>
      <c r="M103" s="162"/>
      <c r="N103" s="162" t="s">
        <v>1589</v>
      </c>
      <c r="O103" s="161" t="s">
        <v>18</v>
      </c>
      <c r="P103" s="162" t="s">
        <v>1052</v>
      </c>
      <c r="Q103" s="112"/>
      <c r="R103" s="112"/>
      <c r="S103" s="112"/>
      <c r="T103" s="112"/>
      <c r="U103" s="112"/>
      <c r="V103" s="112"/>
      <c r="W103" s="112"/>
      <c r="X103" s="112"/>
      <c r="Y103" s="112"/>
      <c r="Z103" s="112"/>
      <c r="AA103" s="112"/>
      <c r="AB103" s="112"/>
      <c r="AC103" s="112"/>
      <c r="AD103" s="112"/>
      <c r="AE103" s="112"/>
      <c r="AF103" s="112"/>
      <c r="AG103" s="112"/>
      <c r="AH103" s="112"/>
      <c r="AI103" s="112"/>
      <c r="AJ103" s="112"/>
      <c r="AK103" s="112"/>
      <c r="AL103" s="112"/>
      <c r="AM103" s="112"/>
      <c r="AN103" s="112"/>
      <c r="AO103" s="112"/>
      <c r="AP103" s="112"/>
      <c r="AQ103" s="112"/>
      <c r="AR103" s="112"/>
      <c r="AS103" s="112"/>
      <c r="AT103" s="112"/>
    </row>
    <row r="104" spans="1:46" s="115" customFormat="1" ht="105" x14ac:dyDescent="0.2">
      <c r="A104" s="105">
        <v>71</v>
      </c>
      <c r="B104" s="162" t="s">
        <v>228</v>
      </c>
      <c r="C104" s="162" t="s">
        <v>121</v>
      </c>
      <c r="D104" s="160">
        <v>2016</v>
      </c>
      <c r="E104" s="162" t="s">
        <v>215</v>
      </c>
      <c r="F104" s="162" t="s">
        <v>227</v>
      </c>
      <c r="G104" s="162" t="s">
        <v>426</v>
      </c>
      <c r="H104" s="162" t="s">
        <v>100</v>
      </c>
      <c r="I104" s="162" t="s">
        <v>275</v>
      </c>
      <c r="J104" s="162" t="s">
        <v>445</v>
      </c>
      <c r="K104" s="162" t="s">
        <v>428</v>
      </c>
      <c r="L104" s="162" t="s">
        <v>441</v>
      </c>
      <c r="M104" s="162"/>
      <c r="N104" s="162" t="s">
        <v>427</v>
      </c>
      <c r="O104" s="161" t="s">
        <v>18</v>
      </c>
      <c r="P104" s="161" t="s">
        <v>18</v>
      </c>
      <c r="Q104" s="162" t="s">
        <v>1713</v>
      </c>
      <c r="R104" s="112"/>
      <c r="S104" s="112"/>
      <c r="T104" s="112"/>
      <c r="U104" s="112"/>
      <c r="V104" s="112"/>
      <c r="W104" s="112"/>
      <c r="X104" s="112"/>
      <c r="Y104" s="112"/>
      <c r="Z104" s="112"/>
      <c r="AA104" s="112"/>
      <c r="AB104" s="112"/>
      <c r="AC104" s="112"/>
      <c r="AD104" s="112"/>
      <c r="AE104" s="112"/>
      <c r="AF104" s="112"/>
      <c r="AG104" s="112"/>
      <c r="AH104" s="112"/>
      <c r="AI104" s="112"/>
      <c r="AJ104" s="112"/>
      <c r="AK104" s="112"/>
      <c r="AL104" s="112"/>
      <c r="AM104" s="112"/>
      <c r="AN104" s="112"/>
      <c r="AO104" s="112"/>
      <c r="AP104" s="112"/>
      <c r="AQ104" s="112"/>
      <c r="AR104" s="112"/>
      <c r="AS104" s="112"/>
      <c r="AT104" s="112"/>
    </row>
    <row r="105" spans="1:46" s="115" customFormat="1" ht="105" x14ac:dyDescent="0.2">
      <c r="A105" s="105">
        <v>72</v>
      </c>
      <c r="B105" s="162" t="s">
        <v>231</v>
      </c>
      <c r="C105" s="162" t="s">
        <v>230</v>
      </c>
      <c r="D105" s="160">
        <v>2015</v>
      </c>
      <c r="E105" s="162" t="s">
        <v>114</v>
      </c>
      <c r="F105" s="162" t="s">
        <v>229</v>
      </c>
      <c r="G105" s="162" t="s">
        <v>429</v>
      </c>
      <c r="H105" s="162" t="s">
        <v>102</v>
      </c>
      <c r="I105" s="162" t="s">
        <v>110</v>
      </c>
      <c r="J105" s="162" t="s">
        <v>89</v>
      </c>
      <c r="K105" s="162" t="s">
        <v>430</v>
      </c>
      <c r="L105" s="162" t="s">
        <v>91</v>
      </c>
      <c r="M105" s="162" t="s">
        <v>94</v>
      </c>
      <c r="N105" s="162" t="s">
        <v>1758</v>
      </c>
      <c r="O105" s="162" t="s">
        <v>432</v>
      </c>
      <c r="P105" s="162" t="s">
        <v>431</v>
      </c>
      <c r="Q105" s="162"/>
      <c r="R105" s="112"/>
      <c r="S105" s="112"/>
      <c r="T105" s="112"/>
      <c r="U105" s="112"/>
      <c r="V105" s="112"/>
      <c r="W105" s="112"/>
      <c r="X105" s="112"/>
      <c r="Y105" s="112"/>
      <c r="Z105" s="112"/>
      <c r="AA105" s="112"/>
      <c r="AB105" s="112"/>
      <c r="AC105" s="112"/>
      <c r="AD105" s="112"/>
      <c r="AE105" s="112"/>
      <c r="AF105" s="112"/>
      <c r="AG105" s="112"/>
      <c r="AH105" s="112"/>
      <c r="AI105" s="112"/>
      <c r="AJ105" s="112"/>
      <c r="AK105" s="112"/>
      <c r="AL105" s="112"/>
      <c r="AM105" s="112"/>
      <c r="AN105" s="112"/>
      <c r="AO105" s="112"/>
      <c r="AP105" s="112"/>
      <c r="AQ105" s="112"/>
      <c r="AR105" s="112"/>
      <c r="AS105" s="112"/>
      <c r="AT105" s="112"/>
    </row>
    <row r="106" spans="1:46" s="115" customFormat="1" ht="75" x14ac:dyDescent="0.2">
      <c r="A106" s="105">
        <v>73</v>
      </c>
      <c r="B106" s="162" t="s">
        <v>793</v>
      </c>
      <c r="C106" s="162" t="s">
        <v>138</v>
      </c>
      <c r="D106" s="160">
        <v>2016</v>
      </c>
      <c r="E106" s="162" t="s">
        <v>660</v>
      </c>
      <c r="F106" s="162" t="s">
        <v>792</v>
      </c>
      <c r="G106" s="162" t="s">
        <v>1262</v>
      </c>
      <c r="H106" s="162" t="s">
        <v>98</v>
      </c>
      <c r="I106" s="162" t="s">
        <v>1265</v>
      </c>
      <c r="J106" s="162" t="s">
        <v>89</v>
      </c>
      <c r="K106" s="162" t="s">
        <v>1263</v>
      </c>
      <c r="L106" s="162" t="s">
        <v>441</v>
      </c>
      <c r="M106" s="162"/>
      <c r="N106" s="162" t="s">
        <v>1264</v>
      </c>
      <c r="O106" s="161" t="s">
        <v>18</v>
      </c>
      <c r="P106" s="161" t="s">
        <v>18</v>
      </c>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c r="AT106" s="112"/>
    </row>
    <row r="107" spans="1:46" s="115" customFormat="1" ht="120" x14ac:dyDescent="0.2">
      <c r="A107" s="105">
        <v>74</v>
      </c>
      <c r="B107" s="162" t="s">
        <v>1408</v>
      </c>
      <c r="C107" s="162" t="s">
        <v>230</v>
      </c>
      <c r="D107" s="160">
        <v>2012</v>
      </c>
      <c r="E107" s="162" t="s">
        <v>1397</v>
      </c>
      <c r="F107" s="162" t="s">
        <v>1409</v>
      </c>
      <c r="G107" s="162" t="s">
        <v>1590</v>
      </c>
      <c r="H107" s="162" t="s">
        <v>102</v>
      </c>
      <c r="I107" s="162" t="s">
        <v>110</v>
      </c>
      <c r="J107" s="162" t="s">
        <v>446</v>
      </c>
      <c r="K107" s="162" t="s">
        <v>1591</v>
      </c>
      <c r="L107" s="162" t="s">
        <v>441</v>
      </c>
      <c r="M107" s="162"/>
      <c r="N107" s="162" t="s">
        <v>1592</v>
      </c>
      <c r="O107" s="161" t="s">
        <v>18</v>
      </c>
      <c r="P107" s="161" t="s">
        <v>18</v>
      </c>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c r="AT107" s="112"/>
    </row>
    <row r="108" spans="1:46" s="115" customFormat="1" ht="105" x14ac:dyDescent="0.2">
      <c r="A108" s="105">
        <v>75</v>
      </c>
      <c r="B108" s="162" t="s">
        <v>1411</v>
      </c>
      <c r="C108" s="162" t="s">
        <v>174</v>
      </c>
      <c r="D108" s="160">
        <v>2011</v>
      </c>
      <c r="E108" s="162" t="s">
        <v>222</v>
      </c>
      <c r="F108" s="162" t="s">
        <v>1410</v>
      </c>
      <c r="G108" s="162" t="s">
        <v>1593</v>
      </c>
      <c r="H108" s="162" t="s">
        <v>102</v>
      </c>
      <c r="I108" s="162" t="s">
        <v>110</v>
      </c>
      <c r="J108" s="162" t="s">
        <v>446</v>
      </c>
      <c r="K108" s="162" t="s">
        <v>1595</v>
      </c>
      <c r="L108" s="162" t="s">
        <v>441</v>
      </c>
      <c r="M108" s="162"/>
      <c r="N108" s="162" t="s">
        <v>1596</v>
      </c>
      <c r="O108" s="161" t="s">
        <v>18</v>
      </c>
      <c r="P108" s="159" t="s">
        <v>1594</v>
      </c>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c r="AT108" s="112"/>
    </row>
    <row r="109" spans="1:46" s="115" customFormat="1" ht="75" x14ac:dyDescent="0.2">
      <c r="A109" s="105">
        <v>76</v>
      </c>
      <c r="B109" s="162" t="s">
        <v>233</v>
      </c>
      <c r="C109" s="162" t="s">
        <v>121</v>
      </c>
      <c r="D109" s="160">
        <v>2012</v>
      </c>
      <c r="E109" s="162" t="s">
        <v>107</v>
      </c>
      <c r="F109" s="162" t="s">
        <v>232</v>
      </c>
      <c r="G109" s="162" t="s">
        <v>433</v>
      </c>
      <c r="H109" s="162" t="s">
        <v>98</v>
      </c>
      <c r="I109" s="162" t="s">
        <v>434</v>
      </c>
      <c r="J109" s="162" t="s">
        <v>445</v>
      </c>
      <c r="K109" s="162" t="s">
        <v>435</v>
      </c>
      <c r="L109" s="162" t="s">
        <v>441</v>
      </c>
      <c r="M109" s="162"/>
      <c r="N109" s="162" t="s">
        <v>361</v>
      </c>
      <c r="O109" s="161" t="s">
        <v>18</v>
      </c>
      <c r="P109" s="161" t="s">
        <v>18</v>
      </c>
      <c r="Q109" s="112"/>
      <c r="R109" s="112"/>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c r="AO109" s="112"/>
      <c r="AP109" s="112"/>
      <c r="AQ109" s="112"/>
      <c r="AR109" s="112"/>
      <c r="AS109" s="112"/>
      <c r="AT109" s="112"/>
    </row>
    <row r="110" spans="1:46" s="115" customFormat="1" ht="120" x14ac:dyDescent="0.2">
      <c r="A110" s="105">
        <v>77</v>
      </c>
      <c r="B110" s="162" t="s">
        <v>235</v>
      </c>
      <c r="C110" s="162" t="s">
        <v>113</v>
      </c>
      <c r="D110" s="160">
        <v>2016</v>
      </c>
      <c r="E110" s="162" t="s">
        <v>114</v>
      </c>
      <c r="F110" s="162" t="s">
        <v>234</v>
      </c>
      <c r="G110" s="162" t="s">
        <v>449</v>
      </c>
      <c r="H110" s="162" t="s">
        <v>100</v>
      </c>
      <c r="I110" s="162" t="s">
        <v>275</v>
      </c>
      <c r="J110" s="162" t="s">
        <v>90</v>
      </c>
      <c r="K110" s="162" t="s">
        <v>314</v>
      </c>
      <c r="L110" s="162" t="s">
        <v>91</v>
      </c>
      <c r="M110" s="162" t="s">
        <v>94</v>
      </c>
      <c r="N110" s="162" t="s">
        <v>451</v>
      </c>
      <c r="O110" s="162" t="s">
        <v>370</v>
      </c>
      <c r="P110" s="162" t="s">
        <v>452</v>
      </c>
      <c r="Q110" s="112"/>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2"/>
      <c r="AN110" s="112"/>
      <c r="AO110" s="112"/>
      <c r="AP110" s="112"/>
      <c r="AQ110" s="112"/>
      <c r="AR110" s="112"/>
      <c r="AS110" s="112"/>
      <c r="AT110" s="112"/>
    </row>
    <row r="111" spans="1:46" s="115" customFormat="1" ht="135" x14ac:dyDescent="0.2">
      <c r="A111" s="105">
        <v>78</v>
      </c>
      <c r="B111" s="162" t="s">
        <v>800</v>
      </c>
      <c r="C111" s="162" t="s">
        <v>189</v>
      </c>
      <c r="D111" s="160">
        <v>2015</v>
      </c>
      <c r="E111" s="162" t="s">
        <v>114</v>
      </c>
      <c r="F111" s="162" t="s">
        <v>799</v>
      </c>
      <c r="G111" s="162" t="s">
        <v>1273</v>
      </c>
      <c r="H111" s="162" t="s">
        <v>100</v>
      </c>
      <c r="I111" s="162" t="s">
        <v>275</v>
      </c>
      <c r="J111" s="162" t="s">
        <v>90</v>
      </c>
      <c r="K111" s="162" t="s">
        <v>1274</v>
      </c>
      <c r="L111" s="162" t="s">
        <v>441</v>
      </c>
      <c r="M111" s="162"/>
      <c r="N111" s="162" t="s">
        <v>1275</v>
      </c>
      <c r="O111" s="161" t="s">
        <v>18</v>
      </c>
      <c r="P111" s="162" t="s">
        <v>1276</v>
      </c>
      <c r="Q111" s="162" t="s">
        <v>1277</v>
      </c>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c r="AO111" s="112"/>
      <c r="AP111" s="112"/>
      <c r="AQ111" s="112"/>
      <c r="AR111" s="112"/>
      <c r="AS111" s="112"/>
      <c r="AT111" s="112"/>
    </row>
    <row r="112" spans="1:46" s="115" customFormat="1" ht="135" x14ac:dyDescent="0.2">
      <c r="A112" s="105">
        <v>79</v>
      </c>
      <c r="B112" s="162" t="s">
        <v>237</v>
      </c>
      <c r="C112" s="162" t="s">
        <v>194</v>
      </c>
      <c r="D112" s="160">
        <v>2015</v>
      </c>
      <c r="E112" s="162" t="s">
        <v>118</v>
      </c>
      <c r="F112" s="162" t="s">
        <v>236</v>
      </c>
      <c r="G112" s="162" t="s">
        <v>801</v>
      </c>
      <c r="H112" s="162" t="s">
        <v>100</v>
      </c>
      <c r="I112" s="162" t="s">
        <v>275</v>
      </c>
      <c r="J112" s="162" t="s">
        <v>90</v>
      </c>
      <c r="K112" s="162" t="s">
        <v>454</v>
      </c>
      <c r="L112" s="162" t="s">
        <v>650</v>
      </c>
      <c r="M112" s="162"/>
      <c r="N112" s="162" t="s">
        <v>455</v>
      </c>
      <c r="O112" s="162" t="s">
        <v>456</v>
      </c>
      <c r="P112" s="162" t="s">
        <v>378</v>
      </c>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c r="AT112" s="112"/>
    </row>
    <row r="113" spans="1:46" s="115" customFormat="1" ht="135" x14ac:dyDescent="0.2">
      <c r="A113" s="105">
        <v>80</v>
      </c>
      <c r="B113" s="162" t="s">
        <v>239</v>
      </c>
      <c r="C113" s="162" t="s">
        <v>162</v>
      </c>
      <c r="D113" s="160">
        <v>2012</v>
      </c>
      <c r="E113" s="162" t="s">
        <v>28</v>
      </c>
      <c r="F113" s="162" t="s">
        <v>238</v>
      </c>
      <c r="G113" s="162" t="s">
        <v>457</v>
      </c>
      <c r="H113" s="162" t="s">
        <v>98</v>
      </c>
      <c r="I113" s="162" t="s">
        <v>459</v>
      </c>
      <c r="J113" s="162" t="s">
        <v>446</v>
      </c>
      <c r="K113" s="162" t="s">
        <v>458</v>
      </c>
      <c r="L113" s="162" t="s">
        <v>441</v>
      </c>
      <c r="M113" s="162"/>
      <c r="N113" s="162" t="s">
        <v>461</v>
      </c>
      <c r="O113" s="161" t="s">
        <v>18</v>
      </c>
      <c r="P113" s="162" t="s">
        <v>460</v>
      </c>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c r="AT113" s="112"/>
    </row>
    <row r="114" spans="1:46" s="115" customFormat="1" ht="75" x14ac:dyDescent="0.2">
      <c r="A114" s="105">
        <v>81</v>
      </c>
      <c r="B114" s="162" t="s">
        <v>805</v>
      </c>
      <c r="C114" s="105" t="s">
        <v>121</v>
      </c>
      <c r="D114" s="160">
        <v>2016</v>
      </c>
      <c r="E114" s="162" t="s">
        <v>83</v>
      </c>
      <c r="F114" s="162" t="s">
        <v>1412</v>
      </c>
      <c r="G114" s="162" t="s">
        <v>1600</v>
      </c>
      <c r="H114" s="162" t="s">
        <v>1150</v>
      </c>
      <c r="I114" s="162" t="s">
        <v>1602</v>
      </c>
      <c r="J114" s="162" t="s">
        <v>445</v>
      </c>
      <c r="K114" s="162" t="s">
        <v>1601</v>
      </c>
      <c r="L114" s="162" t="s">
        <v>91</v>
      </c>
      <c r="M114" s="162" t="s">
        <v>97</v>
      </c>
      <c r="N114" s="162" t="s">
        <v>1604</v>
      </c>
      <c r="O114" s="161" t="s">
        <v>18</v>
      </c>
      <c r="P114" s="159" t="s">
        <v>1603</v>
      </c>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c r="AT114" s="112"/>
    </row>
    <row r="115" spans="1:46" s="115" customFormat="1" ht="90" x14ac:dyDescent="0.2">
      <c r="A115" s="105">
        <v>82</v>
      </c>
      <c r="B115" s="162" t="s">
        <v>1414</v>
      </c>
      <c r="C115" s="105" t="s">
        <v>1605</v>
      </c>
      <c r="D115" s="160">
        <v>2014</v>
      </c>
      <c r="E115" s="162" t="s">
        <v>114</v>
      </c>
      <c r="F115" s="162" t="s">
        <v>1413</v>
      </c>
      <c r="G115" s="162" t="s">
        <v>1606</v>
      </c>
      <c r="H115" s="162" t="s">
        <v>1150</v>
      </c>
      <c r="I115" s="162" t="s">
        <v>1608</v>
      </c>
      <c r="J115" s="162" t="s">
        <v>90</v>
      </c>
      <c r="K115" s="162" t="s">
        <v>1607</v>
      </c>
      <c r="L115" s="162" t="s">
        <v>441</v>
      </c>
      <c r="M115" s="162"/>
      <c r="N115" s="162" t="s">
        <v>1609</v>
      </c>
      <c r="O115" s="161" t="s">
        <v>18</v>
      </c>
      <c r="P115" s="162" t="s">
        <v>1610</v>
      </c>
      <c r="Q115" s="112"/>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c r="AO115" s="112"/>
      <c r="AP115" s="112"/>
      <c r="AQ115" s="112"/>
      <c r="AR115" s="112"/>
      <c r="AS115" s="112"/>
      <c r="AT115" s="112"/>
    </row>
    <row r="116" spans="1:46" s="115" customFormat="1" ht="105" x14ac:dyDescent="0.2">
      <c r="A116" s="105">
        <v>83</v>
      </c>
      <c r="B116" s="162" t="s">
        <v>1416</v>
      </c>
      <c r="C116" s="105" t="s">
        <v>144</v>
      </c>
      <c r="D116" s="160">
        <v>2014</v>
      </c>
      <c r="E116" s="162" t="s">
        <v>164</v>
      </c>
      <c r="F116" s="162" t="s">
        <v>1415</v>
      </c>
      <c r="G116" s="162" t="s">
        <v>1611</v>
      </c>
      <c r="H116" s="162" t="s">
        <v>443</v>
      </c>
      <c r="I116" s="162" t="s">
        <v>18</v>
      </c>
      <c r="J116" s="162" t="s">
        <v>446</v>
      </c>
      <c r="K116" s="162" t="s">
        <v>1612</v>
      </c>
      <c r="L116" s="162" t="s">
        <v>91</v>
      </c>
      <c r="M116" s="162" t="s">
        <v>448</v>
      </c>
      <c r="N116" s="162" t="s">
        <v>292</v>
      </c>
      <c r="O116" s="162" t="s">
        <v>370</v>
      </c>
      <c r="P116" s="162" t="s">
        <v>1288</v>
      </c>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c r="AT116" s="112"/>
    </row>
    <row r="117" spans="1:46" s="115" customFormat="1" ht="75" x14ac:dyDescent="0.2">
      <c r="A117" s="105">
        <v>84</v>
      </c>
      <c r="B117" s="162" t="s">
        <v>811</v>
      </c>
      <c r="C117" s="105" t="s">
        <v>121</v>
      </c>
      <c r="D117" s="160">
        <v>2016</v>
      </c>
      <c r="E117" s="162" t="s">
        <v>114</v>
      </c>
      <c r="F117" s="162" t="s">
        <v>810</v>
      </c>
      <c r="G117" s="162" t="s">
        <v>1298</v>
      </c>
      <c r="H117" s="162" t="s">
        <v>1150</v>
      </c>
      <c r="I117" s="162" t="s">
        <v>1299</v>
      </c>
      <c r="J117" s="162" t="s">
        <v>445</v>
      </c>
      <c r="K117" s="162" t="s">
        <v>1300</v>
      </c>
      <c r="L117" s="162" t="s">
        <v>441</v>
      </c>
      <c r="M117" s="162"/>
      <c r="N117" s="162" t="s">
        <v>1302</v>
      </c>
      <c r="O117" s="161" t="s">
        <v>18</v>
      </c>
      <c r="P117" s="162" t="s">
        <v>1301</v>
      </c>
      <c r="Q117" s="112" t="s">
        <v>1303</v>
      </c>
      <c r="R117" s="112"/>
      <c r="S117" s="112"/>
      <c r="T117" s="112"/>
      <c r="U117" s="112"/>
      <c r="V117" s="112"/>
      <c r="W117" s="112"/>
      <c r="X117" s="112"/>
      <c r="Y117" s="112"/>
      <c r="Z117" s="112"/>
      <c r="AA117" s="112"/>
      <c r="AB117" s="112"/>
      <c r="AC117" s="112"/>
      <c r="AD117" s="112"/>
      <c r="AE117" s="112"/>
      <c r="AF117" s="112"/>
      <c r="AG117" s="112"/>
      <c r="AH117" s="112"/>
      <c r="AI117" s="112"/>
      <c r="AJ117" s="112"/>
      <c r="AK117" s="112"/>
      <c r="AL117" s="112"/>
      <c r="AM117" s="112"/>
      <c r="AN117" s="112"/>
      <c r="AO117" s="112"/>
      <c r="AP117" s="112"/>
      <c r="AQ117" s="112"/>
      <c r="AR117" s="112"/>
      <c r="AS117" s="112"/>
      <c r="AT117" s="112"/>
    </row>
    <row r="118" spans="1:46" s="115" customFormat="1" ht="105" x14ac:dyDescent="0.2">
      <c r="A118" s="105">
        <v>85</v>
      </c>
      <c r="B118" s="162" t="s">
        <v>1418</v>
      </c>
      <c r="C118" s="162" t="s">
        <v>1613</v>
      </c>
      <c r="D118" s="160">
        <v>2016</v>
      </c>
      <c r="E118" s="162" t="s">
        <v>222</v>
      </c>
      <c r="F118" s="162" t="s">
        <v>1417</v>
      </c>
      <c r="G118" s="162" t="s">
        <v>1617</v>
      </c>
      <c r="H118" s="162" t="s">
        <v>102</v>
      </c>
      <c r="I118" s="162" t="s">
        <v>110</v>
      </c>
      <c r="J118" s="162" t="s">
        <v>446</v>
      </c>
      <c r="K118" s="162" t="s">
        <v>1614</v>
      </c>
      <c r="L118" s="162" t="s">
        <v>441</v>
      </c>
      <c r="M118" s="162"/>
      <c r="N118" s="162" t="s">
        <v>1615</v>
      </c>
      <c r="O118" s="161" t="s">
        <v>18</v>
      </c>
      <c r="P118" s="161" t="s">
        <v>18</v>
      </c>
      <c r="Q118" s="162" t="s">
        <v>1616</v>
      </c>
      <c r="R118" s="112"/>
      <c r="S118" s="112"/>
      <c r="T118" s="112"/>
      <c r="U118" s="112"/>
      <c r="V118" s="112"/>
      <c r="W118" s="112"/>
      <c r="X118" s="112"/>
      <c r="Y118" s="112"/>
      <c r="Z118" s="112"/>
      <c r="AA118" s="112"/>
      <c r="AB118" s="112"/>
      <c r="AC118" s="112"/>
      <c r="AD118" s="112"/>
      <c r="AE118" s="112"/>
      <c r="AF118" s="112"/>
      <c r="AG118" s="112"/>
      <c r="AH118" s="112"/>
      <c r="AI118" s="112"/>
      <c r="AJ118" s="112"/>
      <c r="AK118" s="112"/>
      <c r="AL118" s="112"/>
      <c r="AM118" s="112"/>
      <c r="AN118" s="112"/>
      <c r="AO118" s="112"/>
      <c r="AP118" s="112"/>
      <c r="AQ118" s="112"/>
      <c r="AR118" s="112"/>
      <c r="AS118" s="112"/>
      <c r="AT118" s="112"/>
    </row>
    <row r="119" spans="1:46" s="115" customFormat="1" ht="105" x14ac:dyDescent="0.2">
      <c r="A119" s="105">
        <v>86</v>
      </c>
      <c r="B119" s="162" t="s">
        <v>254</v>
      </c>
      <c r="C119" s="162" t="s">
        <v>121</v>
      </c>
      <c r="D119" s="160">
        <v>2015</v>
      </c>
      <c r="E119" s="162" t="s">
        <v>107</v>
      </c>
      <c r="F119" s="162" t="s">
        <v>253</v>
      </c>
      <c r="G119" s="162" t="s">
        <v>480</v>
      </c>
      <c r="H119" s="162" t="s">
        <v>1712</v>
      </c>
      <c r="I119" s="162" t="s">
        <v>481</v>
      </c>
      <c r="J119" s="162" t="s">
        <v>445</v>
      </c>
      <c r="K119" s="162" t="s">
        <v>482</v>
      </c>
      <c r="L119" s="162" t="s">
        <v>91</v>
      </c>
      <c r="M119" s="162" t="s">
        <v>94</v>
      </c>
      <c r="N119" s="162" t="s">
        <v>483</v>
      </c>
      <c r="O119" s="162" t="s">
        <v>568</v>
      </c>
      <c r="P119" s="162" t="s">
        <v>484</v>
      </c>
      <c r="Q119" s="112"/>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c r="AO119" s="112"/>
      <c r="AP119" s="112"/>
      <c r="AQ119" s="112"/>
      <c r="AR119" s="112"/>
      <c r="AS119" s="112"/>
      <c r="AT119" s="112"/>
    </row>
    <row r="120" spans="1:46" s="115" customFormat="1" ht="105" x14ac:dyDescent="0.2">
      <c r="A120" s="105">
        <v>87</v>
      </c>
      <c r="B120" s="162" t="s">
        <v>1420</v>
      </c>
      <c r="C120" s="162" t="s">
        <v>138</v>
      </c>
      <c r="D120" s="160">
        <v>2011</v>
      </c>
      <c r="E120" s="162" t="s">
        <v>1421</v>
      </c>
      <c r="F120" s="162" t="s">
        <v>1419</v>
      </c>
      <c r="G120" s="162" t="s">
        <v>1621</v>
      </c>
      <c r="H120" s="162" t="s">
        <v>103</v>
      </c>
      <c r="I120" s="162" t="s">
        <v>1618</v>
      </c>
      <c r="J120" s="162" t="s">
        <v>89</v>
      </c>
      <c r="K120" s="162" t="s">
        <v>1620</v>
      </c>
      <c r="L120" s="162" t="s">
        <v>441</v>
      </c>
      <c r="M120" s="162"/>
      <c r="N120" s="162" t="s">
        <v>361</v>
      </c>
      <c r="O120" s="161" t="s">
        <v>18</v>
      </c>
      <c r="P120" s="162" t="s">
        <v>1619</v>
      </c>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c r="AO120" s="112"/>
      <c r="AP120" s="112"/>
      <c r="AQ120" s="112"/>
      <c r="AR120" s="112"/>
      <c r="AS120" s="112"/>
      <c r="AT120" s="112"/>
    </row>
    <row r="121" spans="1:46" s="115" customFormat="1" ht="150" x14ac:dyDescent="0.2">
      <c r="A121" s="105">
        <v>88</v>
      </c>
      <c r="B121" s="162" t="s">
        <v>1423</v>
      </c>
      <c r="C121" s="162" t="s">
        <v>138</v>
      </c>
      <c r="D121" s="160">
        <v>2015</v>
      </c>
      <c r="E121" s="162" t="s">
        <v>115</v>
      </c>
      <c r="F121" s="162" t="s">
        <v>1422</v>
      </c>
      <c r="G121" s="162" t="s">
        <v>1622</v>
      </c>
      <c r="H121" s="162" t="s">
        <v>1150</v>
      </c>
      <c r="I121" s="162" t="s">
        <v>1623</v>
      </c>
      <c r="J121" s="162" t="s">
        <v>441</v>
      </c>
      <c r="K121" s="162" t="s">
        <v>1624</v>
      </c>
      <c r="L121" s="162" t="s">
        <v>91</v>
      </c>
      <c r="M121" s="162" t="s">
        <v>923</v>
      </c>
      <c r="N121" s="162" t="s">
        <v>1625</v>
      </c>
      <c r="O121" s="161" t="s">
        <v>18</v>
      </c>
      <c r="P121" s="162" t="s">
        <v>1626</v>
      </c>
      <c r="Q121" s="112"/>
      <c r="R121" s="112"/>
      <c r="S121" s="112"/>
      <c r="T121" s="112"/>
      <c r="U121" s="112"/>
      <c r="V121" s="112"/>
      <c r="W121" s="112"/>
      <c r="X121" s="112"/>
      <c r="Y121" s="112"/>
      <c r="Z121" s="112"/>
      <c r="AA121" s="112"/>
      <c r="AB121" s="112"/>
      <c r="AC121" s="112"/>
      <c r="AD121" s="112"/>
      <c r="AE121" s="112"/>
      <c r="AF121" s="112"/>
      <c r="AG121" s="112"/>
      <c r="AH121" s="112"/>
      <c r="AI121" s="112"/>
      <c r="AJ121" s="112"/>
      <c r="AK121" s="112"/>
      <c r="AL121" s="112"/>
      <c r="AM121" s="112"/>
      <c r="AN121" s="112"/>
      <c r="AO121" s="112"/>
      <c r="AP121" s="112"/>
      <c r="AQ121" s="112"/>
      <c r="AR121" s="112"/>
      <c r="AS121" s="112"/>
      <c r="AT121" s="112"/>
    </row>
    <row r="122" spans="1:46" s="115" customFormat="1" ht="135" x14ac:dyDescent="0.2">
      <c r="A122" s="105">
        <v>89</v>
      </c>
      <c r="B122" s="162" t="s">
        <v>819</v>
      </c>
      <c r="C122" s="105" t="s">
        <v>82</v>
      </c>
      <c r="D122" s="160">
        <v>2011</v>
      </c>
      <c r="E122" s="162" t="s">
        <v>28</v>
      </c>
      <c r="F122" s="162" t="s">
        <v>818</v>
      </c>
      <c r="G122" s="162" t="s">
        <v>1318</v>
      </c>
      <c r="H122" s="162" t="s">
        <v>102</v>
      </c>
      <c r="I122" s="162" t="s">
        <v>1321</v>
      </c>
      <c r="J122" s="162" t="s">
        <v>88</v>
      </c>
      <c r="K122" s="162" t="s">
        <v>1320</v>
      </c>
      <c r="L122" s="162" t="s">
        <v>91</v>
      </c>
      <c r="M122" s="162" t="s">
        <v>448</v>
      </c>
      <c r="N122" s="162" t="s">
        <v>1322</v>
      </c>
      <c r="O122" s="161" t="s">
        <v>18</v>
      </c>
      <c r="P122" s="159" t="s">
        <v>1319</v>
      </c>
      <c r="Q122" s="162" t="s">
        <v>1323</v>
      </c>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c r="AO122" s="112"/>
      <c r="AP122" s="112"/>
      <c r="AQ122" s="112"/>
      <c r="AR122" s="112"/>
      <c r="AS122" s="112"/>
      <c r="AT122" s="112"/>
    </row>
    <row r="123" spans="1:46" s="115" customFormat="1" ht="165" x14ac:dyDescent="0.2">
      <c r="A123" s="105">
        <v>90</v>
      </c>
      <c r="B123" s="162" t="s">
        <v>823</v>
      </c>
      <c r="C123" s="105" t="s">
        <v>138</v>
      </c>
      <c r="D123" s="160">
        <v>2015</v>
      </c>
      <c r="E123" s="162" t="s">
        <v>114</v>
      </c>
      <c r="F123" s="162" t="s">
        <v>822</v>
      </c>
      <c r="G123" s="162" t="s">
        <v>1329</v>
      </c>
      <c r="H123" s="162" t="s">
        <v>1150</v>
      </c>
      <c r="I123" s="162" t="s">
        <v>1330</v>
      </c>
      <c r="J123" s="162" t="s">
        <v>441</v>
      </c>
      <c r="K123" s="162" t="s">
        <v>1331</v>
      </c>
      <c r="L123" s="162" t="s">
        <v>441</v>
      </c>
      <c r="M123" s="162"/>
      <c r="N123" s="162" t="s">
        <v>1332</v>
      </c>
      <c r="O123" s="161" t="s">
        <v>18</v>
      </c>
      <c r="P123" s="161" t="s">
        <v>18</v>
      </c>
      <c r="Q123" s="112"/>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c r="AO123" s="112"/>
      <c r="AP123" s="112"/>
      <c r="AQ123" s="112"/>
      <c r="AR123" s="112"/>
      <c r="AS123" s="112"/>
      <c r="AT123" s="112"/>
    </row>
    <row r="124" spans="1:46" s="115" customFormat="1" ht="90" x14ac:dyDescent="0.2">
      <c r="A124" s="105">
        <v>91</v>
      </c>
      <c r="B124" s="162" t="s">
        <v>825</v>
      </c>
      <c r="C124" s="105" t="s">
        <v>138</v>
      </c>
      <c r="D124" s="160">
        <v>2016</v>
      </c>
      <c r="E124" s="162" t="s">
        <v>660</v>
      </c>
      <c r="F124" s="162" t="s">
        <v>824</v>
      </c>
      <c r="G124" s="162" t="s">
        <v>1333</v>
      </c>
      <c r="H124" s="162" t="s">
        <v>98</v>
      </c>
      <c r="I124" s="162" t="s">
        <v>1334</v>
      </c>
      <c r="J124" s="162" t="s">
        <v>446</v>
      </c>
      <c r="K124" s="162" t="s">
        <v>1337</v>
      </c>
      <c r="L124" s="162" t="s">
        <v>441</v>
      </c>
      <c r="M124" s="162"/>
      <c r="N124" s="162" t="s">
        <v>1336</v>
      </c>
      <c r="O124" s="162" t="s">
        <v>1335</v>
      </c>
      <c r="P124" s="161" t="s">
        <v>18</v>
      </c>
      <c r="Q124" s="162" t="s">
        <v>1711</v>
      </c>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c r="AO124" s="112"/>
      <c r="AP124" s="112"/>
      <c r="AQ124" s="112"/>
      <c r="AR124" s="112"/>
      <c r="AS124" s="112"/>
      <c r="AT124" s="112"/>
    </row>
    <row r="125" spans="1:46" s="115" customFormat="1" ht="255" x14ac:dyDescent="0.2">
      <c r="A125" s="105">
        <v>92</v>
      </c>
      <c r="B125" s="162" t="s">
        <v>830</v>
      </c>
      <c r="C125" s="105" t="s">
        <v>144</v>
      </c>
      <c r="D125" s="160">
        <v>2014</v>
      </c>
      <c r="E125" s="162" t="s">
        <v>63</v>
      </c>
      <c r="F125" s="162" t="s">
        <v>829</v>
      </c>
      <c r="G125" s="162" t="s">
        <v>877</v>
      </c>
      <c r="H125" s="162" t="s">
        <v>102</v>
      </c>
      <c r="I125" s="162" t="s">
        <v>341</v>
      </c>
      <c r="J125" s="162" t="s">
        <v>89</v>
      </c>
      <c r="K125" s="162" t="s">
        <v>879</v>
      </c>
      <c r="L125" s="162" t="s">
        <v>91</v>
      </c>
      <c r="M125" s="162" t="s">
        <v>94</v>
      </c>
      <c r="N125" s="162" t="s">
        <v>878</v>
      </c>
      <c r="O125" s="161" t="s">
        <v>18</v>
      </c>
      <c r="P125" s="112" t="s">
        <v>880</v>
      </c>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2"/>
      <c r="AN125" s="112"/>
      <c r="AO125" s="112"/>
      <c r="AP125" s="112"/>
      <c r="AQ125" s="112"/>
      <c r="AR125" s="112"/>
      <c r="AS125" s="112"/>
      <c r="AT125" s="112"/>
    </row>
    <row r="126" spans="1:46" s="115" customFormat="1" ht="105" x14ac:dyDescent="0.2">
      <c r="A126" s="105">
        <v>93</v>
      </c>
      <c r="B126" s="162" t="s">
        <v>1627</v>
      </c>
      <c r="C126" s="105" t="s">
        <v>1651</v>
      </c>
      <c r="D126" s="160">
        <v>2016</v>
      </c>
      <c r="E126" s="162" t="s">
        <v>63</v>
      </c>
      <c r="F126" s="162" t="s">
        <v>1628</v>
      </c>
      <c r="G126" s="162" t="s">
        <v>1652</v>
      </c>
      <c r="H126" s="162" t="s">
        <v>1150</v>
      </c>
      <c r="I126" s="162" t="s">
        <v>1653</v>
      </c>
      <c r="J126" s="162" t="s">
        <v>441</v>
      </c>
      <c r="K126" s="162" t="s">
        <v>1654</v>
      </c>
      <c r="L126" s="162" t="s">
        <v>91</v>
      </c>
      <c r="M126" s="162" t="s">
        <v>97</v>
      </c>
      <c r="N126" s="162" t="s">
        <v>1655</v>
      </c>
      <c r="O126" s="161" t="s">
        <v>18</v>
      </c>
      <c r="P126" s="162" t="s">
        <v>1656</v>
      </c>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c r="AO126" s="112"/>
      <c r="AP126" s="112"/>
      <c r="AQ126" s="112"/>
      <c r="AR126" s="112"/>
      <c r="AS126" s="112"/>
      <c r="AT126" s="112"/>
    </row>
    <row r="127" spans="1:46" s="115" customFormat="1" ht="90" x14ac:dyDescent="0.2">
      <c r="A127" s="105">
        <v>94</v>
      </c>
      <c r="B127" s="162" t="s">
        <v>498</v>
      </c>
      <c r="C127" s="162" t="s">
        <v>147</v>
      </c>
      <c r="D127" s="160">
        <v>2014</v>
      </c>
      <c r="E127" s="162" t="s">
        <v>63</v>
      </c>
      <c r="F127" s="162" t="s">
        <v>499</v>
      </c>
      <c r="G127" s="162" t="s">
        <v>550</v>
      </c>
      <c r="H127" s="162" t="s">
        <v>1150</v>
      </c>
      <c r="I127" s="162" t="s">
        <v>551</v>
      </c>
      <c r="J127" s="162" t="s">
        <v>447</v>
      </c>
      <c r="K127" s="162" t="s">
        <v>552</v>
      </c>
      <c r="L127" s="162" t="s">
        <v>441</v>
      </c>
      <c r="M127" s="162"/>
      <c r="N127" s="162" t="s">
        <v>553</v>
      </c>
      <c r="O127" s="161" t="s">
        <v>18</v>
      </c>
      <c r="P127" s="159" t="s">
        <v>554</v>
      </c>
      <c r="Q127" s="112"/>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2"/>
      <c r="AN127" s="112"/>
      <c r="AO127" s="112"/>
      <c r="AP127" s="112"/>
      <c r="AQ127" s="112"/>
      <c r="AR127" s="112"/>
      <c r="AS127" s="112"/>
      <c r="AT127" s="112"/>
    </row>
    <row r="128" spans="1:46" s="115" customFormat="1" ht="135" x14ac:dyDescent="0.2">
      <c r="A128" s="105">
        <v>95</v>
      </c>
      <c r="B128" s="162" t="s">
        <v>668</v>
      </c>
      <c r="C128" s="105" t="s">
        <v>126</v>
      </c>
      <c r="D128" s="160">
        <v>2010</v>
      </c>
      <c r="E128" s="162" t="s">
        <v>63</v>
      </c>
      <c r="F128" s="162" t="s">
        <v>834</v>
      </c>
      <c r="G128" s="162" t="s">
        <v>889</v>
      </c>
      <c r="H128" s="162" t="s">
        <v>103</v>
      </c>
      <c r="I128" s="162" t="s">
        <v>341</v>
      </c>
      <c r="J128" s="162" t="s">
        <v>89</v>
      </c>
      <c r="K128" s="162" t="s">
        <v>887</v>
      </c>
      <c r="L128" s="162" t="s">
        <v>91</v>
      </c>
      <c r="M128" s="162" t="s">
        <v>448</v>
      </c>
      <c r="N128" s="162" t="s">
        <v>888</v>
      </c>
      <c r="O128" s="162" t="s">
        <v>890</v>
      </c>
      <c r="P128" s="162" t="s">
        <v>891</v>
      </c>
      <c r="Q128" s="112"/>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2"/>
      <c r="AN128" s="112"/>
      <c r="AO128" s="112"/>
      <c r="AP128" s="112"/>
      <c r="AQ128" s="112"/>
      <c r="AR128" s="112"/>
      <c r="AS128" s="112"/>
      <c r="AT128" s="112"/>
    </row>
    <row r="129" spans="1:47" s="115" customFormat="1" ht="120" x14ac:dyDescent="0.2">
      <c r="A129" s="105">
        <v>96</v>
      </c>
      <c r="B129" s="162" t="s">
        <v>1630</v>
      </c>
      <c r="C129" s="162" t="s">
        <v>27</v>
      </c>
      <c r="D129" s="160">
        <v>2010</v>
      </c>
      <c r="E129" s="162" t="s">
        <v>63</v>
      </c>
      <c r="F129" s="162" t="s">
        <v>1629</v>
      </c>
      <c r="G129" s="162" t="s">
        <v>1657</v>
      </c>
      <c r="H129" s="162" t="s">
        <v>1658</v>
      </c>
      <c r="I129" s="162" t="s">
        <v>1659</v>
      </c>
      <c r="J129" s="162" t="s">
        <v>444</v>
      </c>
      <c r="K129" s="162" t="s">
        <v>1660</v>
      </c>
      <c r="L129" s="162" t="s">
        <v>441</v>
      </c>
      <c r="M129" s="162"/>
      <c r="N129" s="162" t="s">
        <v>1061</v>
      </c>
      <c r="O129" s="159" t="s">
        <v>1661</v>
      </c>
      <c r="P129" s="161" t="s">
        <v>18</v>
      </c>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2"/>
      <c r="AT129" s="112"/>
    </row>
    <row r="130" spans="1:47" s="115" customFormat="1" ht="75" x14ac:dyDescent="0.2">
      <c r="A130" s="105">
        <v>97</v>
      </c>
      <c r="B130" s="162" t="s">
        <v>502</v>
      </c>
      <c r="C130" s="162" t="s">
        <v>147</v>
      </c>
      <c r="D130" s="160">
        <v>2010</v>
      </c>
      <c r="E130" s="162" t="s">
        <v>63</v>
      </c>
      <c r="F130" s="162" t="s">
        <v>503</v>
      </c>
      <c r="G130" s="162" t="s">
        <v>560</v>
      </c>
      <c r="H130" s="162" t="s">
        <v>103</v>
      </c>
      <c r="I130" s="162" t="s">
        <v>110</v>
      </c>
      <c r="J130" s="162" t="s">
        <v>446</v>
      </c>
      <c r="K130" s="162" t="s">
        <v>561</v>
      </c>
      <c r="L130" s="162" t="s">
        <v>441</v>
      </c>
      <c r="M130" s="162"/>
      <c r="N130" s="162" t="s">
        <v>562</v>
      </c>
      <c r="O130" s="161" t="s">
        <v>18</v>
      </c>
      <c r="P130" s="161" t="s">
        <v>18</v>
      </c>
      <c r="Q130" s="112"/>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c r="AO130" s="112"/>
      <c r="AP130" s="112"/>
      <c r="AQ130" s="112"/>
      <c r="AR130" s="112"/>
      <c r="AS130" s="112"/>
      <c r="AT130" s="112"/>
    </row>
    <row r="131" spans="1:47" s="115" customFormat="1" ht="165" x14ac:dyDescent="0.2">
      <c r="A131" s="105">
        <v>98</v>
      </c>
      <c r="B131" s="162" t="s">
        <v>840</v>
      </c>
      <c r="C131" s="105" t="s">
        <v>901</v>
      </c>
      <c r="D131" s="160">
        <v>2012</v>
      </c>
      <c r="E131" s="162" t="s">
        <v>838</v>
      </c>
      <c r="F131" s="162" t="s">
        <v>839</v>
      </c>
      <c r="G131" s="162" t="s">
        <v>902</v>
      </c>
      <c r="H131" s="162"/>
      <c r="I131" s="162" t="s">
        <v>905</v>
      </c>
      <c r="J131" s="162" t="s">
        <v>446</v>
      </c>
      <c r="K131" s="162" t="s">
        <v>903</v>
      </c>
      <c r="L131" s="162" t="s">
        <v>441</v>
      </c>
      <c r="M131" s="162"/>
      <c r="N131" s="162" t="s">
        <v>904</v>
      </c>
      <c r="O131" s="161" t="s">
        <v>18</v>
      </c>
      <c r="P131" s="162" t="s">
        <v>908</v>
      </c>
      <c r="Q131" s="112"/>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2"/>
      <c r="AN131" s="112"/>
      <c r="AO131" s="112"/>
      <c r="AP131" s="112"/>
      <c r="AQ131" s="112"/>
      <c r="AR131" s="112"/>
      <c r="AS131" s="112"/>
      <c r="AT131" s="112"/>
      <c r="AU131" s="112"/>
    </row>
    <row r="132" spans="1:47" s="115" customFormat="1" ht="165" x14ac:dyDescent="0.2">
      <c r="A132" s="105">
        <v>99</v>
      </c>
      <c r="B132" s="162" t="s">
        <v>504</v>
      </c>
      <c r="C132" s="162" t="s">
        <v>82</v>
      </c>
      <c r="D132" s="160">
        <v>2012</v>
      </c>
      <c r="E132" s="162" t="s">
        <v>63</v>
      </c>
      <c r="F132" s="162" t="s">
        <v>505</v>
      </c>
      <c r="G132" s="162" t="s">
        <v>563</v>
      </c>
      <c r="H132" s="162" t="s">
        <v>1704</v>
      </c>
      <c r="I132" s="162" t="s">
        <v>566</v>
      </c>
      <c r="J132" s="162" t="s">
        <v>89</v>
      </c>
      <c r="K132" s="162" t="s">
        <v>565</v>
      </c>
      <c r="L132" s="162" t="s">
        <v>650</v>
      </c>
      <c r="M132" s="162"/>
      <c r="N132" s="162" t="s">
        <v>567</v>
      </c>
      <c r="O132" s="162" t="s">
        <v>568</v>
      </c>
      <c r="P132" s="159" t="s">
        <v>564</v>
      </c>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c r="AO132" s="112"/>
      <c r="AP132" s="112"/>
      <c r="AQ132" s="112"/>
      <c r="AR132" s="112"/>
      <c r="AS132" s="112"/>
      <c r="AT132" s="112"/>
    </row>
    <row r="133" spans="1:47" s="115" customFormat="1" ht="75" x14ac:dyDescent="0.2">
      <c r="A133" s="105">
        <v>100</v>
      </c>
      <c r="B133" s="162" t="s">
        <v>506</v>
      </c>
      <c r="C133" s="162" t="s">
        <v>147</v>
      </c>
      <c r="D133" s="160">
        <v>2007</v>
      </c>
      <c r="E133" s="162" t="s">
        <v>63</v>
      </c>
      <c r="F133" s="162" t="s">
        <v>507</v>
      </c>
      <c r="G133" s="162" t="s">
        <v>569</v>
      </c>
      <c r="H133" s="162" t="s">
        <v>98</v>
      </c>
      <c r="I133" s="162" t="s">
        <v>571</v>
      </c>
      <c r="J133" s="162" t="s">
        <v>90</v>
      </c>
      <c r="K133" s="162" t="s">
        <v>572</v>
      </c>
      <c r="L133" s="162" t="s">
        <v>441</v>
      </c>
      <c r="M133" s="162"/>
      <c r="N133" s="162" t="s">
        <v>570</v>
      </c>
      <c r="O133" s="161" t="s">
        <v>18</v>
      </c>
      <c r="P133" s="161" t="s">
        <v>18</v>
      </c>
      <c r="Q133" s="162" t="s">
        <v>1707</v>
      </c>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2"/>
      <c r="AN133" s="112"/>
      <c r="AO133" s="112"/>
      <c r="AP133" s="112"/>
      <c r="AQ133" s="112"/>
      <c r="AR133" s="112"/>
      <c r="AS133" s="112"/>
      <c r="AT133" s="112"/>
    </row>
    <row r="134" spans="1:47" s="115" customFormat="1" ht="90" x14ac:dyDescent="0.2">
      <c r="A134" s="105">
        <v>101</v>
      </c>
      <c r="B134" s="162" t="s">
        <v>510</v>
      </c>
      <c r="C134" s="162" t="s">
        <v>177</v>
      </c>
      <c r="D134" s="160">
        <v>2016</v>
      </c>
      <c r="E134" s="162" t="s">
        <v>63</v>
      </c>
      <c r="F134" s="162" t="s">
        <v>511</v>
      </c>
      <c r="G134" s="162" t="s">
        <v>576</v>
      </c>
      <c r="H134" s="162" t="s">
        <v>100</v>
      </c>
      <c r="I134" s="162" t="s">
        <v>579</v>
      </c>
      <c r="J134" s="162" t="s">
        <v>90</v>
      </c>
      <c r="K134" s="162" t="s">
        <v>578</v>
      </c>
      <c r="L134" s="162" t="s">
        <v>441</v>
      </c>
      <c r="M134" s="162"/>
      <c r="N134" s="162" t="s">
        <v>580</v>
      </c>
      <c r="O134" s="161" t="s">
        <v>18</v>
      </c>
      <c r="P134" s="159" t="s">
        <v>577</v>
      </c>
      <c r="Q134" s="162" t="s">
        <v>1706</v>
      </c>
      <c r="R134" s="112"/>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2"/>
      <c r="AN134" s="112"/>
      <c r="AO134" s="112"/>
      <c r="AP134" s="112"/>
      <c r="AQ134" s="112"/>
      <c r="AR134" s="112"/>
      <c r="AS134" s="112"/>
      <c r="AT134" s="112"/>
    </row>
    <row r="135" spans="1:47" s="115" customFormat="1" ht="150" x14ac:dyDescent="0.2">
      <c r="A135" s="105">
        <v>102</v>
      </c>
      <c r="B135" s="162" t="s">
        <v>1597</v>
      </c>
      <c r="C135" s="105" t="s">
        <v>135</v>
      </c>
      <c r="D135" s="160">
        <v>2016</v>
      </c>
      <c r="E135" s="162" t="s">
        <v>63</v>
      </c>
      <c r="F135" s="162" t="s">
        <v>1631</v>
      </c>
      <c r="G135" s="162" t="s">
        <v>1662</v>
      </c>
      <c r="H135" s="162" t="s">
        <v>1095</v>
      </c>
      <c r="I135" s="162" t="s">
        <v>281</v>
      </c>
      <c r="J135" s="162" t="s">
        <v>444</v>
      </c>
      <c r="K135" s="162" t="s">
        <v>1664</v>
      </c>
      <c r="L135" s="162" t="s">
        <v>91</v>
      </c>
      <c r="M135" s="162" t="s">
        <v>923</v>
      </c>
      <c r="N135" s="162" t="s">
        <v>1665</v>
      </c>
      <c r="O135" s="159" t="s">
        <v>1666</v>
      </c>
      <c r="P135" s="162" t="s">
        <v>1663</v>
      </c>
      <c r="Q135" s="112"/>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112"/>
      <c r="AM135" s="112"/>
      <c r="AN135" s="112"/>
      <c r="AO135" s="112"/>
      <c r="AP135" s="112"/>
      <c r="AQ135" s="112"/>
      <c r="AR135" s="112"/>
      <c r="AS135" s="112"/>
      <c r="AT135" s="112"/>
    </row>
    <row r="136" spans="1:47" s="115" customFormat="1" ht="90" x14ac:dyDescent="0.2">
      <c r="A136" s="105">
        <v>103</v>
      </c>
      <c r="B136" s="162" t="s">
        <v>1598</v>
      </c>
      <c r="C136" s="162" t="s">
        <v>162</v>
      </c>
      <c r="D136" s="160">
        <v>2011</v>
      </c>
      <c r="E136" s="162" t="s">
        <v>1632</v>
      </c>
      <c r="F136" s="162" t="s">
        <v>1633</v>
      </c>
      <c r="G136" s="162" t="s">
        <v>1670</v>
      </c>
      <c r="H136" s="162" t="s">
        <v>443</v>
      </c>
      <c r="I136" s="162" t="s">
        <v>1669</v>
      </c>
      <c r="J136" s="162" t="s">
        <v>89</v>
      </c>
      <c r="K136" s="162" t="s">
        <v>1668</v>
      </c>
      <c r="L136" s="162" t="s">
        <v>441</v>
      </c>
      <c r="M136" s="162"/>
      <c r="N136" s="162" t="s">
        <v>1667</v>
      </c>
      <c r="O136" s="161" t="s">
        <v>18</v>
      </c>
      <c r="P136" s="161" t="s">
        <v>18</v>
      </c>
      <c r="Q136" s="112"/>
      <c r="R136" s="112"/>
      <c r="S136" s="112"/>
      <c r="T136" s="112"/>
      <c r="U136" s="112"/>
      <c r="V136" s="112"/>
      <c r="W136" s="112"/>
      <c r="X136" s="112"/>
      <c r="Y136" s="112"/>
      <c r="Z136" s="112"/>
      <c r="AA136" s="112"/>
      <c r="AB136" s="112"/>
      <c r="AC136" s="112"/>
      <c r="AD136" s="112"/>
      <c r="AE136" s="112"/>
      <c r="AF136" s="112"/>
      <c r="AG136" s="112"/>
      <c r="AH136" s="112"/>
      <c r="AI136" s="112"/>
      <c r="AJ136" s="112"/>
      <c r="AK136" s="112"/>
      <c r="AL136" s="112"/>
      <c r="AM136" s="112"/>
      <c r="AN136" s="112"/>
      <c r="AO136" s="112"/>
      <c r="AP136" s="112"/>
      <c r="AQ136" s="112"/>
      <c r="AR136" s="112"/>
      <c r="AS136" s="112"/>
      <c r="AT136" s="112"/>
    </row>
    <row r="137" spans="1:47" s="115" customFormat="1" ht="105" x14ac:dyDescent="0.2">
      <c r="A137" s="105">
        <v>104</v>
      </c>
      <c r="B137" s="162" t="s">
        <v>1599</v>
      </c>
      <c r="C137" s="162" t="s">
        <v>121</v>
      </c>
      <c r="D137" s="160">
        <v>2008</v>
      </c>
      <c r="E137" s="162" t="s">
        <v>531</v>
      </c>
      <c r="F137" s="162" t="s">
        <v>1634</v>
      </c>
      <c r="G137" s="162" t="s">
        <v>1671</v>
      </c>
      <c r="H137" s="162" t="s">
        <v>103</v>
      </c>
      <c r="I137" s="162" t="s">
        <v>110</v>
      </c>
      <c r="J137" s="162" t="s">
        <v>446</v>
      </c>
      <c r="K137" s="162" t="s">
        <v>1673</v>
      </c>
      <c r="L137" s="162" t="s">
        <v>441</v>
      </c>
      <c r="M137" s="162"/>
      <c r="N137" s="162" t="s">
        <v>1672</v>
      </c>
      <c r="O137" s="159" t="s">
        <v>1196</v>
      </c>
      <c r="P137" s="161" t="s">
        <v>18</v>
      </c>
      <c r="Q137" s="112"/>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2"/>
      <c r="AN137" s="112"/>
      <c r="AO137" s="112"/>
      <c r="AP137" s="112"/>
      <c r="AQ137" s="112"/>
      <c r="AR137" s="112"/>
      <c r="AS137" s="112"/>
      <c r="AT137" s="112"/>
    </row>
    <row r="138" spans="1:47" s="115" customFormat="1" ht="90" x14ac:dyDescent="0.2">
      <c r="A138" s="105">
        <v>105</v>
      </c>
      <c r="B138" s="162" t="s">
        <v>514</v>
      </c>
      <c r="C138" s="162" t="s">
        <v>121</v>
      </c>
      <c r="D138" s="160">
        <v>2014</v>
      </c>
      <c r="E138" s="162" t="s">
        <v>63</v>
      </c>
      <c r="F138" s="162" t="s">
        <v>515</v>
      </c>
      <c r="G138" s="162" t="s">
        <v>588</v>
      </c>
      <c r="H138" s="162" t="s">
        <v>98</v>
      </c>
      <c r="I138" s="162" t="s">
        <v>589</v>
      </c>
      <c r="J138" s="162" t="s">
        <v>445</v>
      </c>
      <c r="K138" s="162" t="s">
        <v>590</v>
      </c>
      <c r="L138" s="162" t="s">
        <v>441</v>
      </c>
      <c r="M138" s="162"/>
      <c r="N138" s="162" t="s">
        <v>591</v>
      </c>
      <c r="O138" s="161" t="s">
        <v>18</v>
      </c>
      <c r="P138" s="109" t="s">
        <v>18</v>
      </c>
      <c r="Q138" s="112"/>
      <c r="R138" s="112"/>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2"/>
      <c r="AN138" s="112"/>
      <c r="AO138" s="112"/>
      <c r="AP138" s="112"/>
      <c r="AQ138" s="112"/>
      <c r="AR138" s="112"/>
      <c r="AS138" s="112"/>
      <c r="AT138" s="112"/>
    </row>
    <row r="139" spans="1:47" s="115" customFormat="1" ht="165" x14ac:dyDescent="0.2">
      <c r="A139" s="105">
        <v>106</v>
      </c>
      <c r="B139" s="162" t="s">
        <v>516</v>
      </c>
      <c r="C139" s="162" t="s">
        <v>121</v>
      </c>
      <c r="D139" s="160">
        <v>2013</v>
      </c>
      <c r="E139" s="162" t="s">
        <v>63</v>
      </c>
      <c r="F139" s="162" t="s">
        <v>517</v>
      </c>
      <c r="G139" s="162" t="s">
        <v>592</v>
      </c>
      <c r="H139" s="162" t="s">
        <v>443</v>
      </c>
      <c r="I139" s="162" t="s">
        <v>649</v>
      </c>
      <c r="J139" s="162" t="s">
        <v>441</v>
      </c>
      <c r="K139" s="162" t="s">
        <v>647</v>
      </c>
      <c r="L139" s="162" t="s">
        <v>441</v>
      </c>
      <c r="M139" s="162"/>
      <c r="N139" s="162" t="s">
        <v>646</v>
      </c>
      <c r="O139" s="161" t="s">
        <v>18</v>
      </c>
      <c r="P139" s="161" t="s">
        <v>18</v>
      </c>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2"/>
      <c r="AN139" s="112"/>
      <c r="AO139" s="112"/>
      <c r="AP139" s="112"/>
      <c r="AQ139" s="112"/>
      <c r="AR139" s="112"/>
      <c r="AS139" s="112"/>
      <c r="AT139" s="112"/>
    </row>
    <row r="140" spans="1:47" s="115" customFormat="1" ht="90" x14ac:dyDescent="0.2">
      <c r="A140" s="105">
        <v>107</v>
      </c>
      <c r="B140" s="162" t="s">
        <v>1636</v>
      </c>
      <c r="C140" s="105" t="s">
        <v>147</v>
      </c>
      <c r="D140" s="160">
        <v>2016</v>
      </c>
      <c r="E140" s="162" t="s">
        <v>826</v>
      </c>
      <c r="F140" s="162" t="s">
        <v>1635</v>
      </c>
      <c r="G140" s="162" t="s">
        <v>1674</v>
      </c>
      <c r="H140" s="162" t="s">
        <v>1150</v>
      </c>
      <c r="I140" s="162" t="s">
        <v>1676</v>
      </c>
      <c r="J140" s="162" t="s">
        <v>446</v>
      </c>
      <c r="K140" s="162" t="s">
        <v>1675</v>
      </c>
      <c r="L140" s="162" t="s">
        <v>441</v>
      </c>
      <c r="M140" s="162"/>
      <c r="N140" s="162" t="s">
        <v>1677</v>
      </c>
      <c r="O140" s="161" t="s">
        <v>18</v>
      </c>
      <c r="P140" s="161" t="s">
        <v>18</v>
      </c>
      <c r="Q140" s="112"/>
      <c r="R140" s="112"/>
      <c r="S140" s="112"/>
      <c r="T140" s="112"/>
      <c r="U140" s="112"/>
      <c r="V140" s="112"/>
      <c r="W140" s="112"/>
      <c r="X140" s="112"/>
      <c r="Y140" s="112"/>
      <c r="Z140" s="112"/>
      <c r="AA140" s="112"/>
      <c r="AB140" s="112"/>
      <c r="AC140" s="112"/>
      <c r="AD140" s="112"/>
      <c r="AE140" s="112"/>
      <c r="AF140" s="112"/>
      <c r="AG140" s="112"/>
      <c r="AH140" s="112"/>
      <c r="AI140" s="112"/>
      <c r="AJ140" s="112"/>
      <c r="AK140" s="112"/>
      <c r="AL140" s="112"/>
      <c r="AM140" s="112"/>
      <c r="AN140" s="112"/>
      <c r="AO140" s="112"/>
      <c r="AP140" s="112"/>
      <c r="AQ140" s="112"/>
      <c r="AR140" s="112"/>
      <c r="AS140" s="112"/>
      <c r="AT140" s="112"/>
    </row>
    <row r="141" spans="1:47" s="115" customFormat="1" ht="135" x14ac:dyDescent="0.2">
      <c r="A141" s="105">
        <v>108</v>
      </c>
      <c r="B141" s="162" t="s">
        <v>1638</v>
      </c>
      <c r="C141" s="105" t="s">
        <v>82</v>
      </c>
      <c r="D141" s="160">
        <v>2016</v>
      </c>
      <c r="E141" s="162" t="s">
        <v>63</v>
      </c>
      <c r="F141" s="162" t="s">
        <v>1637</v>
      </c>
      <c r="G141" s="162" t="s">
        <v>1678</v>
      </c>
      <c r="H141" s="162" t="s">
        <v>102</v>
      </c>
      <c r="I141" s="162" t="s">
        <v>110</v>
      </c>
      <c r="J141" s="162" t="s">
        <v>445</v>
      </c>
      <c r="K141" s="162" t="s">
        <v>1679</v>
      </c>
      <c r="L141" s="162" t="s">
        <v>91</v>
      </c>
      <c r="M141" s="162" t="s">
        <v>1682</v>
      </c>
      <c r="N141" s="162" t="s">
        <v>1681</v>
      </c>
      <c r="O141" s="161" t="s">
        <v>18</v>
      </c>
      <c r="P141" s="162" t="s">
        <v>1680</v>
      </c>
      <c r="Q141" s="112"/>
      <c r="R141" s="112"/>
      <c r="S141" s="112"/>
      <c r="T141" s="112"/>
      <c r="U141" s="112"/>
      <c r="V141" s="112"/>
      <c r="W141" s="112"/>
      <c r="X141" s="112"/>
      <c r="Y141" s="112"/>
      <c r="Z141" s="112"/>
      <c r="AA141" s="112"/>
      <c r="AB141" s="112"/>
      <c r="AC141" s="112"/>
      <c r="AD141" s="112"/>
      <c r="AE141" s="112"/>
      <c r="AF141" s="112"/>
      <c r="AG141" s="112"/>
      <c r="AH141" s="112"/>
      <c r="AI141" s="112"/>
      <c r="AJ141" s="112"/>
      <c r="AK141" s="112"/>
      <c r="AL141" s="112"/>
      <c r="AM141" s="112"/>
      <c r="AN141" s="112"/>
      <c r="AO141" s="112"/>
      <c r="AP141" s="112"/>
      <c r="AQ141" s="112"/>
      <c r="AR141" s="112"/>
      <c r="AS141" s="112"/>
      <c r="AT141" s="112"/>
    </row>
    <row r="142" spans="1:47" s="115" customFormat="1" ht="165" x14ac:dyDescent="0.2">
      <c r="A142" s="105">
        <v>109</v>
      </c>
      <c r="B142" s="162" t="s">
        <v>523</v>
      </c>
      <c r="C142" s="162" t="s">
        <v>82</v>
      </c>
      <c r="D142" s="160">
        <v>2009</v>
      </c>
      <c r="E142" s="162" t="s">
        <v>63</v>
      </c>
      <c r="F142" s="162" t="s">
        <v>524</v>
      </c>
      <c r="G142" s="162" t="s">
        <v>602</v>
      </c>
      <c r="H142" s="162" t="s">
        <v>1704</v>
      </c>
      <c r="I142" s="162" t="s">
        <v>607</v>
      </c>
      <c r="J142" s="162" t="s">
        <v>89</v>
      </c>
      <c r="K142" s="162" t="s">
        <v>603</v>
      </c>
      <c r="L142" s="162" t="s">
        <v>91</v>
      </c>
      <c r="M142" s="162" t="s">
        <v>605</v>
      </c>
      <c r="N142" s="162" t="s">
        <v>604</v>
      </c>
      <c r="O142" s="161" t="s">
        <v>18</v>
      </c>
      <c r="P142" s="162" t="s">
        <v>606</v>
      </c>
      <c r="Q142" s="162" t="s">
        <v>1705</v>
      </c>
      <c r="R142" s="112"/>
      <c r="S142" s="112"/>
      <c r="T142" s="112"/>
      <c r="U142" s="112"/>
      <c r="V142" s="112"/>
      <c r="W142" s="112"/>
      <c r="X142" s="112"/>
      <c r="Y142" s="112"/>
      <c r="Z142" s="112"/>
      <c r="AA142" s="112"/>
      <c r="AB142" s="112"/>
      <c r="AC142" s="112"/>
      <c r="AD142" s="112"/>
      <c r="AE142" s="112"/>
      <c r="AF142" s="112"/>
      <c r="AG142" s="112"/>
      <c r="AH142" s="112"/>
      <c r="AI142" s="112"/>
      <c r="AJ142" s="112"/>
      <c r="AK142" s="112"/>
      <c r="AL142" s="112"/>
      <c r="AM142" s="112"/>
      <c r="AN142" s="112"/>
      <c r="AO142" s="112"/>
      <c r="AP142" s="112"/>
      <c r="AQ142" s="112"/>
      <c r="AR142" s="112"/>
      <c r="AS142" s="112"/>
      <c r="AT142" s="112"/>
    </row>
    <row r="143" spans="1:47" s="115" customFormat="1" ht="135" x14ac:dyDescent="0.2">
      <c r="A143" s="105">
        <v>110</v>
      </c>
      <c r="B143" s="162" t="s">
        <v>1639</v>
      </c>
      <c r="C143" s="162" t="s">
        <v>126</v>
      </c>
      <c r="D143" s="160">
        <v>2016</v>
      </c>
      <c r="E143" s="162" t="s">
        <v>63</v>
      </c>
      <c r="F143" s="162" t="s">
        <v>1640</v>
      </c>
      <c r="G143" s="162" t="s">
        <v>1683</v>
      </c>
      <c r="H143" s="162" t="s">
        <v>1150</v>
      </c>
      <c r="I143" s="162" t="s">
        <v>1687</v>
      </c>
      <c r="J143" s="162"/>
      <c r="K143" s="162" t="s">
        <v>1684</v>
      </c>
      <c r="L143" s="162" t="s">
        <v>91</v>
      </c>
      <c r="M143" s="162" t="s">
        <v>94</v>
      </c>
      <c r="N143" s="162" t="s">
        <v>1686</v>
      </c>
      <c r="O143" s="161" t="s">
        <v>18</v>
      </c>
      <c r="P143" s="161" t="s">
        <v>1685</v>
      </c>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112"/>
      <c r="AN143" s="112"/>
      <c r="AO143" s="112"/>
      <c r="AP143" s="112"/>
      <c r="AQ143" s="112"/>
      <c r="AR143" s="112"/>
      <c r="AS143" s="112"/>
      <c r="AT143" s="112"/>
    </row>
    <row r="144" spans="1:47" s="115" customFormat="1" ht="90" x14ac:dyDescent="0.2">
      <c r="A144" s="105">
        <v>111</v>
      </c>
      <c r="B144" s="162" t="s">
        <v>525</v>
      </c>
      <c r="C144" s="162" t="s">
        <v>138</v>
      </c>
      <c r="D144" s="160">
        <v>2015</v>
      </c>
      <c r="E144" s="162" t="s">
        <v>63</v>
      </c>
      <c r="F144" s="162" t="s">
        <v>526</v>
      </c>
      <c r="G144" s="162" t="s">
        <v>608</v>
      </c>
      <c r="H144" s="162" t="s">
        <v>102</v>
      </c>
      <c r="I144" s="162" t="s">
        <v>341</v>
      </c>
      <c r="J144" s="162" t="s">
        <v>447</v>
      </c>
      <c r="K144" s="162" t="s">
        <v>610</v>
      </c>
      <c r="L144" s="162" t="s">
        <v>441</v>
      </c>
      <c r="M144" s="162"/>
      <c r="N144" s="162" t="s">
        <v>609</v>
      </c>
      <c r="O144" s="161" t="s">
        <v>18</v>
      </c>
      <c r="P144" s="162" t="s">
        <v>395</v>
      </c>
      <c r="Q144" s="112"/>
      <c r="R144" s="112"/>
      <c r="S144" s="112"/>
      <c r="T144" s="112"/>
      <c r="U144" s="112"/>
      <c r="V144" s="112"/>
      <c r="W144" s="112"/>
      <c r="X144" s="112"/>
      <c r="Y144" s="112"/>
      <c r="Z144" s="112"/>
      <c r="AA144" s="112"/>
      <c r="AB144" s="112"/>
      <c r="AC144" s="112"/>
      <c r="AD144" s="112"/>
      <c r="AE144" s="112"/>
      <c r="AF144" s="112"/>
      <c r="AG144" s="112"/>
      <c r="AH144" s="112"/>
      <c r="AI144" s="112"/>
      <c r="AJ144" s="112"/>
      <c r="AK144" s="112"/>
      <c r="AL144" s="112"/>
      <c r="AM144" s="112"/>
      <c r="AN144" s="112"/>
      <c r="AO144" s="112"/>
      <c r="AP144" s="112"/>
      <c r="AQ144" s="112"/>
      <c r="AR144" s="112"/>
      <c r="AS144" s="112"/>
      <c r="AT144" s="112"/>
    </row>
    <row r="145" spans="1:46" s="115" customFormat="1" ht="150" x14ac:dyDescent="0.2">
      <c r="A145" s="174">
        <v>112</v>
      </c>
      <c r="B145" s="113" t="s">
        <v>1641</v>
      </c>
      <c r="C145" s="113" t="s">
        <v>174</v>
      </c>
      <c r="D145" s="143">
        <v>2016</v>
      </c>
      <c r="E145" s="113" t="s">
        <v>1642</v>
      </c>
      <c r="F145" s="113" t="s">
        <v>1643</v>
      </c>
      <c r="G145" s="113" t="s">
        <v>18</v>
      </c>
      <c r="H145" s="113" t="s">
        <v>98</v>
      </c>
      <c r="I145" s="113" t="s">
        <v>1689</v>
      </c>
      <c r="J145" s="113" t="s">
        <v>443</v>
      </c>
      <c r="K145" s="113"/>
      <c r="L145" s="113" t="s">
        <v>441</v>
      </c>
      <c r="M145" s="113"/>
      <c r="N145" s="113" t="s">
        <v>1688</v>
      </c>
      <c r="O145" s="114" t="s">
        <v>18</v>
      </c>
      <c r="P145" s="144" t="s">
        <v>18</v>
      </c>
      <c r="Q145" s="113" t="s">
        <v>1690</v>
      </c>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c r="AO145" s="112"/>
      <c r="AP145" s="112"/>
      <c r="AQ145" s="112"/>
      <c r="AR145" s="112"/>
      <c r="AS145" s="112"/>
      <c r="AT145" s="112"/>
    </row>
    <row r="146" spans="1:46" s="115" customFormat="1" ht="120" x14ac:dyDescent="0.2">
      <c r="A146" s="105">
        <v>113</v>
      </c>
      <c r="B146" s="117" t="s">
        <v>859</v>
      </c>
      <c r="C146" s="105" t="s">
        <v>82</v>
      </c>
      <c r="D146" s="160">
        <v>2016</v>
      </c>
      <c r="E146" s="162" t="s">
        <v>63</v>
      </c>
      <c r="F146" s="162" t="s">
        <v>858</v>
      </c>
      <c r="G146" s="162" t="s">
        <v>946</v>
      </c>
      <c r="H146" s="162" t="s">
        <v>98</v>
      </c>
      <c r="I146" s="162" t="s">
        <v>948</v>
      </c>
      <c r="J146" s="162" t="s">
        <v>447</v>
      </c>
      <c r="K146" s="162" t="s">
        <v>947</v>
      </c>
      <c r="L146" s="162" t="s">
        <v>91</v>
      </c>
      <c r="M146" s="162" t="s">
        <v>94</v>
      </c>
      <c r="N146" s="162" t="s">
        <v>950</v>
      </c>
      <c r="O146" s="161" t="s">
        <v>18</v>
      </c>
      <c r="P146" s="162" t="s">
        <v>949</v>
      </c>
      <c r="Q146" s="112"/>
      <c r="R146" s="112"/>
      <c r="S146" s="112"/>
      <c r="T146" s="112"/>
      <c r="U146" s="112"/>
      <c r="V146" s="112"/>
      <c r="W146" s="112"/>
      <c r="X146" s="112"/>
      <c r="Y146" s="112"/>
      <c r="Z146" s="112"/>
      <c r="AA146" s="112"/>
      <c r="AB146" s="112"/>
      <c r="AC146" s="112"/>
      <c r="AD146" s="112"/>
      <c r="AE146" s="112"/>
      <c r="AF146" s="112"/>
      <c r="AG146" s="112"/>
      <c r="AH146" s="112"/>
      <c r="AI146" s="112"/>
      <c r="AJ146" s="112"/>
      <c r="AK146" s="112"/>
      <c r="AL146" s="112"/>
      <c r="AM146" s="112"/>
      <c r="AN146" s="112"/>
      <c r="AO146" s="112"/>
      <c r="AP146" s="112"/>
      <c r="AQ146" s="112"/>
      <c r="AR146" s="112"/>
      <c r="AS146" s="112"/>
      <c r="AT146" s="112"/>
    </row>
    <row r="147" spans="1:46" s="115" customFormat="1" ht="180" x14ac:dyDescent="0.2">
      <c r="A147" s="105">
        <v>114</v>
      </c>
      <c r="B147" s="162" t="s">
        <v>527</v>
      </c>
      <c r="C147" s="162" t="s">
        <v>82</v>
      </c>
      <c r="D147" s="160">
        <v>2014</v>
      </c>
      <c r="E147" s="162" t="s">
        <v>528</v>
      </c>
      <c r="F147" s="162" t="s">
        <v>529</v>
      </c>
      <c r="G147" s="162" t="s">
        <v>611</v>
      </c>
      <c r="H147" s="162" t="s">
        <v>1328</v>
      </c>
      <c r="I147" s="162" t="s">
        <v>613</v>
      </c>
      <c r="J147" s="162" t="s">
        <v>90</v>
      </c>
      <c r="K147" s="162" t="s">
        <v>612</v>
      </c>
      <c r="L147" s="162" t="s">
        <v>91</v>
      </c>
      <c r="M147" s="162" t="s">
        <v>94</v>
      </c>
      <c r="N147" s="162" t="s">
        <v>615</v>
      </c>
      <c r="O147" s="161" t="s">
        <v>18</v>
      </c>
      <c r="P147" s="162" t="s">
        <v>614</v>
      </c>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2"/>
      <c r="AN147" s="112"/>
      <c r="AO147" s="112"/>
      <c r="AP147" s="112"/>
      <c r="AQ147" s="112"/>
      <c r="AR147" s="112"/>
      <c r="AS147" s="112"/>
      <c r="AT147" s="112"/>
    </row>
    <row r="148" spans="1:46" s="115" customFormat="1" ht="105" x14ac:dyDescent="0.2">
      <c r="A148" s="105">
        <v>115</v>
      </c>
      <c r="B148" s="162" t="s">
        <v>530</v>
      </c>
      <c r="C148" s="162" t="s">
        <v>616</v>
      </c>
      <c r="D148" s="160">
        <v>2016</v>
      </c>
      <c r="E148" s="162" t="s">
        <v>531</v>
      </c>
      <c r="F148" s="162" t="s">
        <v>532</v>
      </c>
      <c r="G148" s="162" t="s">
        <v>617</v>
      </c>
      <c r="H148" s="162" t="s">
        <v>100</v>
      </c>
      <c r="I148" s="162" t="s">
        <v>275</v>
      </c>
      <c r="J148" s="162" t="s">
        <v>90</v>
      </c>
      <c r="K148" s="162" t="s">
        <v>619</v>
      </c>
      <c r="L148" s="162" t="s">
        <v>91</v>
      </c>
      <c r="M148" s="162" t="s">
        <v>443</v>
      </c>
      <c r="N148" s="162" t="s">
        <v>620</v>
      </c>
      <c r="O148" s="162" t="s">
        <v>274</v>
      </c>
      <c r="P148" s="162" t="s">
        <v>618</v>
      </c>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c r="AO148" s="112"/>
      <c r="AP148" s="112"/>
      <c r="AQ148" s="112"/>
      <c r="AR148" s="112"/>
      <c r="AS148" s="112"/>
      <c r="AT148" s="112"/>
    </row>
    <row r="149" spans="1:46" s="115" customFormat="1" ht="120" x14ac:dyDescent="0.2">
      <c r="A149" s="105">
        <v>116</v>
      </c>
      <c r="B149" s="162" t="s">
        <v>1646</v>
      </c>
      <c r="C149" s="162" t="s">
        <v>82</v>
      </c>
      <c r="D149" s="160">
        <v>2015</v>
      </c>
      <c r="E149" s="162" t="s">
        <v>1645</v>
      </c>
      <c r="F149" s="162" t="s">
        <v>1644</v>
      </c>
      <c r="G149" s="162" t="s">
        <v>1691</v>
      </c>
      <c r="H149" s="162" t="s">
        <v>98</v>
      </c>
      <c r="I149" s="162" t="s">
        <v>1692</v>
      </c>
      <c r="J149" s="162" t="s">
        <v>89</v>
      </c>
      <c r="K149" s="162" t="s">
        <v>1694</v>
      </c>
      <c r="L149" s="162" t="s">
        <v>441</v>
      </c>
      <c r="M149" s="162"/>
      <c r="N149" s="162" t="s">
        <v>1693</v>
      </c>
      <c r="O149" s="161" t="s">
        <v>18</v>
      </c>
      <c r="P149" s="161" t="s">
        <v>18</v>
      </c>
      <c r="Q149" s="112"/>
      <c r="R149" s="112"/>
      <c r="S149" s="112"/>
      <c r="T149" s="112"/>
      <c r="U149" s="112"/>
      <c r="V149" s="112"/>
      <c r="W149" s="112"/>
      <c r="X149" s="112"/>
      <c r="Y149" s="112"/>
      <c r="Z149" s="112"/>
      <c r="AA149" s="112"/>
      <c r="AB149" s="112"/>
      <c r="AC149" s="112"/>
      <c r="AD149" s="112"/>
      <c r="AE149" s="112"/>
      <c r="AF149" s="112"/>
      <c r="AG149" s="112"/>
      <c r="AH149" s="112"/>
      <c r="AI149" s="112"/>
      <c r="AJ149" s="112"/>
      <c r="AK149" s="112"/>
      <c r="AL149" s="112"/>
      <c r="AM149" s="112"/>
      <c r="AN149" s="112"/>
      <c r="AO149" s="112"/>
      <c r="AP149" s="112"/>
      <c r="AQ149" s="112"/>
      <c r="AR149" s="112"/>
      <c r="AS149" s="112"/>
      <c r="AT149" s="112"/>
    </row>
    <row r="150" spans="1:46" s="115" customFormat="1" ht="90" x14ac:dyDescent="0.2">
      <c r="A150" s="105">
        <v>117</v>
      </c>
      <c r="B150" s="162" t="s">
        <v>861</v>
      </c>
      <c r="C150" s="105" t="s">
        <v>197</v>
      </c>
      <c r="D150" s="160">
        <v>2003</v>
      </c>
      <c r="E150" s="162" t="s">
        <v>63</v>
      </c>
      <c r="F150" s="162" t="s">
        <v>860</v>
      </c>
      <c r="G150" s="162" t="s">
        <v>951</v>
      </c>
      <c r="H150" s="162" t="s">
        <v>1150</v>
      </c>
      <c r="I150" s="162" t="s">
        <v>956</v>
      </c>
      <c r="J150" s="162" t="s">
        <v>441</v>
      </c>
      <c r="K150" s="162" t="s">
        <v>952</v>
      </c>
      <c r="L150" s="162" t="s">
        <v>441</v>
      </c>
      <c r="M150" s="162"/>
      <c r="N150" s="162" t="s">
        <v>953</v>
      </c>
      <c r="O150" s="162" t="s">
        <v>954</v>
      </c>
      <c r="P150" s="162" t="s">
        <v>955</v>
      </c>
      <c r="Q150" s="162" t="s">
        <v>1703</v>
      </c>
      <c r="R150" s="112"/>
      <c r="S150" s="112"/>
      <c r="T150" s="112"/>
      <c r="U150" s="112"/>
      <c r="V150" s="112"/>
      <c r="W150" s="112"/>
      <c r="X150" s="112"/>
      <c r="Y150" s="112"/>
      <c r="Z150" s="112">
        <v>7.5999999999999998E-2</v>
      </c>
      <c r="AA150" s="112"/>
      <c r="AB150" s="112"/>
      <c r="AC150" s="112"/>
      <c r="AD150" s="112"/>
      <c r="AE150" s="112"/>
      <c r="AF150" s="112"/>
      <c r="AG150" s="112"/>
      <c r="AH150" s="112"/>
      <c r="AI150" s="112"/>
      <c r="AJ150" s="112"/>
      <c r="AK150" s="112"/>
      <c r="AL150" s="112"/>
      <c r="AM150" s="112"/>
      <c r="AN150" s="112"/>
      <c r="AO150" s="112"/>
      <c r="AP150" s="112"/>
      <c r="AQ150" s="112"/>
      <c r="AR150" s="112"/>
      <c r="AS150" s="112"/>
      <c r="AT150" s="112"/>
    </row>
    <row r="151" spans="1:46" s="115" customFormat="1" ht="105" x14ac:dyDescent="0.2">
      <c r="A151" s="105">
        <v>118</v>
      </c>
      <c r="B151" s="162" t="s">
        <v>862</v>
      </c>
      <c r="C151" s="105" t="s">
        <v>123</v>
      </c>
      <c r="D151" s="160">
        <v>2005</v>
      </c>
      <c r="E151" s="162" t="s">
        <v>63</v>
      </c>
      <c r="F151" s="162" t="s">
        <v>863</v>
      </c>
      <c r="G151" s="162" t="s">
        <v>957</v>
      </c>
      <c r="H151" s="162" t="s">
        <v>1095</v>
      </c>
      <c r="I151" s="162" t="s">
        <v>281</v>
      </c>
      <c r="J151" s="162" t="s">
        <v>90</v>
      </c>
      <c r="K151" s="162" t="s">
        <v>958</v>
      </c>
      <c r="L151" s="162" t="s">
        <v>441</v>
      </c>
      <c r="M151" s="162"/>
      <c r="N151" s="162" t="s">
        <v>959</v>
      </c>
      <c r="O151" s="162" t="s">
        <v>370</v>
      </c>
      <c r="P151" s="162" t="s">
        <v>960</v>
      </c>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2"/>
      <c r="AN151" s="112"/>
      <c r="AO151" s="112"/>
      <c r="AP151" s="112"/>
      <c r="AQ151" s="112"/>
      <c r="AR151" s="112"/>
      <c r="AS151" s="112"/>
      <c r="AT151" s="112"/>
    </row>
    <row r="152" spans="1:46" s="115" customFormat="1" ht="90" x14ac:dyDescent="0.2">
      <c r="A152" s="105">
        <v>119</v>
      </c>
      <c r="B152" s="162" t="s">
        <v>867</v>
      </c>
      <c r="C152" s="105" t="s">
        <v>769</v>
      </c>
      <c r="D152" s="160">
        <v>2011</v>
      </c>
      <c r="E152" s="162" t="s">
        <v>63</v>
      </c>
      <c r="F152" s="162" t="s">
        <v>866</v>
      </c>
      <c r="G152" s="162" t="s">
        <v>967</v>
      </c>
      <c r="H152" s="162" t="s">
        <v>102</v>
      </c>
      <c r="I152" s="162" t="s">
        <v>968</v>
      </c>
      <c r="J152" s="162" t="s">
        <v>441</v>
      </c>
      <c r="K152" s="162" t="s">
        <v>966</v>
      </c>
      <c r="L152" s="162" t="s">
        <v>91</v>
      </c>
      <c r="M152" s="162" t="s">
        <v>443</v>
      </c>
      <c r="N152" s="162" t="s">
        <v>969</v>
      </c>
      <c r="O152" s="161" t="s">
        <v>18</v>
      </c>
      <c r="P152" s="162" t="s">
        <v>965</v>
      </c>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c r="AO152" s="112"/>
      <c r="AP152" s="112"/>
      <c r="AQ152" s="112"/>
      <c r="AR152" s="112"/>
      <c r="AS152" s="112"/>
      <c r="AT152" s="112"/>
    </row>
    <row r="153" spans="1:46" s="115" customFormat="1" ht="135" x14ac:dyDescent="0.2">
      <c r="A153" s="105">
        <v>120</v>
      </c>
      <c r="B153" s="162" t="s">
        <v>1648</v>
      </c>
      <c r="C153" s="105" t="s">
        <v>147</v>
      </c>
      <c r="D153" s="160">
        <v>2013</v>
      </c>
      <c r="E153" s="162" t="s">
        <v>63</v>
      </c>
      <c r="F153" s="162" t="s">
        <v>1647</v>
      </c>
      <c r="G153" s="162" t="s">
        <v>1695</v>
      </c>
      <c r="H153" s="162" t="s">
        <v>103</v>
      </c>
      <c r="I153" s="162" t="s">
        <v>110</v>
      </c>
      <c r="J153" s="162" t="s">
        <v>446</v>
      </c>
      <c r="K153" s="162" t="s">
        <v>1696</v>
      </c>
      <c r="L153" s="162" t="s">
        <v>91</v>
      </c>
      <c r="M153" s="162" t="s">
        <v>448</v>
      </c>
      <c r="N153" s="162" t="s">
        <v>1697</v>
      </c>
      <c r="O153" s="161" t="s">
        <v>18</v>
      </c>
      <c r="P153" s="161" t="s">
        <v>18</v>
      </c>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c r="AO153" s="112"/>
      <c r="AP153" s="112"/>
      <c r="AQ153" s="112"/>
      <c r="AR153" s="112"/>
      <c r="AS153" s="112"/>
      <c r="AT153" s="112"/>
    </row>
    <row r="154" spans="1:46" s="115" customFormat="1" ht="90" x14ac:dyDescent="0.2">
      <c r="A154" s="105">
        <v>121</v>
      </c>
      <c r="B154" s="162" t="s">
        <v>1649</v>
      </c>
      <c r="C154" s="105" t="s">
        <v>581</v>
      </c>
      <c r="D154" s="160">
        <v>2013</v>
      </c>
      <c r="E154" s="162" t="s">
        <v>63</v>
      </c>
      <c r="F154" s="162" t="s">
        <v>1650</v>
      </c>
      <c r="G154" s="162" t="s">
        <v>1698</v>
      </c>
      <c r="H154" s="162" t="s">
        <v>443</v>
      </c>
      <c r="I154" s="162" t="s">
        <v>1701</v>
      </c>
      <c r="J154" s="162" t="s">
        <v>446</v>
      </c>
      <c r="K154" s="162" t="s">
        <v>1699</v>
      </c>
      <c r="L154" s="162" t="s">
        <v>91</v>
      </c>
      <c r="M154" s="162" t="s">
        <v>448</v>
      </c>
      <c r="N154" s="162" t="s">
        <v>1700</v>
      </c>
      <c r="O154" s="161" t="s">
        <v>18</v>
      </c>
      <c r="P154" s="160" t="s">
        <v>1058</v>
      </c>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2"/>
      <c r="AN154" s="112"/>
      <c r="AO154" s="112"/>
      <c r="AP154" s="112"/>
      <c r="AQ154" s="112"/>
      <c r="AR154" s="112"/>
      <c r="AS154" s="112"/>
      <c r="AT154" s="112"/>
    </row>
    <row r="155" spans="1:46" s="115" customFormat="1" ht="135" x14ac:dyDescent="0.2">
      <c r="A155" s="105">
        <v>122</v>
      </c>
      <c r="B155" s="162" t="s">
        <v>542</v>
      </c>
      <c r="C155" s="162" t="s">
        <v>135</v>
      </c>
      <c r="D155" s="160">
        <v>2014</v>
      </c>
      <c r="E155" s="162" t="s">
        <v>63</v>
      </c>
      <c r="F155" s="162" t="s">
        <v>543</v>
      </c>
      <c r="G155" s="162" t="s">
        <v>639</v>
      </c>
      <c r="H155" s="162" t="s">
        <v>1095</v>
      </c>
      <c r="I155" s="162" t="s">
        <v>638</v>
      </c>
      <c r="J155" s="162" t="s">
        <v>651</v>
      </c>
      <c r="K155" s="162" t="s">
        <v>642</v>
      </c>
      <c r="L155" s="162" t="s">
        <v>91</v>
      </c>
      <c r="M155" s="162" t="s">
        <v>443</v>
      </c>
      <c r="N155" s="162" t="s">
        <v>640</v>
      </c>
      <c r="O155" s="161" t="s">
        <v>18</v>
      </c>
      <c r="P155" s="162" t="s">
        <v>641</v>
      </c>
      <c r="Q155" s="162" t="s">
        <v>1702</v>
      </c>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2"/>
      <c r="AN155" s="112"/>
      <c r="AO155" s="112"/>
      <c r="AP155" s="112"/>
      <c r="AQ155" s="112"/>
      <c r="AR155" s="112"/>
      <c r="AS155" s="112"/>
      <c r="AT155" s="112"/>
    </row>
    <row r="156" spans="1:46" s="115" customFormat="1" x14ac:dyDescent="0.2">
      <c r="A156" s="116"/>
      <c r="D156" s="136"/>
      <c r="G156" s="162"/>
      <c r="H156" s="112"/>
      <c r="I156" s="112"/>
      <c r="J156" s="112"/>
      <c r="K156" s="112"/>
      <c r="L156" s="112"/>
      <c r="M156" s="112"/>
      <c r="N156" s="112"/>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2"/>
      <c r="AN156" s="112"/>
      <c r="AO156" s="112"/>
      <c r="AP156" s="112"/>
      <c r="AQ156" s="112"/>
      <c r="AR156" s="112"/>
      <c r="AS156" s="112"/>
      <c r="AT156" s="112"/>
    </row>
    <row r="157" spans="1:46" s="115" customFormat="1" x14ac:dyDescent="0.2">
      <c r="A157" s="116"/>
      <c r="D157" s="136"/>
      <c r="G157" s="162"/>
      <c r="H157" s="112"/>
      <c r="I157" s="112"/>
      <c r="J157" s="112"/>
      <c r="K157" s="112"/>
      <c r="L157" s="112"/>
      <c r="M157" s="112"/>
      <c r="N157" s="112"/>
      <c r="O157" s="112"/>
      <c r="P157" s="112"/>
      <c r="Q157" s="112"/>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2"/>
      <c r="AN157" s="112"/>
      <c r="AO157" s="112"/>
      <c r="AP157" s="112"/>
      <c r="AQ157" s="112"/>
      <c r="AR157" s="112"/>
      <c r="AS157" s="112"/>
      <c r="AT157" s="112"/>
    </row>
    <row r="158" spans="1:46" s="115" customFormat="1" x14ac:dyDescent="0.2">
      <c r="A158" s="116"/>
      <c r="D158" s="136"/>
      <c r="G158" s="162"/>
      <c r="H158" s="112"/>
      <c r="I158" s="112"/>
      <c r="J158" s="112"/>
      <c r="K158" s="112"/>
      <c r="L158" s="112"/>
      <c r="M158" s="112"/>
      <c r="N158" s="112"/>
      <c r="O158" s="112"/>
      <c r="P158" s="112"/>
      <c r="Q158" s="112"/>
      <c r="R158" s="112"/>
      <c r="S158" s="112"/>
      <c r="T158" s="112"/>
      <c r="U158" s="112"/>
      <c r="V158" s="112"/>
      <c r="W158" s="112"/>
      <c r="X158" s="112"/>
      <c r="Y158" s="112"/>
      <c r="Z158" s="112"/>
      <c r="AA158" s="112"/>
      <c r="AB158" s="112"/>
      <c r="AC158" s="112"/>
      <c r="AD158" s="112"/>
      <c r="AE158" s="112"/>
      <c r="AF158" s="112"/>
      <c r="AG158" s="112"/>
      <c r="AH158" s="112"/>
      <c r="AI158" s="112"/>
      <c r="AJ158" s="112"/>
      <c r="AK158" s="112"/>
      <c r="AL158" s="112"/>
      <c r="AM158" s="112"/>
      <c r="AN158" s="112"/>
      <c r="AO158" s="112"/>
      <c r="AP158" s="112"/>
      <c r="AQ158" s="112"/>
      <c r="AR158" s="112"/>
      <c r="AS158" s="112"/>
      <c r="AT158" s="112"/>
    </row>
    <row r="159" spans="1:46" s="115" customFormat="1" x14ac:dyDescent="0.2">
      <c r="A159" s="116"/>
      <c r="D159" s="136"/>
      <c r="G159" s="162"/>
      <c r="H159" s="112"/>
      <c r="I159" s="112"/>
      <c r="J159" s="112"/>
      <c r="K159" s="112"/>
      <c r="L159" s="112"/>
      <c r="M159" s="112"/>
      <c r="N159" s="112"/>
      <c r="O159" s="112"/>
      <c r="P159" s="112"/>
      <c r="Q159" s="112"/>
      <c r="R159" s="112"/>
      <c r="S159" s="112"/>
      <c r="T159" s="112"/>
      <c r="U159" s="112"/>
      <c r="V159" s="112"/>
      <c r="W159" s="112"/>
      <c r="X159" s="112"/>
      <c r="Y159" s="112"/>
      <c r="Z159" s="112"/>
      <c r="AA159" s="112"/>
      <c r="AB159" s="112"/>
      <c r="AC159" s="112"/>
      <c r="AD159" s="112"/>
      <c r="AE159" s="112"/>
      <c r="AF159" s="112"/>
      <c r="AG159" s="112"/>
      <c r="AH159" s="112"/>
      <c r="AI159" s="112"/>
      <c r="AJ159" s="112"/>
      <c r="AK159" s="112"/>
      <c r="AL159" s="112"/>
      <c r="AM159" s="112"/>
      <c r="AN159" s="112"/>
      <c r="AO159" s="112"/>
      <c r="AP159" s="112"/>
      <c r="AQ159" s="112"/>
      <c r="AR159" s="112"/>
      <c r="AS159" s="112"/>
      <c r="AT159" s="112"/>
    </row>
    <row r="160" spans="1:46" s="115" customFormat="1" x14ac:dyDescent="0.2">
      <c r="A160" s="116"/>
      <c r="D160" s="136"/>
      <c r="G160" s="162"/>
      <c r="H160" s="112"/>
      <c r="I160" s="112"/>
      <c r="J160" s="112"/>
      <c r="K160" s="112"/>
      <c r="L160" s="112"/>
      <c r="M160" s="112"/>
      <c r="N160" s="112"/>
      <c r="O160" s="112"/>
      <c r="P160" s="112"/>
      <c r="Q160" s="112"/>
      <c r="R160" s="112"/>
      <c r="S160" s="112"/>
      <c r="T160" s="112"/>
      <c r="U160" s="112"/>
      <c r="V160" s="112"/>
      <c r="W160" s="112"/>
      <c r="X160" s="112"/>
      <c r="Y160" s="112"/>
      <c r="Z160" s="112"/>
      <c r="AA160" s="112"/>
      <c r="AB160" s="112"/>
      <c r="AC160" s="112"/>
      <c r="AD160" s="112"/>
      <c r="AE160" s="112"/>
      <c r="AF160" s="112"/>
      <c r="AG160" s="112"/>
      <c r="AH160" s="112"/>
      <c r="AI160" s="112"/>
      <c r="AJ160" s="112"/>
      <c r="AK160" s="112"/>
      <c r="AL160" s="112"/>
      <c r="AM160" s="112"/>
      <c r="AN160" s="112"/>
      <c r="AO160" s="112"/>
      <c r="AP160" s="112"/>
      <c r="AQ160" s="112"/>
      <c r="AR160" s="112"/>
      <c r="AS160" s="112"/>
      <c r="AT160" s="112"/>
    </row>
    <row r="161" spans="1:46" s="115" customFormat="1" x14ac:dyDescent="0.2">
      <c r="A161" s="116"/>
      <c r="D161" s="136"/>
      <c r="G161" s="162"/>
      <c r="H161" s="112"/>
      <c r="I161" s="112"/>
      <c r="J161" s="112"/>
      <c r="K161" s="112"/>
      <c r="L161" s="112"/>
      <c r="M161" s="112"/>
      <c r="N161" s="112"/>
      <c r="O161" s="112"/>
      <c r="P161" s="112"/>
      <c r="Q161" s="112"/>
      <c r="R161" s="112"/>
      <c r="S161" s="112"/>
      <c r="T161" s="112"/>
      <c r="U161" s="112"/>
      <c r="V161" s="112"/>
      <c r="W161" s="112"/>
      <c r="X161" s="112"/>
      <c r="Y161" s="112"/>
      <c r="Z161" s="112"/>
      <c r="AA161" s="112"/>
      <c r="AB161" s="112"/>
      <c r="AC161" s="112"/>
      <c r="AD161" s="112"/>
      <c r="AE161" s="112"/>
      <c r="AF161" s="112"/>
      <c r="AG161" s="112"/>
      <c r="AH161" s="112"/>
      <c r="AI161" s="112"/>
      <c r="AJ161" s="112"/>
      <c r="AK161" s="112"/>
      <c r="AL161" s="112"/>
      <c r="AM161" s="112"/>
      <c r="AN161" s="112"/>
      <c r="AO161" s="112"/>
      <c r="AP161" s="112"/>
      <c r="AQ161" s="112"/>
      <c r="AR161" s="112"/>
      <c r="AS161" s="112"/>
      <c r="AT161" s="112"/>
    </row>
    <row r="162" spans="1:46" s="115" customFormat="1" x14ac:dyDescent="0.2">
      <c r="A162" s="116"/>
      <c r="D162" s="136"/>
      <c r="G162" s="162"/>
      <c r="H162" s="112"/>
      <c r="I162" s="112"/>
      <c r="J162" s="112"/>
      <c r="K162" s="112"/>
      <c r="L162" s="112"/>
      <c r="M162" s="112"/>
      <c r="N162" s="112"/>
      <c r="O162" s="112"/>
      <c r="P162" s="112"/>
      <c r="Q162" s="112"/>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c r="AO162" s="112"/>
      <c r="AP162" s="112"/>
      <c r="AQ162" s="112"/>
      <c r="AR162" s="112"/>
      <c r="AS162" s="112"/>
      <c r="AT162" s="112"/>
    </row>
    <row r="163" spans="1:46" s="115" customFormat="1" x14ac:dyDescent="0.2">
      <c r="A163" s="116"/>
      <c r="D163" s="136"/>
      <c r="G163" s="162"/>
      <c r="H163" s="112"/>
      <c r="I163" s="112"/>
      <c r="J163" s="112"/>
      <c r="K163" s="112"/>
      <c r="L163" s="112"/>
      <c r="M163" s="112"/>
      <c r="N163" s="112"/>
      <c r="O163" s="112"/>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2"/>
      <c r="AN163" s="112"/>
      <c r="AO163" s="112"/>
      <c r="AP163" s="112"/>
      <c r="AQ163" s="112"/>
      <c r="AR163" s="112"/>
      <c r="AS163" s="112"/>
      <c r="AT163" s="112"/>
    </row>
    <row r="164" spans="1:46" s="115" customFormat="1" x14ac:dyDescent="0.2">
      <c r="A164" s="116"/>
      <c r="D164" s="136"/>
      <c r="G164" s="162"/>
      <c r="H164" s="112"/>
      <c r="I164" s="112"/>
      <c r="J164" s="112"/>
      <c r="K164" s="112"/>
      <c r="L164" s="112"/>
      <c r="M164" s="112"/>
      <c r="N164" s="112"/>
      <c r="O164" s="112"/>
      <c r="P164" s="112"/>
      <c r="Q164" s="112"/>
      <c r="R164" s="112"/>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2"/>
      <c r="AN164" s="112"/>
      <c r="AO164" s="112"/>
      <c r="AP164" s="112"/>
      <c r="AQ164" s="112"/>
      <c r="AR164" s="112"/>
      <c r="AS164" s="112"/>
      <c r="AT164" s="112"/>
    </row>
    <row r="165" spans="1:46" s="115" customFormat="1" x14ac:dyDescent="0.2">
      <c r="A165" s="116"/>
      <c r="D165" s="136"/>
      <c r="G165" s="162"/>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c r="AD165" s="112"/>
      <c r="AE165" s="112"/>
      <c r="AF165" s="112"/>
      <c r="AG165" s="112"/>
      <c r="AH165" s="112"/>
      <c r="AI165" s="112"/>
      <c r="AJ165" s="112"/>
      <c r="AK165" s="112"/>
      <c r="AL165" s="112"/>
      <c r="AM165" s="112"/>
      <c r="AN165" s="112"/>
      <c r="AO165" s="112"/>
      <c r="AP165" s="112"/>
      <c r="AQ165" s="112"/>
      <c r="AR165" s="112"/>
      <c r="AS165" s="112"/>
      <c r="AT165" s="112"/>
    </row>
    <row r="166" spans="1:46" s="115" customFormat="1" x14ac:dyDescent="0.2">
      <c r="A166" s="116"/>
      <c r="D166" s="136"/>
      <c r="G166" s="162"/>
      <c r="H166" s="112"/>
      <c r="I166" s="112"/>
      <c r="J166" s="112"/>
      <c r="K166" s="112"/>
      <c r="L166" s="112"/>
      <c r="M166" s="112"/>
      <c r="N166" s="112"/>
      <c r="O166" s="112"/>
      <c r="P166" s="112"/>
      <c r="Q166" s="112"/>
      <c r="R166" s="112"/>
      <c r="S166" s="112"/>
      <c r="T166" s="112"/>
      <c r="U166" s="112"/>
      <c r="V166" s="112"/>
      <c r="W166" s="112"/>
      <c r="X166" s="112"/>
      <c r="Y166" s="112"/>
      <c r="Z166" s="112"/>
      <c r="AA166" s="112"/>
      <c r="AB166" s="112"/>
      <c r="AC166" s="112"/>
      <c r="AD166" s="112"/>
      <c r="AE166" s="112"/>
      <c r="AF166" s="112"/>
      <c r="AG166" s="112"/>
      <c r="AH166" s="112"/>
      <c r="AI166" s="112"/>
      <c r="AJ166" s="112"/>
      <c r="AK166" s="112"/>
      <c r="AL166" s="112"/>
      <c r="AM166" s="112"/>
      <c r="AN166" s="112"/>
      <c r="AO166" s="112"/>
      <c r="AP166" s="112"/>
      <c r="AQ166" s="112"/>
      <c r="AR166" s="112"/>
      <c r="AS166" s="112"/>
      <c r="AT166" s="112"/>
    </row>
    <row r="167" spans="1:46" s="115" customFormat="1" x14ac:dyDescent="0.2">
      <c r="A167" s="116"/>
      <c r="D167" s="136"/>
      <c r="G167" s="162"/>
      <c r="H167" s="112"/>
      <c r="I167" s="112"/>
      <c r="J167" s="112"/>
      <c r="K167" s="112"/>
      <c r="L167" s="112"/>
      <c r="M167" s="112"/>
      <c r="N167" s="112"/>
      <c r="O167" s="112"/>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2"/>
      <c r="AN167" s="112"/>
      <c r="AO167" s="112"/>
      <c r="AP167" s="112"/>
      <c r="AQ167" s="112"/>
      <c r="AR167" s="112"/>
      <c r="AS167" s="112"/>
      <c r="AT167" s="112"/>
    </row>
    <row r="168" spans="1:46" s="115" customFormat="1" x14ac:dyDescent="0.2">
      <c r="A168" s="116"/>
      <c r="D168" s="136"/>
      <c r="G168" s="162"/>
      <c r="H168" s="112"/>
      <c r="I168" s="112"/>
      <c r="J168" s="112"/>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2"/>
      <c r="AN168" s="112"/>
      <c r="AO168" s="112"/>
      <c r="AP168" s="112"/>
      <c r="AQ168" s="112"/>
      <c r="AR168" s="112"/>
      <c r="AS168" s="112"/>
      <c r="AT168" s="112"/>
    </row>
    <row r="169" spans="1:46" s="115" customFormat="1" x14ac:dyDescent="0.2">
      <c r="A169" s="116"/>
      <c r="D169" s="136"/>
      <c r="G169" s="162"/>
      <c r="H169" s="112"/>
      <c r="I169" s="112"/>
      <c r="J169" s="112"/>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2"/>
      <c r="AN169" s="112"/>
      <c r="AO169" s="112"/>
      <c r="AP169" s="112"/>
      <c r="AQ169" s="112"/>
      <c r="AR169" s="112"/>
      <c r="AS169" s="112"/>
      <c r="AT169" s="112"/>
    </row>
    <row r="170" spans="1:46" s="115" customFormat="1" x14ac:dyDescent="0.2">
      <c r="A170" s="116"/>
      <c r="D170" s="136"/>
      <c r="G170" s="162"/>
      <c r="H170" s="112"/>
      <c r="I170" s="112"/>
      <c r="J170" s="112"/>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2"/>
      <c r="AN170" s="112"/>
      <c r="AO170" s="112"/>
      <c r="AP170" s="112"/>
      <c r="AQ170" s="112"/>
      <c r="AR170" s="112"/>
      <c r="AS170" s="112"/>
      <c r="AT170" s="112"/>
    </row>
    <row r="171" spans="1:46" s="115" customFormat="1" x14ac:dyDescent="0.2">
      <c r="A171" s="116"/>
      <c r="D171" s="136"/>
      <c r="G171" s="162"/>
      <c r="H171" s="112"/>
      <c r="I171" s="112"/>
      <c r="J171" s="112"/>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2"/>
      <c r="AN171" s="112"/>
      <c r="AO171" s="112"/>
      <c r="AP171" s="112"/>
      <c r="AQ171" s="112"/>
      <c r="AR171" s="112"/>
      <c r="AS171" s="112"/>
      <c r="AT171" s="112"/>
    </row>
    <row r="172" spans="1:46" s="115" customFormat="1" x14ac:dyDescent="0.2">
      <c r="A172" s="116"/>
      <c r="D172" s="136"/>
      <c r="G172" s="162"/>
      <c r="H172" s="112"/>
      <c r="I172" s="112"/>
      <c r="J172" s="112"/>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2"/>
      <c r="AN172" s="112"/>
      <c r="AO172" s="112"/>
      <c r="AP172" s="112"/>
      <c r="AQ172" s="112"/>
      <c r="AR172" s="112"/>
      <c r="AS172" s="112"/>
      <c r="AT172" s="112"/>
    </row>
    <row r="173" spans="1:46" s="115" customFormat="1" x14ac:dyDescent="0.2">
      <c r="A173" s="116"/>
      <c r="D173" s="136"/>
      <c r="G173" s="162"/>
      <c r="H173" s="112"/>
      <c r="I173" s="112"/>
      <c r="J173" s="112"/>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2"/>
      <c r="AN173" s="112"/>
      <c r="AO173" s="112"/>
      <c r="AP173" s="112"/>
      <c r="AQ173" s="112"/>
      <c r="AR173" s="112"/>
      <c r="AS173" s="112"/>
      <c r="AT173" s="112"/>
    </row>
    <row r="174" spans="1:46" s="115" customFormat="1" x14ac:dyDescent="0.2">
      <c r="A174" s="116"/>
      <c r="D174" s="136"/>
      <c r="G174" s="162"/>
      <c r="H174" s="112"/>
      <c r="I174" s="112"/>
      <c r="J174" s="112"/>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c r="AO174" s="112"/>
      <c r="AP174" s="112"/>
      <c r="AQ174" s="112"/>
      <c r="AR174" s="112"/>
      <c r="AS174" s="112"/>
      <c r="AT174" s="112"/>
    </row>
    <row r="175" spans="1:46" s="115" customFormat="1" x14ac:dyDescent="0.2">
      <c r="A175" s="116"/>
      <c r="D175" s="136"/>
      <c r="G175" s="162"/>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2"/>
      <c r="AN175" s="112"/>
      <c r="AO175" s="112"/>
      <c r="AP175" s="112"/>
      <c r="AQ175" s="112"/>
      <c r="AR175" s="112"/>
      <c r="AS175" s="112"/>
      <c r="AT175" s="112"/>
    </row>
    <row r="176" spans="1:46" s="115" customFormat="1" x14ac:dyDescent="0.2">
      <c r="A176" s="116"/>
      <c r="D176" s="136"/>
      <c r="G176" s="162"/>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c r="AN176" s="112"/>
      <c r="AO176" s="112"/>
      <c r="AP176" s="112"/>
      <c r="AQ176" s="112"/>
      <c r="AR176" s="112"/>
      <c r="AS176" s="112"/>
      <c r="AT176" s="112"/>
    </row>
    <row r="177" spans="1:46" s="115" customFormat="1" x14ac:dyDescent="0.2">
      <c r="A177" s="116"/>
      <c r="D177" s="136"/>
      <c r="G177" s="162"/>
      <c r="H177" s="112"/>
      <c r="I177" s="112"/>
      <c r="J177" s="112"/>
      <c r="K177" s="112"/>
      <c r="L177" s="112"/>
      <c r="M177" s="112"/>
      <c r="N177" s="112"/>
      <c r="O177" s="112"/>
      <c r="P177" s="112"/>
      <c r="Q177" s="112"/>
      <c r="R177" s="112"/>
      <c r="S177" s="112"/>
      <c r="T177" s="112"/>
      <c r="U177" s="112"/>
      <c r="V177" s="112"/>
      <c r="W177" s="112"/>
      <c r="X177" s="112"/>
      <c r="Y177" s="112"/>
      <c r="Z177" s="112"/>
      <c r="AA177" s="112"/>
      <c r="AB177" s="112"/>
      <c r="AC177" s="112"/>
      <c r="AD177" s="112"/>
      <c r="AE177" s="112"/>
      <c r="AF177" s="112"/>
      <c r="AG177" s="112"/>
      <c r="AH177" s="112"/>
      <c r="AI177" s="112"/>
      <c r="AJ177" s="112"/>
      <c r="AK177" s="112"/>
      <c r="AL177" s="112"/>
      <c r="AM177" s="112"/>
      <c r="AN177" s="112"/>
      <c r="AO177" s="112"/>
      <c r="AP177" s="112"/>
      <c r="AQ177" s="112"/>
      <c r="AR177" s="112"/>
      <c r="AS177" s="112"/>
      <c r="AT177" s="112"/>
    </row>
    <row r="178" spans="1:46" s="115" customFormat="1" x14ac:dyDescent="0.2">
      <c r="A178" s="116"/>
      <c r="D178" s="136"/>
      <c r="G178" s="162"/>
      <c r="H178" s="112"/>
      <c r="I178" s="112"/>
      <c r="J178" s="112"/>
      <c r="K178" s="112"/>
      <c r="L178" s="112"/>
      <c r="M178" s="112"/>
      <c r="N178" s="112"/>
      <c r="O178" s="112"/>
      <c r="P178" s="112"/>
      <c r="Q178" s="112"/>
      <c r="R178" s="112"/>
      <c r="S178" s="112"/>
      <c r="T178" s="112"/>
      <c r="U178" s="112"/>
      <c r="V178" s="112"/>
      <c r="W178" s="112"/>
      <c r="X178" s="112"/>
      <c r="Y178" s="112"/>
      <c r="Z178" s="112"/>
      <c r="AA178" s="112"/>
      <c r="AB178" s="112"/>
      <c r="AC178" s="112"/>
      <c r="AD178" s="112"/>
      <c r="AE178" s="112"/>
      <c r="AF178" s="112"/>
      <c r="AG178" s="112"/>
      <c r="AH178" s="112"/>
      <c r="AI178" s="112"/>
      <c r="AJ178" s="112"/>
      <c r="AK178" s="112"/>
      <c r="AL178" s="112"/>
      <c r="AM178" s="112"/>
      <c r="AN178" s="112"/>
      <c r="AO178" s="112"/>
      <c r="AP178" s="112"/>
      <c r="AQ178" s="112"/>
      <c r="AR178" s="112"/>
      <c r="AS178" s="112"/>
      <c r="AT178" s="112"/>
    </row>
    <row r="179" spans="1:46" s="115" customFormat="1" x14ac:dyDescent="0.2">
      <c r="A179" s="116"/>
      <c r="D179" s="136"/>
      <c r="G179" s="162"/>
      <c r="H179" s="112"/>
      <c r="I179" s="112"/>
      <c r="J179" s="112"/>
      <c r="K179" s="112"/>
      <c r="L179" s="112"/>
      <c r="M179" s="112"/>
      <c r="N179" s="112"/>
      <c r="O179" s="112"/>
      <c r="P179" s="112"/>
      <c r="Q179" s="112"/>
      <c r="R179" s="112"/>
      <c r="S179" s="112"/>
      <c r="T179" s="112"/>
      <c r="U179" s="112"/>
      <c r="V179" s="112"/>
      <c r="W179" s="112"/>
      <c r="X179" s="112"/>
      <c r="Y179" s="112"/>
      <c r="Z179" s="112"/>
      <c r="AA179" s="112"/>
      <c r="AB179" s="112"/>
      <c r="AC179" s="112"/>
      <c r="AD179" s="112"/>
      <c r="AE179" s="112"/>
      <c r="AF179" s="112"/>
      <c r="AG179" s="112"/>
      <c r="AH179" s="112"/>
      <c r="AI179" s="112"/>
      <c r="AJ179" s="112"/>
      <c r="AK179" s="112"/>
      <c r="AL179" s="112"/>
      <c r="AM179" s="112"/>
      <c r="AN179" s="112"/>
      <c r="AO179" s="112"/>
      <c r="AP179" s="112"/>
      <c r="AQ179" s="112"/>
      <c r="AR179" s="112"/>
      <c r="AS179" s="112"/>
      <c r="AT179" s="112"/>
    </row>
    <row r="180" spans="1:46" s="115" customFormat="1" x14ac:dyDescent="0.2">
      <c r="A180" s="116"/>
      <c r="D180" s="136"/>
      <c r="G180" s="162"/>
      <c r="H180" s="112"/>
      <c r="I180" s="112"/>
      <c r="J180" s="112"/>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c r="AO180" s="112"/>
      <c r="AP180" s="112"/>
      <c r="AQ180" s="112"/>
      <c r="AR180" s="112"/>
      <c r="AS180" s="112"/>
      <c r="AT180" s="112"/>
    </row>
    <row r="181" spans="1:46" s="115" customFormat="1" x14ac:dyDescent="0.2">
      <c r="A181" s="116"/>
      <c r="D181" s="136"/>
      <c r="G181" s="162"/>
      <c r="H181" s="112"/>
      <c r="I181" s="112"/>
      <c r="J181" s="112"/>
      <c r="K181" s="112"/>
      <c r="L181" s="112"/>
      <c r="M181" s="112"/>
      <c r="N181" s="112"/>
      <c r="O181" s="112"/>
      <c r="P181" s="112"/>
      <c r="Q181" s="112"/>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2"/>
      <c r="AN181" s="112"/>
      <c r="AO181" s="112"/>
      <c r="AP181" s="112"/>
      <c r="AQ181" s="112"/>
      <c r="AR181" s="112"/>
      <c r="AS181" s="112"/>
      <c r="AT181" s="112"/>
    </row>
    <row r="182" spans="1:46" s="115" customFormat="1" x14ac:dyDescent="0.2">
      <c r="A182" s="116"/>
      <c r="D182" s="136"/>
      <c r="G182" s="162"/>
      <c r="H182" s="112"/>
      <c r="I182" s="112"/>
      <c r="J182" s="112"/>
      <c r="K182" s="112"/>
      <c r="L182" s="112"/>
      <c r="M182" s="112"/>
      <c r="N182" s="112"/>
      <c r="O182" s="112"/>
      <c r="P182" s="112"/>
      <c r="Q182" s="112"/>
      <c r="R182" s="112"/>
      <c r="S182" s="112"/>
      <c r="T182" s="112"/>
      <c r="U182" s="112"/>
      <c r="V182" s="112"/>
      <c r="W182" s="112"/>
      <c r="X182" s="112"/>
      <c r="Y182" s="112"/>
      <c r="Z182" s="112"/>
      <c r="AA182" s="112"/>
      <c r="AB182" s="112"/>
      <c r="AC182" s="112"/>
      <c r="AD182" s="112"/>
      <c r="AE182" s="112"/>
      <c r="AF182" s="112"/>
      <c r="AG182" s="112"/>
      <c r="AH182" s="112"/>
      <c r="AI182" s="112"/>
      <c r="AJ182" s="112"/>
      <c r="AK182" s="112"/>
      <c r="AL182" s="112"/>
      <c r="AM182" s="112"/>
      <c r="AN182" s="112"/>
      <c r="AO182" s="112"/>
      <c r="AP182" s="112"/>
      <c r="AQ182" s="112"/>
      <c r="AR182" s="112"/>
      <c r="AS182" s="112"/>
      <c r="AT182" s="112"/>
    </row>
    <row r="183" spans="1:46" s="115" customFormat="1" x14ac:dyDescent="0.2">
      <c r="A183" s="116"/>
      <c r="D183" s="136"/>
      <c r="G183" s="162"/>
      <c r="H183" s="112"/>
      <c r="I183" s="112"/>
      <c r="J183" s="112"/>
      <c r="K183" s="112"/>
      <c r="L183" s="112"/>
      <c r="M183" s="112"/>
      <c r="N183" s="112"/>
      <c r="O183" s="112"/>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2"/>
      <c r="AN183" s="112"/>
      <c r="AO183" s="112"/>
      <c r="AP183" s="112"/>
      <c r="AQ183" s="112"/>
      <c r="AR183" s="112"/>
      <c r="AS183" s="112"/>
      <c r="AT183" s="112"/>
    </row>
    <row r="184" spans="1:46" s="115" customFormat="1" x14ac:dyDescent="0.2">
      <c r="A184" s="116"/>
      <c r="D184" s="136"/>
      <c r="G184" s="162"/>
      <c r="H184" s="112"/>
      <c r="I184" s="112"/>
      <c r="J184" s="112"/>
      <c r="K184" s="112"/>
      <c r="L184" s="112"/>
      <c r="M184" s="112"/>
      <c r="N184" s="112"/>
      <c r="O184" s="112"/>
      <c r="P184" s="112"/>
      <c r="Q184" s="11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c r="AO184" s="112"/>
      <c r="AP184" s="112"/>
      <c r="AQ184" s="112"/>
      <c r="AR184" s="112"/>
      <c r="AS184" s="112"/>
      <c r="AT184" s="112"/>
    </row>
    <row r="185" spans="1:46" s="115" customFormat="1" x14ac:dyDescent="0.2">
      <c r="A185" s="116"/>
      <c r="D185" s="136"/>
      <c r="G185" s="162"/>
      <c r="H185" s="112"/>
      <c r="I185" s="112"/>
      <c r="J185" s="112"/>
      <c r="K185" s="112"/>
      <c r="L185" s="112"/>
      <c r="M185" s="112"/>
      <c r="N185" s="112"/>
      <c r="O185" s="112"/>
      <c r="P185" s="112"/>
      <c r="Q185" s="112"/>
      <c r="R185" s="112"/>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c r="AO185" s="112"/>
      <c r="AP185" s="112"/>
      <c r="AQ185" s="112"/>
      <c r="AR185" s="112"/>
      <c r="AS185" s="112"/>
      <c r="AT185" s="112"/>
    </row>
    <row r="186" spans="1:46" s="115" customFormat="1" x14ac:dyDescent="0.2">
      <c r="A186" s="116"/>
      <c r="D186" s="136"/>
      <c r="G186" s="162"/>
      <c r="H186" s="112"/>
      <c r="I186" s="112"/>
      <c r="J186" s="112"/>
      <c r="K186" s="112"/>
      <c r="L186" s="112"/>
      <c r="M186" s="112"/>
      <c r="N186" s="112"/>
      <c r="O186" s="112"/>
      <c r="P186" s="112"/>
      <c r="Q186" s="112"/>
      <c r="R186" s="112"/>
      <c r="S186" s="112"/>
      <c r="T186" s="112"/>
      <c r="U186" s="112"/>
      <c r="V186" s="112"/>
      <c r="W186" s="112"/>
      <c r="X186" s="112"/>
      <c r="Y186" s="112"/>
      <c r="Z186" s="112"/>
      <c r="AA186" s="112"/>
      <c r="AB186" s="112"/>
      <c r="AC186" s="112"/>
      <c r="AD186" s="112"/>
      <c r="AE186" s="112"/>
      <c r="AF186" s="112"/>
      <c r="AG186" s="112"/>
      <c r="AH186" s="112"/>
      <c r="AI186" s="112"/>
      <c r="AJ186" s="112"/>
      <c r="AK186" s="112"/>
      <c r="AL186" s="112"/>
      <c r="AM186" s="112"/>
      <c r="AN186" s="112"/>
      <c r="AO186" s="112"/>
      <c r="AP186" s="112"/>
      <c r="AQ186" s="112"/>
      <c r="AR186" s="112"/>
      <c r="AS186" s="112"/>
      <c r="AT186" s="112"/>
    </row>
    <row r="187" spans="1:46" s="115" customFormat="1" x14ac:dyDescent="0.2">
      <c r="A187" s="116"/>
      <c r="D187" s="136"/>
      <c r="G187" s="162"/>
      <c r="H187" s="112"/>
      <c r="I187" s="112"/>
      <c r="J187" s="112"/>
      <c r="K187" s="112"/>
      <c r="L187" s="112"/>
      <c r="M187" s="112"/>
      <c r="N187" s="112"/>
      <c r="O187" s="112"/>
      <c r="P187" s="112"/>
      <c r="Q187" s="112"/>
      <c r="R187" s="112"/>
      <c r="S187" s="112"/>
      <c r="T187" s="112"/>
      <c r="U187" s="112"/>
      <c r="V187" s="112"/>
      <c r="W187" s="112"/>
      <c r="X187" s="112"/>
      <c r="Y187" s="112"/>
      <c r="Z187" s="112"/>
      <c r="AA187" s="112"/>
      <c r="AB187" s="112"/>
      <c r="AC187" s="112"/>
      <c r="AD187" s="112"/>
      <c r="AE187" s="112"/>
      <c r="AF187" s="112"/>
      <c r="AG187" s="112"/>
      <c r="AH187" s="112"/>
      <c r="AI187" s="112"/>
      <c r="AJ187" s="112"/>
      <c r="AK187" s="112"/>
      <c r="AL187" s="112"/>
      <c r="AM187" s="112"/>
      <c r="AN187" s="112"/>
      <c r="AO187" s="112"/>
      <c r="AP187" s="112"/>
      <c r="AQ187" s="112"/>
      <c r="AR187" s="112"/>
      <c r="AS187" s="112"/>
      <c r="AT187" s="112"/>
    </row>
    <row r="188" spans="1:46" s="115" customFormat="1" x14ac:dyDescent="0.2">
      <c r="A188" s="116"/>
      <c r="D188" s="136"/>
      <c r="G188" s="162"/>
      <c r="H188" s="112"/>
      <c r="I188" s="112"/>
      <c r="J188" s="112"/>
      <c r="K188" s="112"/>
      <c r="L188" s="112"/>
      <c r="M188" s="112"/>
      <c r="N188" s="112"/>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c r="AJ188" s="112"/>
      <c r="AK188" s="112"/>
      <c r="AL188" s="112"/>
      <c r="AM188" s="112"/>
      <c r="AN188" s="112"/>
      <c r="AO188" s="112"/>
      <c r="AP188" s="112"/>
      <c r="AQ188" s="112"/>
      <c r="AR188" s="112"/>
      <c r="AS188" s="112"/>
      <c r="AT188" s="112"/>
    </row>
    <row r="189" spans="1:46" s="115" customFormat="1" x14ac:dyDescent="0.2">
      <c r="A189" s="116"/>
      <c r="D189" s="136"/>
      <c r="G189" s="162"/>
      <c r="H189" s="112"/>
      <c r="I189" s="112"/>
      <c r="J189" s="112"/>
      <c r="K189" s="112"/>
      <c r="L189" s="112"/>
      <c r="M189" s="112"/>
      <c r="N189" s="112"/>
      <c r="O189" s="112"/>
      <c r="P189" s="112"/>
      <c r="Q189" s="112"/>
      <c r="R189" s="112"/>
      <c r="S189" s="112"/>
      <c r="T189" s="112"/>
      <c r="U189" s="112"/>
      <c r="V189" s="112"/>
      <c r="W189" s="112"/>
      <c r="X189" s="112"/>
      <c r="Y189" s="112"/>
      <c r="Z189" s="112"/>
      <c r="AA189" s="112"/>
      <c r="AB189" s="112"/>
      <c r="AC189" s="112"/>
      <c r="AD189" s="112"/>
      <c r="AE189" s="112"/>
      <c r="AF189" s="112"/>
      <c r="AG189" s="112"/>
      <c r="AH189" s="112"/>
      <c r="AI189" s="112"/>
      <c r="AJ189" s="112"/>
      <c r="AK189" s="112"/>
      <c r="AL189" s="112"/>
      <c r="AM189" s="112"/>
      <c r="AN189" s="112"/>
      <c r="AO189" s="112"/>
      <c r="AP189" s="112"/>
      <c r="AQ189" s="112"/>
      <c r="AR189" s="112"/>
      <c r="AS189" s="112"/>
      <c r="AT189" s="112"/>
    </row>
    <row r="190" spans="1:46" s="115" customFormat="1" x14ac:dyDescent="0.2">
      <c r="A190" s="116"/>
      <c r="D190" s="136"/>
      <c r="G190" s="162"/>
      <c r="H190" s="112"/>
      <c r="I190" s="112"/>
      <c r="J190" s="112"/>
      <c r="K190" s="112"/>
      <c r="L190" s="112"/>
      <c r="M190" s="112"/>
      <c r="N190" s="112"/>
      <c r="O190" s="112"/>
      <c r="P190" s="112"/>
      <c r="Q190" s="112"/>
      <c r="R190" s="112"/>
      <c r="S190" s="112"/>
      <c r="T190" s="112"/>
      <c r="U190" s="112"/>
      <c r="V190" s="112"/>
      <c r="W190" s="112"/>
      <c r="X190" s="112"/>
      <c r="Y190" s="112"/>
      <c r="Z190" s="112"/>
      <c r="AA190" s="112"/>
      <c r="AB190" s="112"/>
      <c r="AC190" s="112"/>
      <c r="AD190" s="112"/>
      <c r="AE190" s="112"/>
      <c r="AF190" s="112"/>
      <c r="AG190" s="112"/>
      <c r="AH190" s="112"/>
      <c r="AI190" s="112"/>
      <c r="AJ190" s="112"/>
      <c r="AK190" s="112"/>
      <c r="AL190" s="112"/>
      <c r="AM190" s="112"/>
      <c r="AN190" s="112"/>
      <c r="AO190" s="112"/>
      <c r="AP190" s="112"/>
      <c r="AQ190" s="112"/>
      <c r="AR190" s="112"/>
      <c r="AS190" s="112"/>
      <c r="AT190" s="112"/>
    </row>
    <row r="191" spans="1:46" s="115" customFormat="1" x14ac:dyDescent="0.2">
      <c r="A191" s="116"/>
      <c r="D191" s="136"/>
      <c r="G191" s="162"/>
      <c r="H191" s="112"/>
      <c r="I191" s="112"/>
      <c r="J191" s="112"/>
      <c r="K191" s="112"/>
      <c r="L191" s="112"/>
      <c r="M191" s="112"/>
      <c r="N191" s="112"/>
      <c r="O191" s="112"/>
      <c r="P191" s="112"/>
      <c r="Q191" s="112"/>
      <c r="R191" s="112"/>
      <c r="S191" s="112"/>
      <c r="T191" s="112"/>
      <c r="U191" s="112"/>
      <c r="V191" s="112"/>
      <c r="W191" s="112"/>
      <c r="X191" s="112"/>
      <c r="Y191" s="112"/>
      <c r="Z191" s="112"/>
      <c r="AA191" s="112"/>
      <c r="AB191" s="112"/>
      <c r="AC191" s="112"/>
      <c r="AD191" s="112"/>
      <c r="AE191" s="112"/>
      <c r="AF191" s="112"/>
      <c r="AG191" s="112"/>
      <c r="AH191" s="112"/>
      <c r="AI191" s="112"/>
      <c r="AJ191" s="112"/>
      <c r="AK191" s="112"/>
      <c r="AL191" s="112"/>
      <c r="AM191" s="112"/>
      <c r="AN191" s="112"/>
      <c r="AO191" s="112"/>
      <c r="AP191" s="112"/>
      <c r="AQ191" s="112"/>
      <c r="AR191" s="112"/>
      <c r="AS191" s="112"/>
      <c r="AT191" s="112"/>
    </row>
    <row r="192" spans="1:46" s="115" customFormat="1" x14ac:dyDescent="0.2">
      <c r="A192" s="116"/>
      <c r="D192" s="136"/>
      <c r="G192" s="162"/>
      <c r="H192" s="112"/>
      <c r="I192" s="112"/>
      <c r="J192" s="112"/>
      <c r="K192" s="112"/>
      <c r="L192" s="112"/>
      <c r="M192" s="112"/>
      <c r="N192" s="112"/>
      <c r="O192" s="112"/>
      <c r="P192" s="112"/>
      <c r="Q192" s="112"/>
      <c r="R192" s="112"/>
      <c r="S192" s="112"/>
      <c r="T192" s="112"/>
      <c r="U192" s="112"/>
      <c r="V192" s="112"/>
      <c r="W192" s="112"/>
      <c r="X192" s="112"/>
      <c r="Y192" s="112"/>
      <c r="Z192" s="112"/>
      <c r="AA192" s="112"/>
      <c r="AB192" s="112"/>
      <c r="AC192" s="112"/>
      <c r="AD192" s="112"/>
      <c r="AE192" s="112"/>
      <c r="AF192" s="112"/>
      <c r="AG192" s="112"/>
      <c r="AH192" s="112"/>
      <c r="AI192" s="112"/>
      <c r="AJ192" s="112"/>
      <c r="AK192" s="112"/>
      <c r="AL192" s="112"/>
      <c r="AM192" s="112"/>
      <c r="AN192" s="112"/>
      <c r="AO192" s="112"/>
      <c r="AP192" s="112"/>
      <c r="AQ192" s="112"/>
      <c r="AR192" s="112"/>
      <c r="AS192" s="112"/>
      <c r="AT192" s="112"/>
    </row>
    <row r="193" spans="1:46" s="115" customFormat="1" x14ac:dyDescent="0.2">
      <c r="A193" s="116"/>
      <c r="D193" s="136"/>
      <c r="G193" s="162"/>
      <c r="H193" s="112"/>
      <c r="I193" s="112"/>
      <c r="J193" s="112"/>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c r="AJ193" s="112"/>
      <c r="AK193" s="112"/>
      <c r="AL193" s="112"/>
      <c r="AM193" s="112"/>
      <c r="AN193" s="112"/>
      <c r="AO193" s="112"/>
      <c r="AP193" s="112"/>
      <c r="AQ193" s="112"/>
      <c r="AR193" s="112"/>
      <c r="AS193" s="112"/>
      <c r="AT193" s="112"/>
    </row>
    <row r="194" spans="1:46" s="115" customFormat="1" x14ac:dyDescent="0.2">
      <c r="A194" s="116"/>
      <c r="D194" s="136"/>
      <c r="G194" s="162"/>
      <c r="H194" s="112"/>
      <c r="I194" s="112"/>
      <c r="J194" s="112"/>
      <c r="K194" s="112"/>
      <c r="L194" s="112"/>
      <c r="M194" s="112"/>
      <c r="N194" s="112"/>
      <c r="O194" s="112"/>
      <c r="P194" s="112"/>
      <c r="Q194" s="112"/>
      <c r="R194" s="112"/>
      <c r="S194" s="112"/>
      <c r="T194" s="112"/>
      <c r="U194" s="112"/>
      <c r="V194" s="112"/>
      <c r="W194" s="112"/>
      <c r="X194" s="112"/>
      <c r="Y194" s="112"/>
      <c r="Z194" s="112"/>
      <c r="AA194" s="112"/>
      <c r="AB194" s="112"/>
      <c r="AC194" s="112"/>
      <c r="AD194" s="112"/>
      <c r="AE194" s="112"/>
      <c r="AF194" s="112"/>
      <c r="AG194" s="112"/>
      <c r="AH194" s="112"/>
      <c r="AI194" s="112"/>
      <c r="AJ194" s="112"/>
      <c r="AK194" s="112"/>
      <c r="AL194" s="112"/>
      <c r="AM194" s="112"/>
      <c r="AN194" s="112"/>
      <c r="AO194" s="112"/>
      <c r="AP194" s="112"/>
      <c r="AQ194" s="112"/>
      <c r="AR194" s="112"/>
      <c r="AS194" s="112"/>
      <c r="AT194" s="112"/>
    </row>
    <row r="195" spans="1:46" s="115" customFormat="1" x14ac:dyDescent="0.2">
      <c r="A195" s="116"/>
      <c r="D195" s="136"/>
      <c r="G195" s="162"/>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c r="AD195" s="112"/>
      <c r="AE195" s="112"/>
      <c r="AF195" s="112"/>
      <c r="AG195" s="112"/>
      <c r="AH195" s="112"/>
      <c r="AI195" s="112"/>
      <c r="AJ195" s="112"/>
      <c r="AK195" s="112"/>
      <c r="AL195" s="112"/>
      <c r="AM195" s="112"/>
      <c r="AN195" s="112"/>
      <c r="AO195" s="112"/>
      <c r="AP195" s="112"/>
      <c r="AQ195" s="112"/>
      <c r="AR195" s="112"/>
      <c r="AS195" s="112"/>
      <c r="AT195" s="112"/>
    </row>
    <row r="196" spans="1:46" s="115" customFormat="1" x14ac:dyDescent="0.2">
      <c r="A196" s="116"/>
      <c r="D196" s="136"/>
      <c r="G196" s="162"/>
      <c r="H196" s="112"/>
      <c r="I196" s="112"/>
      <c r="J196" s="112"/>
      <c r="K196" s="112"/>
      <c r="L196" s="112"/>
      <c r="M196" s="112"/>
      <c r="N196" s="112"/>
      <c r="O196" s="112"/>
      <c r="P196" s="112"/>
      <c r="Q196" s="112"/>
      <c r="R196" s="112"/>
      <c r="S196" s="112"/>
      <c r="T196" s="112"/>
      <c r="U196" s="112"/>
      <c r="V196" s="112"/>
      <c r="W196" s="112"/>
      <c r="X196" s="112"/>
      <c r="Y196" s="112"/>
      <c r="Z196" s="112"/>
      <c r="AA196" s="112"/>
      <c r="AB196" s="112"/>
      <c r="AC196" s="112"/>
      <c r="AD196" s="112"/>
      <c r="AE196" s="112"/>
      <c r="AF196" s="112"/>
      <c r="AG196" s="112"/>
      <c r="AH196" s="112"/>
      <c r="AI196" s="112"/>
      <c r="AJ196" s="112"/>
      <c r="AK196" s="112"/>
      <c r="AL196" s="112"/>
      <c r="AM196" s="112"/>
      <c r="AN196" s="112"/>
      <c r="AO196" s="112"/>
      <c r="AP196" s="112"/>
      <c r="AQ196" s="112"/>
      <c r="AR196" s="112"/>
      <c r="AS196" s="112"/>
      <c r="AT196" s="112"/>
    </row>
    <row r="197" spans="1:46" s="115" customFormat="1" x14ac:dyDescent="0.2">
      <c r="A197" s="116"/>
      <c r="D197" s="136"/>
      <c r="G197" s="162"/>
      <c r="H197" s="112"/>
      <c r="I197" s="112"/>
      <c r="J197" s="112"/>
      <c r="K197" s="112"/>
      <c r="L197" s="112"/>
      <c r="M197" s="112"/>
      <c r="N197" s="112"/>
      <c r="O197" s="112"/>
      <c r="P197" s="112"/>
      <c r="Q197" s="112"/>
      <c r="R197" s="112"/>
      <c r="S197" s="112"/>
      <c r="T197" s="112"/>
      <c r="U197" s="112"/>
      <c r="V197" s="112"/>
      <c r="W197" s="112"/>
      <c r="X197" s="112"/>
      <c r="Y197" s="112"/>
      <c r="Z197" s="112"/>
      <c r="AA197" s="112"/>
      <c r="AB197" s="112"/>
      <c r="AC197" s="112"/>
      <c r="AD197" s="112"/>
      <c r="AE197" s="112"/>
      <c r="AF197" s="112"/>
      <c r="AG197" s="112"/>
      <c r="AH197" s="112"/>
      <c r="AI197" s="112"/>
      <c r="AJ197" s="112"/>
      <c r="AK197" s="112"/>
      <c r="AL197" s="112"/>
      <c r="AM197" s="112"/>
      <c r="AN197" s="112"/>
      <c r="AO197" s="112"/>
      <c r="AP197" s="112"/>
      <c r="AQ197" s="112"/>
      <c r="AR197" s="112"/>
      <c r="AS197" s="112"/>
      <c r="AT197" s="112"/>
    </row>
    <row r="198" spans="1:46" s="115" customFormat="1" x14ac:dyDescent="0.2">
      <c r="A198" s="116"/>
      <c r="D198" s="136"/>
      <c r="G198" s="162"/>
      <c r="H198" s="112"/>
      <c r="I198" s="112"/>
      <c r="J198" s="112"/>
      <c r="K198" s="112"/>
      <c r="L198" s="112"/>
      <c r="M198" s="112"/>
      <c r="N198" s="112"/>
      <c r="O198" s="112"/>
      <c r="P198" s="112"/>
      <c r="Q198" s="112"/>
      <c r="R198" s="112"/>
      <c r="S198" s="112"/>
      <c r="T198" s="112"/>
      <c r="U198" s="112"/>
      <c r="V198" s="112"/>
      <c r="W198" s="112"/>
      <c r="X198" s="112"/>
      <c r="Y198" s="112"/>
      <c r="Z198" s="112"/>
      <c r="AA198" s="112"/>
      <c r="AB198" s="112"/>
      <c r="AC198" s="112"/>
      <c r="AD198" s="112"/>
      <c r="AE198" s="112"/>
      <c r="AF198" s="112"/>
      <c r="AG198" s="112"/>
      <c r="AH198" s="112"/>
      <c r="AI198" s="112"/>
      <c r="AJ198" s="112"/>
      <c r="AK198" s="112"/>
      <c r="AL198" s="112"/>
      <c r="AM198" s="112"/>
      <c r="AN198" s="112"/>
      <c r="AO198" s="112"/>
      <c r="AP198" s="112"/>
      <c r="AQ198" s="112"/>
      <c r="AR198" s="112"/>
      <c r="AS198" s="112"/>
      <c r="AT198" s="112"/>
    </row>
    <row r="199" spans="1:46" s="115" customFormat="1" x14ac:dyDescent="0.2">
      <c r="A199" s="116"/>
      <c r="D199" s="136"/>
      <c r="G199" s="162"/>
      <c r="H199" s="112"/>
      <c r="I199" s="112"/>
      <c r="J199" s="112"/>
      <c r="K199" s="112"/>
      <c r="L199" s="112"/>
      <c r="M199" s="112"/>
      <c r="N199" s="112"/>
      <c r="O199" s="112"/>
      <c r="P199" s="112"/>
      <c r="Q199" s="112"/>
      <c r="R199" s="112"/>
      <c r="S199" s="112"/>
      <c r="T199" s="112"/>
      <c r="U199" s="112"/>
      <c r="V199" s="112"/>
      <c r="W199" s="112"/>
      <c r="X199" s="112"/>
      <c r="Y199" s="112"/>
      <c r="Z199" s="112"/>
      <c r="AA199" s="112"/>
      <c r="AB199" s="112"/>
      <c r="AC199" s="112"/>
      <c r="AD199" s="112"/>
      <c r="AE199" s="112"/>
      <c r="AF199" s="112"/>
      <c r="AG199" s="112"/>
      <c r="AH199" s="112"/>
      <c r="AI199" s="112"/>
      <c r="AJ199" s="112"/>
      <c r="AK199" s="112"/>
      <c r="AL199" s="112"/>
      <c r="AM199" s="112"/>
      <c r="AN199" s="112"/>
      <c r="AO199" s="112"/>
      <c r="AP199" s="112"/>
      <c r="AQ199" s="112"/>
      <c r="AR199" s="112"/>
      <c r="AS199" s="112"/>
      <c r="AT199" s="112"/>
    </row>
    <row r="200" spans="1:46" s="115" customFormat="1" x14ac:dyDescent="0.2">
      <c r="A200" s="116"/>
      <c r="D200" s="136"/>
      <c r="G200" s="162"/>
      <c r="H200" s="112"/>
      <c r="I200" s="112"/>
      <c r="J200" s="112"/>
      <c r="K200" s="112"/>
      <c r="L200" s="112"/>
      <c r="M200" s="112"/>
      <c r="N200" s="112"/>
      <c r="O200" s="112"/>
      <c r="P200" s="112"/>
      <c r="Q200" s="112"/>
      <c r="R200" s="112"/>
      <c r="S200" s="112"/>
      <c r="T200" s="112"/>
      <c r="U200" s="112"/>
      <c r="V200" s="112"/>
      <c r="W200" s="112"/>
      <c r="X200" s="112"/>
      <c r="Y200" s="112"/>
      <c r="Z200" s="112"/>
      <c r="AA200" s="112"/>
      <c r="AB200" s="112"/>
      <c r="AC200" s="112"/>
      <c r="AD200" s="112"/>
      <c r="AE200" s="112"/>
      <c r="AF200" s="112"/>
      <c r="AG200" s="112"/>
      <c r="AH200" s="112"/>
      <c r="AI200" s="112"/>
      <c r="AJ200" s="112"/>
      <c r="AK200" s="112"/>
      <c r="AL200" s="112"/>
      <c r="AM200" s="112"/>
      <c r="AN200" s="112"/>
      <c r="AO200" s="112"/>
      <c r="AP200" s="112"/>
      <c r="AQ200" s="112"/>
      <c r="AR200" s="112"/>
      <c r="AS200" s="112"/>
      <c r="AT200" s="112"/>
    </row>
    <row r="201" spans="1:46" s="115" customFormat="1" x14ac:dyDescent="0.2">
      <c r="A201" s="116"/>
      <c r="D201" s="136"/>
      <c r="G201" s="162"/>
      <c r="H201" s="112"/>
      <c r="I201" s="112"/>
      <c r="J201" s="112"/>
      <c r="K201" s="112"/>
      <c r="L201" s="112"/>
      <c r="M201" s="112"/>
      <c r="N201" s="112"/>
      <c r="O201" s="112"/>
      <c r="P201" s="112"/>
      <c r="Q201" s="112"/>
      <c r="R201" s="112"/>
      <c r="S201" s="112"/>
      <c r="T201" s="112"/>
      <c r="U201" s="112"/>
      <c r="V201" s="112"/>
      <c r="W201" s="112"/>
      <c r="X201" s="112"/>
      <c r="Y201" s="112"/>
      <c r="Z201" s="112"/>
      <c r="AA201" s="112"/>
      <c r="AB201" s="112"/>
      <c r="AC201" s="112"/>
      <c r="AD201" s="112"/>
      <c r="AE201" s="112"/>
      <c r="AF201" s="112"/>
      <c r="AG201" s="112"/>
      <c r="AH201" s="112"/>
      <c r="AI201" s="112"/>
      <c r="AJ201" s="112"/>
      <c r="AK201" s="112"/>
      <c r="AL201" s="112"/>
      <c r="AM201" s="112"/>
      <c r="AN201" s="112"/>
      <c r="AO201" s="112"/>
      <c r="AP201" s="112"/>
      <c r="AQ201" s="112"/>
      <c r="AR201" s="112"/>
      <c r="AS201" s="112"/>
      <c r="AT201" s="112"/>
    </row>
    <row r="202" spans="1:46" s="115" customFormat="1" x14ac:dyDescent="0.2">
      <c r="A202" s="116"/>
      <c r="D202" s="136"/>
      <c r="G202" s="162"/>
      <c r="H202" s="112"/>
      <c r="I202" s="112"/>
      <c r="J202" s="112"/>
      <c r="K202" s="112"/>
      <c r="L202" s="112"/>
      <c r="M202" s="112"/>
      <c r="N202" s="112"/>
      <c r="O202" s="112"/>
      <c r="P202" s="112"/>
      <c r="Q202" s="112"/>
      <c r="R202" s="112"/>
      <c r="S202" s="112"/>
      <c r="T202" s="112"/>
      <c r="U202" s="112"/>
      <c r="V202" s="112"/>
      <c r="W202" s="112"/>
      <c r="X202" s="112"/>
      <c r="Y202" s="112"/>
      <c r="Z202" s="112"/>
      <c r="AA202" s="112"/>
      <c r="AB202" s="112"/>
      <c r="AC202" s="112"/>
      <c r="AD202" s="112"/>
      <c r="AE202" s="112"/>
      <c r="AF202" s="112"/>
      <c r="AG202" s="112"/>
      <c r="AH202" s="112"/>
      <c r="AI202" s="112"/>
      <c r="AJ202" s="112"/>
      <c r="AK202" s="112"/>
      <c r="AL202" s="112"/>
      <c r="AM202" s="112"/>
      <c r="AN202" s="112"/>
      <c r="AO202" s="112"/>
      <c r="AP202" s="112"/>
      <c r="AQ202" s="112"/>
      <c r="AR202" s="112"/>
      <c r="AS202" s="112"/>
      <c r="AT202" s="112"/>
    </row>
    <row r="203" spans="1:46" s="115" customFormat="1" x14ac:dyDescent="0.2">
      <c r="A203" s="116"/>
      <c r="D203" s="136"/>
      <c r="G203" s="162"/>
      <c r="H203" s="112"/>
      <c r="I203" s="112"/>
      <c r="J203" s="112"/>
      <c r="K203" s="112"/>
      <c r="L203" s="112"/>
      <c r="M203" s="112"/>
      <c r="N203" s="112"/>
      <c r="O203" s="112"/>
      <c r="P203" s="112"/>
      <c r="Q203" s="112"/>
      <c r="R203" s="112"/>
      <c r="S203" s="112"/>
      <c r="T203" s="112"/>
      <c r="U203" s="112"/>
      <c r="V203" s="112"/>
      <c r="W203" s="112"/>
      <c r="X203" s="112"/>
      <c r="Y203" s="112"/>
      <c r="Z203" s="112"/>
      <c r="AA203" s="112"/>
      <c r="AB203" s="112"/>
      <c r="AC203" s="112"/>
      <c r="AD203" s="112"/>
      <c r="AE203" s="112"/>
      <c r="AF203" s="112"/>
      <c r="AG203" s="112"/>
      <c r="AH203" s="112"/>
      <c r="AI203" s="112"/>
      <c r="AJ203" s="112"/>
      <c r="AK203" s="112"/>
      <c r="AL203" s="112"/>
      <c r="AM203" s="112"/>
      <c r="AN203" s="112"/>
      <c r="AO203" s="112"/>
      <c r="AP203" s="112"/>
      <c r="AQ203" s="112"/>
      <c r="AR203" s="112"/>
      <c r="AS203" s="112"/>
      <c r="AT203" s="112"/>
    </row>
    <row r="204" spans="1:46" s="115" customFormat="1" x14ac:dyDescent="0.2">
      <c r="A204" s="116"/>
      <c r="D204" s="136"/>
      <c r="G204" s="162"/>
      <c r="H204" s="112"/>
      <c r="I204" s="112"/>
      <c r="J204" s="112"/>
      <c r="K204" s="112"/>
      <c r="L204" s="112"/>
      <c r="M204" s="112"/>
      <c r="N204" s="112"/>
      <c r="O204" s="112"/>
      <c r="P204" s="112"/>
      <c r="Q204" s="112"/>
      <c r="R204" s="112"/>
      <c r="S204" s="112"/>
      <c r="T204" s="112"/>
      <c r="U204" s="112"/>
      <c r="V204" s="112"/>
      <c r="W204" s="112"/>
      <c r="X204" s="112"/>
      <c r="Y204" s="112"/>
      <c r="Z204" s="112"/>
      <c r="AA204" s="112"/>
      <c r="AB204" s="112"/>
      <c r="AC204" s="112"/>
      <c r="AD204" s="112"/>
      <c r="AE204" s="112"/>
      <c r="AF204" s="112"/>
      <c r="AG204" s="112"/>
      <c r="AH204" s="112"/>
      <c r="AI204" s="112"/>
      <c r="AJ204" s="112"/>
      <c r="AK204" s="112"/>
      <c r="AL204" s="112"/>
      <c r="AM204" s="112"/>
      <c r="AN204" s="112"/>
      <c r="AO204" s="112"/>
      <c r="AP204" s="112"/>
      <c r="AQ204" s="112"/>
      <c r="AR204" s="112"/>
      <c r="AS204" s="112"/>
      <c r="AT204" s="112"/>
    </row>
    <row r="205" spans="1:46" s="115" customFormat="1" x14ac:dyDescent="0.2">
      <c r="A205" s="116"/>
      <c r="D205" s="136"/>
      <c r="G205" s="162"/>
      <c r="H205" s="112"/>
      <c r="I205" s="112"/>
      <c r="J205" s="112"/>
      <c r="K205" s="112"/>
      <c r="L205" s="112"/>
      <c r="M205" s="112"/>
      <c r="N205" s="112"/>
      <c r="O205" s="112"/>
      <c r="P205" s="112"/>
      <c r="Q205" s="112"/>
      <c r="R205" s="112"/>
      <c r="S205" s="112"/>
      <c r="T205" s="112"/>
      <c r="U205" s="112"/>
      <c r="V205" s="112"/>
      <c r="W205" s="112"/>
      <c r="X205" s="112"/>
      <c r="Y205" s="112"/>
      <c r="Z205" s="112"/>
      <c r="AA205" s="112"/>
      <c r="AB205" s="112"/>
      <c r="AC205" s="112"/>
      <c r="AD205" s="112"/>
      <c r="AE205" s="112"/>
      <c r="AF205" s="112"/>
      <c r="AG205" s="112"/>
      <c r="AH205" s="112"/>
      <c r="AI205" s="112"/>
      <c r="AJ205" s="112"/>
      <c r="AK205" s="112"/>
      <c r="AL205" s="112"/>
      <c r="AM205" s="112"/>
      <c r="AN205" s="112"/>
      <c r="AO205" s="112"/>
      <c r="AP205" s="112"/>
      <c r="AQ205" s="112"/>
      <c r="AR205" s="112"/>
      <c r="AS205" s="112"/>
      <c r="AT205" s="112"/>
    </row>
    <row r="206" spans="1:46" s="115" customFormat="1" x14ac:dyDescent="0.2">
      <c r="A206" s="116"/>
      <c r="D206" s="136"/>
      <c r="G206" s="162"/>
      <c r="H206" s="112"/>
      <c r="I206" s="112"/>
      <c r="J206" s="112"/>
      <c r="K206" s="112"/>
      <c r="L206" s="112"/>
      <c r="M206" s="112"/>
      <c r="N206" s="112"/>
      <c r="O206" s="112"/>
      <c r="P206" s="112"/>
      <c r="Q206" s="112"/>
      <c r="R206" s="112"/>
      <c r="S206" s="112"/>
      <c r="T206" s="112"/>
      <c r="U206" s="112"/>
      <c r="V206" s="112"/>
      <c r="W206" s="112"/>
      <c r="X206" s="112"/>
      <c r="Y206" s="112"/>
      <c r="Z206" s="112"/>
      <c r="AA206" s="112"/>
      <c r="AB206" s="112"/>
      <c r="AC206" s="112"/>
      <c r="AD206" s="112"/>
      <c r="AE206" s="112"/>
      <c r="AF206" s="112"/>
      <c r="AG206" s="112"/>
      <c r="AH206" s="112"/>
      <c r="AI206" s="112"/>
      <c r="AJ206" s="112"/>
      <c r="AK206" s="112"/>
      <c r="AL206" s="112"/>
      <c r="AM206" s="112"/>
      <c r="AN206" s="112"/>
      <c r="AO206" s="112"/>
      <c r="AP206" s="112"/>
      <c r="AQ206" s="112"/>
      <c r="AR206" s="112"/>
      <c r="AS206" s="112"/>
      <c r="AT206" s="112"/>
    </row>
    <row r="207" spans="1:46" s="115" customFormat="1" x14ac:dyDescent="0.2">
      <c r="A207" s="116"/>
      <c r="D207" s="136"/>
      <c r="G207" s="162"/>
      <c r="H207" s="112"/>
      <c r="I207" s="112"/>
      <c r="J207" s="112"/>
      <c r="K207" s="112"/>
      <c r="L207" s="112"/>
      <c r="M207" s="112"/>
      <c r="N207" s="112"/>
      <c r="O207" s="112"/>
      <c r="P207" s="112"/>
      <c r="Q207" s="112"/>
      <c r="R207" s="112"/>
      <c r="S207" s="112"/>
      <c r="T207" s="112"/>
      <c r="U207" s="112"/>
      <c r="V207" s="112"/>
      <c r="W207" s="112"/>
      <c r="X207" s="112"/>
      <c r="Y207" s="112"/>
      <c r="Z207" s="112"/>
      <c r="AA207" s="112"/>
      <c r="AB207" s="112"/>
      <c r="AC207" s="112"/>
      <c r="AD207" s="112"/>
      <c r="AE207" s="112"/>
      <c r="AF207" s="112"/>
      <c r="AG207" s="112"/>
      <c r="AH207" s="112"/>
      <c r="AI207" s="112"/>
      <c r="AJ207" s="112"/>
      <c r="AK207" s="112"/>
      <c r="AL207" s="112"/>
      <c r="AM207" s="112"/>
      <c r="AN207" s="112"/>
      <c r="AO207" s="112"/>
      <c r="AP207" s="112"/>
      <c r="AQ207" s="112"/>
      <c r="AR207" s="112"/>
      <c r="AS207" s="112"/>
      <c r="AT207" s="112"/>
    </row>
    <row r="208" spans="1:46" s="115" customFormat="1" x14ac:dyDescent="0.2">
      <c r="A208" s="116"/>
      <c r="D208" s="136"/>
      <c r="G208" s="162"/>
      <c r="H208" s="112"/>
      <c r="I208" s="112"/>
      <c r="J208" s="112"/>
      <c r="K208" s="112"/>
      <c r="L208" s="112"/>
      <c r="M208" s="112"/>
      <c r="N208" s="112"/>
      <c r="O208" s="112"/>
      <c r="P208" s="112"/>
      <c r="Q208" s="112"/>
      <c r="R208" s="112"/>
      <c r="S208" s="112"/>
      <c r="T208" s="112"/>
      <c r="U208" s="112"/>
      <c r="V208" s="112"/>
      <c r="W208" s="112"/>
      <c r="X208" s="112"/>
      <c r="Y208" s="112"/>
      <c r="Z208" s="112"/>
      <c r="AA208" s="112"/>
      <c r="AB208" s="112"/>
      <c r="AC208" s="112"/>
      <c r="AD208" s="112"/>
      <c r="AE208" s="112"/>
      <c r="AF208" s="112"/>
      <c r="AG208" s="112"/>
      <c r="AH208" s="112"/>
      <c r="AI208" s="112"/>
      <c r="AJ208" s="112"/>
      <c r="AK208" s="112"/>
      <c r="AL208" s="112"/>
      <c r="AM208" s="112"/>
      <c r="AN208" s="112"/>
      <c r="AO208" s="112"/>
      <c r="AP208" s="112"/>
      <c r="AQ208" s="112"/>
      <c r="AR208" s="112"/>
      <c r="AS208" s="112"/>
      <c r="AT208" s="112"/>
    </row>
    <row r="209" spans="1:46" s="115" customFormat="1" x14ac:dyDescent="0.2">
      <c r="A209" s="116"/>
      <c r="D209" s="136"/>
      <c r="G209" s="162"/>
      <c r="H209" s="112"/>
      <c r="I209" s="112"/>
      <c r="J209" s="112"/>
      <c r="K209" s="112"/>
      <c r="L209" s="112"/>
      <c r="M209" s="112"/>
      <c r="N209" s="112"/>
      <c r="O209" s="112"/>
      <c r="P209" s="112"/>
      <c r="Q209" s="112"/>
      <c r="R209" s="112"/>
      <c r="S209" s="112"/>
      <c r="T209" s="112"/>
      <c r="U209" s="112"/>
      <c r="V209" s="112"/>
      <c r="W209" s="112"/>
      <c r="X209" s="112"/>
      <c r="Y209" s="112"/>
      <c r="Z209" s="112"/>
      <c r="AA209" s="112"/>
      <c r="AB209" s="112"/>
      <c r="AC209" s="112"/>
      <c r="AD209" s="112"/>
      <c r="AE209" s="112"/>
      <c r="AF209" s="112"/>
      <c r="AG209" s="112"/>
      <c r="AH209" s="112"/>
      <c r="AI209" s="112"/>
      <c r="AJ209" s="112"/>
      <c r="AK209" s="112"/>
      <c r="AL209" s="112"/>
      <c r="AM209" s="112"/>
      <c r="AN209" s="112"/>
      <c r="AO209" s="112"/>
      <c r="AP209" s="112"/>
      <c r="AQ209" s="112"/>
      <c r="AR209" s="112"/>
      <c r="AS209" s="112"/>
      <c r="AT209" s="112"/>
    </row>
    <row r="210" spans="1:46" s="115" customFormat="1" x14ac:dyDescent="0.2">
      <c r="A210" s="116"/>
      <c r="D210" s="136"/>
      <c r="G210" s="162"/>
      <c r="H210" s="112"/>
      <c r="I210" s="112"/>
      <c r="J210" s="112"/>
      <c r="K210" s="112"/>
      <c r="L210" s="112"/>
      <c r="M210" s="112"/>
      <c r="N210" s="112"/>
      <c r="O210" s="112"/>
      <c r="P210" s="112"/>
      <c r="Q210" s="112"/>
      <c r="R210" s="112"/>
      <c r="S210" s="112"/>
      <c r="T210" s="112"/>
      <c r="U210" s="112"/>
      <c r="V210" s="112"/>
      <c r="W210" s="112"/>
      <c r="X210" s="112"/>
      <c r="Y210" s="112"/>
      <c r="Z210" s="112"/>
      <c r="AA210" s="112"/>
      <c r="AB210" s="112"/>
      <c r="AC210" s="112"/>
      <c r="AD210" s="112"/>
      <c r="AE210" s="112"/>
      <c r="AF210" s="112"/>
      <c r="AG210" s="112"/>
      <c r="AH210" s="112"/>
      <c r="AI210" s="112"/>
      <c r="AJ210" s="112"/>
      <c r="AK210" s="112"/>
      <c r="AL210" s="112"/>
      <c r="AM210" s="112"/>
      <c r="AN210" s="112"/>
      <c r="AO210" s="112"/>
      <c r="AP210" s="112"/>
      <c r="AQ210" s="112"/>
      <c r="AR210" s="112"/>
      <c r="AS210" s="112"/>
      <c r="AT210" s="112"/>
    </row>
    <row r="211" spans="1:46" s="115" customFormat="1" x14ac:dyDescent="0.2">
      <c r="A211" s="116"/>
      <c r="D211" s="136"/>
      <c r="G211" s="162"/>
      <c r="H211" s="112"/>
      <c r="I211" s="112"/>
      <c r="J211" s="112"/>
      <c r="K211" s="112"/>
      <c r="L211" s="112"/>
      <c r="M211" s="112"/>
      <c r="N211" s="112"/>
      <c r="O211" s="112"/>
      <c r="P211" s="112"/>
      <c r="Q211" s="112"/>
      <c r="R211" s="112"/>
      <c r="S211" s="112"/>
      <c r="T211" s="112"/>
      <c r="U211" s="112"/>
      <c r="V211" s="112"/>
      <c r="W211" s="112"/>
      <c r="X211" s="112"/>
      <c r="Y211" s="112"/>
      <c r="Z211" s="112"/>
      <c r="AA211" s="112"/>
      <c r="AB211" s="112"/>
      <c r="AC211" s="112"/>
      <c r="AD211" s="112"/>
      <c r="AE211" s="112"/>
      <c r="AF211" s="112"/>
      <c r="AG211" s="112"/>
      <c r="AH211" s="112"/>
      <c r="AI211" s="112"/>
      <c r="AJ211" s="112"/>
      <c r="AK211" s="112"/>
      <c r="AL211" s="112"/>
      <c r="AM211" s="112"/>
      <c r="AN211" s="112"/>
      <c r="AO211" s="112"/>
      <c r="AP211" s="112"/>
      <c r="AQ211" s="112"/>
      <c r="AR211" s="112"/>
      <c r="AS211" s="112"/>
      <c r="AT211" s="112"/>
    </row>
    <row r="212" spans="1:46" s="115" customFormat="1" x14ac:dyDescent="0.2">
      <c r="A212" s="116"/>
      <c r="D212" s="136"/>
      <c r="G212" s="162"/>
      <c r="H212" s="112"/>
      <c r="I212" s="112"/>
      <c r="J212" s="112"/>
      <c r="K212" s="112"/>
      <c r="L212" s="112"/>
      <c r="M212" s="112"/>
      <c r="N212" s="112"/>
      <c r="O212" s="112"/>
      <c r="P212" s="112"/>
      <c r="Q212" s="112"/>
      <c r="R212" s="112"/>
      <c r="S212" s="112"/>
      <c r="T212" s="112"/>
      <c r="U212" s="112"/>
      <c r="V212" s="112"/>
      <c r="W212" s="112"/>
      <c r="X212" s="112"/>
      <c r="Y212" s="112"/>
      <c r="Z212" s="112"/>
      <c r="AA212" s="112"/>
      <c r="AB212" s="112"/>
      <c r="AC212" s="112"/>
      <c r="AD212" s="112"/>
      <c r="AE212" s="112"/>
      <c r="AF212" s="112"/>
      <c r="AG212" s="112"/>
      <c r="AH212" s="112"/>
      <c r="AI212" s="112"/>
      <c r="AJ212" s="112"/>
      <c r="AK212" s="112"/>
      <c r="AL212" s="112"/>
      <c r="AM212" s="112"/>
      <c r="AN212" s="112"/>
      <c r="AO212" s="112"/>
      <c r="AP212" s="112"/>
      <c r="AQ212" s="112"/>
      <c r="AR212" s="112"/>
      <c r="AS212" s="112"/>
      <c r="AT212" s="112"/>
    </row>
    <row r="213" spans="1:46" s="115" customFormat="1" x14ac:dyDescent="0.2">
      <c r="A213" s="116"/>
      <c r="D213" s="136"/>
      <c r="G213" s="162"/>
      <c r="H213" s="112"/>
      <c r="I213" s="112"/>
      <c r="J213" s="112"/>
      <c r="K213" s="112"/>
      <c r="L213" s="112"/>
      <c r="M213" s="112"/>
      <c r="N213" s="112"/>
      <c r="O213" s="112"/>
      <c r="P213" s="112"/>
      <c r="Q213" s="112"/>
      <c r="R213" s="112"/>
      <c r="S213" s="112"/>
      <c r="T213" s="112"/>
      <c r="U213" s="112"/>
      <c r="V213" s="112"/>
      <c r="W213" s="112"/>
      <c r="X213" s="112"/>
      <c r="Y213" s="112"/>
      <c r="Z213" s="112"/>
      <c r="AA213" s="112"/>
      <c r="AB213" s="112"/>
      <c r="AC213" s="112"/>
      <c r="AD213" s="112"/>
      <c r="AE213" s="112"/>
      <c r="AF213" s="112"/>
      <c r="AG213" s="112"/>
      <c r="AH213" s="112"/>
      <c r="AI213" s="112"/>
      <c r="AJ213" s="112"/>
      <c r="AK213" s="112"/>
      <c r="AL213" s="112"/>
      <c r="AM213" s="112"/>
      <c r="AN213" s="112"/>
      <c r="AO213" s="112"/>
      <c r="AP213" s="112"/>
      <c r="AQ213" s="112"/>
      <c r="AR213" s="112"/>
      <c r="AS213" s="112"/>
      <c r="AT213" s="112"/>
    </row>
    <row r="214" spans="1:46" s="115" customFormat="1" x14ac:dyDescent="0.2">
      <c r="A214" s="116"/>
      <c r="D214" s="136"/>
      <c r="G214" s="162"/>
      <c r="H214" s="112"/>
      <c r="I214" s="112"/>
      <c r="J214" s="112"/>
      <c r="K214" s="112"/>
      <c r="L214" s="112"/>
      <c r="M214" s="112"/>
      <c r="N214" s="112"/>
      <c r="O214" s="112"/>
      <c r="P214" s="112"/>
      <c r="Q214" s="112"/>
      <c r="R214" s="112"/>
      <c r="S214" s="112"/>
      <c r="T214" s="112"/>
      <c r="U214" s="112"/>
      <c r="V214" s="112"/>
      <c r="W214" s="112"/>
      <c r="X214" s="112"/>
      <c r="Y214" s="112"/>
      <c r="Z214" s="112"/>
      <c r="AA214" s="112"/>
      <c r="AB214" s="112"/>
      <c r="AC214" s="112"/>
      <c r="AD214" s="112"/>
      <c r="AE214" s="112"/>
      <c r="AF214" s="112"/>
      <c r="AG214" s="112"/>
      <c r="AH214" s="112"/>
      <c r="AI214" s="112"/>
      <c r="AJ214" s="112"/>
      <c r="AK214" s="112"/>
      <c r="AL214" s="112"/>
      <c r="AM214" s="112"/>
      <c r="AN214" s="112"/>
      <c r="AO214" s="112"/>
      <c r="AP214" s="112"/>
      <c r="AQ214" s="112"/>
      <c r="AR214" s="112"/>
      <c r="AS214" s="112"/>
      <c r="AT214" s="112"/>
    </row>
    <row r="215" spans="1:46" s="115" customFormat="1" x14ac:dyDescent="0.2">
      <c r="A215" s="116"/>
      <c r="D215" s="136"/>
      <c r="G215" s="162"/>
      <c r="H215" s="112"/>
      <c r="I215" s="112"/>
      <c r="J215" s="112"/>
      <c r="K215" s="112"/>
      <c r="L215" s="112"/>
      <c r="M215" s="112"/>
      <c r="N215" s="112"/>
      <c r="O215" s="112"/>
      <c r="P215" s="112"/>
      <c r="Q215" s="112"/>
      <c r="R215" s="112"/>
      <c r="S215" s="112"/>
      <c r="T215" s="112"/>
      <c r="U215" s="112"/>
      <c r="V215" s="112"/>
      <c r="W215" s="112"/>
      <c r="X215" s="112"/>
      <c r="Y215" s="112"/>
      <c r="Z215" s="112"/>
      <c r="AA215" s="112"/>
      <c r="AB215" s="112"/>
      <c r="AC215" s="112"/>
      <c r="AD215" s="112"/>
      <c r="AE215" s="112"/>
      <c r="AF215" s="112"/>
      <c r="AG215" s="112"/>
      <c r="AH215" s="112"/>
      <c r="AI215" s="112"/>
      <c r="AJ215" s="112"/>
      <c r="AK215" s="112"/>
      <c r="AL215" s="112"/>
      <c r="AM215" s="112"/>
      <c r="AN215" s="112"/>
      <c r="AO215" s="112"/>
      <c r="AP215" s="112"/>
      <c r="AQ215" s="112"/>
      <c r="AR215" s="112"/>
      <c r="AS215" s="112"/>
      <c r="AT215" s="112"/>
    </row>
    <row r="216" spans="1:46" s="115" customFormat="1" x14ac:dyDescent="0.2">
      <c r="A216" s="116"/>
      <c r="D216" s="136"/>
      <c r="G216" s="162"/>
      <c r="H216" s="112"/>
      <c r="I216" s="112"/>
      <c r="J216" s="112"/>
      <c r="K216" s="112"/>
      <c r="L216" s="112"/>
      <c r="M216" s="112"/>
      <c r="N216" s="112"/>
      <c r="O216" s="112"/>
      <c r="P216" s="112"/>
      <c r="Q216" s="112"/>
      <c r="R216" s="112"/>
      <c r="S216" s="112"/>
      <c r="T216" s="112"/>
      <c r="U216" s="112"/>
      <c r="V216" s="112"/>
      <c r="W216" s="112"/>
      <c r="X216" s="112"/>
      <c r="Y216" s="112"/>
      <c r="Z216" s="112"/>
      <c r="AA216" s="112"/>
      <c r="AB216" s="112"/>
      <c r="AC216" s="112"/>
      <c r="AD216" s="112"/>
      <c r="AE216" s="112"/>
      <c r="AF216" s="112"/>
      <c r="AG216" s="112"/>
      <c r="AH216" s="112"/>
      <c r="AI216" s="112"/>
      <c r="AJ216" s="112"/>
      <c r="AK216" s="112"/>
      <c r="AL216" s="112"/>
      <c r="AM216" s="112"/>
      <c r="AN216" s="112"/>
      <c r="AO216" s="112"/>
      <c r="AP216" s="112"/>
      <c r="AQ216" s="112"/>
      <c r="AR216" s="112"/>
      <c r="AS216" s="112"/>
      <c r="AT216" s="112"/>
    </row>
    <row r="217" spans="1:46" s="115" customFormat="1" x14ac:dyDescent="0.2">
      <c r="A217" s="116"/>
      <c r="D217" s="136"/>
      <c r="G217" s="162"/>
      <c r="H217" s="112"/>
      <c r="I217" s="112"/>
      <c r="J217" s="112"/>
      <c r="K217" s="112"/>
      <c r="L217" s="112"/>
      <c r="M217" s="112"/>
      <c r="N217" s="112"/>
      <c r="O217" s="112"/>
      <c r="P217" s="112"/>
      <c r="Q217" s="112"/>
      <c r="R217" s="112"/>
      <c r="S217" s="112"/>
      <c r="T217" s="112"/>
      <c r="U217" s="112"/>
      <c r="V217" s="112"/>
      <c r="W217" s="112"/>
      <c r="X217" s="112"/>
      <c r="Y217" s="112"/>
      <c r="Z217" s="112"/>
      <c r="AA217" s="112"/>
      <c r="AB217" s="112"/>
      <c r="AC217" s="112"/>
      <c r="AD217" s="112"/>
      <c r="AE217" s="112"/>
      <c r="AF217" s="112"/>
      <c r="AG217" s="112"/>
      <c r="AH217" s="112"/>
      <c r="AI217" s="112"/>
      <c r="AJ217" s="112"/>
      <c r="AK217" s="112"/>
      <c r="AL217" s="112"/>
      <c r="AM217" s="112"/>
      <c r="AN217" s="112"/>
      <c r="AO217" s="112"/>
      <c r="AP217" s="112"/>
      <c r="AQ217" s="112"/>
      <c r="AR217" s="112"/>
      <c r="AS217" s="112"/>
      <c r="AT217" s="112"/>
    </row>
    <row r="218" spans="1:46" s="115" customFormat="1" x14ac:dyDescent="0.2">
      <c r="A218" s="116"/>
      <c r="D218" s="136"/>
      <c r="G218" s="162"/>
      <c r="H218" s="112"/>
      <c r="I218" s="112"/>
      <c r="J218" s="112"/>
      <c r="K218" s="112"/>
      <c r="L218" s="112"/>
      <c r="M218" s="112"/>
      <c r="N218" s="112"/>
      <c r="O218" s="112"/>
      <c r="P218" s="112"/>
      <c r="Q218" s="112"/>
      <c r="R218" s="112"/>
      <c r="S218" s="112"/>
      <c r="T218" s="112"/>
      <c r="U218" s="112"/>
      <c r="V218" s="112"/>
      <c r="W218" s="112"/>
      <c r="X218" s="112"/>
      <c r="Y218" s="112"/>
      <c r="Z218" s="112"/>
      <c r="AA218" s="112"/>
      <c r="AB218" s="112"/>
      <c r="AC218" s="112"/>
      <c r="AD218" s="112"/>
      <c r="AE218" s="112"/>
      <c r="AF218" s="112"/>
      <c r="AG218" s="112"/>
      <c r="AH218" s="112"/>
      <c r="AI218" s="112"/>
      <c r="AJ218" s="112"/>
      <c r="AK218" s="112"/>
      <c r="AL218" s="112"/>
      <c r="AM218" s="112"/>
      <c r="AN218" s="112"/>
      <c r="AO218" s="112"/>
      <c r="AP218" s="112"/>
      <c r="AQ218" s="112"/>
      <c r="AR218" s="112"/>
      <c r="AS218" s="112"/>
      <c r="AT218" s="112"/>
    </row>
    <row r="219" spans="1:46" s="115" customFormat="1" x14ac:dyDescent="0.2">
      <c r="A219" s="116"/>
      <c r="D219" s="136"/>
      <c r="G219" s="162"/>
      <c r="H219" s="112"/>
      <c r="I219" s="112"/>
      <c r="J219" s="112"/>
      <c r="K219" s="112"/>
      <c r="L219" s="112"/>
      <c r="M219" s="112"/>
      <c r="N219" s="112"/>
      <c r="O219" s="112"/>
      <c r="P219" s="112"/>
      <c r="Q219" s="112"/>
      <c r="R219" s="112"/>
      <c r="S219" s="112"/>
      <c r="T219" s="112"/>
      <c r="U219" s="112"/>
      <c r="V219" s="112"/>
      <c r="W219" s="112"/>
      <c r="X219" s="112"/>
      <c r="Y219" s="112"/>
      <c r="Z219" s="112"/>
      <c r="AA219" s="112"/>
      <c r="AB219" s="112"/>
      <c r="AC219" s="112"/>
      <c r="AD219" s="112"/>
      <c r="AE219" s="112"/>
      <c r="AF219" s="112"/>
      <c r="AG219" s="112"/>
      <c r="AH219" s="112"/>
      <c r="AI219" s="112"/>
      <c r="AJ219" s="112"/>
      <c r="AK219" s="112"/>
      <c r="AL219" s="112"/>
      <c r="AM219" s="112"/>
      <c r="AN219" s="112"/>
      <c r="AO219" s="112"/>
      <c r="AP219" s="112"/>
      <c r="AQ219" s="112"/>
      <c r="AR219" s="112"/>
      <c r="AS219" s="112"/>
      <c r="AT219" s="112"/>
    </row>
    <row r="220" spans="1:46" s="115" customFormat="1" x14ac:dyDescent="0.2">
      <c r="A220" s="116"/>
      <c r="D220" s="136"/>
      <c r="G220" s="162"/>
      <c r="H220" s="112"/>
      <c r="I220" s="112"/>
      <c r="J220" s="112"/>
      <c r="K220" s="112"/>
      <c r="L220" s="112"/>
      <c r="M220" s="112"/>
      <c r="N220" s="112"/>
      <c r="O220" s="112"/>
      <c r="P220" s="112"/>
      <c r="Q220" s="112"/>
      <c r="R220" s="112"/>
      <c r="S220" s="112"/>
      <c r="T220" s="112"/>
      <c r="U220" s="112"/>
      <c r="V220" s="112"/>
      <c r="W220" s="112"/>
      <c r="X220" s="112"/>
      <c r="Y220" s="112"/>
      <c r="Z220" s="112"/>
      <c r="AA220" s="112"/>
      <c r="AB220" s="112"/>
      <c r="AC220" s="112"/>
      <c r="AD220" s="112"/>
      <c r="AE220" s="112"/>
      <c r="AF220" s="112"/>
      <c r="AG220" s="112"/>
      <c r="AH220" s="112"/>
      <c r="AI220" s="112"/>
      <c r="AJ220" s="112"/>
      <c r="AK220" s="112"/>
      <c r="AL220" s="112"/>
      <c r="AM220" s="112"/>
      <c r="AN220" s="112"/>
      <c r="AO220" s="112"/>
      <c r="AP220" s="112"/>
      <c r="AQ220" s="112"/>
      <c r="AR220" s="112"/>
      <c r="AS220" s="112"/>
      <c r="AT220" s="112"/>
    </row>
    <row r="221" spans="1:46" s="115" customFormat="1" x14ac:dyDescent="0.2">
      <c r="A221" s="116"/>
      <c r="D221" s="136"/>
      <c r="G221" s="162"/>
      <c r="H221" s="112"/>
      <c r="I221" s="112"/>
      <c r="J221" s="112"/>
      <c r="K221" s="112"/>
      <c r="L221" s="112"/>
      <c r="M221" s="112"/>
      <c r="N221" s="112"/>
      <c r="O221" s="112"/>
      <c r="P221" s="112"/>
      <c r="Q221" s="112"/>
      <c r="R221" s="112"/>
      <c r="S221" s="112"/>
      <c r="T221" s="112"/>
      <c r="U221" s="112"/>
      <c r="V221" s="112"/>
      <c r="W221" s="112"/>
      <c r="X221" s="112"/>
      <c r="Y221" s="112"/>
      <c r="Z221" s="112"/>
      <c r="AA221" s="112"/>
      <c r="AB221" s="112"/>
      <c r="AC221" s="112"/>
      <c r="AD221" s="112"/>
      <c r="AE221" s="112"/>
      <c r="AF221" s="112"/>
      <c r="AG221" s="112"/>
      <c r="AH221" s="112"/>
      <c r="AI221" s="112"/>
      <c r="AJ221" s="112"/>
      <c r="AK221" s="112"/>
      <c r="AL221" s="112"/>
      <c r="AM221" s="112"/>
      <c r="AN221" s="112"/>
      <c r="AO221" s="112"/>
      <c r="AP221" s="112"/>
      <c r="AQ221" s="112"/>
      <c r="AR221" s="112"/>
      <c r="AS221" s="112"/>
      <c r="AT221" s="112"/>
    </row>
    <row r="222" spans="1:46" s="115" customFormat="1" x14ac:dyDescent="0.2">
      <c r="A222" s="116"/>
      <c r="D222" s="136"/>
      <c r="G222" s="162"/>
      <c r="H222" s="112"/>
      <c r="I222" s="112"/>
      <c r="J222" s="112"/>
      <c r="K222" s="112"/>
      <c r="L222" s="112"/>
      <c r="M222" s="112"/>
      <c r="N222" s="112"/>
      <c r="O222" s="112"/>
      <c r="P222" s="112"/>
      <c r="Q222" s="112"/>
      <c r="R222" s="112"/>
      <c r="S222" s="112"/>
      <c r="T222" s="112"/>
      <c r="U222" s="112"/>
      <c r="V222" s="112"/>
      <c r="W222" s="112"/>
      <c r="X222" s="112"/>
      <c r="Y222" s="112"/>
      <c r="Z222" s="112"/>
      <c r="AA222" s="112"/>
      <c r="AB222" s="112"/>
      <c r="AC222" s="112"/>
      <c r="AD222" s="112"/>
      <c r="AE222" s="112"/>
      <c r="AF222" s="112"/>
      <c r="AG222" s="112"/>
      <c r="AH222" s="112"/>
      <c r="AI222" s="112"/>
      <c r="AJ222" s="112"/>
      <c r="AK222" s="112"/>
      <c r="AL222" s="112"/>
      <c r="AM222" s="112"/>
      <c r="AN222" s="112"/>
      <c r="AO222" s="112"/>
      <c r="AP222" s="112"/>
      <c r="AQ222" s="112"/>
      <c r="AR222" s="112"/>
      <c r="AS222" s="112"/>
      <c r="AT222" s="112"/>
    </row>
    <row r="223" spans="1:46" s="115" customFormat="1" x14ac:dyDescent="0.2">
      <c r="A223" s="116"/>
      <c r="D223" s="136"/>
      <c r="G223" s="162"/>
      <c r="H223" s="112"/>
      <c r="I223" s="112"/>
      <c r="J223" s="112"/>
      <c r="K223" s="112"/>
      <c r="L223" s="112"/>
      <c r="M223" s="112"/>
      <c r="N223" s="112"/>
      <c r="O223" s="112"/>
      <c r="P223" s="112"/>
      <c r="Q223" s="112"/>
      <c r="R223" s="112"/>
      <c r="S223" s="112"/>
      <c r="T223" s="112"/>
      <c r="U223" s="112"/>
      <c r="V223" s="112"/>
      <c r="W223" s="112"/>
      <c r="X223" s="112"/>
      <c r="Y223" s="112"/>
      <c r="Z223" s="112"/>
      <c r="AA223" s="112"/>
      <c r="AB223" s="112"/>
      <c r="AC223" s="112"/>
      <c r="AD223" s="112"/>
      <c r="AE223" s="112"/>
      <c r="AF223" s="112"/>
      <c r="AG223" s="112"/>
      <c r="AH223" s="112"/>
      <c r="AI223" s="112"/>
      <c r="AJ223" s="112"/>
      <c r="AK223" s="112"/>
      <c r="AL223" s="112"/>
      <c r="AM223" s="112"/>
      <c r="AN223" s="112"/>
      <c r="AO223" s="112"/>
      <c r="AP223" s="112"/>
      <c r="AQ223" s="112"/>
      <c r="AR223" s="112"/>
      <c r="AS223" s="112"/>
      <c r="AT223" s="112"/>
    </row>
    <row r="224" spans="1:46" s="115" customFormat="1" x14ac:dyDescent="0.2">
      <c r="A224" s="116"/>
      <c r="D224" s="136"/>
      <c r="G224" s="162"/>
      <c r="H224" s="112"/>
      <c r="I224" s="112"/>
      <c r="J224" s="112"/>
      <c r="K224" s="112"/>
      <c r="L224" s="112"/>
      <c r="M224" s="112"/>
      <c r="N224" s="112"/>
      <c r="O224" s="112"/>
      <c r="P224" s="112"/>
      <c r="Q224" s="112"/>
      <c r="R224" s="112"/>
      <c r="S224" s="112"/>
      <c r="T224" s="112"/>
      <c r="U224" s="112"/>
      <c r="V224" s="112"/>
      <c r="W224" s="112"/>
      <c r="X224" s="112"/>
      <c r="Y224" s="112"/>
      <c r="Z224" s="112"/>
      <c r="AA224" s="112"/>
      <c r="AB224" s="112"/>
      <c r="AC224" s="112"/>
      <c r="AD224" s="112"/>
      <c r="AE224" s="112"/>
      <c r="AF224" s="112"/>
      <c r="AG224" s="112"/>
      <c r="AH224" s="112"/>
      <c r="AI224" s="112"/>
      <c r="AJ224" s="112"/>
      <c r="AK224" s="112"/>
      <c r="AL224" s="112"/>
      <c r="AM224" s="112"/>
      <c r="AN224" s="112"/>
      <c r="AO224" s="112"/>
      <c r="AP224" s="112"/>
      <c r="AQ224" s="112"/>
      <c r="AR224" s="112"/>
      <c r="AS224" s="112"/>
      <c r="AT224" s="112"/>
    </row>
    <row r="225" spans="7:46" x14ac:dyDescent="0.2">
      <c r="G225" s="135"/>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row>
    <row r="226" spans="7:46" x14ac:dyDescent="0.2">
      <c r="G226" s="135"/>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row>
    <row r="227" spans="7:46" x14ac:dyDescent="0.2">
      <c r="G227" s="135"/>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row>
    <row r="228" spans="7:46" x14ac:dyDescent="0.2">
      <c r="G228" s="135"/>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row>
    <row r="229" spans="7:46" x14ac:dyDescent="0.2">
      <c r="G229" s="135"/>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row>
    <row r="230" spans="7:46" x14ac:dyDescent="0.2">
      <c r="G230" s="135"/>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row>
    <row r="231" spans="7:46" x14ac:dyDescent="0.2">
      <c r="G231" s="135"/>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row>
    <row r="232" spans="7:46" x14ac:dyDescent="0.2">
      <c r="G232" s="135"/>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row>
    <row r="233" spans="7:46" x14ac:dyDescent="0.2">
      <c r="G233" s="135"/>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row>
    <row r="234" spans="7:46" x14ac:dyDescent="0.2">
      <c r="G234" s="135"/>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row>
    <row r="235" spans="7:46" x14ac:dyDescent="0.2">
      <c r="G235" s="135"/>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row>
    <row r="236" spans="7:46" x14ac:dyDescent="0.2">
      <c r="G236" s="135"/>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row>
    <row r="237" spans="7:46" x14ac:dyDescent="0.2">
      <c r="G237" s="135"/>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row>
  </sheetData>
  <mergeCells count="141">
    <mergeCell ref="A62:A67"/>
    <mergeCell ref="B62:B67"/>
    <mergeCell ref="C62:C67"/>
    <mergeCell ref="D62:D67"/>
    <mergeCell ref="E62:E67"/>
    <mergeCell ref="O62:O67"/>
    <mergeCell ref="P62:P67"/>
    <mergeCell ref="Q62:Q67"/>
    <mergeCell ref="P40:P42"/>
    <mergeCell ref="Q40:Q42"/>
    <mergeCell ref="O40:O42"/>
    <mergeCell ref="O48:O57"/>
    <mergeCell ref="P48:P57"/>
    <mergeCell ref="Q48:Q52"/>
    <mergeCell ref="Q53:Q57"/>
    <mergeCell ref="N62:N67"/>
    <mergeCell ref="K40:K42"/>
    <mergeCell ref="L40:L42"/>
    <mergeCell ref="M40:M42"/>
    <mergeCell ref="N40:N42"/>
    <mergeCell ref="N48:N57"/>
    <mergeCell ref="F62:F67"/>
    <mergeCell ref="G62:G67"/>
    <mergeCell ref="H62:H67"/>
    <mergeCell ref="N18:N23"/>
    <mergeCell ref="O18:O23"/>
    <mergeCell ref="P18:P23"/>
    <mergeCell ref="Q18:Q23"/>
    <mergeCell ref="K18:K23"/>
    <mergeCell ref="L18:L23"/>
    <mergeCell ref="M18:M23"/>
    <mergeCell ref="J40:J42"/>
    <mergeCell ref="J18:J23"/>
    <mergeCell ref="L32:L36"/>
    <mergeCell ref="M32:M36"/>
    <mergeCell ref="N32:N36"/>
    <mergeCell ref="O32:O36"/>
    <mergeCell ref="A40:A42"/>
    <mergeCell ref="B40:B42"/>
    <mergeCell ref="C40:C42"/>
    <mergeCell ref="D40:D42"/>
    <mergeCell ref="E40:E42"/>
    <mergeCell ref="F40:F42"/>
    <mergeCell ref="G40:G42"/>
    <mergeCell ref="H40:H42"/>
    <mergeCell ref="I40:I42"/>
    <mergeCell ref="A32:A36"/>
    <mergeCell ref="B32:B36"/>
    <mergeCell ref="C32:C36"/>
    <mergeCell ref="D32:D36"/>
    <mergeCell ref="E32:E36"/>
    <mergeCell ref="F32:F36"/>
    <mergeCell ref="B1:E1"/>
    <mergeCell ref="B2:E2"/>
    <mergeCell ref="A18:A23"/>
    <mergeCell ref="B18:B23"/>
    <mergeCell ref="C18:C23"/>
    <mergeCell ref="D18:D23"/>
    <mergeCell ref="E18:E23"/>
    <mergeCell ref="H18:H20"/>
    <mergeCell ref="I18:I20"/>
    <mergeCell ref="H21:H23"/>
    <mergeCell ref="I21:I23"/>
    <mergeCell ref="F18:F23"/>
    <mergeCell ref="G18:G23"/>
    <mergeCell ref="Q82:Q83"/>
    <mergeCell ref="Q77:Q78"/>
    <mergeCell ref="Q79:Q80"/>
    <mergeCell ref="G77:G80"/>
    <mergeCell ref="H77:H80"/>
    <mergeCell ref="K82:K83"/>
    <mergeCell ref="L82:L83"/>
    <mergeCell ref="M82:M83"/>
    <mergeCell ref="N82:N83"/>
    <mergeCell ref="O82:O83"/>
    <mergeCell ref="G82:G83"/>
    <mergeCell ref="H82:H83"/>
    <mergeCell ref="I82:I83"/>
    <mergeCell ref="J82:J83"/>
    <mergeCell ref="L77:L80"/>
    <mergeCell ref="M77:M80"/>
    <mergeCell ref="P32:P36"/>
    <mergeCell ref="K32:K36"/>
    <mergeCell ref="A77:A80"/>
    <mergeCell ref="B77:B80"/>
    <mergeCell ref="C77:C80"/>
    <mergeCell ref="D77:D80"/>
    <mergeCell ref="E77:E80"/>
    <mergeCell ref="F77:F80"/>
    <mergeCell ref="P82:P83"/>
    <mergeCell ref="F82:F83"/>
    <mergeCell ref="A82:A83"/>
    <mergeCell ref="B82:B83"/>
    <mergeCell ref="C82:C83"/>
    <mergeCell ref="D82:D83"/>
    <mergeCell ref="E82:E83"/>
    <mergeCell ref="N77:N80"/>
    <mergeCell ref="O77:O80"/>
    <mergeCell ref="P77:P80"/>
    <mergeCell ref="B48:B57"/>
    <mergeCell ref="A48:A57"/>
    <mergeCell ref="C48:C57"/>
    <mergeCell ref="D48:D57"/>
    <mergeCell ref="E48:E57"/>
    <mergeCell ref="F48:F57"/>
    <mergeCell ref="G48:G57"/>
    <mergeCell ref="H48:H57"/>
    <mergeCell ref="I48:I57"/>
    <mergeCell ref="G32:G36"/>
    <mergeCell ref="H32:H36"/>
    <mergeCell ref="I32:I36"/>
    <mergeCell ref="J32:J36"/>
    <mergeCell ref="J48:J57"/>
    <mergeCell ref="K48:K57"/>
    <mergeCell ref="L48:L57"/>
    <mergeCell ref="M48:M57"/>
    <mergeCell ref="I77:I80"/>
    <mergeCell ref="J77:J80"/>
    <mergeCell ref="K77:K80"/>
    <mergeCell ref="K62:K67"/>
    <mergeCell ref="L62:L67"/>
    <mergeCell ref="M62:M67"/>
    <mergeCell ref="I62:I67"/>
    <mergeCell ref="J62:J67"/>
    <mergeCell ref="J58:J59"/>
    <mergeCell ref="K58:K59"/>
    <mergeCell ref="L58:L59"/>
    <mergeCell ref="M58:M59"/>
    <mergeCell ref="N58:N59"/>
    <mergeCell ref="O58:O59"/>
    <mergeCell ref="P58:P59"/>
    <mergeCell ref="Q58:Q59"/>
    <mergeCell ref="A58:A59"/>
    <mergeCell ref="B58:B59"/>
    <mergeCell ref="C58:C59"/>
    <mergeCell ref="D58:D59"/>
    <mergeCell ref="E58:E59"/>
    <mergeCell ref="F58:F59"/>
    <mergeCell ref="G58:G59"/>
    <mergeCell ref="H58:H59"/>
    <mergeCell ref="I58:I59"/>
  </mergeCells>
  <pageMargins left="0.51181102362204722" right="0.51181102362204722" top="0.78740157480314965" bottom="0.78740157480314965" header="0.31496062992125984" footer="0.31496062992125984"/>
  <pageSetup paperSize="9" orientation="portrait"/>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300-000000000000}">
          <x14:formula1>
            <xm:f>Lists!$F$3:$F$7</xm:f>
          </x14:formula1>
          <xm:sqref>L4:L18 L81:L82 L84:L155 L68:L77 L43:L48 L37:L40 L24:L32 L58 L60:L62</xm:sqref>
        </x14:dataValidation>
        <x14:dataValidation type="list" allowBlank="1" showInputMessage="1" showErrorMessage="1" xr:uid="{00000000-0002-0000-0300-000001000000}">
          <x14:formula1>
            <xm:f>Lists!$H$3:$H$21</xm:f>
          </x14:formula1>
          <xm:sqref>M43:M45 M149:M154 M145:M147 M143 M134:M141 M128:M131 M114:M126 M61:M62 M68:M77 M4:M18 M24:M28 M110:M112 M106:M108 M95:M104 M84:M93 M82 M47:M48 M37:M40 M30:M32 M58</xm:sqref>
        </x14:dataValidation>
        <x14:dataValidation type="list" allowBlank="1" showInputMessage="1" showErrorMessage="1" xr:uid="{00000000-0002-0000-0300-000002000000}">
          <x14:formula1>
            <xm:f>Lists!$H$4:$H$21</xm:f>
          </x14:formula1>
          <xm:sqref>M29 M155 M148 M144 M142 M132:M133 M127 M60 M46 M113 M109 M105 M94 M81</xm:sqref>
        </x14:dataValidation>
        <x14:dataValidation type="list" allowBlank="1" showInputMessage="1" showErrorMessage="1" xr:uid="{00000000-0002-0000-0300-000003000000}">
          <x14:formula1>
            <xm:f>Lists!$B$3:$B$21</xm:f>
          </x14:formula1>
          <xm:sqref>H4:H18 H21 H81:H82 H84:H155 H68:H77 H43:H48 H37:H40 H24:H32 H58 H60:H62</xm:sqref>
        </x14:dataValidation>
        <x14:dataValidation type="list" allowBlank="1" showInputMessage="1" showErrorMessage="1" xr:uid="{00000000-0002-0000-0300-000004000000}">
          <x14:formula1>
            <xm:f>Lists!$D$3:$D$15</xm:f>
          </x14:formula1>
          <xm:sqref>J4:J18 J37:J40 J24:J32 J81:J82 J43:J48 J68:J77 J84:J155 J58 J60:J62</xm:sqref>
        </x14:dataValidation>
      </x14:dataValidations>
    </ex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235"/>
  <sheetViews>
    <sheetView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83203125" defaultRowHeight="15" outlineLevelCol="1" x14ac:dyDescent="0.2"/>
  <cols>
    <col min="1" max="1" width="4.33203125" style="1" customWidth="1"/>
    <col min="2" max="2" width="25.5" customWidth="1"/>
    <col min="3" max="3" width="13.6640625" customWidth="1"/>
    <col min="4" max="4" width="15.6640625" style="52" customWidth="1"/>
    <col min="5" max="5" width="17.5" customWidth="1"/>
    <col min="6" max="6" width="19.33203125" customWidth="1"/>
    <col min="7" max="7" width="38.5" style="1" customWidth="1"/>
    <col min="8" max="8" width="15" customWidth="1"/>
    <col min="9" max="9" width="31.83203125" customWidth="1"/>
    <col min="10" max="10" width="6" customWidth="1"/>
    <col min="11" max="11" width="24.83203125" customWidth="1"/>
    <col min="12" max="12" width="10.5" customWidth="1"/>
    <col min="13" max="13" width="10.33203125" customWidth="1"/>
    <col min="14" max="14" width="27.33203125" customWidth="1"/>
    <col min="15" max="15" width="29" style="58" customWidth="1"/>
    <col min="16" max="16" width="22.33203125" style="58" customWidth="1"/>
    <col min="17" max="17" width="22.33203125" customWidth="1" outlineLevel="1"/>
    <col min="18" max="18" width="23" customWidth="1" outlineLevel="1"/>
    <col min="19" max="20" width="14.83203125" customWidth="1"/>
    <col min="21" max="21" width="14.5" customWidth="1"/>
    <col min="22" max="22" width="17.5" customWidth="1"/>
    <col min="23" max="23" width="18.33203125" bestFit="1" customWidth="1"/>
    <col min="24" max="24" width="14.5" bestFit="1" customWidth="1"/>
    <col min="25" max="25" width="13.5" bestFit="1" customWidth="1"/>
    <col min="26" max="26" width="14.83203125" bestFit="1" customWidth="1"/>
    <col min="27" max="27" width="27" bestFit="1" customWidth="1"/>
    <col min="28" max="28" width="32.83203125" bestFit="1" customWidth="1"/>
    <col min="29" max="29" width="32.83203125" customWidth="1"/>
    <col min="30" max="30" width="36.1640625" bestFit="1" customWidth="1"/>
    <col min="31" max="31" width="42.6640625" bestFit="1" customWidth="1"/>
    <col min="32" max="32" width="32" bestFit="1" customWidth="1"/>
    <col min="33" max="33" width="37.83203125" bestFit="1" customWidth="1"/>
    <col min="34" max="34" width="32.83203125" bestFit="1" customWidth="1"/>
    <col min="35" max="35" width="37" bestFit="1" customWidth="1"/>
    <col min="36" max="36" width="23.6640625" bestFit="1" customWidth="1"/>
    <col min="37" max="37" width="25.6640625" bestFit="1" customWidth="1"/>
    <col min="38" max="38" width="22.1640625" bestFit="1" customWidth="1"/>
    <col min="39" max="39" width="25.5" bestFit="1" customWidth="1"/>
    <col min="40" max="40" width="24.33203125" bestFit="1" customWidth="1"/>
    <col min="41" max="41" width="26" bestFit="1" customWidth="1"/>
    <col min="42" max="42" width="27" bestFit="1" customWidth="1"/>
    <col min="43" max="43" width="28.83203125" bestFit="1" customWidth="1"/>
    <col min="44" max="44" width="26" bestFit="1" customWidth="1"/>
    <col min="45" max="45" width="25.33203125" bestFit="1" customWidth="1"/>
    <col min="46" max="46" width="24.6640625" bestFit="1" customWidth="1"/>
    <col min="47" max="47" width="28.83203125" bestFit="1" customWidth="1"/>
    <col min="48" max="48" width="23.83203125" bestFit="1" customWidth="1"/>
    <col min="49" max="49" width="20.33203125" bestFit="1" customWidth="1"/>
    <col min="50" max="50" width="12.5" bestFit="1" customWidth="1"/>
    <col min="51" max="51" width="25.83203125" bestFit="1" customWidth="1"/>
  </cols>
  <sheetData>
    <row r="1" spans="1:51" x14ac:dyDescent="0.2">
      <c r="A1" s="12"/>
      <c r="B1" s="210" t="s">
        <v>0</v>
      </c>
      <c r="C1" s="210"/>
      <c r="D1" s="210"/>
      <c r="E1" s="210"/>
      <c r="G1"/>
      <c r="O1"/>
      <c r="P1"/>
    </row>
    <row r="2" spans="1:51" x14ac:dyDescent="0.2">
      <c r="A2" s="12"/>
      <c r="B2" s="211" t="s">
        <v>1</v>
      </c>
      <c r="C2" s="211"/>
      <c r="D2" s="211"/>
      <c r="E2" s="211"/>
      <c r="G2"/>
      <c r="O2"/>
      <c r="P2"/>
    </row>
    <row r="3" spans="1:51" s="3" customFormat="1" ht="14" x14ac:dyDescent="0.2">
      <c r="A3" s="26" t="s">
        <v>9</v>
      </c>
      <c r="B3" s="27" t="s">
        <v>2</v>
      </c>
      <c r="C3" s="27" t="s">
        <v>3</v>
      </c>
      <c r="D3" s="27" t="s">
        <v>4</v>
      </c>
      <c r="E3" s="27" t="s">
        <v>5</v>
      </c>
      <c r="F3" s="27" t="s">
        <v>7</v>
      </c>
      <c r="G3" s="27" t="s">
        <v>6</v>
      </c>
      <c r="H3" s="27" t="s">
        <v>32</v>
      </c>
      <c r="I3" s="27" t="s">
        <v>436</v>
      </c>
      <c r="J3" s="27" t="s">
        <v>450</v>
      </c>
      <c r="K3" s="27" t="s">
        <v>437</v>
      </c>
      <c r="L3" s="27" t="s">
        <v>16</v>
      </c>
      <c r="M3" s="27" t="s">
        <v>93</v>
      </c>
      <c r="N3" s="27" t="s">
        <v>438</v>
      </c>
      <c r="O3" s="27" t="s">
        <v>35</v>
      </c>
      <c r="P3" s="27" t="s">
        <v>68</v>
      </c>
      <c r="Q3" s="27"/>
      <c r="R3" s="27"/>
      <c r="S3" s="27" t="s">
        <v>77</v>
      </c>
      <c r="T3" s="27" t="s">
        <v>19</v>
      </c>
      <c r="U3" s="28" t="s">
        <v>20</v>
      </c>
      <c r="V3" s="28" t="s">
        <v>21</v>
      </c>
      <c r="W3" s="28" t="s">
        <v>75</v>
      </c>
      <c r="X3" s="28" t="s">
        <v>22</v>
      </c>
      <c r="Y3" s="28" t="s">
        <v>23</v>
      </c>
      <c r="Z3" s="28" t="s">
        <v>24</v>
      </c>
      <c r="AA3" s="28" t="s">
        <v>37</v>
      </c>
      <c r="AB3" s="28" t="s">
        <v>406</v>
      </c>
      <c r="AC3" s="28" t="s">
        <v>1749</v>
      </c>
      <c r="AD3" s="28" t="s">
        <v>1718</v>
      </c>
      <c r="AE3" s="28" t="s">
        <v>1719</v>
      </c>
      <c r="AF3" s="28" t="s">
        <v>1720</v>
      </c>
      <c r="AG3" s="28" t="s">
        <v>1105</v>
      </c>
      <c r="AH3" s="28" t="s">
        <v>1106</v>
      </c>
      <c r="AI3" s="28" t="s">
        <v>1926</v>
      </c>
      <c r="AJ3" s="28" t="s">
        <v>1467</v>
      </c>
      <c r="AK3" s="28" t="s">
        <v>1504</v>
      </c>
      <c r="AL3" s="28" t="s">
        <v>1520</v>
      </c>
      <c r="AM3" s="28" t="s">
        <v>1521</v>
      </c>
      <c r="AN3" s="28" t="s">
        <v>1522</v>
      </c>
      <c r="AO3" s="28" t="s">
        <v>1523</v>
      </c>
      <c r="AP3" s="28" t="s">
        <v>1524</v>
      </c>
      <c r="AQ3" s="28" t="s">
        <v>1526</v>
      </c>
      <c r="AR3" s="28" t="s">
        <v>1525</v>
      </c>
      <c r="AS3" s="28" t="s">
        <v>1527</v>
      </c>
      <c r="AT3" s="27" t="s">
        <v>1528</v>
      </c>
      <c r="AU3" s="27" t="s">
        <v>1529</v>
      </c>
      <c r="AV3" s="27" t="s">
        <v>1716</v>
      </c>
      <c r="AW3" s="27" t="s">
        <v>1717</v>
      </c>
      <c r="AX3" s="27" t="s">
        <v>1722</v>
      </c>
      <c r="AY3" s="27" t="s">
        <v>1721</v>
      </c>
    </row>
    <row r="4" spans="1:51" s="108" customFormat="1" ht="120" x14ac:dyDescent="0.2">
      <c r="A4" s="105">
        <v>1</v>
      </c>
      <c r="B4" s="162" t="s">
        <v>105</v>
      </c>
      <c r="C4" s="105" t="s">
        <v>106</v>
      </c>
      <c r="D4" s="160">
        <v>2015</v>
      </c>
      <c r="E4" s="162" t="s">
        <v>107</v>
      </c>
      <c r="F4" s="107" t="s">
        <v>108</v>
      </c>
      <c r="G4" s="107" t="s">
        <v>257</v>
      </c>
      <c r="H4" s="107" t="s">
        <v>103</v>
      </c>
      <c r="I4" s="107" t="s">
        <v>110</v>
      </c>
      <c r="J4" s="107" t="s">
        <v>445</v>
      </c>
      <c r="K4" s="107" t="s">
        <v>109</v>
      </c>
      <c r="L4" s="107" t="s">
        <v>441</v>
      </c>
      <c r="M4" s="107"/>
      <c r="N4" s="162" t="s">
        <v>492</v>
      </c>
      <c r="O4" s="162" t="s">
        <v>111</v>
      </c>
      <c r="P4" s="107" t="s">
        <v>112</v>
      </c>
      <c r="Q4" s="105"/>
      <c r="R4" s="105"/>
      <c r="S4" s="162"/>
      <c r="T4" s="162"/>
    </row>
    <row r="5" spans="1:51" s="108" customFormat="1" ht="120" x14ac:dyDescent="0.2">
      <c r="A5" s="105">
        <v>2</v>
      </c>
      <c r="B5" s="162" t="s">
        <v>1761</v>
      </c>
      <c r="C5" s="105" t="s">
        <v>833</v>
      </c>
      <c r="D5" s="160">
        <v>2015</v>
      </c>
      <c r="E5" s="162" t="s">
        <v>660</v>
      </c>
      <c r="F5" s="162" t="s">
        <v>1760</v>
      </c>
      <c r="G5" s="162" t="s">
        <v>1818</v>
      </c>
      <c r="H5" s="162" t="s">
        <v>102</v>
      </c>
      <c r="I5" s="162" t="s">
        <v>1817</v>
      </c>
      <c r="J5" s="105" t="s">
        <v>89</v>
      </c>
      <c r="K5" s="162" t="s">
        <v>1821</v>
      </c>
      <c r="L5" s="162" t="s">
        <v>441</v>
      </c>
      <c r="M5" s="162"/>
      <c r="N5" s="162" t="s">
        <v>1820</v>
      </c>
      <c r="O5" s="161" t="s">
        <v>18</v>
      </c>
      <c r="P5" s="161" t="s">
        <v>18</v>
      </c>
      <c r="Q5" s="162" t="s">
        <v>1819</v>
      </c>
      <c r="R5" s="162"/>
      <c r="S5" s="107"/>
      <c r="T5" s="162"/>
    </row>
    <row r="6" spans="1:51" s="108" customFormat="1" ht="90" x14ac:dyDescent="0.2">
      <c r="A6" s="105">
        <v>3</v>
      </c>
      <c r="B6" s="162" t="s">
        <v>1339</v>
      </c>
      <c r="C6" s="162" t="s">
        <v>1340</v>
      </c>
      <c r="D6" s="160">
        <v>2014</v>
      </c>
      <c r="E6" s="162" t="s">
        <v>660</v>
      </c>
      <c r="F6" s="112" t="s">
        <v>1338</v>
      </c>
      <c r="G6" s="107" t="s">
        <v>1424</v>
      </c>
      <c r="H6" s="162" t="s">
        <v>443</v>
      </c>
      <c r="I6" s="107" t="s">
        <v>315</v>
      </c>
      <c r="J6" s="107" t="s">
        <v>89</v>
      </c>
      <c r="K6" s="162" t="s">
        <v>1425</v>
      </c>
      <c r="L6" s="162" t="s">
        <v>441</v>
      </c>
      <c r="M6" s="162"/>
      <c r="N6" s="162" t="s">
        <v>361</v>
      </c>
      <c r="O6" s="109" t="s">
        <v>18</v>
      </c>
      <c r="P6" s="109" t="s">
        <v>304</v>
      </c>
      <c r="Q6" s="105" t="s">
        <v>1426</v>
      </c>
      <c r="R6" s="105"/>
      <c r="S6" s="112"/>
      <c r="T6" s="162"/>
    </row>
    <row r="7" spans="1:51" s="105" customFormat="1" ht="120" x14ac:dyDescent="0.2">
      <c r="A7" s="105">
        <v>4</v>
      </c>
      <c r="B7" s="162" t="s">
        <v>1762</v>
      </c>
      <c r="C7" s="105" t="s">
        <v>138</v>
      </c>
      <c r="D7" s="160">
        <v>2011</v>
      </c>
      <c r="E7" s="162" t="s">
        <v>1764</v>
      </c>
      <c r="F7" s="162" t="s">
        <v>1763</v>
      </c>
      <c r="G7" s="107" t="s">
        <v>1826</v>
      </c>
      <c r="H7" s="107" t="s">
        <v>98</v>
      </c>
      <c r="I7" s="107" t="s">
        <v>1823</v>
      </c>
      <c r="J7" s="107" t="s">
        <v>441</v>
      </c>
      <c r="K7" s="162" t="s">
        <v>1822</v>
      </c>
      <c r="L7" s="162" t="s">
        <v>441</v>
      </c>
      <c r="M7" s="162"/>
      <c r="N7" s="162" t="s">
        <v>1824</v>
      </c>
      <c r="O7" s="109" t="s">
        <v>18</v>
      </c>
      <c r="P7" s="159" t="s">
        <v>1825</v>
      </c>
      <c r="Q7" s="162"/>
      <c r="S7" s="162"/>
      <c r="T7" s="162"/>
    </row>
    <row r="8" spans="1:51" s="105" customFormat="1" ht="105" x14ac:dyDescent="0.2">
      <c r="A8" s="105">
        <v>5</v>
      </c>
      <c r="B8" s="162" t="s">
        <v>132</v>
      </c>
      <c r="C8" s="105" t="s">
        <v>123</v>
      </c>
      <c r="D8" s="160">
        <v>2014</v>
      </c>
      <c r="E8" s="162" t="s">
        <v>114</v>
      </c>
      <c r="F8" s="162" t="s">
        <v>122</v>
      </c>
      <c r="G8" s="107" t="s">
        <v>261</v>
      </c>
      <c r="H8" s="107" t="s">
        <v>102</v>
      </c>
      <c r="I8" s="107" t="s">
        <v>110</v>
      </c>
      <c r="J8" s="107" t="s">
        <v>446</v>
      </c>
      <c r="K8" s="162" t="s">
        <v>262</v>
      </c>
      <c r="L8" s="162" t="s">
        <v>443</v>
      </c>
      <c r="M8" s="162"/>
      <c r="N8" s="162" t="s">
        <v>260</v>
      </c>
      <c r="O8" s="109" t="s">
        <v>18</v>
      </c>
      <c r="P8" s="159" t="s">
        <v>259</v>
      </c>
      <c r="S8" s="162"/>
    </row>
    <row r="9" spans="1:51" s="105" customFormat="1" ht="120" x14ac:dyDescent="0.2">
      <c r="A9" s="105">
        <v>6</v>
      </c>
      <c r="B9" s="162" t="s">
        <v>677</v>
      </c>
      <c r="C9" s="105" t="s">
        <v>121</v>
      </c>
      <c r="D9" s="160">
        <v>2007</v>
      </c>
      <c r="E9" s="162" t="s">
        <v>118</v>
      </c>
      <c r="F9" s="162" t="s">
        <v>678</v>
      </c>
      <c r="G9" s="107" t="s">
        <v>1017</v>
      </c>
      <c r="H9" s="162" t="s">
        <v>102</v>
      </c>
      <c r="I9" s="162" t="s">
        <v>1021</v>
      </c>
      <c r="J9" s="162" t="s">
        <v>446</v>
      </c>
      <c r="K9" s="162" t="s">
        <v>1019</v>
      </c>
      <c r="L9" s="162" t="s">
        <v>441</v>
      </c>
      <c r="M9" s="162"/>
      <c r="N9" s="162" t="s">
        <v>1020</v>
      </c>
      <c r="O9" s="161" t="s">
        <v>18</v>
      </c>
      <c r="P9" s="161" t="s">
        <v>18</v>
      </c>
      <c r="S9" s="162"/>
    </row>
    <row r="10" spans="1:51" s="105" customFormat="1" ht="75" x14ac:dyDescent="0.2">
      <c r="A10" s="105">
        <v>7</v>
      </c>
      <c r="B10" s="162" t="s">
        <v>1765</v>
      </c>
      <c r="C10" s="105" t="s">
        <v>230</v>
      </c>
      <c r="D10" s="160">
        <v>2013</v>
      </c>
      <c r="E10" s="162" t="s">
        <v>1767</v>
      </c>
      <c r="F10" s="162" t="s">
        <v>1766</v>
      </c>
      <c r="G10" s="162" t="s">
        <v>1827</v>
      </c>
      <c r="H10" s="162" t="s">
        <v>100</v>
      </c>
      <c r="I10" s="162" t="s">
        <v>275</v>
      </c>
      <c r="J10" s="162" t="s">
        <v>441</v>
      </c>
      <c r="K10" s="162" t="s">
        <v>1829</v>
      </c>
      <c r="L10" s="162" t="s">
        <v>441</v>
      </c>
      <c r="M10" s="162"/>
      <c r="N10" s="162" t="s">
        <v>1828</v>
      </c>
      <c r="O10" s="160" t="s">
        <v>1069</v>
      </c>
      <c r="P10" s="159" t="s">
        <v>1619</v>
      </c>
      <c r="Q10" s="162"/>
      <c r="R10" s="162"/>
      <c r="S10" s="107"/>
    </row>
    <row r="11" spans="1:51" s="105" customFormat="1" ht="120" x14ac:dyDescent="0.2">
      <c r="A11" s="105">
        <v>8</v>
      </c>
      <c r="B11" s="162" t="s">
        <v>179</v>
      </c>
      <c r="C11" s="105" t="s">
        <v>121</v>
      </c>
      <c r="D11" s="160">
        <v>2015</v>
      </c>
      <c r="E11" s="162" t="s">
        <v>116</v>
      </c>
      <c r="F11" s="162" t="s">
        <v>127</v>
      </c>
      <c r="G11" s="162" t="s">
        <v>268</v>
      </c>
      <c r="H11" s="162" t="s">
        <v>100</v>
      </c>
      <c r="I11" s="162" t="s">
        <v>275</v>
      </c>
      <c r="J11" s="162" t="s">
        <v>90</v>
      </c>
      <c r="K11" s="162" t="s">
        <v>267</v>
      </c>
      <c r="L11" s="162" t="s">
        <v>443</v>
      </c>
      <c r="M11" s="162"/>
      <c r="N11" s="105" t="s">
        <v>269</v>
      </c>
      <c r="O11" s="109" t="s">
        <v>18</v>
      </c>
      <c r="P11" s="161" t="s">
        <v>495</v>
      </c>
      <c r="S11" s="162"/>
      <c r="T11" s="162"/>
    </row>
    <row r="12" spans="1:51" s="105" customFormat="1" ht="62" customHeight="1" x14ac:dyDescent="0.2">
      <c r="A12" s="220">
        <v>9</v>
      </c>
      <c r="B12" s="214" t="s">
        <v>133</v>
      </c>
      <c r="C12" s="218" t="s">
        <v>27</v>
      </c>
      <c r="D12" s="218">
        <v>2010</v>
      </c>
      <c r="E12" s="214" t="s">
        <v>107</v>
      </c>
      <c r="F12" s="214" t="s">
        <v>131</v>
      </c>
      <c r="G12" s="214" t="s">
        <v>279</v>
      </c>
      <c r="H12" s="214" t="s">
        <v>100</v>
      </c>
      <c r="I12" s="218" t="s">
        <v>275</v>
      </c>
      <c r="J12" s="218" t="s">
        <v>441</v>
      </c>
      <c r="K12" s="214" t="s">
        <v>276</v>
      </c>
      <c r="L12" s="214" t="s">
        <v>91</v>
      </c>
      <c r="M12" s="214" t="s">
        <v>94</v>
      </c>
      <c r="N12" s="214" t="s">
        <v>277</v>
      </c>
      <c r="O12" s="214" t="s">
        <v>274</v>
      </c>
      <c r="P12" s="214" t="s">
        <v>278</v>
      </c>
      <c r="Q12" s="218" t="s">
        <v>1924</v>
      </c>
      <c r="R12" s="160" t="s">
        <v>1923</v>
      </c>
      <c r="S12" s="146">
        <f>5.53*10^-5</f>
        <v>5.5300000000000009E-5</v>
      </c>
      <c r="T12" s="146">
        <f>8.23*10^-6</f>
        <v>8.2300000000000008E-6</v>
      </c>
      <c r="U12" s="175">
        <v>8.77E-3</v>
      </c>
      <c r="V12" s="146">
        <f>5.58*10^-9</f>
        <v>5.5800000000000002E-9</v>
      </c>
      <c r="W12" s="146">
        <f>3.22*10^-6</f>
        <v>3.2200000000000001E-6</v>
      </c>
      <c r="X12" s="146"/>
      <c r="Y12" s="175"/>
      <c r="Z12" s="175">
        <v>0.83299999999999996</v>
      </c>
      <c r="AA12" s="146">
        <f>3.37*10^-4</f>
        <v>3.3700000000000001E-4</v>
      </c>
      <c r="AB12" s="146">
        <f>2.63*10^-3</f>
        <v>2.63E-3</v>
      </c>
      <c r="AC12" s="146"/>
      <c r="AD12" s="146"/>
      <c r="AE12" s="146"/>
      <c r="AF12" s="146"/>
      <c r="AG12" s="146">
        <f>2.93*10^-4</f>
        <v>2.9300000000000002E-4</v>
      </c>
      <c r="AH12" s="146">
        <v>3.21</v>
      </c>
      <c r="AI12" s="146">
        <f>2.79*10^-5</f>
        <v>2.7900000000000004E-5</v>
      </c>
      <c r="AJ12" s="146"/>
      <c r="AK12" s="146"/>
    </row>
    <row r="13" spans="1:51" s="105" customFormat="1" ht="62" customHeight="1" x14ac:dyDescent="0.2">
      <c r="A13" s="220"/>
      <c r="B13" s="214"/>
      <c r="C13" s="218"/>
      <c r="D13" s="218"/>
      <c r="E13" s="214"/>
      <c r="F13" s="214"/>
      <c r="G13" s="214"/>
      <c r="H13" s="214"/>
      <c r="I13" s="218"/>
      <c r="J13" s="218"/>
      <c r="K13" s="214"/>
      <c r="L13" s="214"/>
      <c r="M13" s="214"/>
      <c r="N13" s="214"/>
      <c r="O13" s="214"/>
      <c r="P13" s="214"/>
      <c r="Q13" s="218"/>
      <c r="R13" s="160" t="s">
        <v>1069</v>
      </c>
      <c r="S13" s="146">
        <f>3.2*10^-2</f>
        <v>3.2000000000000001E-2</v>
      </c>
      <c r="T13" s="146">
        <f>1.76*10^-3</f>
        <v>1.7600000000000001E-3</v>
      </c>
      <c r="U13" s="175">
        <v>4.18</v>
      </c>
      <c r="V13" s="146">
        <f>4.06*10^-8</f>
        <v>4.06E-8</v>
      </c>
      <c r="W13" s="146">
        <f>1.1*10^-3</f>
        <v>1.1000000000000001E-3</v>
      </c>
      <c r="X13" s="146"/>
      <c r="Y13" s="176"/>
      <c r="Z13" s="175">
        <v>49.7</v>
      </c>
      <c r="AA13" s="146">
        <f>3.25*10^-2</f>
        <v>3.2500000000000001E-2</v>
      </c>
      <c r="AB13" s="146">
        <f>8.35*10^-1</f>
        <v>0.83499999999999996</v>
      </c>
      <c r="AC13" s="177"/>
      <c r="AD13" s="177"/>
      <c r="AE13" s="177"/>
      <c r="AF13" s="177"/>
      <c r="AG13" s="146">
        <f>5.29*10^-2</f>
        <v>5.2900000000000003E-2</v>
      </c>
      <c r="AH13" s="146">
        <f>4.95*10^3</f>
        <v>4950</v>
      </c>
      <c r="AI13" s="146">
        <f>7.47*10^-3</f>
        <v>7.4700000000000001E-3</v>
      </c>
      <c r="AJ13" s="178"/>
      <c r="AK13" s="178"/>
    </row>
    <row r="14" spans="1:51" s="105" customFormat="1" ht="62" customHeight="1" x14ac:dyDescent="0.2">
      <c r="A14" s="220"/>
      <c r="B14" s="214"/>
      <c r="C14" s="218"/>
      <c r="D14" s="218"/>
      <c r="E14" s="214"/>
      <c r="F14" s="214"/>
      <c r="G14" s="214"/>
      <c r="H14" s="214"/>
      <c r="I14" s="218"/>
      <c r="J14" s="218"/>
      <c r="K14" s="214"/>
      <c r="L14" s="214"/>
      <c r="M14" s="214"/>
      <c r="N14" s="214"/>
      <c r="O14" s="214"/>
      <c r="P14" s="214"/>
      <c r="Q14" s="218"/>
      <c r="R14" s="160" t="s">
        <v>1925</v>
      </c>
      <c r="S14" s="146">
        <f>2.67*10^-3</f>
        <v>2.6700000000000001E-3</v>
      </c>
      <c r="T14" s="146">
        <f>1.52*10^-4</f>
        <v>1.5200000000000001E-4</v>
      </c>
      <c r="U14" s="146">
        <v>0.35</v>
      </c>
      <c r="V14" s="146">
        <f>8.45*10^-9</f>
        <v>8.4499999999999996E-9</v>
      </c>
      <c r="W14" s="146">
        <f>9.34*10^-5</f>
        <v>9.3400000000000007E-5</v>
      </c>
      <c r="X14" s="146"/>
      <c r="Y14" s="176"/>
      <c r="Z14" s="175">
        <v>4.84</v>
      </c>
      <c r="AA14" s="146">
        <f>2.98*10^-3</f>
        <v>2.98E-3</v>
      </c>
      <c r="AB14" s="146">
        <f>7.08*10^-2</f>
        <v>7.0800000000000002E-2</v>
      </c>
      <c r="AC14" s="177"/>
      <c r="AD14" s="177"/>
      <c r="AE14" s="177"/>
      <c r="AF14" s="177"/>
      <c r="AG14" s="146">
        <f>4.6*10^-3</f>
        <v>4.5999999999999999E-3</v>
      </c>
      <c r="AH14" s="146">
        <v>409</v>
      </c>
      <c r="AI14" s="146">
        <f>6.38*10^-4</f>
        <v>6.38E-4</v>
      </c>
      <c r="AJ14" s="178"/>
      <c r="AK14" s="178"/>
    </row>
    <row r="15" spans="1:51" s="105" customFormat="1" ht="150" x14ac:dyDescent="0.2">
      <c r="A15" s="105">
        <v>10</v>
      </c>
      <c r="B15" s="162" t="s">
        <v>1350</v>
      </c>
      <c r="C15" s="105" t="s">
        <v>121</v>
      </c>
      <c r="D15" s="160">
        <v>2010</v>
      </c>
      <c r="E15" s="162" t="s">
        <v>107</v>
      </c>
      <c r="F15" s="162" t="s">
        <v>1349</v>
      </c>
      <c r="G15" s="162" t="s">
        <v>1447</v>
      </c>
      <c r="H15" s="162" t="s">
        <v>1095</v>
      </c>
      <c r="I15" s="162" t="s">
        <v>1448</v>
      </c>
      <c r="J15" s="162" t="s">
        <v>446</v>
      </c>
      <c r="K15" s="162" t="s">
        <v>1450</v>
      </c>
      <c r="L15" s="162" t="s">
        <v>441</v>
      </c>
      <c r="M15" s="162"/>
      <c r="N15" s="105" t="s">
        <v>361</v>
      </c>
      <c r="O15" s="109" t="s">
        <v>18</v>
      </c>
      <c r="P15" s="159" t="s">
        <v>1449</v>
      </c>
      <c r="Q15" s="162"/>
      <c r="S15" s="162"/>
    </row>
    <row r="16" spans="1:51" s="105" customFormat="1" ht="75" x14ac:dyDescent="0.2">
      <c r="A16" s="105">
        <v>11</v>
      </c>
      <c r="B16" s="162" t="s">
        <v>1768</v>
      </c>
      <c r="C16" s="105" t="s">
        <v>126</v>
      </c>
      <c r="D16" s="160">
        <v>2005</v>
      </c>
      <c r="E16" s="162" t="s">
        <v>118</v>
      </c>
      <c r="F16" s="162" t="s">
        <v>1769</v>
      </c>
      <c r="G16" s="162" t="s">
        <v>1830</v>
      </c>
      <c r="H16" s="162" t="s">
        <v>1194</v>
      </c>
      <c r="I16" s="162" t="s">
        <v>1833</v>
      </c>
      <c r="J16" s="162" t="s">
        <v>444</v>
      </c>
      <c r="K16" s="162" t="s">
        <v>1831</v>
      </c>
      <c r="L16" s="105" t="s">
        <v>441</v>
      </c>
      <c r="N16" s="162" t="s">
        <v>350</v>
      </c>
      <c r="O16" s="161" t="s">
        <v>18</v>
      </c>
      <c r="P16" s="159" t="s">
        <v>1832</v>
      </c>
      <c r="Q16" s="162"/>
      <c r="S16" s="162"/>
    </row>
    <row r="17" spans="1:27" s="115" customFormat="1" ht="75" x14ac:dyDescent="0.2">
      <c r="A17" s="105">
        <v>12</v>
      </c>
      <c r="B17" s="162" t="s">
        <v>1770</v>
      </c>
      <c r="C17" s="105"/>
      <c r="D17" s="160">
        <v>2008</v>
      </c>
      <c r="E17" s="162" t="s">
        <v>1771</v>
      </c>
      <c r="F17" s="162" t="s">
        <v>1772</v>
      </c>
      <c r="G17" s="162"/>
      <c r="H17" s="162"/>
      <c r="I17" s="162"/>
      <c r="J17" s="162"/>
      <c r="K17" s="162"/>
      <c r="L17" s="162"/>
      <c r="M17" s="162"/>
      <c r="N17" s="162"/>
      <c r="O17" s="160"/>
      <c r="P17" s="159"/>
      <c r="Q17" s="162" t="s">
        <v>1834</v>
      </c>
      <c r="R17" s="105"/>
      <c r="S17" s="162"/>
      <c r="T17" s="162"/>
    </row>
    <row r="18" spans="1:27" s="115" customFormat="1" ht="75" x14ac:dyDescent="0.2">
      <c r="A18" s="105">
        <v>13</v>
      </c>
      <c r="B18" s="162" t="s">
        <v>140</v>
      </c>
      <c r="C18" s="105" t="s">
        <v>135</v>
      </c>
      <c r="D18" s="160">
        <v>2015</v>
      </c>
      <c r="E18" s="162" t="s">
        <v>114</v>
      </c>
      <c r="F18" s="162" t="s">
        <v>141</v>
      </c>
      <c r="G18" s="162" t="s">
        <v>290</v>
      </c>
      <c r="H18" s="162" t="s">
        <v>100</v>
      </c>
      <c r="I18" s="162" t="s">
        <v>275</v>
      </c>
      <c r="J18" s="162" t="s">
        <v>90</v>
      </c>
      <c r="K18" s="162" t="s">
        <v>288</v>
      </c>
      <c r="L18" s="162" t="s">
        <v>91</v>
      </c>
      <c r="M18" s="162" t="s">
        <v>443</v>
      </c>
      <c r="N18" s="162" t="s">
        <v>490</v>
      </c>
      <c r="O18" s="109" t="s">
        <v>18</v>
      </c>
      <c r="P18" s="109" t="s">
        <v>18</v>
      </c>
      <c r="Q18" s="105"/>
      <c r="R18" s="105"/>
      <c r="S18" s="162"/>
      <c r="T18" s="105"/>
    </row>
    <row r="19" spans="1:27" s="115" customFormat="1" ht="75" x14ac:dyDescent="0.2">
      <c r="A19" s="105">
        <v>14</v>
      </c>
      <c r="B19" s="162" t="s">
        <v>143</v>
      </c>
      <c r="C19" s="105" t="s">
        <v>144</v>
      </c>
      <c r="D19" s="160">
        <v>2016</v>
      </c>
      <c r="E19" s="162" t="s">
        <v>116</v>
      </c>
      <c r="F19" s="162" t="s">
        <v>142</v>
      </c>
      <c r="G19" s="107" t="s">
        <v>291</v>
      </c>
      <c r="H19" s="107" t="s">
        <v>103</v>
      </c>
      <c r="I19" s="162" t="s">
        <v>110</v>
      </c>
      <c r="J19" s="162" t="s">
        <v>90</v>
      </c>
      <c r="K19" s="162" t="s">
        <v>293</v>
      </c>
      <c r="L19" s="162" t="s">
        <v>91</v>
      </c>
      <c r="M19" s="162" t="s">
        <v>448</v>
      </c>
      <c r="N19" s="105" t="s">
        <v>292</v>
      </c>
      <c r="O19" s="162" t="s">
        <v>294</v>
      </c>
      <c r="P19" s="162" t="s">
        <v>1917</v>
      </c>
      <c r="Q19" s="162" t="s">
        <v>1919</v>
      </c>
      <c r="R19" s="105"/>
      <c r="S19" s="162"/>
      <c r="T19" s="162"/>
    </row>
    <row r="20" spans="1:27" s="116" customFormat="1" ht="150" x14ac:dyDescent="0.2">
      <c r="A20" s="105">
        <v>15</v>
      </c>
      <c r="B20" s="162" t="s">
        <v>708</v>
      </c>
      <c r="C20" s="105" t="s">
        <v>113</v>
      </c>
      <c r="D20" s="160">
        <v>2015</v>
      </c>
      <c r="E20" s="162" t="s">
        <v>705</v>
      </c>
      <c r="F20" s="162" t="s">
        <v>707</v>
      </c>
      <c r="G20" s="162" t="s">
        <v>1074</v>
      </c>
      <c r="H20" s="162" t="s">
        <v>98</v>
      </c>
      <c r="I20" s="162" t="s">
        <v>1077</v>
      </c>
      <c r="J20" s="162" t="s">
        <v>89</v>
      </c>
      <c r="K20" s="162" t="s">
        <v>1075</v>
      </c>
      <c r="L20" s="162" t="s">
        <v>92</v>
      </c>
      <c r="M20" s="162" t="s">
        <v>443</v>
      </c>
      <c r="N20" s="105" t="s">
        <v>1076</v>
      </c>
      <c r="O20" s="109" t="s">
        <v>18</v>
      </c>
      <c r="P20" s="109" t="s">
        <v>18</v>
      </c>
      <c r="Q20" s="162" t="s">
        <v>1088</v>
      </c>
      <c r="R20" s="105"/>
      <c r="S20" s="162"/>
    </row>
    <row r="21" spans="1:27" s="115" customFormat="1" ht="75" x14ac:dyDescent="0.2">
      <c r="A21" s="105">
        <v>16</v>
      </c>
      <c r="B21" s="162" t="s">
        <v>151</v>
      </c>
      <c r="C21" s="105" t="s">
        <v>8</v>
      </c>
      <c r="D21" s="160">
        <v>2005</v>
      </c>
      <c r="E21" s="162" t="s">
        <v>114</v>
      </c>
      <c r="F21" s="162" t="s">
        <v>150</v>
      </c>
      <c r="G21" s="162" t="s">
        <v>303</v>
      </c>
      <c r="H21" s="162" t="s">
        <v>100</v>
      </c>
      <c r="I21" s="162" t="s">
        <v>275</v>
      </c>
      <c r="J21" s="162" t="s">
        <v>444</v>
      </c>
      <c r="K21" s="162" t="s">
        <v>306</v>
      </c>
      <c r="L21" s="162" t="s">
        <v>441</v>
      </c>
      <c r="M21" s="162"/>
      <c r="N21" s="162" t="s">
        <v>305</v>
      </c>
      <c r="O21" s="109" t="s">
        <v>18</v>
      </c>
      <c r="P21" s="105" t="s">
        <v>304</v>
      </c>
      <c r="Q21" s="162"/>
      <c r="R21" s="162"/>
      <c r="S21" s="162"/>
      <c r="T21" s="162"/>
    </row>
    <row r="22" spans="1:27" s="115" customFormat="1" ht="105" x14ac:dyDescent="0.2">
      <c r="A22" s="105">
        <v>17</v>
      </c>
      <c r="B22" s="162" t="s">
        <v>1810</v>
      </c>
      <c r="C22" s="105" t="s">
        <v>135</v>
      </c>
      <c r="D22" s="160">
        <v>2017</v>
      </c>
      <c r="E22" s="162" t="s">
        <v>114</v>
      </c>
      <c r="F22" s="162" t="s">
        <v>1809</v>
      </c>
      <c r="G22" s="162" t="s">
        <v>1835</v>
      </c>
      <c r="H22" s="162" t="s">
        <v>1095</v>
      </c>
      <c r="I22" s="162" t="s">
        <v>281</v>
      </c>
      <c r="J22" s="162" t="s">
        <v>89</v>
      </c>
      <c r="K22" s="105" t="s">
        <v>1837</v>
      </c>
      <c r="L22" s="105" t="s">
        <v>441</v>
      </c>
      <c r="M22" s="105"/>
      <c r="N22" s="162" t="s">
        <v>1838</v>
      </c>
      <c r="O22" s="161" t="s">
        <v>18</v>
      </c>
      <c r="P22" s="159" t="s">
        <v>1836</v>
      </c>
      <c r="Q22" s="159"/>
      <c r="R22" s="105"/>
      <c r="S22" s="117"/>
      <c r="T22" s="162"/>
    </row>
    <row r="23" spans="1:27" s="115" customFormat="1" ht="90" x14ac:dyDescent="0.2">
      <c r="A23" s="105">
        <v>18</v>
      </c>
      <c r="B23" s="162" t="s">
        <v>716</v>
      </c>
      <c r="C23" s="105" t="s">
        <v>121</v>
      </c>
      <c r="D23" s="160">
        <v>2016</v>
      </c>
      <c r="E23" s="162" t="s">
        <v>114</v>
      </c>
      <c r="F23" s="162" t="s">
        <v>715</v>
      </c>
      <c r="G23" s="107" t="s">
        <v>1092</v>
      </c>
      <c r="H23" s="162" t="s">
        <v>1095</v>
      </c>
      <c r="I23" s="107" t="s">
        <v>281</v>
      </c>
      <c r="J23" s="107" t="s">
        <v>90</v>
      </c>
      <c r="K23" s="107" t="s">
        <v>1093</v>
      </c>
      <c r="L23" s="107" t="s">
        <v>441</v>
      </c>
      <c r="M23" s="107"/>
      <c r="N23" s="105" t="s">
        <v>269</v>
      </c>
      <c r="O23" s="173" t="s">
        <v>2149</v>
      </c>
      <c r="P23" s="109" t="s">
        <v>18</v>
      </c>
      <c r="Q23" s="159" t="s">
        <v>1920</v>
      </c>
      <c r="R23" s="105"/>
      <c r="S23" s="117"/>
      <c r="T23" s="162"/>
    </row>
    <row r="24" spans="1:27" s="115" customFormat="1" ht="31" customHeight="1" x14ac:dyDescent="0.2">
      <c r="A24" s="220">
        <v>19</v>
      </c>
      <c r="B24" s="214" t="s">
        <v>158</v>
      </c>
      <c r="C24" s="218" t="s">
        <v>27</v>
      </c>
      <c r="D24" s="218">
        <v>2010</v>
      </c>
      <c r="E24" s="214" t="s">
        <v>107</v>
      </c>
      <c r="F24" s="214" t="s">
        <v>157</v>
      </c>
      <c r="G24" s="214" t="s">
        <v>316</v>
      </c>
      <c r="H24" s="214" t="s">
        <v>100</v>
      </c>
      <c r="I24" s="214" t="s">
        <v>872</v>
      </c>
      <c r="J24" s="214" t="s">
        <v>90</v>
      </c>
      <c r="K24" s="214" t="s">
        <v>871</v>
      </c>
      <c r="L24" s="214" t="s">
        <v>443</v>
      </c>
      <c r="M24" s="214"/>
      <c r="N24" s="214" t="s">
        <v>318</v>
      </c>
      <c r="O24" s="218" t="s">
        <v>18</v>
      </c>
      <c r="P24" s="214" t="s">
        <v>870</v>
      </c>
      <c r="Q24" s="217" t="s">
        <v>1927</v>
      </c>
      <c r="R24" s="162" t="s">
        <v>1734</v>
      </c>
      <c r="S24" s="107"/>
      <c r="T24" s="162"/>
      <c r="AA24" s="115">
        <v>0</v>
      </c>
    </row>
    <row r="25" spans="1:27" s="115" customFormat="1" ht="31" customHeight="1" x14ac:dyDescent="0.2">
      <c r="A25" s="220"/>
      <c r="B25" s="214"/>
      <c r="C25" s="218"/>
      <c r="D25" s="218"/>
      <c r="E25" s="214"/>
      <c r="F25" s="214"/>
      <c r="G25" s="214"/>
      <c r="H25" s="214"/>
      <c r="I25" s="214"/>
      <c r="J25" s="214"/>
      <c r="K25" s="214"/>
      <c r="L25" s="214"/>
      <c r="M25" s="214"/>
      <c r="N25" s="214"/>
      <c r="O25" s="218"/>
      <c r="P25" s="214"/>
      <c r="Q25" s="217"/>
      <c r="R25" s="162" t="s">
        <v>1735</v>
      </c>
      <c r="S25" s="107"/>
      <c r="T25" s="162"/>
      <c r="AA25" s="115">
        <v>0</v>
      </c>
    </row>
    <row r="26" spans="1:27" s="115" customFormat="1" ht="31" customHeight="1" x14ac:dyDescent="0.2">
      <c r="A26" s="220"/>
      <c r="B26" s="214"/>
      <c r="C26" s="218"/>
      <c r="D26" s="218"/>
      <c r="E26" s="214"/>
      <c r="F26" s="214"/>
      <c r="G26" s="214"/>
      <c r="H26" s="214"/>
      <c r="I26" s="214"/>
      <c r="J26" s="214"/>
      <c r="K26" s="214"/>
      <c r="L26" s="214"/>
      <c r="M26" s="214"/>
      <c r="N26" s="214"/>
      <c r="O26" s="218"/>
      <c r="P26" s="214"/>
      <c r="Q26" s="217"/>
      <c r="R26" s="162" t="s">
        <v>1736</v>
      </c>
      <c r="S26" s="107"/>
      <c r="T26" s="162"/>
      <c r="AA26" s="115">
        <v>0</v>
      </c>
    </row>
    <row r="27" spans="1:27" s="115" customFormat="1" ht="31" customHeight="1" x14ac:dyDescent="0.2">
      <c r="A27" s="220"/>
      <c r="B27" s="214"/>
      <c r="C27" s="218"/>
      <c r="D27" s="218"/>
      <c r="E27" s="214"/>
      <c r="F27" s="214"/>
      <c r="G27" s="214"/>
      <c r="H27" s="214"/>
      <c r="I27" s="214"/>
      <c r="J27" s="214"/>
      <c r="K27" s="214"/>
      <c r="L27" s="214"/>
      <c r="M27" s="214"/>
      <c r="N27" s="214"/>
      <c r="O27" s="218"/>
      <c r="P27" s="214"/>
      <c r="Q27" s="217"/>
      <c r="R27" s="162" t="s">
        <v>1737</v>
      </c>
      <c r="S27" s="107"/>
      <c r="T27" s="162"/>
      <c r="AA27" s="115">
        <v>0</v>
      </c>
    </row>
    <row r="28" spans="1:27" s="115" customFormat="1" ht="31" customHeight="1" x14ac:dyDescent="0.2">
      <c r="A28" s="220"/>
      <c r="B28" s="214"/>
      <c r="C28" s="218"/>
      <c r="D28" s="218"/>
      <c r="E28" s="214"/>
      <c r="F28" s="214"/>
      <c r="G28" s="214"/>
      <c r="H28" s="214"/>
      <c r="I28" s="214"/>
      <c r="J28" s="214"/>
      <c r="K28" s="214"/>
      <c r="L28" s="214"/>
      <c r="M28" s="214"/>
      <c r="N28" s="214"/>
      <c r="O28" s="218"/>
      <c r="P28" s="214"/>
      <c r="Q28" s="217"/>
      <c r="R28" s="162" t="s">
        <v>1738</v>
      </c>
      <c r="S28" s="107"/>
      <c r="T28" s="162"/>
      <c r="AA28" s="115">
        <v>0</v>
      </c>
    </row>
    <row r="29" spans="1:27" s="115" customFormat="1" ht="31" customHeight="1" x14ac:dyDescent="0.2">
      <c r="A29" s="220"/>
      <c r="B29" s="214"/>
      <c r="C29" s="218"/>
      <c r="D29" s="218"/>
      <c r="E29" s="214"/>
      <c r="F29" s="214"/>
      <c r="G29" s="214"/>
      <c r="H29" s="214"/>
      <c r="I29" s="214"/>
      <c r="J29" s="214"/>
      <c r="K29" s="214"/>
      <c r="L29" s="214"/>
      <c r="M29" s="214"/>
      <c r="N29" s="214"/>
      <c r="O29" s="218"/>
      <c r="P29" s="214"/>
      <c r="Q29" s="217" t="s">
        <v>1928</v>
      </c>
      <c r="R29" s="162" t="s">
        <v>1734</v>
      </c>
      <c r="S29" s="107"/>
      <c r="T29" s="162"/>
      <c r="AA29" s="179">
        <f>5.3*10^10</f>
        <v>53000000000</v>
      </c>
    </row>
    <row r="30" spans="1:27" s="115" customFormat="1" ht="31" customHeight="1" x14ac:dyDescent="0.2">
      <c r="A30" s="220"/>
      <c r="B30" s="214"/>
      <c r="C30" s="218"/>
      <c r="D30" s="218"/>
      <c r="E30" s="214"/>
      <c r="F30" s="214"/>
      <c r="G30" s="214"/>
      <c r="H30" s="214"/>
      <c r="I30" s="214"/>
      <c r="J30" s="214"/>
      <c r="K30" s="214"/>
      <c r="L30" s="214"/>
      <c r="M30" s="214"/>
      <c r="N30" s="214"/>
      <c r="O30" s="218"/>
      <c r="P30" s="214"/>
      <c r="Q30" s="217"/>
      <c r="R30" s="162" t="s">
        <v>1735</v>
      </c>
      <c r="S30" s="107"/>
      <c r="T30" s="162"/>
      <c r="AA30" s="179">
        <f>5.3*10^10</f>
        <v>53000000000</v>
      </c>
    </row>
    <row r="31" spans="1:27" s="115" customFormat="1" ht="31" customHeight="1" x14ac:dyDescent="0.2">
      <c r="A31" s="220"/>
      <c r="B31" s="214"/>
      <c r="C31" s="218"/>
      <c r="D31" s="218"/>
      <c r="E31" s="214"/>
      <c r="F31" s="214"/>
      <c r="G31" s="214"/>
      <c r="H31" s="214"/>
      <c r="I31" s="214"/>
      <c r="J31" s="214"/>
      <c r="K31" s="214"/>
      <c r="L31" s="214"/>
      <c r="M31" s="214"/>
      <c r="N31" s="214"/>
      <c r="O31" s="218"/>
      <c r="P31" s="214"/>
      <c r="Q31" s="217"/>
      <c r="R31" s="162" t="s">
        <v>1736</v>
      </c>
      <c r="S31" s="107"/>
      <c r="T31" s="162"/>
      <c r="AA31" s="179">
        <f>5.3*10^10</f>
        <v>53000000000</v>
      </c>
    </row>
    <row r="32" spans="1:27" s="115" customFormat="1" ht="31" customHeight="1" x14ac:dyDescent="0.2">
      <c r="A32" s="220"/>
      <c r="B32" s="214"/>
      <c r="C32" s="218"/>
      <c r="D32" s="218"/>
      <c r="E32" s="214"/>
      <c r="F32" s="214"/>
      <c r="G32" s="214"/>
      <c r="H32" s="214"/>
      <c r="I32" s="214"/>
      <c r="J32" s="214"/>
      <c r="K32" s="214"/>
      <c r="L32" s="214"/>
      <c r="M32" s="214"/>
      <c r="N32" s="214"/>
      <c r="O32" s="218"/>
      <c r="P32" s="214"/>
      <c r="Q32" s="217"/>
      <c r="R32" s="162" t="s">
        <v>1737</v>
      </c>
      <c r="S32" s="107"/>
      <c r="T32" s="162"/>
      <c r="AA32" s="179">
        <f>5.3*10^10</f>
        <v>53000000000</v>
      </c>
    </row>
    <row r="33" spans="1:47" s="115" customFormat="1" ht="31" customHeight="1" x14ac:dyDescent="0.2">
      <c r="A33" s="220"/>
      <c r="B33" s="214"/>
      <c r="C33" s="218"/>
      <c r="D33" s="218"/>
      <c r="E33" s="214"/>
      <c r="F33" s="214"/>
      <c r="G33" s="214"/>
      <c r="H33" s="214"/>
      <c r="I33" s="214"/>
      <c r="J33" s="214"/>
      <c r="K33" s="214"/>
      <c r="L33" s="214"/>
      <c r="M33" s="214"/>
      <c r="N33" s="214"/>
      <c r="O33" s="218"/>
      <c r="P33" s="214"/>
      <c r="Q33" s="217"/>
      <c r="R33" s="162" t="s">
        <v>1738</v>
      </c>
      <c r="S33" s="107"/>
      <c r="T33" s="162"/>
      <c r="AA33" s="179">
        <f>5.3*10^10</f>
        <v>53000000000</v>
      </c>
    </row>
    <row r="34" spans="1:47" s="115" customFormat="1" ht="34" customHeight="1" x14ac:dyDescent="0.2">
      <c r="A34" s="220">
        <v>20</v>
      </c>
      <c r="B34" s="214" t="s">
        <v>719</v>
      </c>
      <c r="C34" s="218" t="s">
        <v>27</v>
      </c>
      <c r="D34" s="218">
        <v>2011</v>
      </c>
      <c r="E34" s="214" t="s">
        <v>114</v>
      </c>
      <c r="F34" s="219" t="s">
        <v>718</v>
      </c>
      <c r="G34" s="214" t="s">
        <v>1099</v>
      </c>
      <c r="H34" s="214" t="s">
        <v>100</v>
      </c>
      <c r="I34" s="216" t="s">
        <v>1100</v>
      </c>
      <c r="J34" s="216" t="s">
        <v>90</v>
      </c>
      <c r="K34" s="214" t="s">
        <v>1101</v>
      </c>
      <c r="L34" s="214" t="s">
        <v>91</v>
      </c>
      <c r="M34" s="214" t="s">
        <v>443</v>
      </c>
      <c r="N34" s="214" t="s">
        <v>1104</v>
      </c>
      <c r="O34" s="214" t="s">
        <v>1103</v>
      </c>
      <c r="P34" s="214" t="s">
        <v>1102</v>
      </c>
      <c r="Q34" s="218" t="s">
        <v>1924</v>
      </c>
      <c r="R34" s="160" t="s">
        <v>1923</v>
      </c>
      <c r="S34" s="113">
        <f>3.32*10^-5</f>
        <v>3.3200000000000001E-5</v>
      </c>
      <c r="T34" s="162">
        <f>4.94*10^-6</f>
        <v>4.9400000000000001E-6</v>
      </c>
      <c r="U34" s="105">
        <f>5.26*10^-3</f>
        <v>5.2599999999999999E-3</v>
      </c>
      <c r="V34" s="105">
        <f>3.35*10^-9</f>
        <v>3.3500000000000002E-9</v>
      </c>
      <c r="W34" s="105">
        <f>1.93*10^-6</f>
        <v>1.9299999999999997E-6</v>
      </c>
      <c r="X34" s="105"/>
      <c r="Y34" s="105"/>
      <c r="Z34" s="105"/>
      <c r="AA34" s="105">
        <f>2.02*10^-4</f>
        <v>2.02E-4</v>
      </c>
      <c r="AB34" s="105">
        <f>1.58*10^-3</f>
        <v>1.58E-3</v>
      </c>
      <c r="AC34" s="105"/>
      <c r="AG34" s="115">
        <f>1.76*10^-4</f>
        <v>1.7600000000000002E-4</v>
      </c>
      <c r="AH34" s="115">
        <v>1.93</v>
      </c>
      <c r="AI34" s="115">
        <f>1.68*10^-5</f>
        <v>1.6800000000000002E-5</v>
      </c>
    </row>
    <row r="35" spans="1:47" s="115" customFormat="1" ht="34" customHeight="1" x14ac:dyDescent="0.2">
      <c r="A35" s="220"/>
      <c r="B35" s="214"/>
      <c r="C35" s="218"/>
      <c r="D35" s="218"/>
      <c r="E35" s="214"/>
      <c r="F35" s="219"/>
      <c r="G35" s="214"/>
      <c r="H35" s="214"/>
      <c r="I35" s="216"/>
      <c r="J35" s="216"/>
      <c r="K35" s="214"/>
      <c r="L35" s="214"/>
      <c r="M35" s="214"/>
      <c r="N35" s="214"/>
      <c r="O35" s="214"/>
      <c r="P35" s="214"/>
      <c r="Q35" s="218"/>
      <c r="R35" s="160" t="s">
        <v>1069</v>
      </c>
      <c r="S35" s="113">
        <f>1.92*10^-2</f>
        <v>1.9199999999999998E-2</v>
      </c>
      <c r="T35" s="162">
        <f>1.06*10^-3</f>
        <v>1.0600000000000002E-3</v>
      </c>
      <c r="U35" s="105">
        <v>2.5099999999999998</v>
      </c>
      <c r="V35" s="105">
        <f>2.43*10^-8</f>
        <v>2.4300000000000003E-8</v>
      </c>
      <c r="W35" s="105">
        <f>6.62*10^-4</f>
        <v>6.6200000000000005E-4</v>
      </c>
      <c r="X35" s="105"/>
      <c r="Y35" s="105"/>
      <c r="Z35" s="105"/>
      <c r="AA35" s="105">
        <f>1.95*10^-2</f>
        <v>1.95E-2</v>
      </c>
      <c r="AB35" s="105">
        <v>0.501</v>
      </c>
      <c r="AC35" s="105"/>
      <c r="AG35" s="115">
        <f>3.17*10^-2</f>
        <v>3.1699999999999999E-2</v>
      </c>
      <c r="AH35" s="115">
        <f>2.97*10^-3</f>
        <v>2.9700000000000004E-3</v>
      </c>
      <c r="AI35" s="115">
        <f>4.48*10^-4</f>
        <v>4.4800000000000005E-4</v>
      </c>
    </row>
    <row r="36" spans="1:47" s="115" customFormat="1" ht="34" customHeight="1" x14ac:dyDescent="0.2">
      <c r="A36" s="220"/>
      <c r="B36" s="214"/>
      <c r="C36" s="218"/>
      <c r="D36" s="218"/>
      <c r="E36" s="214"/>
      <c r="F36" s="219"/>
      <c r="G36" s="214"/>
      <c r="H36" s="214"/>
      <c r="I36" s="216"/>
      <c r="J36" s="216"/>
      <c r="K36" s="214"/>
      <c r="L36" s="214"/>
      <c r="M36" s="214"/>
      <c r="N36" s="214"/>
      <c r="O36" s="214"/>
      <c r="P36" s="214"/>
      <c r="Q36" s="218"/>
      <c r="R36" s="160" t="s">
        <v>1925</v>
      </c>
      <c r="S36" s="113">
        <f>1.6*10^-3</f>
        <v>1.6000000000000001E-3</v>
      </c>
      <c r="T36" s="162">
        <f>9.12*10^-5</f>
        <v>9.1199999999999994E-5</v>
      </c>
      <c r="U36" s="105">
        <v>0.21</v>
      </c>
      <c r="V36" s="105">
        <f>5.07*10^-9</f>
        <v>5.0700000000000009E-9</v>
      </c>
      <c r="W36" s="105">
        <f>5.6*10^-5</f>
        <v>5.5999999999999999E-5</v>
      </c>
      <c r="X36" s="105"/>
      <c r="Y36" s="105"/>
      <c r="Z36" s="105"/>
      <c r="AA36" s="105">
        <f>1.79*10^-3</f>
        <v>1.7900000000000001E-3</v>
      </c>
      <c r="AB36" s="105">
        <f>4.25*10^-2</f>
        <v>4.2500000000000003E-2</v>
      </c>
      <c r="AC36" s="105"/>
      <c r="AG36" s="115">
        <f>2.76*10^-3</f>
        <v>2.7599999999999999E-3</v>
      </c>
      <c r="AH36" s="115">
        <f>2.45*10^-2</f>
        <v>2.4500000000000001E-2</v>
      </c>
      <c r="AI36" s="115">
        <f>3.83*10^-4</f>
        <v>3.8300000000000004E-4</v>
      </c>
    </row>
    <row r="37" spans="1:47" s="115" customFormat="1" ht="150" x14ac:dyDescent="0.2">
      <c r="A37" s="105">
        <v>21</v>
      </c>
      <c r="B37" s="162" t="s">
        <v>1773</v>
      </c>
      <c r="C37" s="105" t="s">
        <v>156</v>
      </c>
      <c r="D37" s="160">
        <v>2014</v>
      </c>
      <c r="E37" s="162" t="s">
        <v>114</v>
      </c>
      <c r="F37" s="113" t="s">
        <v>1774</v>
      </c>
      <c r="G37" s="162" t="s">
        <v>1840</v>
      </c>
      <c r="H37" s="162" t="s">
        <v>1095</v>
      </c>
      <c r="I37" s="162" t="s">
        <v>1839</v>
      </c>
      <c r="J37" s="162" t="s">
        <v>88</v>
      </c>
      <c r="K37" s="162" t="s">
        <v>1844</v>
      </c>
      <c r="L37" s="162" t="s">
        <v>91</v>
      </c>
      <c r="M37" s="162" t="s">
        <v>443</v>
      </c>
      <c r="N37" s="162" t="s">
        <v>1841</v>
      </c>
      <c r="O37" s="162" t="s">
        <v>1103</v>
      </c>
      <c r="P37" s="162" t="s">
        <v>1843</v>
      </c>
      <c r="Q37" s="162" t="s">
        <v>1842</v>
      </c>
      <c r="R37" s="105"/>
      <c r="S37" s="113"/>
      <c r="T37" s="162"/>
      <c r="U37" s="116"/>
      <c r="V37" s="116"/>
      <c r="W37" s="116"/>
      <c r="X37" s="116"/>
      <c r="Y37" s="116"/>
      <c r="Z37" s="116"/>
      <c r="AA37" s="116"/>
      <c r="AB37" s="116"/>
      <c r="AC37" s="116"/>
      <c r="AD37" s="116"/>
      <c r="AE37" s="116"/>
      <c r="AF37" s="116"/>
      <c r="AG37" s="116"/>
      <c r="AH37" s="116"/>
      <c r="AI37" s="116"/>
    </row>
    <row r="38" spans="1:47" s="115" customFormat="1" ht="90" x14ac:dyDescent="0.2">
      <c r="A38" s="105">
        <v>22</v>
      </c>
      <c r="B38" s="162" t="s">
        <v>2025</v>
      </c>
      <c r="C38" s="162" t="s">
        <v>174</v>
      </c>
      <c r="D38" s="160">
        <v>2012</v>
      </c>
      <c r="E38" s="162" t="s">
        <v>2027</v>
      </c>
      <c r="F38" s="162" t="s">
        <v>2026</v>
      </c>
      <c r="G38" s="162" t="s">
        <v>2069</v>
      </c>
      <c r="H38" s="162" t="s">
        <v>98</v>
      </c>
      <c r="I38" s="107" t="s">
        <v>2068</v>
      </c>
      <c r="J38" s="162" t="s">
        <v>444</v>
      </c>
      <c r="K38" s="162" t="s">
        <v>2070</v>
      </c>
      <c r="L38" s="162" t="s">
        <v>441</v>
      </c>
      <c r="M38" s="162"/>
      <c r="N38" s="162" t="s">
        <v>1035</v>
      </c>
      <c r="O38" s="161" t="s">
        <v>18</v>
      </c>
      <c r="P38" s="161" t="s">
        <v>18</v>
      </c>
      <c r="Q38" s="159" t="s">
        <v>2067</v>
      </c>
      <c r="R38" s="105"/>
      <c r="S38" s="113"/>
      <c r="T38" s="162"/>
      <c r="U38" s="116"/>
      <c r="V38" s="116"/>
      <c r="W38" s="116"/>
      <c r="X38" s="116"/>
      <c r="Y38" s="116"/>
      <c r="Z38" s="116"/>
      <c r="AA38" s="116"/>
      <c r="AB38" s="116"/>
      <c r="AC38" s="116"/>
      <c r="AD38" s="116"/>
      <c r="AE38" s="116"/>
      <c r="AF38" s="116"/>
      <c r="AG38" s="116"/>
      <c r="AH38" s="116"/>
      <c r="AI38" s="116"/>
    </row>
    <row r="39" spans="1:47" s="115" customFormat="1" ht="120" x14ac:dyDescent="0.2">
      <c r="A39" s="105">
        <v>23</v>
      </c>
      <c r="B39" s="162" t="s">
        <v>1377</v>
      </c>
      <c r="C39" s="162" t="s">
        <v>616</v>
      </c>
      <c r="D39" s="160">
        <v>2008</v>
      </c>
      <c r="E39" s="162" t="s">
        <v>660</v>
      </c>
      <c r="F39" s="162" t="s">
        <v>1376</v>
      </c>
      <c r="G39" s="162" t="s">
        <v>1530</v>
      </c>
      <c r="H39" s="162" t="s">
        <v>1150</v>
      </c>
      <c r="I39" s="162" t="s">
        <v>1531</v>
      </c>
      <c r="J39" s="162" t="s">
        <v>446</v>
      </c>
      <c r="K39" s="162" t="s">
        <v>1532</v>
      </c>
      <c r="L39" s="162" t="s">
        <v>443</v>
      </c>
      <c r="M39" s="162"/>
      <c r="N39" s="138" t="s">
        <v>1533</v>
      </c>
      <c r="O39" s="161" t="s">
        <v>18</v>
      </c>
      <c r="P39" s="161" t="s">
        <v>18</v>
      </c>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row>
    <row r="40" spans="1:47" s="115" customFormat="1" ht="120" x14ac:dyDescent="0.2">
      <c r="A40" s="105">
        <v>24</v>
      </c>
      <c r="B40" s="162" t="s">
        <v>1775</v>
      </c>
      <c r="C40" s="162" t="s">
        <v>121</v>
      </c>
      <c r="D40" s="160">
        <v>2009</v>
      </c>
      <c r="E40" s="162" t="s">
        <v>114</v>
      </c>
      <c r="F40" s="162" t="s">
        <v>1776</v>
      </c>
      <c r="G40" s="162" t="s">
        <v>1845</v>
      </c>
      <c r="H40" s="162" t="s">
        <v>1095</v>
      </c>
      <c r="I40" s="162" t="s">
        <v>1846</v>
      </c>
      <c r="J40" s="162" t="s">
        <v>444</v>
      </c>
      <c r="K40" s="162" t="s">
        <v>1848</v>
      </c>
      <c r="L40" s="162" t="s">
        <v>443</v>
      </c>
      <c r="M40" s="162"/>
      <c r="N40" s="162" t="s">
        <v>1847</v>
      </c>
      <c r="O40" s="159" t="s">
        <v>568</v>
      </c>
      <c r="P40" s="162" t="s">
        <v>1849</v>
      </c>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row>
    <row r="41" spans="1:47" s="115" customFormat="1" ht="75" x14ac:dyDescent="0.2">
      <c r="A41" s="105">
        <v>25</v>
      </c>
      <c r="B41" s="162" t="s">
        <v>725</v>
      </c>
      <c r="C41" s="162" t="s">
        <v>147</v>
      </c>
      <c r="D41" s="160">
        <v>2015</v>
      </c>
      <c r="E41" s="162" t="s">
        <v>114</v>
      </c>
      <c r="F41" s="162" t="s">
        <v>724</v>
      </c>
      <c r="G41" s="162" t="s">
        <v>1119</v>
      </c>
      <c r="H41" s="162" t="s">
        <v>100</v>
      </c>
      <c r="I41" s="162" t="s">
        <v>1121</v>
      </c>
      <c r="J41" s="162" t="s">
        <v>444</v>
      </c>
      <c r="K41" s="162" t="s">
        <v>1120</v>
      </c>
      <c r="L41" s="162" t="s">
        <v>441</v>
      </c>
      <c r="M41" s="162"/>
      <c r="N41" s="162" t="s">
        <v>361</v>
      </c>
      <c r="O41" s="162" t="s">
        <v>1122</v>
      </c>
      <c r="P41" s="159" t="s">
        <v>1123</v>
      </c>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row>
    <row r="42" spans="1:47" s="115" customFormat="1" ht="105" x14ac:dyDescent="0.2">
      <c r="A42" s="105">
        <v>26</v>
      </c>
      <c r="B42" s="162" t="s">
        <v>1777</v>
      </c>
      <c r="C42" s="162" t="s">
        <v>82</v>
      </c>
      <c r="D42" s="160">
        <v>2015</v>
      </c>
      <c r="E42" s="162" t="s">
        <v>164</v>
      </c>
      <c r="F42" s="162" t="s">
        <v>1778</v>
      </c>
      <c r="G42" s="107" t="s">
        <v>1850</v>
      </c>
      <c r="H42" s="162" t="s">
        <v>100</v>
      </c>
      <c r="I42" s="107" t="s">
        <v>275</v>
      </c>
      <c r="J42" s="107" t="s">
        <v>90</v>
      </c>
      <c r="K42" s="162" t="s">
        <v>1851</v>
      </c>
      <c r="L42" s="162" t="s">
        <v>91</v>
      </c>
      <c r="M42" s="162" t="s">
        <v>1269</v>
      </c>
      <c r="N42" s="162" t="s">
        <v>1852</v>
      </c>
      <c r="O42" s="159" t="s">
        <v>1069</v>
      </c>
      <c r="P42" s="162" t="s">
        <v>1825</v>
      </c>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row>
    <row r="43" spans="1:47" s="115" customFormat="1" ht="75" x14ac:dyDescent="0.2">
      <c r="A43" s="105">
        <v>27</v>
      </c>
      <c r="B43" s="162" t="s">
        <v>1779</v>
      </c>
      <c r="C43" s="162" t="s">
        <v>1854</v>
      </c>
      <c r="D43" s="160">
        <v>2004</v>
      </c>
      <c r="E43" s="162" t="s">
        <v>1771</v>
      </c>
      <c r="F43" s="162" t="s">
        <v>1780</v>
      </c>
      <c r="G43" s="162" t="s">
        <v>1853</v>
      </c>
      <c r="H43" s="162" t="s">
        <v>100</v>
      </c>
      <c r="I43" s="107" t="s">
        <v>275</v>
      </c>
      <c r="J43" s="162" t="s">
        <v>88</v>
      </c>
      <c r="K43" s="162" t="s">
        <v>1855</v>
      </c>
      <c r="L43" s="162" t="s">
        <v>443</v>
      </c>
      <c r="M43" s="162"/>
      <c r="N43" s="162" t="s">
        <v>1856</v>
      </c>
      <c r="O43" s="161" t="s">
        <v>18</v>
      </c>
      <c r="P43" s="159" t="s">
        <v>304</v>
      </c>
      <c r="Q43" s="159" t="s">
        <v>1857</v>
      </c>
      <c r="R43" s="159"/>
      <c r="S43" s="112"/>
      <c r="T43" s="112"/>
      <c r="U43" s="162"/>
      <c r="V43" s="112"/>
      <c r="W43" s="112"/>
      <c r="X43" s="112"/>
      <c r="Y43" s="16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row>
    <row r="44" spans="1:47" s="115" customFormat="1" ht="75" x14ac:dyDescent="0.2">
      <c r="A44" s="105">
        <v>28</v>
      </c>
      <c r="B44" s="162" t="s">
        <v>2029</v>
      </c>
      <c r="C44" s="105" t="s">
        <v>795</v>
      </c>
      <c r="D44" s="160">
        <v>2016</v>
      </c>
      <c r="E44" s="162" t="s">
        <v>114</v>
      </c>
      <c r="F44" s="107" t="s">
        <v>2028</v>
      </c>
      <c r="G44" s="162" t="s">
        <v>2071</v>
      </c>
      <c r="H44" s="162" t="s">
        <v>100</v>
      </c>
      <c r="I44" s="107" t="s">
        <v>275</v>
      </c>
      <c r="J44" s="162" t="s">
        <v>444</v>
      </c>
      <c r="K44" s="107" t="s">
        <v>408</v>
      </c>
      <c r="L44" s="107" t="s">
        <v>441</v>
      </c>
      <c r="M44" s="107"/>
      <c r="N44" s="162" t="s">
        <v>2072</v>
      </c>
      <c r="O44" s="109" t="s">
        <v>18</v>
      </c>
      <c r="P44" s="109" t="s">
        <v>18</v>
      </c>
      <c r="Q44" s="112"/>
      <c r="R44" s="159"/>
      <c r="S44" s="112"/>
      <c r="T44" s="112"/>
      <c r="U44" s="162"/>
      <c r="V44" s="112"/>
      <c r="W44" s="112"/>
      <c r="X44" s="112"/>
      <c r="Y44" s="16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row>
    <row r="45" spans="1:47" s="115" customFormat="1" ht="90" x14ac:dyDescent="0.2">
      <c r="A45" s="105">
        <v>29</v>
      </c>
      <c r="B45" s="162" t="s">
        <v>1782</v>
      </c>
      <c r="C45" s="162" t="s">
        <v>121</v>
      </c>
      <c r="D45" s="160">
        <v>2013</v>
      </c>
      <c r="E45" s="162" t="s">
        <v>661</v>
      </c>
      <c r="F45" s="162" t="s">
        <v>1781</v>
      </c>
      <c r="G45" s="162" t="s">
        <v>1915</v>
      </c>
      <c r="H45" s="162" t="s">
        <v>102</v>
      </c>
      <c r="I45" s="162" t="s">
        <v>110</v>
      </c>
      <c r="J45" s="162" t="s">
        <v>443</v>
      </c>
      <c r="K45" s="162" t="s">
        <v>315</v>
      </c>
      <c r="L45" s="162" t="s">
        <v>441</v>
      </c>
      <c r="M45" s="162"/>
      <c r="N45" s="162" t="s">
        <v>1914</v>
      </c>
      <c r="O45" s="161" t="s">
        <v>18</v>
      </c>
      <c r="P45" s="161" t="s">
        <v>18</v>
      </c>
      <c r="Q45" s="159" t="s">
        <v>1916</v>
      </c>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row>
    <row r="46" spans="1:47" s="115" customFormat="1" ht="90" x14ac:dyDescent="0.2">
      <c r="A46" s="105">
        <v>30</v>
      </c>
      <c r="B46" s="162" t="s">
        <v>516</v>
      </c>
      <c r="C46" s="162" t="s">
        <v>121</v>
      </c>
      <c r="D46" s="160">
        <v>2012</v>
      </c>
      <c r="E46" s="162" t="s">
        <v>115</v>
      </c>
      <c r="F46" s="162" t="s">
        <v>736</v>
      </c>
      <c r="G46" s="162" t="s">
        <v>1136</v>
      </c>
      <c r="H46" s="162" t="s">
        <v>98</v>
      </c>
      <c r="I46" s="162" t="s">
        <v>1137</v>
      </c>
      <c r="J46" s="162" t="s">
        <v>445</v>
      </c>
      <c r="K46" s="162" t="s">
        <v>1138</v>
      </c>
      <c r="L46" s="162" t="s">
        <v>441</v>
      </c>
      <c r="M46" s="162"/>
      <c r="N46" s="162" t="s">
        <v>1139</v>
      </c>
      <c r="O46" s="161" t="s">
        <v>18</v>
      </c>
      <c r="P46" s="161" t="s">
        <v>18</v>
      </c>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row>
    <row r="47" spans="1:47" s="115" customFormat="1" ht="105" x14ac:dyDescent="0.2">
      <c r="A47" s="105">
        <v>31</v>
      </c>
      <c r="B47" s="162" t="s">
        <v>1783</v>
      </c>
      <c r="C47" s="162" t="s">
        <v>174</v>
      </c>
      <c r="D47" s="160">
        <v>2013</v>
      </c>
      <c r="E47" s="162" t="s">
        <v>660</v>
      </c>
      <c r="F47" s="162" t="s">
        <v>1784</v>
      </c>
      <c r="G47" s="162" t="s">
        <v>1858</v>
      </c>
      <c r="H47" s="162" t="s">
        <v>443</v>
      </c>
      <c r="I47" s="162" t="s">
        <v>315</v>
      </c>
      <c r="J47" s="162" t="s">
        <v>90</v>
      </c>
      <c r="K47" s="162" t="s">
        <v>1859</v>
      </c>
      <c r="L47" s="162" t="s">
        <v>441</v>
      </c>
      <c r="M47" s="162"/>
      <c r="N47" s="162" t="s">
        <v>1861</v>
      </c>
      <c r="O47" s="161" t="s">
        <v>18</v>
      </c>
      <c r="P47" s="159" t="s">
        <v>1862</v>
      </c>
      <c r="Q47" s="159" t="s">
        <v>1860</v>
      </c>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row>
    <row r="48" spans="1:47" s="115" customFormat="1" ht="90" x14ac:dyDescent="0.2">
      <c r="A48" s="105">
        <v>32</v>
      </c>
      <c r="B48" s="162" t="s">
        <v>180</v>
      </c>
      <c r="C48" s="105" t="s">
        <v>138</v>
      </c>
      <c r="D48" s="160">
        <v>2014</v>
      </c>
      <c r="E48" s="162" t="s">
        <v>114</v>
      </c>
      <c r="F48" s="162" t="s">
        <v>178</v>
      </c>
      <c r="G48" s="162" t="s">
        <v>348</v>
      </c>
      <c r="H48" s="162" t="s">
        <v>100</v>
      </c>
      <c r="I48" s="162" t="s">
        <v>353</v>
      </c>
      <c r="J48" s="162" t="s">
        <v>444</v>
      </c>
      <c r="K48" s="162" t="s">
        <v>349</v>
      </c>
      <c r="L48" s="162" t="s">
        <v>441</v>
      </c>
      <c r="M48" s="162"/>
      <c r="N48" s="162" t="s">
        <v>350</v>
      </c>
      <c r="O48" s="161" t="s">
        <v>18</v>
      </c>
      <c r="P48" s="161" t="s">
        <v>18</v>
      </c>
      <c r="Q48" s="159"/>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row>
    <row r="49" spans="1:58" s="115" customFormat="1" ht="120" x14ac:dyDescent="0.2">
      <c r="A49" s="105">
        <v>33</v>
      </c>
      <c r="B49" s="162" t="s">
        <v>182</v>
      </c>
      <c r="C49" s="105" t="s">
        <v>138</v>
      </c>
      <c r="D49" s="160">
        <v>2016</v>
      </c>
      <c r="E49" s="162" t="s">
        <v>114</v>
      </c>
      <c r="F49" s="162" t="s">
        <v>181</v>
      </c>
      <c r="G49" s="162" t="s">
        <v>352</v>
      </c>
      <c r="H49" s="162" t="s">
        <v>100</v>
      </c>
      <c r="I49" s="162" t="s">
        <v>354</v>
      </c>
      <c r="J49" s="162" t="s">
        <v>88</v>
      </c>
      <c r="K49" s="162" t="s">
        <v>351</v>
      </c>
      <c r="L49" s="162" t="s">
        <v>91</v>
      </c>
      <c r="M49" s="162" t="s">
        <v>443</v>
      </c>
      <c r="N49" s="162" t="s">
        <v>355</v>
      </c>
      <c r="O49" s="162" t="s">
        <v>357</v>
      </c>
      <c r="P49" s="162" t="s">
        <v>356</v>
      </c>
      <c r="Q49" s="112"/>
      <c r="R49" s="162"/>
      <c r="S49" s="162"/>
      <c r="T49" s="162"/>
      <c r="U49" s="162"/>
      <c r="V49" s="162"/>
      <c r="W49" s="162"/>
      <c r="X49" s="162"/>
      <c r="Y49" s="162"/>
      <c r="Z49" s="162"/>
      <c r="AA49" s="162"/>
      <c r="AB49" s="162"/>
      <c r="AC49" s="162"/>
      <c r="AD49" s="162"/>
      <c r="AE49" s="162"/>
      <c r="AF49" s="162"/>
      <c r="AG49" s="162"/>
      <c r="AH49" s="162"/>
      <c r="AI49" s="162"/>
      <c r="AJ49" s="162"/>
      <c r="AK49" s="162"/>
      <c r="AL49" s="162"/>
      <c r="AM49" s="162"/>
      <c r="AN49" s="162"/>
      <c r="AO49" s="162"/>
      <c r="AP49" s="162"/>
      <c r="AQ49" s="162"/>
      <c r="AR49" s="162"/>
      <c r="AS49" s="162"/>
      <c r="AT49" s="162"/>
      <c r="AU49" s="162"/>
      <c r="AV49" s="105"/>
      <c r="AW49" s="105"/>
      <c r="AX49" s="105"/>
      <c r="AY49" s="105"/>
      <c r="AZ49" s="105"/>
      <c r="BA49" s="105"/>
      <c r="BB49" s="105"/>
      <c r="BC49" s="105"/>
      <c r="BD49" s="105"/>
      <c r="BE49" s="105"/>
      <c r="BF49" s="105"/>
    </row>
    <row r="50" spans="1:58" s="115" customFormat="1" ht="90" x14ac:dyDescent="0.2">
      <c r="A50" s="105">
        <v>34</v>
      </c>
      <c r="B50" s="162" t="s">
        <v>1786</v>
      </c>
      <c r="C50" s="162" t="s">
        <v>121</v>
      </c>
      <c r="D50" s="160">
        <v>2013</v>
      </c>
      <c r="E50" s="162" t="s">
        <v>107</v>
      </c>
      <c r="F50" s="162" t="s">
        <v>1785</v>
      </c>
      <c r="G50" s="162" t="s">
        <v>1863</v>
      </c>
      <c r="H50" s="162" t="s">
        <v>103</v>
      </c>
      <c r="I50" s="162" t="s">
        <v>110</v>
      </c>
      <c r="J50" s="162" t="s">
        <v>445</v>
      </c>
      <c r="K50" s="162" t="s">
        <v>1864</v>
      </c>
      <c r="L50" s="162" t="s">
        <v>92</v>
      </c>
      <c r="M50" s="162" t="s">
        <v>1224</v>
      </c>
      <c r="N50" s="162" t="s">
        <v>1865</v>
      </c>
      <c r="O50" s="161" t="s">
        <v>18</v>
      </c>
      <c r="P50" s="159" t="s">
        <v>1866</v>
      </c>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row>
    <row r="51" spans="1:58" s="115" customFormat="1" ht="90" x14ac:dyDescent="0.2">
      <c r="A51" s="105">
        <v>35</v>
      </c>
      <c r="B51" s="162" t="s">
        <v>184</v>
      </c>
      <c r="C51" s="105" t="s">
        <v>138</v>
      </c>
      <c r="D51" s="160">
        <v>2015</v>
      </c>
      <c r="E51" s="162" t="s">
        <v>164</v>
      </c>
      <c r="F51" s="162" t="s">
        <v>183</v>
      </c>
      <c r="G51" s="162" t="s">
        <v>358</v>
      </c>
      <c r="H51" s="162" t="s">
        <v>98</v>
      </c>
      <c r="I51" s="162" t="s">
        <v>360</v>
      </c>
      <c r="J51" s="162" t="s">
        <v>90</v>
      </c>
      <c r="K51" s="162" t="s">
        <v>359</v>
      </c>
      <c r="L51" s="162" t="s">
        <v>441</v>
      </c>
      <c r="M51" s="162"/>
      <c r="N51" s="105" t="s">
        <v>361</v>
      </c>
      <c r="O51" s="109" t="s">
        <v>18</v>
      </c>
      <c r="P51" s="109" t="s">
        <v>18</v>
      </c>
      <c r="Q51" s="162" t="s">
        <v>2358</v>
      </c>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row>
    <row r="52" spans="1:58" s="115" customFormat="1" ht="60" x14ac:dyDescent="0.2">
      <c r="A52" s="105">
        <v>36</v>
      </c>
      <c r="B52" s="162" t="s">
        <v>1788</v>
      </c>
      <c r="C52" s="162" t="s">
        <v>156</v>
      </c>
      <c r="D52" s="160">
        <v>2015</v>
      </c>
      <c r="E52" s="162" t="s">
        <v>660</v>
      </c>
      <c r="F52" s="162" t="s">
        <v>1787</v>
      </c>
      <c r="G52" s="162" t="s">
        <v>1867</v>
      </c>
      <c r="H52" s="162" t="s">
        <v>100</v>
      </c>
      <c r="I52" s="162" t="s">
        <v>275</v>
      </c>
      <c r="J52" s="162" t="s">
        <v>89</v>
      </c>
      <c r="K52" s="162" t="s">
        <v>1869</v>
      </c>
      <c r="L52" s="162" t="s">
        <v>441</v>
      </c>
      <c r="M52" s="162"/>
      <c r="N52" s="162" t="s">
        <v>1868</v>
      </c>
      <c r="O52" s="161" t="s">
        <v>18</v>
      </c>
      <c r="P52" s="161" t="s">
        <v>18</v>
      </c>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row>
    <row r="53" spans="1:58" s="115" customFormat="1" ht="135" x14ac:dyDescent="0.2">
      <c r="A53" s="105">
        <v>37</v>
      </c>
      <c r="B53" s="162" t="s">
        <v>192</v>
      </c>
      <c r="C53" s="105" t="s">
        <v>121</v>
      </c>
      <c r="D53" s="160">
        <v>2016</v>
      </c>
      <c r="E53" s="162" t="s">
        <v>116</v>
      </c>
      <c r="F53" s="107" t="s">
        <v>191</v>
      </c>
      <c r="G53" s="162" t="s">
        <v>372</v>
      </c>
      <c r="H53" s="162" t="s">
        <v>100</v>
      </c>
      <c r="I53" s="162" t="s">
        <v>373</v>
      </c>
      <c r="J53" s="162" t="s">
        <v>90</v>
      </c>
      <c r="K53" s="107" t="s">
        <v>288</v>
      </c>
      <c r="L53" s="107" t="s">
        <v>441</v>
      </c>
      <c r="M53" s="107"/>
      <c r="N53" s="162" t="s">
        <v>374</v>
      </c>
      <c r="O53" s="109" t="s">
        <v>18</v>
      </c>
      <c r="P53" s="109" t="s">
        <v>18</v>
      </c>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row>
    <row r="54" spans="1:58" s="115" customFormat="1" ht="60" x14ac:dyDescent="0.2">
      <c r="A54" s="105">
        <v>38</v>
      </c>
      <c r="B54" s="162" t="s">
        <v>1789</v>
      </c>
      <c r="C54" s="162" t="s">
        <v>121</v>
      </c>
      <c r="D54" s="160">
        <v>2016</v>
      </c>
      <c r="E54" s="162" t="s">
        <v>164</v>
      </c>
      <c r="F54" s="162" t="s">
        <v>1790</v>
      </c>
      <c r="G54" s="162" t="s">
        <v>1870</v>
      </c>
      <c r="H54" s="162" t="s">
        <v>100</v>
      </c>
      <c r="I54" s="162" t="s">
        <v>275</v>
      </c>
      <c r="J54" s="162" t="s">
        <v>90</v>
      </c>
      <c r="K54" s="162" t="s">
        <v>1872</v>
      </c>
      <c r="L54" s="162" t="s">
        <v>441</v>
      </c>
      <c r="M54" s="162"/>
      <c r="N54" s="162" t="s">
        <v>1871</v>
      </c>
      <c r="O54" s="159" t="s">
        <v>568</v>
      </c>
      <c r="P54" s="161" t="s">
        <v>18</v>
      </c>
      <c r="Q54" s="16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2"/>
      <c r="AQ54" s="112"/>
      <c r="AR54" s="112"/>
      <c r="AS54" s="112"/>
      <c r="AT54" s="112"/>
      <c r="AU54" s="112"/>
    </row>
    <row r="55" spans="1:58" s="115" customFormat="1" ht="60" x14ac:dyDescent="0.2">
      <c r="A55" s="105">
        <v>39</v>
      </c>
      <c r="B55" s="162" t="s">
        <v>761</v>
      </c>
      <c r="C55" s="162" t="s">
        <v>795</v>
      </c>
      <c r="D55" s="160">
        <v>2001</v>
      </c>
      <c r="E55" s="162" t="s">
        <v>118</v>
      </c>
      <c r="F55" s="162" t="s">
        <v>760</v>
      </c>
      <c r="G55" s="162" t="s">
        <v>1204</v>
      </c>
      <c r="H55" s="162" t="s">
        <v>1150</v>
      </c>
      <c r="I55" s="162" t="s">
        <v>1203</v>
      </c>
      <c r="J55" s="162" t="s">
        <v>445</v>
      </c>
      <c r="K55" s="162" t="s">
        <v>1205</v>
      </c>
      <c r="L55" s="162" t="s">
        <v>443</v>
      </c>
      <c r="M55" s="162"/>
      <c r="N55" s="162" t="s">
        <v>18</v>
      </c>
      <c r="O55" s="159" t="s">
        <v>1196</v>
      </c>
      <c r="P55" s="161" t="s">
        <v>18</v>
      </c>
      <c r="Q55" s="162" t="s">
        <v>1921</v>
      </c>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2"/>
      <c r="AP55" s="112"/>
      <c r="AQ55" s="112"/>
      <c r="AR55" s="112"/>
      <c r="AS55" s="112"/>
      <c r="AT55" s="112"/>
      <c r="AU55" s="112"/>
    </row>
    <row r="56" spans="1:58" s="115" customFormat="1" ht="105" x14ac:dyDescent="0.2">
      <c r="A56" s="105">
        <v>40</v>
      </c>
      <c r="B56" s="162" t="s">
        <v>1791</v>
      </c>
      <c r="C56" s="162" t="s">
        <v>197</v>
      </c>
      <c r="D56" s="160">
        <v>2014</v>
      </c>
      <c r="E56" s="162" t="s">
        <v>706</v>
      </c>
      <c r="F56" s="162" t="s">
        <v>1792</v>
      </c>
      <c r="G56" s="162" t="s">
        <v>1873</v>
      </c>
      <c r="H56" s="162" t="s">
        <v>443</v>
      </c>
      <c r="I56" s="162" t="s">
        <v>1877</v>
      </c>
      <c r="J56" s="162" t="s">
        <v>90</v>
      </c>
      <c r="K56" s="162" t="s">
        <v>1874</v>
      </c>
      <c r="L56" s="162" t="s">
        <v>441</v>
      </c>
      <c r="M56" s="162"/>
      <c r="N56" s="162" t="s">
        <v>1875</v>
      </c>
      <c r="O56" s="159" t="s">
        <v>274</v>
      </c>
      <c r="P56" s="161" t="s">
        <v>18</v>
      </c>
      <c r="Q56" s="162" t="s">
        <v>1876</v>
      </c>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c r="AQ56" s="112"/>
      <c r="AR56" s="112"/>
      <c r="AS56" s="112"/>
      <c r="AT56" s="112"/>
      <c r="AU56" s="112"/>
    </row>
    <row r="57" spans="1:58" s="115" customFormat="1" ht="75" x14ac:dyDescent="0.2">
      <c r="A57" s="105">
        <v>41</v>
      </c>
      <c r="B57" s="162" t="s">
        <v>1793</v>
      </c>
      <c r="C57" s="162" t="s">
        <v>230</v>
      </c>
      <c r="D57" s="160">
        <v>2016</v>
      </c>
      <c r="E57" s="162" t="s">
        <v>164</v>
      </c>
      <c r="F57" s="162" t="s">
        <v>1794</v>
      </c>
      <c r="G57" s="162" t="s">
        <v>1878</v>
      </c>
      <c r="H57" s="162" t="s">
        <v>100</v>
      </c>
      <c r="I57" s="162" t="s">
        <v>275</v>
      </c>
      <c r="J57" s="162" t="s">
        <v>446</v>
      </c>
      <c r="K57" s="162" t="s">
        <v>1880</v>
      </c>
      <c r="L57" s="162" t="s">
        <v>441</v>
      </c>
      <c r="M57" s="162"/>
      <c r="N57" s="162" t="s">
        <v>1879</v>
      </c>
      <c r="O57" s="159" t="s">
        <v>568</v>
      </c>
      <c r="P57" s="161" t="s">
        <v>18</v>
      </c>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c r="AR57" s="112"/>
      <c r="AS57" s="112"/>
      <c r="AT57" s="112"/>
      <c r="AU57" s="112"/>
    </row>
    <row r="58" spans="1:58" s="115" customFormat="1" ht="75" x14ac:dyDescent="0.2">
      <c r="A58" s="105">
        <v>42</v>
      </c>
      <c r="B58" s="162" t="s">
        <v>1795</v>
      </c>
      <c r="C58" s="162" t="s">
        <v>126</v>
      </c>
      <c r="D58" s="160">
        <v>2015</v>
      </c>
      <c r="E58" s="162" t="s">
        <v>107</v>
      </c>
      <c r="F58" s="162" t="s">
        <v>1796</v>
      </c>
      <c r="G58" s="162" t="s">
        <v>1881</v>
      </c>
      <c r="H58" s="162" t="s">
        <v>1194</v>
      </c>
      <c r="I58" s="162" t="s">
        <v>1882</v>
      </c>
      <c r="J58" s="162" t="s">
        <v>444</v>
      </c>
      <c r="K58" s="162" t="s">
        <v>1884</v>
      </c>
      <c r="L58" s="162" t="s">
        <v>91</v>
      </c>
      <c r="M58" s="162" t="s">
        <v>448</v>
      </c>
      <c r="N58" s="162" t="s">
        <v>1883</v>
      </c>
      <c r="O58" s="161" t="s">
        <v>18</v>
      </c>
      <c r="P58" s="159" t="s">
        <v>1288</v>
      </c>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c r="AR58" s="112"/>
      <c r="AS58" s="112"/>
      <c r="AT58" s="112"/>
      <c r="AU58" s="112"/>
    </row>
    <row r="59" spans="1:58" s="115" customFormat="1" ht="60" x14ac:dyDescent="0.2">
      <c r="A59" s="105">
        <v>43</v>
      </c>
      <c r="B59" s="162" t="s">
        <v>1811</v>
      </c>
      <c r="C59" s="105" t="s">
        <v>174</v>
      </c>
      <c r="D59" s="160">
        <v>2012</v>
      </c>
      <c r="E59" s="162" t="s">
        <v>222</v>
      </c>
      <c r="F59" s="162" t="s">
        <v>1812</v>
      </c>
      <c r="G59" s="162" t="s">
        <v>1813</v>
      </c>
      <c r="H59" s="162" t="s">
        <v>100</v>
      </c>
      <c r="I59" s="162" t="s">
        <v>275</v>
      </c>
      <c r="J59" s="162" t="s">
        <v>90</v>
      </c>
      <c r="K59" s="162" t="s">
        <v>288</v>
      </c>
      <c r="L59" s="162" t="s">
        <v>441</v>
      </c>
      <c r="M59" s="162"/>
      <c r="N59" s="162" t="s">
        <v>1814</v>
      </c>
      <c r="O59" s="161" t="s">
        <v>18</v>
      </c>
      <c r="P59" s="161" t="s">
        <v>18</v>
      </c>
      <c r="Q59" s="162" t="s">
        <v>1922</v>
      </c>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c r="AP59" s="112"/>
      <c r="AQ59" s="112"/>
      <c r="AR59" s="112"/>
      <c r="AS59" s="112"/>
      <c r="AT59" s="112"/>
      <c r="AU59" s="112"/>
    </row>
    <row r="60" spans="1:58" s="115" customFormat="1" ht="135" x14ac:dyDescent="0.2">
      <c r="A60" s="105">
        <v>44</v>
      </c>
      <c r="B60" s="162" t="s">
        <v>202</v>
      </c>
      <c r="C60" s="105" t="s">
        <v>203</v>
      </c>
      <c r="D60" s="160">
        <v>2014</v>
      </c>
      <c r="E60" s="162" t="s">
        <v>164</v>
      </c>
      <c r="F60" s="113" t="s">
        <v>204</v>
      </c>
      <c r="G60" s="112" t="s">
        <v>387</v>
      </c>
      <c r="H60" s="162" t="s">
        <v>443</v>
      </c>
      <c r="I60" s="107" t="s">
        <v>315</v>
      </c>
      <c r="J60" s="107" t="s">
        <v>90</v>
      </c>
      <c r="K60" s="162" t="s">
        <v>389</v>
      </c>
      <c r="L60" s="162" t="s">
        <v>91</v>
      </c>
      <c r="M60" s="162" t="s">
        <v>443</v>
      </c>
      <c r="N60" s="162" t="s">
        <v>388</v>
      </c>
      <c r="O60" s="162" t="s">
        <v>323</v>
      </c>
      <c r="P60" s="161" t="s">
        <v>18</v>
      </c>
      <c r="Q60" s="112"/>
      <c r="R60" s="112"/>
      <c r="S60" s="112"/>
      <c r="T60" s="112"/>
      <c r="U60" s="112"/>
      <c r="V60" s="112"/>
      <c r="W60" s="112"/>
      <c r="X60" s="112"/>
      <c r="Y60" s="112"/>
      <c r="Z60" s="142"/>
      <c r="AA60" s="112"/>
      <c r="AB60" s="112"/>
      <c r="AC60" s="112"/>
      <c r="AD60" s="112"/>
      <c r="AE60" s="112"/>
      <c r="AF60" s="112"/>
      <c r="AG60" s="112"/>
      <c r="AH60" s="112"/>
      <c r="AI60" s="112"/>
      <c r="AJ60" s="112"/>
      <c r="AK60" s="112"/>
      <c r="AL60" s="112"/>
      <c r="AM60" s="112"/>
      <c r="AN60" s="112"/>
      <c r="AO60" s="112"/>
      <c r="AP60" s="112"/>
      <c r="AQ60" s="112"/>
      <c r="AR60" s="112"/>
      <c r="AS60" s="112"/>
      <c r="AT60" s="112"/>
      <c r="AU60" s="112"/>
    </row>
    <row r="61" spans="1:58" s="115" customFormat="1" ht="75" x14ac:dyDescent="0.2">
      <c r="A61" s="105">
        <v>45</v>
      </c>
      <c r="B61" s="162" t="s">
        <v>1403</v>
      </c>
      <c r="C61" s="162" t="s">
        <v>1340</v>
      </c>
      <c r="D61" s="160">
        <v>2013</v>
      </c>
      <c r="E61" s="162" t="s">
        <v>28</v>
      </c>
      <c r="F61" s="162" t="s">
        <v>1402</v>
      </c>
      <c r="G61" s="162" t="s">
        <v>1580</v>
      </c>
      <c r="H61" s="162"/>
      <c r="I61" s="162"/>
      <c r="J61" s="162" t="s">
        <v>89</v>
      </c>
      <c r="K61" s="162" t="s">
        <v>1581</v>
      </c>
      <c r="L61" s="162"/>
      <c r="M61" s="162"/>
      <c r="N61" s="159"/>
      <c r="O61" s="161"/>
      <c r="P61" s="162"/>
      <c r="Q61" s="112" t="s">
        <v>1582</v>
      </c>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c r="AR61" s="112"/>
      <c r="AS61" s="112"/>
      <c r="AT61" s="112"/>
      <c r="AU61" s="112"/>
    </row>
    <row r="62" spans="1:58" s="115" customFormat="1" ht="28" customHeight="1" x14ac:dyDescent="0.2">
      <c r="A62" s="220">
        <v>46</v>
      </c>
      <c r="B62" s="214" t="s">
        <v>1797</v>
      </c>
      <c r="C62" s="214" t="s">
        <v>62</v>
      </c>
      <c r="D62" s="218">
        <v>2016</v>
      </c>
      <c r="E62" s="214" t="s">
        <v>661</v>
      </c>
      <c r="F62" s="214" t="s">
        <v>1798</v>
      </c>
      <c r="G62" s="214" t="s">
        <v>1885</v>
      </c>
      <c r="H62" s="214" t="s">
        <v>1482</v>
      </c>
      <c r="I62" s="214" t="s">
        <v>1887</v>
      </c>
      <c r="J62" s="214" t="s">
        <v>89</v>
      </c>
      <c r="K62" s="214" t="s">
        <v>1895</v>
      </c>
      <c r="L62" s="214" t="s">
        <v>91</v>
      </c>
      <c r="M62" s="214" t="s">
        <v>96</v>
      </c>
      <c r="N62" s="214" t="s">
        <v>1886</v>
      </c>
      <c r="O62" s="214" t="s">
        <v>1888</v>
      </c>
      <c r="P62" s="214" t="s">
        <v>896</v>
      </c>
      <c r="Q62" s="214" t="s">
        <v>1893</v>
      </c>
      <c r="R62" s="112" t="s">
        <v>1889</v>
      </c>
      <c r="S62" s="112"/>
      <c r="T62" s="112"/>
      <c r="U62" s="112">
        <v>7</v>
      </c>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2"/>
      <c r="AR62" s="112"/>
      <c r="AS62" s="112"/>
      <c r="AT62" s="112"/>
      <c r="AU62" s="112"/>
    </row>
    <row r="63" spans="1:58" s="115" customFormat="1" ht="28" customHeight="1" x14ac:dyDescent="0.2">
      <c r="A63" s="220"/>
      <c r="B63" s="214"/>
      <c r="C63" s="214"/>
      <c r="D63" s="218"/>
      <c r="E63" s="214"/>
      <c r="F63" s="214"/>
      <c r="G63" s="214"/>
      <c r="H63" s="214"/>
      <c r="I63" s="214"/>
      <c r="J63" s="214"/>
      <c r="K63" s="214"/>
      <c r="L63" s="214"/>
      <c r="M63" s="214"/>
      <c r="N63" s="214"/>
      <c r="O63" s="214"/>
      <c r="P63" s="214"/>
      <c r="Q63" s="214"/>
      <c r="R63" s="112" t="s">
        <v>1890</v>
      </c>
      <c r="S63" s="112"/>
      <c r="T63" s="112"/>
      <c r="U63" s="112">
        <v>44</v>
      </c>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c r="AS63" s="112"/>
      <c r="AT63" s="112"/>
      <c r="AU63" s="112"/>
    </row>
    <row r="64" spans="1:58" s="115" customFormat="1" ht="28" customHeight="1" x14ac:dyDescent="0.2">
      <c r="A64" s="220"/>
      <c r="B64" s="214"/>
      <c r="C64" s="214"/>
      <c r="D64" s="218"/>
      <c r="E64" s="214"/>
      <c r="F64" s="214"/>
      <c r="G64" s="214"/>
      <c r="H64" s="214"/>
      <c r="I64" s="214"/>
      <c r="J64" s="214"/>
      <c r="K64" s="214"/>
      <c r="L64" s="214"/>
      <c r="M64" s="214"/>
      <c r="N64" s="214"/>
      <c r="O64" s="214"/>
      <c r="P64" s="214"/>
      <c r="Q64" s="214"/>
      <c r="R64" s="112" t="s">
        <v>1891</v>
      </c>
      <c r="S64" s="112"/>
      <c r="T64" s="112"/>
      <c r="U64" s="112">
        <v>8</v>
      </c>
      <c r="V64" s="112"/>
      <c r="W64" s="112"/>
      <c r="X64" s="112"/>
      <c r="Y64" s="112"/>
      <c r="Z64" s="112"/>
      <c r="AA64" s="112"/>
      <c r="AB64" s="112"/>
      <c r="AC64" s="112"/>
      <c r="AD64" s="112"/>
      <c r="AE64" s="112"/>
      <c r="AF64" s="112"/>
      <c r="AG64" s="112"/>
      <c r="AH64" s="112"/>
      <c r="AI64" s="112"/>
      <c r="AJ64" s="112"/>
      <c r="AK64" s="112"/>
      <c r="AL64" s="112"/>
      <c r="AM64" s="112"/>
      <c r="AN64" s="112"/>
      <c r="AO64" s="112"/>
      <c r="AP64" s="112"/>
      <c r="AQ64" s="112"/>
      <c r="AR64" s="112"/>
      <c r="AS64" s="112"/>
      <c r="AT64" s="112"/>
      <c r="AU64" s="112"/>
    </row>
    <row r="65" spans="1:51" s="115" customFormat="1" ht="28" customHeight="1" x14ac:dyDescent="0.2">
      <c r="A65" s="220"/>
      <c r="B65" s="214"/>
      <c r="C65" s="214"/>
      <c r="D65" s="218"/>
      <c r="E65" s="214"/>
      <c r="F65" s="214"/>
      <c r="G65" s="214"/>
      <c r="H65" s="214"/>
      <c r="I65" s="214"/>
      <c r="J65" s="214"/>
      <c r="K65" s="214"/>
      <c r="L65" s="214"/>
      <c r="M65" s="214"/>
      <c r="N65" s="214"/>
      <c r="O65" s="214"/>
      <c r="P65" s="214"/>
      <c r="Q65" s="214"/>
      <c r="R65" s="112" t="s">
        <v>1892</v>
      </c>
      <c r="S65" s="112"/>
      <c r="T65" s="112"/>
      <c r="U65" s="112">
        <v>51</v>
      </c>
      <c r="V65" s="112"/>
      <c r="W65" s="112"/>
      <c r="X65" s="112"/>
      <c r="Y65" s="112"/>
      <c r="Z65" s="112"/>
      <c r="AA65" s="112"/>
      <c r="AB65" s="112"/>
      <c r="AC65" s="112"/>
      <c r="AD65" s="112"/>
      <c r="AE65" s="112"/>
      <c r="AF65" s="112"/>
      <c r="AG65" s="112"/>
      <c r="AH65" s="112"/>
      <c r="AI65" s="112"/>
      <c r="AJ65" s="112"/>
      <c r="AK65" s="112"/>
      <c r="AL65" s="112"/>
      <c r="AM65" s="112"/>
      <c r="AN65" s="112"/>
      <c r="AO65" s="112"/>
      <c r="AP65" s="112"/>
      <c r="AQ65" s="112"/>
      <c r="AR65" s="112"/>
      <c r="AS65" s="112"/>
      <c r="AT65" s="112"/>
      <c r="AU65" s="112"/>
    </row>
    <row r="66" spans="1:51" s="115" customFormat="1" ht="105" x14ac:dyDescent="0.2">
      <c r="A66" s="105">
        <v>47</v>
      </c>
      <c r="B66" s="162" t="s">
        <v>228</v>
      </c>
      <c r="C66" s="162" t="s">
        <v>121</v>
      </c>
      <c r="D66" s="160">
        <v>2016</v>
      </c>
      <c r="E66" s="162" t="s">
        <v>215</v>
      </c>
      <c r="F66" s="162" t="s">
        <v>227</v>
      </c>
      <c r="G66" s="162" t="s">
        <v>426</v>
      </c>
      <c r="H66" s="162" t="s">
        <v>100</v>
      </c>
      <c r="I66" s="162" t="s">
        <v>275</v>
      </c>
      <c r="J66" s="162" t="s">
        <v>445</v>
      </c>
      <c r="K66" s="162" t="s">
        <v>428</v>
      </c>
      <c r="L66" s="162" t="s">
        <v>443</v>
      </c>
      <c r="M66" s="162"/>
      <c r="N66" s="162" t="s">
        <v>427</v>
      </c>
      <c r="O66" s="161" t="s">
        <v>18</v>
      </c>
      <c r="P66" s="161" t="s">
        <v>18</v>
      </c>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c r="AO66" s="112"/>
      <c r="AP66" s="112"/>
      <c r="AQ66" s="112"/>
      <c r="AR66" s="112"/>
      <c r="AS66" s="112"/>
      <c r="AT66" s="112"/>
      <c r="AU66" s="112"/>
    </row>
    <row r="67" spans="1:51" s="115" customFormat="1" ht="60" x14ac:dyDescent="0.2">
      <c r="A67" s="105">
        <v>48</v>
      </c>
      <c r="B67" s="162" t="s">
        <v>1815</v>
      </c>
      <c r="C67" s="162" t="s">
        <v>230</v>
      </c>
      <c r="D67" s="160">
        <v>2016</v>
      </c>
      <c r="E67" s="162" t="s">
        <v>114</v>
      </c>
      <c r="F67" s="162" t="s">
        <v>1799</v>
      </c>
      <c r="G67" s="162" t="s">
        <v>1894</v>
      </c>
      <c r="H67" s="162" t="s">
        <v>100</v>
      </c>
      <c r="I67" s="162" t="s">
        <v>275</v>
      </c>
      <c r="J67" s="162" t="s">
        <v>444</v>
      </c>
      <c r="K67" s="162" t="s">
        <v>1896</v>
      </c>
      <c r="L67" s="162" t="s">
        <v>91</v>
      </c>
      <c r="M67" s="162" t="s">
        <v>443</v>
      </c>
      <c r="N67" s="162" t="s">
        <v>1897</v>
      </c>
      <c r="O67" s="161" t="s">
        <v>18</v>
      </c>
      <c r="P67" s="159" t="s">
        <v>1898</v>
      </c>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112"/>
      <c r="AQ67" s="112"/>
      <c r="AR67" s="112"/>
      <c r="AS67" s="112"/>
      <c r="AT67" s="112"/>
      <c r="AU67" s="112"/>
    </row>
    <row r="68" spans="1:51" s="115" customFormat="1" ht="50" customHeight="1" x14ac:dyDescent="0.2">
      <c r="A68" s="220">
        <v>49</v>
      </c>
      <c r="B68" s="214" t="s">
        <v>235</v>
      </c>
      <c r="C68" s="214" t="s">
        <v>113</v>
      </c>
      <c r="D68" s="218">
        <v>2016</v>
      </c>
      <c r="E68" s="214" t="s">
        <v>114</v>
      </c>
      <c r="F68" s="214" t="s">
        <v>234</v>
      </c>
      <c r="G68" s="214" t="s">
        <v>449</v>
      </c>
      <c r="H68" s="214" t="s">
        <v>100</v>
      </c>
      <c r="I68" s="214" t="s">
        <v>275</v>
      </c>
      <c r="J68" s="214" t="s">
        <v>90</v>
      </c>
      <c r="K68" s="214" t="s">
        <v>314</v>
      </c>
      <c r="L68" s="214" t="s">
        <v>91</v>
      </c>
      <c r="M68" s="214" t="s">
        <v>94</v>
      </c>
      <c r="N68" s="214" t="s">
        <v>451</v>
      </c>
      <c r="O68" s="214" t="s">
        <v>370</v>
      </c>
      <c r="P68" s="214" t="s">
        <v>452</v>
      </c>
      <c r="Q68" s="223"/>
      <c r="R68" s="162" t="s">
        <v>1929</v>
      </c>
      <c r="S68" s="162">
        <f>2.07*10^-5</f>
        <v>2.0700000000000002E-5</v>
      </c>
      <c r="T68" s="162">
        <f>2.56*10^-5</f>
        <v>2.5600000000000002E-5</v>
      </c>
      <c r="U68" s="162">
        <f>1.01*10^-2</f>
        <v>1.01E-2</v>
      </c>
      <c r="V68" s="162">
        <f>7.16*10^-11</f>
        <v>7.1600000000000003E-11</v>
      </c>
      <c r="W68" s="162">
        <f>9.52*10^-7</f>
        <v>9.5199999999999995E-7</v>
      </c>
      <c r="X68" s="162"/>
      <c r="Y68" s="162"/>
      <c r="Z68" s="162"/>
      <c r="AA68" s="162" t="s">
        <v>1932</v>
      </c>
      <c r="AB68" s="112"/>
      <c r="AC68" s="112"/>
      <c r="AD68" s="112"/>
      <c r="AE68" s="112"/>
      <c r="AF68" s="112"/>
      <c r="AG68" s="112"/>
      <c r="AH68" s="112"/>
      <c r="AI68" s="112"/>
      <c r="AJ68" s="112"/>
      <c r="AK68" s="112"/>
      <c r="AL68" s="112"/>
      <c r="AM68" s="112"/>
      <c r="AN68" s="112"/>
      <c r="AO68" s="112"/>
      <c r="AP68" s="112"/>
      <c r="AQ68" s="112"/>
      <c r="AR68" s="112"/>
      <c r="AS68" s="112"/>
      <c r="AT68" s="112"/>
      <c r="AU68" s="112"/>
    </row>
    <row r="69" spans="1:51" s="115" customFormat="1" ht="50" customHeight="1" x14ac:dyDescent="0.2">
      <c r="A69" s="220"/>
      <c r="B69" s="214"/>
      <c r="C69" s="214"/>
      <c r="D69" s="218"/>
      <c r="E69" s="214"/>
      <c r="F69" s="214"/>
      <c r="G69" s="214"/>
      <c r="H69" s="214"/>
      <c r="I69" s="214"/>
      <c r="J69" s="214"/>
      <c r="K69" s="214"/>
      <c r="L69" s="214"/>
      <c r="M69" s="214"/>
      <c r="N69" s="214"/>
      <c r="O69" s="214"/>
      <c r="P69" s="214"/>
      <c r="Q69" s="223"/>
      <c r="R69" s="162" t="s">
        <v>1930</v>
      </c>
      <c r="S69" s="162">
        <f>6.28*10^-4</f>
        <v>6.2800000000000009E-4</v>
      </c>
      <c r="T69" s="162">
        <f>5.76*10^-11</f>
        <v>5.7599999999999994E-11</v>
      </c>
      <c r="U69" s="162">
        <f>2.8*10^-5</f>
        <v>2.8E-5</v>
      </c>
      <c r="V69" s="162">
        <f>6.31*10^-6</f>
        <v>6.3099999999999997E-6</v>
      </c>
      <c r="W69" s="162">
        <f>5.72*10^-7</f>
        <v>5.7199999999999999E-7</v>
      </c>
      <c r="X69" s="162"/>
      <c r="Y69" s="162"/>
      <c r="Z69" s="162"/>
      <c r="AA69" s="162" t="s">
        <v>1933</v>
      </c>
      <c r="AB69" s="112"/>
      <c r="AC69" s="112"/>
      <c r="AD69" s="112"/>
      <c r="AE69" s="112"/>
      <c r="AF69" s="112"/>
      <c r="AG69" s="112"/>
      <c r="AH69" s="112"/>
      <c r="AI69" s="112"/>
      <c r="AJ69" s="112"/>
      <c r="AK69" s="112"/>
      <c r="AL69" s="112"/>
      <c r="AM69" s="112"/>
      <c r="AN69" s="112"/>
      <c r="AO69" s="112"/>
      <c r="AP69" s="112"/>
      <c r="AQ69" s="112"/>
      <c r="AR69" s="112"/>
      <c r="AS69" s="112"/>
      <c r="AT69" s="112"/>
      <c r="AU69" s="112"/>
    </row>
    <row r="70" spans="1:51" s="115" customFormat="1" ht="50" customHeight="1" x14ac:dyDescent="0.2">
      <c r="A70" s="220"/>
      <c r="B70" s="214"/>
      <c r="C70" s="214"/>
      <c r="D70" s="218"/>
      <c r="E70" s="214"/>
      <c r="F70" s="214"/>
      <c r="G70" s="214"/>
      <c r="H70" s="214"/>
      <c r="I70" s="214"/>
      <c r="J70" s="214"/>
      <c r="K70" s="214"/>
      <c r="L70" s="214"/>
      <c r="M70" s="214"/>
      <c r="N70" s="214"/>
      <c r="O70" s="214"/>
      <c r="P70" s="214"/>
      <c r="Q70" s="223"/>
      <c r="R70" s="162" t="s">
        <v>1931</v>
      </c>
      <c r="S70" s="162">
        <f>3.14*10^-4</f>
        <v>3.1400000000000004E-4</v>
      </c>
      <c r="T70" s="162">
        <f>2.88*10^-11</f>
        <v>2.8799999999999997E-11</v>
      </c>
      <c r="U70" s="162">
        <f>1.4*10^-5</f>
        <v>1.4E-5</v>
      </c>
      <c r="V70" s="162">
        <f>3.15*10^-6</f>
        <v>3.1499999999999999E-6</v>
      </c>
      <c r="W70" s="162">
        <f>2.86*10^-7</f>
        <v>2.8599999999999999E-7</v>
      </c>
      <c r="X70" s="162"/>
      <c r="Y70" s="162"/>
      <c r="Z70" s="162"/>
      <c r="AA70" s="162" t="s">
        <v>1934</v>
      </c>
      <c r="AB70" s="112"/>
      <c r="AC70" s="112"/>
      <c r="AD70" s="112"/>
      <c r="AE70" s="112"/>
      <c r="AF70" s="112"/>
      <c r="AG70" s="112"/>
      <c r="AH70" s="112"/>
      <c r="AI70" s="112"/>
      <c r="AJ70" s="112"/>
      <c r="AK70" s="112"/>
      <c r="AL70" s="112"/>
      <c r="AM70" s="112"/>
      <c r="AN70" s="112"/>
      <c r="AO70" s="112"/>
      <c r="AP70" s="112"/>
      <c r="AQ70" s="112"/>
      <c r="AR70" s="112"/>
      <c r="AS70" s="112"/>
      <c r="AT70" s="112"/>
      <c r="AU70" s="112"/>
    </row>
    <row r="71" spans="1:51" s="115" customFormat="1" ht="135" x14ac:dyDescent="0.2">
      <c r="A71" s="105">
        <v>50</v>
      </c>
      <c r="B71" s="162" t="s">
        <v>237</v>
      </c>
      <c r="C71" s="162" t="s">
        <v>194</v>
      </c>
      <c r="D71" s="160">
        <v>2015</v>
      </c>
      <c r="E71" s="162" t="s">
        <v>118</v>
      </c>
      <c r="F71" s="162" t="s">
        <v>236</v>
      </c>
      <c r="G71" s="162" t="s">
        <v>453</v>
      </c>
      <c r="H71" s="162" t="s">
        <v>100</v>
      </c>
      <c r="I71" s="162" t="s">
        <v>275</v>
      </c>
      <c r="J71" s="162" t="s">
        <v>90</v>
      </c>
      <c r="K71" s="162" t="s">
        <v>454</v>
      </c>
      <c r="L71" s="162" t="s">
        <v>650</v>
      </c>
      <c r="M71" s="162"/>
      <c r="N71" s="162" t="s">
        <v>455</v>
      </c>
      <c r="O71" s="162" t="s">
        <v>456</v>
      </c>
      <c r="P71" s="162" t="s">
        <v>378</v>
      </c>
      <c r="Q71" s="112"/>
      <c r="R71" s="112"/>
      <c r="S71" s="112"/>
      <c r="T71" s="112"/>
      <c r="U71" s="112"/>
      <c r="V71" s="112"/>
      <c r="W71" s="112"/>
      <c r="X71" s="112"/>
      <c r="Y71" s="112"/>
      <c r="Z71" s="112"/>
      <c r="AA71" s="112"/>
      <c r="AB71" s="112"/>
      <c r="AC71" s="112"/>
      <c r="AD71" s="112"/>
      <c r="AE71" s="112"/>
      <c r="AF71" s="112"/>
      <c r="AG71" s="112"/>
      <c r="AH71" s="112"/>
      <c r="AI71" s="112"/>
      <c r="AJ71" s="112"/>
      <c r="AK71" s="112"/>
      <c r="AL71" s="112"/>
      <c r="AM71" s="112"/>
      <c r="AN71" s="112"/>
      <c r="AO71" s="112"/>
      <c r="AP71" s="112"/>
      <c r="AQ71" s="112"/>
      <c r="AR71" s="112"/>
      <c r="AS71" s="112"/>
      <c r="AT71" s="112"/>
      <c r="AU71" s="112"/>
    </row>
    <row r="72" spans="1:51" s="115" customFormat="1" ht="75" x14ac:dyDescent="0.2">
      <c r="A72" s="105">
        <v>51</v>
      </c>
      <c r="B72" s="162" t="s">
        <v>807</v>
      </c>
      <c r="C72" s="105" t="s">
        <v>144</v>
      </c>
      <c r="D72" s="160">
        <v>2014</v>
      </c>
      <c r="E72" s="162" t="s">
        <v>164</v>
      </c>
      <c r="F72" s="162" t="s">
        <v>806</v>
      </c>
      <c r="G72" s="162" t="s">
        <v>1287</v>
      </c>
      <c r="H72" s="162" t="s">
        <v>1150</v>
      </c>
      <c r="I72" s="162" t="s">
        <v>1291</v>
      </c>
      <c r="J72" s="162" t="s">
        <v>446</v>
      </c>
      <c r="K72" s="162" t="s">
        <v>1289</v>
      </c>
      <c r="L72" s="162" t="s">
        <v>91</v>
      </c>
      <c r="M72" s="162" t="s">
        <v>448</v>
      </c>
      <c r="N72" s="162" t="s">
        <v>1290</v>
      </c>
      <c r="O72" s="162" t="s">
        <v>370</v>
      </c>
      <c r="P72" s="162" t="s">
        <v>1288</v>
      </c>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2"/>
      <c r="AO72" s="112"/>
      <c r="AP72" s="112"/>
      <c r="AQ72" s="112"/>
      <c r="AR72" s="112"/>
      <c r="AS72" s="112"/>
      <c r="AT72" s="112"/>
      <c r="AU72" s="112"/>
    </row>
    <row r="73" spans="1:51" s="115" customFormat="1" ht="105" x14ac:dyDescent="0.2">
      <c r="A73" s="105">
        <v>52</v>
      </c>
      <c r="B73" s="162" t="s">
        <v>1416</v>
      </c>
      <c r="C73" s="105" t="s">
        <v>144</v>
      </c>
      <c r="D73" s="160">
        <v>2014</v>
      </c>
      <c r="E73" s="162" t="s">
        <v>164</v>
      </c>
      <c r="F73" s="162" t="s">
        <v>1415</v>
      </c>
      <c r="G73" s="162" t="s">
        <v>1611</v>
      </c>
      <c r="H73" s="162" t="s">
        <v>443</v>
      </c>
      <c r="I73" s="162" t="s">
        <v>18</v>
      </c>
      <c r="J73" s="162" t="s">
        <v>446</v>
      </c>
      <c r="K73" s="162" t="s">
        <v>1612</v>
      </c>
      <c r="L73" s="162" t="s">
        <v>91</v>
      </c>
      <c r="M73" s="162" t="s">
        <v>448</v>
      </c>
      <c r="N73" s="162" t="s">
        <v>292</v>
      </c>
      <c r="O73" s="162" t="s">
        <v>370</v>
      </c>
      <c r="P73" s="162" t="s">
        <v>1288</v>
      </c>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c r="AR73" s="112"/>
      <c r="AS73" s="112"/>
      <c r="AT73" s="112"/>
      <c r="AU73" s="112"/>
    </row>
    <row r="74" spans="1:51" s="115" customFormat="1" ht="90" x14ac:dyDescent="0.2">
      <c r="A74" s="105">
        <v>53</v>
      </c>
      <c r="B74" s="162" t="s">
        <v>1800</v>
      </c>
      <c r="C74" s="105" t="s">
        <v>581</v>
      </c>
      <c r="D74" s="160">
        <v>2013</v>
      </c>
      <c r="E74" s="162" t="s">
        <v>1802</v>
      </c>
      <c r="F74" s="162" t="s">
        <v>1801</v>
      </c>
      <c r="G74" s="162" t="s">
        <v>1899</v>
      </c>
      <c r="H74" s="162" t="s">
        <v>1194</v>
      </c>
      <c r="I74" s="162" t="s">
        <v>1902</v>
      </c>
      <c r="J74" s="162" t="s">
        <v>88</v>
      </c>
      <c r="K74" s="162" t="s">
        <v>1900</v>
      </c>
      <c r="L74" s="162" t="s">
        <v>91</v>
      </c>
      <c r="M74" s="162" t="s">
        <v>465</v>
      </c>
      <c r="N74" s="162" t="s">
        <v>1903</v>
      </c>
      <c r="O74" s="161" t="s">
        <v>18</v>
      </c>
      <c r="P74" s="162" t="s">
        <v>1901</v>
      </c>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2"/>
      <c r="AP74" s="112"/>
      <c r="AQ74" s="112"/>
      <c r="AR74" s="112"/>
      <c r="AS74" s="112"/>
      <c r="AT74" s="112"/>
      <c r="AU74" s="112"/>
    </row>
    <row r="75" spans="1:51" s="115" customFormat="1" ht="105" x14ac:dyDescent="0.2">
      <c r="A75" s="105">
        <v>54</v>
      </c>
      <c r="B75" s="162" t="s">
        <v>1804</v>
      </c>
      <c r="C75" s="105" t="s">
        <v>135</v>
      </c>
      <c r="D75" s="160">
        <v>2014</v>
      </c>
      <c r="E75" s="162" t="s">
        <v>114</v>
      </c>
      <c r="F75" s="162" t="s">
        <v>1803</v>
      </c>
      <c r="G75" s="162" t="s">
        <v>1904</v>
      </c>
      <c r="H75" s="162" t="s">
        <v>99</v>
      </c>
      <c r="I75" s="162" t="s">
        <v>1906</v>
      </c>
      <c r="J75" s="162" t="s">
        <v>444</v>
      </c>
      <c r="K75" s="162" t="s">
        <v>1905</v>
      </c>
      <c r="L75" s="162" t="s">
        <v>441</v>
      </c>
      <c r="M75" s="162"/>
      <c r="N75" s="162" t="s">
        <v>1907</v>
      </c>
      <c r="O75" s="161" t="s">
        <v>18</v>
      </c>
      <c r="P75" s="162" t="s">
        <v>395</v>
      </c>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2"/>
      <c r="AP75" s="112"/>
      <c r="AQ75" s="112"/>
      <c r="AR75" s="112"/>
      <c r="AS75" s="112"/>
      <c r="AT75" s="112"/>
      <c r="AU75" s="112"/>
    </row>
    <row r="76" spans="1:51" s="115" customFormat="1" ht="105" x14ac:dyDescent="0.2">
      <c r="A76" s="105">
        <v>55</v>
      </c>
      <c r="B76" s="162" t="s">
        <v>250</v>
      </c>
      <c r="C76" s="162" t="s">
        <v>174</v>
      </c>
      <c r="D76" s="160">
        <v>2015</v>
      </c>
      <c r="E76" s="162" t="s">
        <v>114</v>
      </c>
      <c r="F76" s="162" t="s">
        <v>249</v>
      </c>
      <c r="G76" s="162" t="s">
        <v>474</v>
      </c>
      <c r="H76" s="162" t="s">
        <v>1095</v>
      </c>
      <c r="I76" s="162" t="s">
        <v>475</v>
      </c>
      <c r="J76" s="162" t="s">
        <v>90</v>
      </c>
      <c r="K76" s="162" t="s">
        <v>314</v>
      </c>
      <c r="L76" s="162" t="s">
        <v>441</v>
      </c>
      <c r="M76" s="162"/>
      <c r="N76" s="162" t="s">
        <v>476</v>
      </c>
      <c r="O76" s="161" t="s">
        <v>18</v>
      </c>
      <c r="P76" s="161" t="s">
        <v>18</v>
      </c>
      <c r="Q76" s="162" t="s">
        <v>1922</v>
      </c>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c r="AR76" s="112"/>
      <c r="AS76" s="112"/>
      <c r="AT76" s="112"/>
      <c r="AU76" s="112"/>
    </row>
    <row r="77" spans="1:51" s="115" customFormat="1" ht="90" x14ac:dyDescent="0.2">
      <c r="A77" s="105">
        <v>56</v>
      </c>
      <c r="B77" s="162" t="s">
        <v>1805</v>
      </c>
      <c r="C77" s="162" t="s">
        <v>174</v>
      </c>
      <c r="D77" s="160">
        <v>2014</v>
      </c>
      <c r="E77" s="162" t="s">
        <v>114</v>
      </c>
      <c r="F77" s="162" t="s">
        <v>1806</v>
      </c>
      <c r="G77" s="162" t="s">
        <v>1911</v>
      </c>
      <c r="H77" s="162" t="s">
        <v>1095</v>
      </c>
      <c r="I77" s="162" t="s">
        <v>281</v>
      </c>
      <c r="J77" s="162" t="s">
        <v>90</v>
      </c>
      <c r="K77" s="162" t="s">
        <v>314</v>
      </c>
      <c r="L77" s="162" t="s">
        <v>441</v>
      </c>
      <c r="M77" s="162"/>
      <c r="N77" s="162" t="s">
        <v>1910</v>
      </c>
      <c r="O77" s="161" t="s">
        <v>18</v>
      </c>
      <c r="P77" s="161" t="s">
        <v>18</v>
      </c>
      <c r="Q77" s="162" t="s">
        <v>1908</v>
      </c>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c r="AQ77" s="112"/>
      <c r="AR77" s="112"/>
      <c r="AS77" s="112"/>
      <c r="AT77" s="112"/>
      <c r="AU77" s="112"/>
    </row>
    <row r="78" spans="1:51" s="115" customFormat="1" ht="75" x14ac:dyDescent="0.2">
      <c r="A78" s="105">
        <v>57</v>
      </c>
      <c r="B78" s="162" t="s">
        <v>1808</v>
      </c>
      <c r="C78" s="162" t="s">
        <v>174</v>
      </c>
      <c r="D78" s="160">
        <v>2016</v>
      </c>
      <c r="E78" s="162" t="s">
        <v>114</v>
      </c>
      <c r="F78" s="162" t="s">
        <v>1807</v>
      </c>
      <c r="G78" s="162" t="s">
        <v>1912</v>
      </c>
      <c r="H78" s="162" t="s">
        <v>100</v>
      </c>
      <c r="I78" s="162" t="s">
        <v>275</v>
      </c>
      <c r="J78" s="162" t="s">
        <v>90</v>
      </c>
      <c r="K78" s="162" t="s">
        <v>1913</v>
      </c>
      <c r="L78" s="162" t="s">
        <v>441</v>
      </c>
      <c r="M78" s="162"/>
      <c r="N78" s="162" t="s">
        <v>1909</v>
      </c>
      <c r="O78" s="161" t="s">
        <v>18</v>
      </c>
      <c r="P78" s="161" t="s">
        <v>18</v>
      </c>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c r="AO78" s="112"/>
      <c r="AP78" s="112"/>
      <c r="AQ78" s="112"/>
      <c r="AR78" s="112"/>
      <c r="AS78" s="112"/>
      <c r="AT78" s="112"/>
      <c r="AU78" s="112"/>
    </row>
    <row r="79" spans="1:51" s="115" customFormat="1" ht="150" x14ac:dyDescent="0.2">
      <c r="A79" s="105">
        <v>58</v>
      </c>
      <c r="B79" s="162" t="s">
        <v>1423</v>
      </c>
      <c r="C79" s="162" t="s">
        <v>138</v>
      </c>
      <c r="D79" s="160">
        <v>2015</v>
      </c>
      <c r="E79" s="162" t="s">
        <v>115</v>
      </c>
      <c r="F79" s="162" t="s">
        <v>1422</v>
      </c>
      <c r="G79" s="162" t="s">
        <v>1622</v>
      </c>
      <c r="H79" s="162" t="s">
        <v>1150</v>
      </c>
      <c r="I79" s="162" t="s">
        <v>1623</v>
      </c>
      <c r="J79" s="162" t="s">
        <v>441</v>
      </c>
      <c r="K79" s="162" t="s">
        <v>1624</v>
      </c>
      <c r="L79" s="162" t="s">
        <v>91</v>
      </c>
      <c r="M79" s="162" t="s">
        <v>923</v>
      </c>
      <c r="N79" s="162" t="s">
        <v>1625</v>
      </c>
      <c r="O79" s="161" t="s">
        <v>18</v>
      </c>
      <c r="P79" s="162" t="s">
        <v>1626</v>
      </c>
      <c r="Q79" s="112"/>
      <c r="R79" s="112"/>
      <c r="S79" s="162"/>
      <c r="T79" s="162"/>
      <c r="U79" s="162"/>
      <c r="V79" s="162"/>
      <c r="W79" s="162"/>
      <c r="X79" s="162"/>
      <c r="Y79" s="162"/>
      <c r="Z79" s="162"/>
      <c r="AA79" s="162"/>
      <c r="AB79" s="162"/>
      <c r="AC79" s="162"/>
      <c r="AD79" s="162"/>
      <c r="AE79" s="162"/>
      <c r="AF79" s="162"/>
      <c r="AG79" s="162"/>
      <c r="AH79" s="162"/>
      <c r="AI79" s="162"/>
      <c r="AJ79" s="162"/>
      <c r="AK79" s="162"/>
      <c r="AL79" s="162"/>
      <c r="AM79" s="162"/>
      <c r="AN79" s="162"/>
      <c r="AO79" s="162"/>
      <c r="AP79" s="162"/>
      <c r="AQ79" s="162"/>
      <c r="AR79" s="162"/>
      <c r="AS79" s="162"/>
      <c r="AT79" s="162"/>
      <c r="AU79" s="162"/>
      <c r="AV79" s="116"/>
      <c r="AW79" s="116"/>
      <c r="AX79" s="116"/>
      <c r="AY79" s="116"/>
    </row>
    <row r="80" spans="1:51" s="115" customFormat="1" ht="90" x14ac:dyDescent="0.2">
      <c r="A80" s="105">
        <v>59</v>
      </c>
      <c r="B80" s="162" t="s">
        <v>825</v>
      </c>
      <c r="C80" s="105" t="s">
        <v>138</v>
      </c>
      <c r="D80" s="160">
        <v>2016</v>
      </c>
      <c r="E80" s="162" t="s">
        <v>660</v>
      </c>
      <c r="F80" s="162" t="s">
        <v>824</v>
      </c>
      <c r="G80" s="162" t="s">
        <v>1333</v>
      </c>
      <c r="H80" s="162" t="s">
        <v>98</v>
      </c>
      <c r="I80" s="162" t="s">
        <v>1334</v>
      </c>
      <c r="J80" s="162" t="s">
        <v>446</v>
      </c>
      <c r="K80" s="162" t="s">
        <v>1337</v>
      </c>
      <c r="L80" s="162" t="s">
        <v>441</v>
      </c>
      <c r="M80" s="162"/>
      <c r="N80" s="162" t="s">
        <v>1336</v>
      </c>
      <c r="O80" s="162" t="s">
        <v>1335</v>
      </c>
      <c r="P80" s="161" t="s">
        <v>18</v>
      </c>
      <c r="Q80" s="162" t="s">
        <v>1711</v>
      </c>
      <c r="R80" s="112"/>
      <c r="S80" s="162"/>
      <c r="T80" s="162"/>
      <c r="U80" s="162"/>
      <c r="V80" s="162"/>
      <c r="W80" s="162"/>
      <c r="X80" s="162"/>
      <c r="Y80" s="162"/>
      <c r="Z80" s="162"/>
      <c r="AA80" s="162"/>
      <c r="AB80" s="162"/>
      <c r="AC80" s="162"/>
      <c r="AD80" s="162"/>
      <c r="AE80" s="162"/>
      <c r="AF80" s="162"/>
      <c r="AG80" s="162"/>
      <c r="AH80" s="162"/>
      <c r="AI80" s="162"/>
      <c r="AJ80" s="162"/>
      <c r="AK80" s="162"/>
      <c r="AL80" s="162"/>
      <c r="AM80" s="162"/>
      <c r="AN80" s="162"/>
      <c r="AO80" s="162"/>
      <c r="AP80" s="162"/>
      <c r="AQ80" s="162"/>
      <c r="AR80" s="162"/>
      <c r="AS80" s="162"/>
      <c r="AT80" s="162"/>
      <c r="AU80" s="162"/>
      <c r="AV80" s="116"/>
      <c r="AW80" s="116"/>
      <c r="AX80" s="116"/>
      <c r="AY80" s="116"/>
    </row>
    <row r="81" spans="1:51" s="115" customFormat="1" ht="90" x14ac:dyDescent="0.2">
      <c r="A81" s="105">
        <v>60</v>
      </c>
      <c r="B81" s="105" t="s">
        <v>831</v>
      </c>
      <c r="C81" s="105" t="s">
        <v>833</v>
      </c>
      <c r="D81" s="160">
        <v>2016</v>
      </c>
      <c r="E81" s="162" t="s">
        <v>63</v>
      </c>
      <c r="F81" s="162" t="s">
        <v>832</v>
      </c>
      <c r="G81" s="162" t="s">
        <v>886</v>
      </c>
      <c r="H81" s="162" t="s">
        <v>102</v>
      </c>
      <c r="I81" s="162" t="s">
        <v>884</v>
      </c>
      <c r="J81" s="162" t="s">
        <v>89</v>
      </c>
      <c r="K81" s="162" t="s">
        <v>885</v>
      </c>
      <c r="L81" s="162" t="s">
        <v>441</v>
      </c>
      <c r="M81" s="162"/>
      <c r="N81" s="162" t="s">
        <v>881</v>
      </c>
      <c r="O81" s="161" t="s">
        <v>18</v>
      </c>
      <c r="P81" s="159" t="s">
        <v>304</v>
      </c>
      <c r="Q81" s="162"/>
      <c r="R81" s="162" t="s">
        <v>1949</v>
      </c>
      <c r="S81" s="162"/>
      <c r="T81" s="162"/>
      <c r="U81" s="162">
        <v>0.01</v>
      </c>
      <c r="V81" s="162"/>
      <c r="W81" s="162"/>
      <c r="X81" s="162"/>
      <c r="Z81" s="162"/>
      <c r="AA81" s="162"/>
      <c r="AB81" s="162"/>
      <c r="AC81" s="162"/>
      <c r="AD81" s="162"/>
      <c r="AE81" s="162"/>
      <c r="AF81" s="162"/>
      <c r="AG81" s="162"/>
      <c r="AH81" s="162"/>
      <c r="AI81" s="162"/>
      <c r="AJ81" s="162" t="s">
        <v>1950</v>
      </c>
      <c r="AK81" s="162"/>
      <c r="AL81" s="162"/>
      <c r="AM81" s="162"/>
      <c r="AN81" s="162"/>
      <c r="AO81" s="162"/>
      <c r="AP81" s="162"/>
      <c r="AQ81" s="162"/>
      <c r="AR81" s="162"/>
      <c r="AS81" s="162"/>
      <c r="AT81" s="162"/>
      <c r="AU81" s="162"/>
      <c r="AV81" s="116"/>
      <c r="AW81" s="116"/>
      <c r="AX81" s="116"/>
      <c r="AY81" s="116"/>
    </row>
    <row r="82" spans="1:51" s="115" customFormat="1" ht="90" x14ac:dyDescent="0.2">
      <c r="A82" s="105">
        <v>61</v>
      </c>
      <c r="B82" s="105" t="s">
        <v>831</v>
      </c>
      <c r="C82" s="105" t="s">
        <v>833</v>
      </c>
      <c r="D82" s="160">
        <v>2016</v>
      </c>
      <c r="E82" s="162" t="s">
        <v>63</v>
      </c>
      <c r="F82" s="162" t="s">
        <v>882</v>
      </c>
      <c r="G82" s="162" t="s">
        <v>883</v>
      </c>
      <c r="H82" s="162" t="s">
        <v>102</v>
      </c>
      <c r="I82" s="162" t="s">
        <v>884</v>
      </c>
      <c r="J82" s="162" t="s">
        <v>89</v>
      </c>
      <c r="K82" s="162" t="s">
        <v>885</v>
      </c>
      <c r="L82" s="162" t="s">
        <v>441</v>
      </c>
      <c r="M82" s="162"/>
      <c r="N82" s="162" t="s">
        <v>881</v>
      </c>
      <c r="O82" s="161" t="s">
        <v>18</v>
      </c>
      <c r="P82" s="159" t="s">
        <v>315</v>
      </c>
      <c r="Q82" s="112"/>
      <c r="R82" s="112"/>
      <c r="S82" s="162"/>
      <c r="T82" s="162"/>
      <c r="U82" s="162"/>
      <c r="V82" s="162"/>
      <c r="W82" s="162"/>
      <c r="X82" s="162"/>
      <c r="Y82" s="162"/>
      <c r="Z82" s="162"/>
      <c r="AA82" s="162"/>
      <c r="AB82" s="162"/>
      <c r="AC82" s="162"/>
      <c r="AD82" s="162"/>
      <c r="AE82" s="162"/>
      <c r="AF82" s="162"/>
      <c r="AG82" s="162"/>
      <c r="AH82" s="162"/>
      <c r="AI82" s="162"/>
      <c r="AJ82" s="162"/>
      <c r="AK82" s="162"/>
      <c r="AL82" s="162"/>
      <c r="AM82" s="162"/>
      <c r="AN82" s="162"/>
      <c r="AO82" s="162"/>
      <c r="AP82" s="162"/>
      <c r="AQ82" s="162"/>
      <c r="AR82" s="162"/>
      <c r="AS82" s="162"/>
      <c r="AT82" s="162"/>
      <c r="AU82" s="162"/>
      <c r="AV82" s="116"/>
      <c r="AW82" s="116"/>
      <c r="AX82" s="116"/>
      <c r="AY82" s="116"/>
    </row>
    <row r="83" spans="1:51" s="115" customFormat="1" ht="225" x14ac:dyDescent="0.2">
      <c r="A83" s="105">
        <v>62</v>
      </c>
      <c r="B83" s="162" t="s">
        <v>496</v>
      </c>
      <c r="C83" s="162" t="s">
        <v>121</v>
      </c>
      <c r="D83" s="160">
        <v>2008</v>
      </c>
      <c r="E83" s="162" t="s">
        <v>63</v>
      </c>
      <c r="F83" s="162" t="s">
        <v>652</v>
      </c>
      <c r="G83" s="162" t="s">
        <v>653</v>
      </c>
      <c r="H83" s="162" t="s">
        <v>103</v>
      </c>
      <c r="I83" s="162" t="s">
        <v>547</v>
      </c>
      <c r="J83" s="162" t="s">
        <v>444</v>
      </c>
      <c r="K83" s="162" t="s">
        <v>654</v>
      </c>
      <c r="L83" s="162" t="s">
        <v>441</v>
      </c>
      <c r="M83" s="162"/>
      <c r="N83" s="162" t="s">
        <v>655</v>
      </c>
      <c r="O83" s="159" t="s">
        <v>656</v>
      </c>
      <c r="P83" s="159" t="s">
        <v>304</v>
      </c>
      <c r="Q83" s="162"/>
      <c r="R83" s="112"/>
      <c r="S83" s="162"/>
      <c r="T83" s="162"/>
      <c r="U83" s="162"/>
      <c r="V83" s="162"/>
      <c r="W83" s="162"/>
      <c r="X83" s="162"/>
      <c r="Y83" s="162"/>
      <c r="Z83" s="162"/>
      <c r="AA83" s="162"/>
      <c r="AB83" s="162"/>
      <c r="AC83" s="162"/>
      <c r="AD83" s="162"/>
      <c r="AE83" s="162"/>
      <c r="AF83" s="162"/>
      <c r="AG83" s="162"/>
      <c r="AH83" s="162"/>
      <c r="AI83" s="162"/>
      <c r="AJ83" s="162"/>
      <c r="AK83" s="162"/>
      <c r="AL83" s="162"/>
      <c r="AM83" s="162"/>
      <c r="AN83" s="162"/>
      <c r="AO83" s="162"/>
      <c r="AP83" s="162"/>
      <c r="AQ83" s="162"/>
      <c r="AR83" s="162"/>
      <c r="AS83" s="162"/>
      <c r="AT83" s="162"/>
      <c r="AU83" s="162"/>
      <c r="AV83" s="116"/>
      <c r="AW83" s="116"/>
      <c r="AX83" s="116"/>
      <c r="AY83" s="116"/>
    </row>
    <row r="84" spans="1:51" s="115" customFormat="1" ht="225" x14ac:dyDescent="0.2">
      <c r="A84" s="105">
        <v>63</v>
      </c>
      <c r="B84" s="162" t="s">
        <v>496</v>
      </c>
      <c r="C84" s="162" t="s">
        <v>121</v>
      </c>
      <c r="D84" s="160">
        <v>2008</v>
      </c>
      <c r="E84" s="162" t="s">
        <v>63</v>
      </c>
      <c r="F84" s="162" t="s">
        <v>497</v>
      </c>
      <c r="G84" s="162" t="s">
        <v>546</v>
      </c>
      <c r="H84" s="162" t="s">
        <v>103</v>
      </c>
      <c r="I84" s="162" t="s">
        <v>547</v>
      </c>
      <c r="J84" s="162" t="s">
        <v>444</v>
      </c>
      <c r="K84" s="162" t="s">
        <v>548</v>
      </c>
      <c r="L84" s="162" t="s">
        <v>441</v>
      </c>
      <c r="M84" s="162"/>
      <c r="N84" s="162" t="s">
        <v>655</v>
      </c>
      <c r="O84" s="159" t="s">
        <v>656</v>
      </c>
      <c r="P84" s="159" t="s">
        <v>549</v>
      </c>
      <c r="Q84" s="112"/>
      <c r="R84" s="112"/>
      <c r="S84" s="162"/>
      <c r="T84" s="162"/>
      <c r="U84" s="162"/>
      <c r="V84" s="162"/>
      <c r="W84" s="162"/>
      <c r="X84" s="162"/>
      <c r="Y84" s="162"/>
      <c r="Z84" s="162"/>
      <c r="AA84" s="162"/>
      <c r="AB84" s="162"/>
      <c r="AC84" s="162"/>
      <c r="AD84" s="162"/>
      <c r="AE84" s="162"/>
      <c r="AF84" s="162"/>
      <c r="AG84" s="162"/>
      <c r="AH84" s="162"/>
      <c r="AI84" s="162"/>
      <c r="AJ84" s="162"/>
      <c r="AK84" s="162"/>
      <c r="AL84" s="162"/>
      <c r="AM84" s="162"/>
      <c r="AN84" s="162"/>
      <c r="AO84" s="162"/>
      <c r="AP84" s="162"/>
      <c r="AQ84" s="162"/>
      <c r="AR84" s="162"/>
      <c r="AS84" s="162"/>
      <c r="AT84" s="162"/>
      <c r="AU84" s="162"/>
      <c r="AV84" s="116"/>
      <c r="AW84" s="116"/>
      <c r="AX84" s="116"/>
      <c r="AY84" s="116"/>
    </row>
    <row r="85" spans="1:51" s="115" customFormat="1" ht="75" x14ac:dyDescent="0.2">
      <c r="A85" s="105">
        <v>64</v>
      </c>
      <c r="B85" s="162" t="s">
        <v>1936</v>
      </c>
      <c r="C85" s="105" t="s">
        <v>245</v>
      </c>
      <c r="D85" s="160">
        <v>2007</v>
      </c>
      <c r="E85" s="162" t="s">
        <v>1938</v>
      </c>
      <c r="F85" s="162" t="s">
        <v>1937</v>
      </c>
      <c r="G85" s="162" t="s">
        <v>1951</v>
      </c>
      <c r="H85" s="162" t="s">
        <v>1150</v>
      </c>
      <c r="I85" s="162" t="s">
        <v>1953</v>
      </c>
      <c r="J85" s="162" t="s">
        <v>441</v>
      </c>
      <c r="K85" s="162" t="s">
        <v>1954</v>
      </c>
      <c r="L85" s="162" t="s">
        <v>441</v>
      </c>
      <c r="M85" s="162"/>
      <c r="N85" s="162" t="s">
        <v>1952</v>
      </c>
      <c r="O85" s="161" t="s">
        <v>18</v>
      </c>
      <c r="P85" s="161" t="s">
        <v>18</v>
      </c>
      <c r="Q85" s="112"/>
      <c r="R85" s="112"/>
      <c r="S85" s="162"/>
      <c r="T85" s="162"/>
      <c r="U85" s="162"/>
      <c r="V85" s="162"/>
      <c r="W85" s="162"/>
      <c r="X85" s="162"/>
      <c r="Y85" s="162"/>
      <c r="Z85" s="162"/>
      <c r="AA85" s="162"/>
      <c r="AB85" s="162"/>
      <c r="AC85" s="162"/>
      <c r="AD85" s="162"/>
      <c r="AE85" s="162"/>
      <c r="AF85" s="162"/>
      <c r="AG85" s="162"/>
      <c r="AH85" s="162"/>
      <c r="AI85" s="162"/>
      <c r="AJ85" s="162"/>
      <c r="AK85" s="162"/>
      <c r="AL85" s="162"/>
      <c r="AM85" s="162"/>
      <c r="AN85" s="162"/>
      <c r="AO85" s="162"/>
      <c r="AP85" s="162"/>
      <c r="AQ85" s="162"/>
      <c r="AR85" s="162"/>
      <c r="AS85" s="162"/>
      <c r="AT85" s="162"/>
      <c r="AU85" s="162"/>
      <c r="AV85" s="116"/>
      <c r="AW85" s="116"/>
      <c r="AX85" s="116"/>
      <c r="AY85" s="116"/>
    </row>
    <row r="86" spans="1:51" s="115" customFormat="1" ht="75" x14ac:dyDescent="0.2">
      <c r="A86" s="105">
        <v>65</v>
      </c>
      <c r="B86" s="162" t="s">
        <v>502</v>
      </c>
      <c r="C86" s="162" t="s">
        <v>147</v>
      </c>
      <c r="D86" s="160">
        <v>2010</v>
      </c>
      <c r="E86" s="162" t="s">
        <v>63</v>
      </c>
      <c r="F86" s="162" t="s">
        <v>503</v>
      </c>
      <c r="G86" s="162" t="s">
        <v>560</v>
      </c>
      <c r="H86" s="162" t="s">
        <v>103</v>
      </c>
      <c r="I86" s="162" t="s">
        <v>110</v>
      </c>
      <c r="J86" s="162" t="s">
        <v>446</v>
      </c>
      <c r="K86" s="162" t="s">
        <v>561</v>
      </c>
      <c r="L86" s="162" t="s">
        <v>441</v>
      </c>
      <c r="M86" s="162"/>
      <c r="N86" s="162" t="s">
        <v>562</v>
      </c>
      <c r="O86" s="161" t="s">
        <v>18</v>
      </c>
      <c r="P86" s="161" t="s">
        <v>18</v>
      </c>
      <c r="Q86" s="112"/>
      <c r="R86" s="162" t="s">
        <v>1955</v>
      </c>
      <c r="S86" s="162"/>
      <c r="T86" s="162"/>
      <c r="U86" s="162">
        <v>2.7E-2</v>
      </c>
      <c r="V86" s="162"/>
      <c r="W86" s="162"/>
      <c r="X86" s="162"/>
      <c r="Y86" s="162"/>
      <c r="Z86" s="162"/>
      <c r="AA86" s="162"/>
      <c r="AB86" s="162"/>
      <c r="AC86" s="162"/>
      <c r="AD86" s="162"/>
      <c r="AE86" s="162"/>
      <c r="AF86" s="162"/>
      <c r="AG86" s="162"/>
      <c r="AH86" s="162"/>
      <c r="AI86" s="162"/>
      <c r="AJ86" s="162"/>
      <c r="AK86" s="162"/>
      <c r="AL86" s="162"/>
      <c r="AM86" s="162"/>
      <c r="AN86" s="162"/>
      <c r="AO86" s="162"/>
      <c r="AP86" s="162"/>
      <c r="AQ86" s="162"/>
      <c r="AR86" s="162"/>
      <c r="AS86" s="162"/>
      <c r="AT86" s="162"/>
      <c r="AU86" s="162"/>
      <c r="AV86" s="162"/>
      <c r="AW86" s="116"/>
      <c r="AX86" s="116"/>
      <c r="AY86" s="116"/>
    </row>
    <row r="87" spans="1:51" s="115" customFormat="1" ht="75" x14ac:dyDescent="0.2">
      <c r="A87" s="105">
        <v>66</v>
      </c>
      <c r="B87" s="162" t="s">
        <v>506</v>
      </c>
      <c r="C87" s="162" t="s">
        <v>147</v>
      </c>
      <c r="D87" s="160">
        <v>2007</v>
      </c>
      <c r="E87" s="162" t="s">
        <v>63</v>
      </c>
      <c r="F87" s="162" t="s">
        <v>507</v>
      </c>
      <c r="G87" s="162" t="s">
        <v>569</v>
      </c>
      <c r="H87" s="162" t="s">
        <v>98</v>
      </c>
      <c r="I87" s="162" t="s">
        <v>571</v>
      </c>
      <c r="J87" s="162" t="s">
        <v>90</v>
      </c>
      <c r="K87" s="162" t="s">
        <v>572</v>
      </c>
      <c r="L87" s="162" t="s">
        <v>441</v>
      </c>
      <c r="M87" s="162"/>
      <c r="N87" s="162" t="s">
        <v>570</v>
      </c>
      <c r="O87" s="161" t="s">
        <v>18</v>
      </c>
      <c r="P87" s="161" t="s">
        <v>18</v>
      </c>
      <c r="Q87" s="162"/>
      <c r="R87" s="162" t="s">
        <v>1955</v>
      </c>
      <c r="S87" s="162"/>
      <c r="T87" s="162"/>
      <c r="U87" s="162">
        <v>2.7E-2</v>
      </c>
      <c r="V87" s="162"/>
      <c r="W87" s="162"/>
      <c r="X87" s="162"/>
      <c r="Y87" s="162"/>
      <c r="Z87" s="162"/>
      <c r="AA87" s="162"/>
      <c r="AB87" s="162"/>
      <c r="AC87" s="162"/>
      <c r="AD87" s="162"/>
      <c r="AE87" s="162"/>
      <c r="AF87" s="162"/>
      <c r="AG87" s="162"/>
      <c r="AH87" s="162"/>
      <c r="AI87" s="162"/>
      <c r="AJ87" s="162"/>
      <c r="AK87" s="162"/>
      <c r="AL87" s="162"/>
      <c r="AM87" s="162"/>
      <c r="AN87" s="162"/>
      <c r="AO87" s="162"/>
      <c r="AP87" s="162"/>
      <c r="AQ87" s="162"/>
      <c r="AR87" s="162"/>
      <c r="AS87" s="162"/>
      <c r="AT87" s="162"/>
      <c r="AU87" s="162"/>
      <c r="AV87" s="116"/>
      <c r="AW87" s="116"/>
      <c r="AX87" s="116"/>
      <c r="AY87" s="116"/>
    </row>
    <row r="88" spans="1:51" s="115" customFormat="1" ht="90" x14ac:dyDescent="0.2">
      <c r="A88" s="105">
        <v>67</v>
      </c>
      <c r="B88" s="162" t="s">
        <v>508</v>
      </c>
      <c r="C88" s="162" t="s">
        <v>82</v>
      </c>
      <c r="D88" s="160">
        <v>2014</v>
      </c>
      <c r="E88" s="162" t="s">
        <v>63</v>
      </c>
      <c r="F88" s="162" t="s">
        <v>509</v>
      </c>
      <c r="G88" s="162" t="s">
        <v>573</v>
      </c>
      <c r="H88" s="162" t="s">
        <v>103</v>
      </c>
      <c r="I88" s="162" t="s">
        <v>574</v>
      </c>
      <c r="J88" s="162" t="s">
        <v>446</v>
      </c>
      <c r="K88" s="162" t="s">
        <v>575</v>
      </c>
      <c r="L88" s="162" t="s">
        <v>441</v>
      </c>
      <c r="M88" s="162"/>
      <c r="N88" s="162" t="s">
        <v>361</v>
      </c>
      <c r="O88" s="161" t="s">
        <v>18</v>
      </c>
      <c r="P88" s="161" t="s">
        <v>18</v>
      </c>
      <c r="Q88" s="162" t="s">
        <v>1956</v>
      </c>
      <c r="R88" s="112"/>
      <c r="S88" s="162"/>
      <c r="T88" s="162"/>
      <c r="U88" s="162"/>
      <c r="V88" s="162"/>
      <c r="W88" s="162"/>
      <c r="X88" s="162"/>
      <c r="Y88" s="162"/>
      <c r="Z88" s="162"/>
      <c r="AA88" s="162"/>
      <c r="AB88" s="162"/>
      <c r="AC88" s="162"/>
      <c r="AD88" s="162"/>
      <c r="AE88" s="162"/>
      <c r="AF88" s="162"/>
      <c r="AG88" s="162"/>
      <c r="AH88" s="162"/>
      <c r="AI88" s="162"/>
      <c r="AJ88" s="162"/>
      <c r="AK88" s="162"/>
      <c r="AL88" s="162"/>
      <c r="AM88" s="162"/>
      <c r="AN88" s="162"/>
      <c r="AO88" s="162"/>
      <c r="AP88" s="162"/>
      <c r="AQ88" s="162"/>
      <c r="AR88" s="162"/>
      <c r="AS88" s="162"/>
      <c r="AT88" s="162"/>
      <c r="AU88" s="162"/>
      <c r="AV88" s="116"/>
      <c r="AW88" s="116"/>
      <c r="AX88" s="116"/>
      <c r="AY88" s="116"/>
    </row>
    <row r="89" spans="1:51" s="115" customFormat="1" ht="180" x14ac:dyDescent="0.2">
      <c r="A89" s="105">
        <v>68</v>
      </c>
      <c r="B89" s="162" t="s">
        <v>512</v>
      </c>
      <c r="C89" s="162" t="s">
        <v>581</v>
      </c>
      <c r="D89" s="160">
        <v>2013</v>
      </c>
      <c r="E89" s="162" t="s">
        <v>63</v>
      </c>
      <c r="F89" s="162" t="s">
        <v>513</v>
      </c>
      <c r="G89" s="162" t="s">
        <v>582</v>
      </c>
      <c r="H89" s="162" t="s">
        <v>100</v>
      </c>
      <c r="I89" s="162" t="s">
        <v>275</v>
      </c>
      <c r="J89" s="162" t="s">
        <v>88</v>
      </c>
      <c r="K89" s="162" t="s">
        <v>583</v>
      </c>
      <c r="L89" s="162" t="s">
        <v>91</v>
      </c>
      <c r="M89" s="162" t="s">
        <v>443</v>
      </c>
      <c r="N89" s="159" t="s">
        <v>584</v>
      </c>
      <c r="O89" s="162" t="s">
        <v>1981</v>
      </c>
      <c r="P89" s="162" t="s">
        <v>317</v>
      </c>
      <c r="Q89" s="162" t="s">
        <v>1980</v>
      </c>
      <c r="R89" s="162" t="s">
        <v>1985</v>
      </c>
      <c r="S89" s="105">
        <f>3.32*10^-5</f>
        <v>3.3200000000000001E-5</v>
      </c>
      <c r="T89" s="105">
        <f>4.94*10^-6</f>
        <v>4.9400000000000001E-6</v>
      </c>
      <c r="U89" s="105">
        <f>5.26*10^-3</f>
        <v>5.2599999999999999E-3</v>
      </c>
      <c r="V89" s="105">
        <f>3.35*10^-9</f>
        <v>3.3500000000000002E-9</v>
      </c>
      <c r="W89" s="105">
        <f>1.93*10^-6</f>
        <v>1.9299999999999997E-6</v>
      </c>
      <c r="X89" s="105"/>
      <c r="Y89" s="105"/>
      <c r="Z89" s="105"/>
      <c r="AA89" s="105">
        <f>2.02*10^-4</f>
        <v>2.02E-4</v>
      </c>
      <c r="AB89" s="162">
        <f>1.58*10^-3</f>
        <v>1.58E-3</v>
      </c>
      <c r="AC89" s="162"/>
      <c r="AD89" s="162"/>
      <c r="AE89" s="162"/>
      <c r="AF89" s="162"/>
      <c r="AG89" s="162">
        <f>1.76*10^-4</f>
        <v>1.7600000000000002E-4</v>
      </c>
      <c r="AH89" s="162">
        <f>1.93</f>
        <v>1.93</v>
      </c>
      <c r="AI89" s="162">
        <f>1.68*10^-5</f>
        <v>1.6800000000000002E-5</v>
      </c>
      <c r="AJ89" s="162"/>
      <c r="AK89" s="162"/>
      <c r="AL89" s="162"/>
      <c r="AM89" s="162"/>
      <c r="AN89" s="162"/>
      <c r="AO89" s="162"/>
      <c r="AP89" s="162"/>
      <c r="AQ89" s="162"/>
      <c r="AR89" s="162"/>
      <c r="AS89" s="162"/>
      <c r="AT89" s="162"/>
      <c r="AU89" s="162"/>
      <c r="AV89" s="116"/>
      <c r="AW89" s="116"/>
      <c r="AX89" s="116"/>
      <c r="AY89" s="116"/>
    </row>
    <row r="90" spans="1:51" s="115" customFormat="1" ht="150" x14ac:dyDescent="0.2">
      <c r="A90" s="105">
        <v>69</v>
      </c>
      <c r="B90" s="162" t="s">
        <v>1597</v>
      </c>
      <c r="C90" s="105" t="s">
        <v>135</v>
      </c>
      <c r="D90" s="160">
        <v>2016</v>
      </c>
      <c r="E90" s="162" t="s">
        <v>63</v>
      </c>
      <c r="F90" s="162" t="s">
        <v>1631</v>
      </c>
      <c r="G90" s="162" t="s">
        <v>1662</v>
      </c>
      <c r="H90" s="162" t="s">
        <v>1095</v>
      </c>
      <c r="I90" s="162" t="s">
        <v>281</v>
      </c>
      <c r="J90" s="162" t="s">
        <v>444</v>
      </c>
      <c r="K90" s="162" t="s">
        <v>1664</v>
      </c>
      <c r="L90" s="162" t="s">
        <v>91</v>
      </c>
      <c r="M90" s="162" t="s">
        <v>923</v>
      </c>
      <c r="N90" s="162" t="s">
        <v>1665</v>
      </c>
      <c r="O90" s="159" t="s">
        <v>1666</v>
      </c>
      <c r="P90" s="162" t="s">
        <v>1663</v>
      </c>
      <c r="Q90" s="112"/>
      <c r="R90" s="112"/>
      <c r="S90" s="162"/>
      <c r="T90" s="162"/>
      <c r="U90" s="162"/>
      <c r="V90" s="162"/>
      <c r="W90" s="162"/>
      <c r="X90" s="162"/>
      <c r="Y90" s="162"/>
      <c r="Z90" s="162"/>
      <c r="AA90" s="162"/>
      <c r="AB90" s="162"/>
      <c r="AC90" s="162"/>
      <c r="AD90" s="162"/>
      <c r="AE90" s="162"/>
      <c r="AF90" s="162"/>
      <c r="AG90" s="162"/>
      <c r="AH90" s="162"/>
      <c r="AI90" s="162"/>
      <c r="AJ90" s="162"/>
      <c r="AK90" s="162"/>
      <c r="AL90" s="162"/>
      <c r="AM90" s="162"/>
      <c r="AN90" s="162"/>
      <c r="AO90" s="162"/>
      <c r="AP90" s="162"/>
      <c r="AQ90" s="162"/>
      <c r="AR90" s="162"/>
      <c r="AS90" s="162"/>
      <c r="AT90" s="162"/>
      <c r="AU90" s="162"/>
      <c r="AV90" s="116"/>
      <c r="AW90" s="116"/>
      <c r="AX90" s="116"/>
      <c r="AY90" s="116"/>
    </row>
    <row r="91" spans="1:51" s="115" customFormat="1" ht="75" customHeight="1" x14ac:dyDescent="0.2">
      <c r="A91" s="220">
        <v>70</v>
      </c>
      <c r="B91" s="214" t="s">
        <v>1939</v>
      </c>
      <c r="C91" s="214" t="s">
        <v>156</v>
      </c>
      <c r="D91" s="218">
        <v>2013</v>
      </c>
      <c r="E91" s="214" t="s">
        <v>63</v>
      </c>
      <c r="F91" s="214" t="s">
        <v>1940</v>
      </c>
      <c r="G91" s="214" t="s">
        <v>1957</v>
      </c>
      <c r="H91" s="159" t="s">
        <v>98</v>
      </c>
      <c r="I91" s="159" t="s">
        <v>1959</v>
      </c>
      <c r="J91" s="159" t="s">
        <v>446</v>
      </c>
      <c r="K91" s="159" t="s">
        <v>1960</v>
      </c>
      <c r="L91" s="214" t="s">
        <v>441</v>
      </c>
      <c r="M91" s="214"/>
      <c r="N91" s="222" t="s">
        <v>1962</v>
      </c>
      <c r="O91" s="214" t="s">
        <v>1963</v>
      </c>
      <c r="P91" s="214" t="s">
        <v>1958</v>
      </c>
      <c r="Q91" s="112"/>
      <c r="R91" s="112"/>
      <c r="S91" s="162"/>
      <c r="T91" s="162"/>
      <c r="U91" s="162"/>
      <c r="V91" s="162"/>
      <c r="W91" s="162"/>
      <c r="X91" s="162"/>
      <c r="Y91" s="162"/>
      <c r="Z91" s="162"/>
      <c r="AA91" s="162"/>
      <c r="AB91" s="162"/>
      <c r="AC91" s="162"/>
      <c r="AD91" s="162"/>
      <c r="AE91" s="162"/>
      <c r="AF91" s="162"/>
      <c r="AG91" s="162"/>
      <c r="AH91" s="162"/>
      <c r="AI91" s="162"/>
      <c r="AJ91" s="162"/>
      <c r="AK91" s="162"/>
      <c r="AL91" s="162"/>
      <c r="AM91" s="162"/>
      <c r="AN91" s="162"/>
      <c r="AO91" s="162"/>
      <c r="AP91" s="162"/>
      <c r="AQ91" s="162"/>
      <c r="AR91" s="162"/>
      <c r="AS91" s="162"/>
      <c r="AT91" s="162"/>
      <c r="AU91" s="162"/>
      <c r="AV91" s="116"/>
      <c r="AW91" s="116"/>
      <c r="AX91" s="116"/>
      <c r="AY91" s="116"/>
    </row>
    <row r="92" spans="1:51" s="115" customFormat="1" ht="75" customHeight="1" x14ac:dyDescent="0.2">
      <c r="A92" s="220"/>
      <c r="B92" s="214"/>
      <c r="C92" s="214"/>
      <c r="D92" s="218"/>
      <c r="E92" s="214"/>
      <c r="F92" s="214"/>
      <c r="G92" s="214"/>
      <c r="H92" s="162" t="s">
        <v>100</v>
      </c>
      <c r="I92" s="116" t="s">
        <v>275</v>
      </c>
      <c r="J92" s="162" t="s">
        <v>444</v>
      </c>
      <c r="K92" s="116" t="s">
        <v>1961</v>
      </c>
      <c r="L92" s="214"/>
      <c r="M92" s="214"/>
      <c r="N92" s="222"/>
      <c r="O92" s="214"/>
      <c r="P92" s="214"/>
      <c r="Q92" s="112"/>
      <c r="R92" s="112"/>
      <c r="S92" s="162"/>
      <c r="T92" s="162"/>
      <c r="U92" s="162"/>
      <c r="V92" s="162"/>
      <c r="W92" s="162"/>
      <c r="X92" s="162"/>
      <c r="Y92" s="162"/>
      <c r="Z92" s="162"/>
      <c r="AA92" s="162"/>
      <c r="AB92" s="162"/>
      <c r="AC92" s="162"/>
      <c r="AD92" s="162"/>
      <c r="AE92" s="162"/>
      <c r="AF92" s="162"/>
      <c r="AG92" s="162"/>
      <c r="AH92" s="162"/>
      <c r="AI92" s="162"/>
      <c r="AJ92" s="162"/>
      <c r="AK92" s="162"/>
      <c r="AL92" s="162"/>
      <c r="AM92" s="162"/>
      <c r="AN92" s="162"/>
      <c r="AO92" s="162"/>
      <c r="AP92" s="162"/>
      <c r="AQ92" s="162"/>
      <c r="AR92" s="162"/>
      <c r="AS92" s="162"/>
      <c r="AT92" s="162"/>
      <c r="AU92" s="162"/>
      <c r="AV92" s="116"/>
      <c r="AW92" s="116"/>
      <c r="AX92" s="116"/>
      <c r="AY92" s="116"/>
    </row>
    <row r="93" spans="1:51" s="115" customFormat="1" ht="105" x14ac:dyDescent="0.2">
      <c r="A93" s="105">
        <v>71</v>
      </c>
      <c r="B93" s="162" t="s">
        <v>1599</v>
      </c>
      <c r="C93" s="162" t="s">
        <v>121</v>
      </c>
      <c r="D93" s="160">
        <v>2008</v>
      </c>
      <c r="E93" s="162" t="s">
        <v>531</v>
      </c>
      <c r="F93" s="162" t="s">
        <v>1634</v>
      </c>
      <c r="G93" s="162" t="s">
        <v>1671</v>
      </c>
      <c r="H93" s="162" t="s">
        <v>103</v>
      </c>
      <c r="I93" s="162" t="s">
        <v>110</v>
      </c>
      <c r="J93" s="162" t="s">
        <v>446</v>
      </c>
      <c r="K93" s="162" t="s">
        <v>1673</v>
      </c>
      <c r="L93" s="162" t="s">
        <v>441</v>
      </c>
      <c r="M93" s="162"/>
      <c r="N93" s="162" t="s">
        <v>1672</v>
      </c>
      <c r="O93" s="159" t="s">
        <v>1196</v>
      </c>
      <c r="P93" s="161" t="s">
        <v>18</v>
      </c>
      <c r="Q93" s="162"/>
      <c r="R93" s="11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16"/>
      <c r="AW93" s="116"/>
      <c r="AX93" s="116"/>
      <c r="AY93" s="116"/>
    </row>
    <row r="94" spans="1:51" s="115" customFormat="1" ht="60" x14ac:dyDescent="0.2">
      <c r="A94" s="105">
        <v>72</v>
      </c>
      <c r="B94" s="162" t="s">
        <v>849</v>
      </c>
      <c r="C94" s="105" t="s">
        <v>581</v>
      </c>
      <c r="D94" s="160">
        <v>2013</v>
      </c>
      <c r="E94" s="162" t="s">
        <v>63</v>
      </c>
      <c r="F94" s="162" t="s">
        <v>848</v>
      </c>
      <c r="G94" s="162" t="s">
        <v>917</v>
      </c>
      <c r="H94" s="162" t="s">
        <v>1095</v>
      </c>
      <c r="I94" s="162" t="s">
        <v>281</v>
      </c>
      <c r="J94" s="162" t="s">
        <v>90</v>
      </c>
      <c r="K94" s="162" t="s">
        <v>919</v>
      </c>
      <c r="L94" s="162" t="s">
        <v>91</v>
      </c>
      <c r="M94" s="162" t="s">
        <v>94</v>
      </c>
      <c r="N94" s="162" t="s">
        <v>920</v>
      </c>
      <c r="O94" s="162" t="s">
        <v>918</v>
      </c>
      <c r="P94" s="162" t="s">
        <v>921</v>
      </c>
      <c r="Q94" s="162"/>
      <c r="R94" s="11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2"/>
      <c r="AV94" s="116"/>
      <c r="AW94" s="116"/>
      <c r="AX94" s="116"/>
      <c r="AY94" s="116"/>
    </row>
    <row r="95" spans="1:51" s="115" customFormat="1" ht="225" x14ac:dyDescent="0.2">
      <c r="A95" s="105">
        <v>73</v>
      </c>
      <c r="B95" s="162" t="s">
        <v>518</v>
      </c>
      <c r="C95" s="162" t="s">
        <v>138</v>
      </c>
      <c r="D95" s="160">
        <v>2015</v>
      </c>
      <c r="E95" s="162" t="s">
        <v>63</v>
      </c>
      <c r="F95" s="162" t="s">
        <v>519</v>
      </c>
      <c r="G95" s="162" t="s">
        <v>593</v>
      </c>
      <c r="H95" s="162" t="s">
        <v>443</v>
      </c>
      <c r="I95" s="162" t="s">
        <v>648</v>
      </c>
      <c r="J95" s="162" t="s">
        <v>444</v>
      </c>
      <c r="K95" s="162" t="s">
        <v>594</v>
      </c>
      <c r="L95" s="162" t="s">
        <v>441</v>
      </c>
      <c r="M95" s="162"/>
      <c r="N95" s="162" t="s">
        <v>595</v>
      </c>
      <c r="O95" s="161" t="s">
        <v>18</v>
      </c>
      <c r="P95" s="162" t="s">
        <v>596</v>
      </c>
      <c r="Q95" s="112"/>
      <c r="R95" s="11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16"/>
      <c r="AW95" s="116"/>
      <c r="AX95" s="116"/>
      <c r="AY95" s="116"/>
    </row>
    <row r="96" spans="1:51" s="115" customFormat="1" ht="135" x14ac:dyDescent="0.2">
      <c r="A96" s="105">
        <v>74</v>
      </c>
      <c r="B96" s="162" t="s">
        <v>1941</v>
      </c>
      <c r="C96" s="162" t="s">
        <v>769</v>
      </c>
      <c r="D96" s="160">
        <v>2007</v>
      </c>
      <c r="E96" s="162" t="s">
        <v>63</v>
      </c>
      <c r="F96" s="162" t="s">
        <v>1942</v>
      </c>
      <c r="G96" s="162" t="s">
        <v>1964</v>
      </c>
      <c r="H96" s="162" t="s">
        <v>102</v>
      </c>
      <c r="I96" s="162" t="s">
        <v>341</v>
      </c>
      <c r="J96" s="162" t="s">
        <v>441</v>
      </c>
      <c r="K96" s="162" t="s">
        <v>1965</v>
      </c>
      <c r="L96" s="162" t="s">
        <v>441</v>
      </c>
      <c r="M96" s="162"/>
      <c r="N96" s="162" t="s">
        <v>1966</v>
      </c>
      <c r="O96" s="159" t="s">
        <v>1968</v>
      </c>
      <c r="P96" s="162" t="s">
        <v>1967</v>
      </c>
      <c r="Q96" s="112"/>
      <c r="R96" s="11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2"/>
      <c r="AV96" s="116"/>
      <c r="AW96" s="116"/>
      <c r="AX96" s="116"/>
      <c r="AY96" s="116"/>
    </row>
    <row r="97" spans="1:51" s="115" customFormat="1" ht="105" x14ac:dyDescent="0.2">
      <c r="A97" s="105">
        <v>75</v>
      </c>
      <c r="B97" s="162" t="s">
        <v>520</v>
      </c>
      <c r="C97" s="162" t="s">
        <v>82</v>
      </c>
      <c r="D97" s="160">
        <v>2014</v>
      </c>
      <c r="E97" s="162" t="s">
        <v>521</v>
      </c>
      <c r="F97" s="162" t="s">
        <v>522</v>
      </c>
      <c r="G97" s="162" t="s">
        <v>597</v>
      </c>
      <c r="H97" s="162" t="s">
        <v>1292</v>
      </c>
      <c r="I97" s="162" t="s">
        <v>599</v>
      </c>
      <c r="J97" s="162" t="s">
        <v>88</v>
      </c>
      <c r="K97" s="162" t="s">
        <v>598</v>
      </c>
      <c r="L97" s="162" t="s">
        <v>92</v>
      </c>
      <c r="M97" s="162" t="s">
        <v>442</v>
      </c>
      <c r="N97" s="162" t="s">
        <v>600</v>
      </c>
      <c r="O97" s="162" t="s">
        <v>456</v>
      </c>
      <c r="P97" s="162" t="s">
        <v>601</v>
      </c>
      <c r="Q97" s="112"/>
      <c r="R97" s="112"/>
      <c r="S97" s="162"/>
      <c r="T97" s="162"/>
      <c r="U97" s="162"/>
      <c r="V97" s="162"/>
      <c r="W97" s="162"/>
      <c r="X97" s="162"/>
      <c r="Y97" s="162"/>
      <c r="Z97" s="162"/>
      <c r="AA97" s="162"/>
      <c r="AB97" s="162"/>
      <c r="AC97" s="162"/>
      <c r="AD97" s="162"/>
      <c r="AE97" s="162"/>
      <c r="AF97" s="162"/>
      <c r="AG97" s="162"/>
      <c r="AH97" s="162"/>
      <c r="AI97" s="162"/>
      <c r="AJ97" s="162"/>
      <c r="AK97" s="162"/>
      <c r="AL97" s="162"/>
      <c r="AM97" s="162"/>
      <c r="AN97" s="162"/>
      <c r="AO97" s="162"/>
      <c r="AP97" s="162"/>
      <c r="AQ97" s="162"/>
      <c r="AR97" s="162"/>
      <c r="AS97" s="162"/>
      <c r="AT97" s="162"/>
      <c r="AU97" s="162"/>
      <c r="AV97" s="116"/>
      <c r="AW97" s="116"/>
      <c r="AX97" s="116"/>
      <c r="AY97" s="116"/>
    </row>
    <row r="98" spans="1:51" s="115" customFormat="1" ht="105" x14ac:dyDescent="0.2">
      <c r="A98" s="105">
        <v>76</v>
      </c>
      <c r="B98" s="162" t="s">
        <v>530</v>
      </c>
      <c r="C98" s="162" t="s">
        <v>616</v>
      </c>
      <c r="D98" s="160">
        <v>2016</v>
      </c>
      <c r="E98" s="162" t="s">
        <v>531</v>
      </c>
      <c r="F98" s="162" t="s">
        <v>532</v>
      </c>
      <c r="G98" s="162" t="s">
        <v>617</v>
      </c>
      <c r="H98" s="162" t="s">
        <v>100</v>
      </c>
      <c r="I98" s="162" t="s">
        <v>275</v>
      </c>
      <c r="J98" s="162" t="s">
        <v>90</v>
      </c>
      <c r="K98" s="162" t="s">
        <v>619</v>
      </c>
      <c r="L98" s="162" t="s">
        <v>91</v>
      </c>
      <c r="M98" s="162" t="s">
        <v>443</v>
      </c>
      <c r="N98" s="162" t="s">
        <v>620</v>
      </c>
      <c r="O98" s="162" t="s">
        <v>274</v>
      </c>
      <c r="P98" s="162" t="s">
        <v>618</v>
      </c>
      <c r="Q98" s="162"/>
      <c r="R98" s="112"/>
      <c r="S98" s="162"/>
      <c r="T98" s="162"/>
      <c r="U98" s="162"/>
      <c r="V98" s="162"/>
      <c r="W98" s="162"/>
      <c r="X98" s="162"/>
      <c r="Y98" s="162"/>
      <c r="Z98" s="162"/>
      <c r="AA98" s="162"/>
      <c r="AB98" s="162"/>
      <c r="AC98" s="162"/>
      <c r="AD98" s="162"/>
      <c r="AE98" s="162"/>
      <c r="AF98" s="162"/>
      <c r="AG98" s="162"/>
      <c r="AH98" s="162"/>
      <c r="AI98" s="162"/>
      <c r="AJ98" s="162"/>
      <c r="AK98" s="162"/>
      <c r="AL98" s="162"/>
      <c r="AM98" s="162"/>
      <c r="AN98" s="162"/>
      <c r="AO98" s="162"/>
      <c r="AP98" s="162"/>
      <c r="AQ98" s="162"/>
      <c r="AR98" s="162"/>
      <c r="AS98" s="162"/>
      <c r="AT98" s="162"/>
      <c r="AU98" s="162"/>
      <c r="AV98" s="116"/>
      <c r="AW98" s="116"/>
      <c r="AX98" s="116"/>
      <c r="AY98" s="116"/>
    </row>
    <row r="99" spans="1:51" s="115" customFormat="1" ht="105" x14ac:dyDescent="0.2">
      <c r="A99" s="105">
        <v>77</v>
      </c>
      <c r="B99" s="162" t="s">
        <v>1943</v>
      </c>
      <c r="C99" s="105" t="s">
        <v>130</v>
      </c>
      <c r="D99" s="160">
        <v>2016</v>
      </c>
      <c r="E99" s="162" t="s">
        <v>63</v>
      </c>
      <c r="F99" s="162" t="s">
        <v>1944</v>
      </c>
      <c r="G99" s="162" t="s">
        <v>1969</v>
      </c>
      <c r="H99" s="162" t="s">
        <v>102</v>
      </c>
      <c r="I99" s="162" t="s">
        <v>1971</v>
      </c>
      <c r="J99" s="162" t="s">
        <v>90</v>
      </c>
      <c r="K99" s="162" t="s">
        <v>1970</v>
      </c>
      <c r="L99" s="162" t="s">
        <v>650</v>
      </c>
      <c r="M99" s="162"/>
      <c r="N99" s="162" t="s">
        <v>1973</v>
      </c>
      <c r="O99" s="161" t="s">
        <v>18</v>
      </c>
      <c r="P99" s="162" t="s">
        <v>1972</v>
      </c>
      <c r="Q99" s="112"/>
      <c r="R99" s="112"/>
      <c r="S99" s="162"/>
      <c r="T99" s="162"/>
      <c r="U99" s="162"/>
      <c r="V99" s="162"/>
      <c r="W99" s="162"/>
      <c r="X99" s="162"/>
      <c r="Y99" s="162"/>
      <c r="Z99" s="162"/>
      <c r="AA99" s="162"/>
      <c r="AB99" s="162"/>
      <c r="AC99" s="162"/>
      <c r="AD99" s="162"/>
      <c r="AE99" s="162"/>
      <c r="AF99" s="162"/>
      <c r="AG99" s="162"/>
      <c r="AH99" s="162"/>
      <c r="AI99" s="162"/>
      <c r="AJ99" s="162"/>
      <c r="AK99" s="162"/>
      <c r="AL99" s="162"/>
      <c r="AM99" s="162"/>
      <c r="AN99" s="162"/>
      <c r="AO99" s="162"/>
      <c r="AP99" s="162"/>
      <c r="AQ99" s="162"/>
      <c r="AR99" s="162"/>
      <c r="AS99" s="162"/>
      <c r="AT99" s="162"/>
      <c r="AU99" s="162"/>
      <c r="AV99" s="116"/>
      <c r="AW99" s="116"/>
      <c r="AX99" s="116"/>
      <c r="AY99" s="116"/>
    </row>
    <row r="100" spans="1:51" s="115" customFormat="1" ht="120" x14ac:dyDescent="0.2">
      <c r="A100" s="105">
        <v>78</v>
      </c>
      <c r="B100" s="162" t="s">
        <v>535</v>
      </c>
      <c r="C100" s="162" t="s">
        <v>126</v>
      </c>
      <c r="D100" s="160">
        <v>2010</v>
      </c>
      <c r="E100" s="162" t="s">
        <v>63</v>
      </c>
      <c r="F100" s="162" t="s">
        <v>536</v>
      </c>
      <c r="G100" s="162" t="s">
        <v>625</v>
      </c>
      <c r="H100" s="162" t="s">
        <v>100</v>
      </c>
      <c r="I100" s="162" t="s">
        <v>275</v>
      </c>
      <c r="J100" s="162" t="s">
        <v>444</v>
      </c>
      <c r="K100" s="162" t="s">
        <v>626</v>
      </c>
      <c r="L100" s="162" t="s">
        <v>441</v>
      </c>
      <c r="M100" s="162"/>
      <c r="N100" s="162" t="s">
        <v>628</v>
      </c>
      <c r="O100" s="162" t="s">
        <v>624</v>
      </c>
      <c r="P100" s="162" t="s">
        <v>627</v>
      </c>
      <c r="Q100" s="162" t="s">
        <v>1974</v>
      </c>
      <c r="R100" s="112"/>
      <c r="S100" s="162"/>
      <c r="T100" s="162"/>
      <c r="U100" s="162"/>
      <c r="V100" s="162"/>
      <c r="W100" s="162"/>
      <c r="X100" s="162"/>
      <c r="Y100" s="162"/>
      <c r="Z100" s="162"/>
      <c r="AA100" s="162"/>
      <c r="AB100" s="162"/>
      <c r="AC100" s="162"/>
      <c r="AD100" s="162"/>
      <c r="AE100" s="162"/>
      <c r="AF100" s="162"/>
      <c r="AG100" s="162"/>
      <c r="AH100" s="162"/>
      <c r="AI100" s="162"/>
      <c r="AJ100" s="162"/>
      <c r="AK100" s="162"/>
      <c r="AL100" s="162"/>
      <c r="AM100" s="162"/>
      <c r="AN100" s="162"/>
      <c r="AO100" s="162"/>
      <c r="AP100" s="162"/>
      <c r="AQ100" s="162"/>
      <c r="AR100" s="162"/>
      <c r="AS100" s="162"/>
      <c r="AT100" s="162"/>
      <c r="AU100" s="162"/>
      <c r="AV100" s="116"/>
      <c r="AW100" s="116"/>
      <c r="AX100" s="116"/>
      <c r="AY100" s="116"/>
    </row>
    <row r="101" spans="1:51" s="115" customFormat="1" ht="75" x14ac:dyDescent="0.2">
      <c r="A101" s="105">
        <v>79</v>
      </c>
      <c r="B101" s="162" t="s">
        <v>540</v>
      </c>
      <c r="C101" s="162" t="s">
        <v>156</v>
      </c>
      <c r="D101" s="160">
        <v>2016</v>
      </c>
      <c r="E101" s="162" t="s">
        <v>63</v>
      </c>
      <c r="F101" s="162" t="s">
        <v>541</v>
      </c>
      <c r="G101" s="162" t="s">
        <v>634</v>
      </c>
      <c r="H101" s="162" t="s">
        <v>100</v>
      </c>
      <c r="I101" s="162" t="s">
        <v>275</v>
      </c>
      <c r="J101" s="162" t="s">
        <v>90</v>
      </c>
      <c r="K101" s="162" t="s">
        <v>636</v>
      </c>
      <c r="L101" s="162" t="s">
        <v>91</v>
      </c>
      <c r="M101" s="162" t="s">
        <v>95</v>
      </c>
      <c r="N101" s="162" t="s">
        <v>637</v>
      </c>
      <c r="O101" s="162" t="s">
        <v>568</v>
      </c>
      <c r="P101" s="162" t="s">
        <v>635</v>
      </c>
      <c r="Q101" s="112"/>
      <c r="R101" s="112"/>
      <c r="S101" s="162"/>
      <c r="T101" s="162"/>
      <c r="U101" s="162"/>
      <c r="V101" s="162"/>
      <c r="W101" s="162"/>
      <c r="X101" s="162"/>
      <c r="Y101" s="162"/>
      <c r="Z101" s="162"/>
      <c r="AA101" s="162"/>
      <c r="AB101" s="162"/>
      <c r="AC101" s="162"/>
      <c r="AD101" s="162"/>
      <c r="AE101" s="162"/>
      <c r="AF101" s="162"/>
      <c r="AG101" s="162"/>
      <c r="AH101" s="162"/>
      <c r="AI101" s="162"/>
      <c r="AJ101" s="162"/>
      <c r="AK101" s="162"/>
      <c r="AL101" s="162"/>
      <c r="AM101" s="162"/>
      <c r="AN101" s="162"/>
      <c r="AO101" s="162"/>
      <c r="AP101" s="162"/>
      <c r="AQ101" s="162"/>
      <c r="AR101" s="162"/>
      <c r="AS101" s="162"/>
      <c r="AT101" s="162"/>
      <c r="AU101" s="162"/>
      <c r="AV101" s="116"/>
      <c r="AW101" s="116"/>
      <c r="AX101" s="116"/>
      <c r="AY101" s="116"/>
    </row>
    <row r="102" spans="1:51" s="115" customFormat="1" ht="135" x14ac:dyDescent="0.2">
      <c r="A102" s="105">
        <v>80</v>
      </c>
      <c r="B102" s="162" t="s">
        <v>1648</v>
      </c>
      <c r="C102" s="105" t="s">
        <v>147</v>
      </c>
      <c r="D102" s="160">
        <v>2013</v>
      </c>
      <c r="E102" s="162" t="s">
        <v>63</v>
      </c>
      <c r="F102" s="162" t="s">
        <v>1647</v>
      </c>
      <c r="G102" s="162" t="s">
        <v>1695</v>
      </c>
      <c r="H102" s="162" t="s">
        <v>103</v>
      </c>
      <c r="I102" s="162" t="s">
        <v>110</v>
      </c>
      <c r="J102" s="162" t="s">
        <v>446</v>
      </c>
      <c r="K102" s="162" t="s">
        <v>1696</v>
      </c>
      <c r="L102" s="162" t="s">
        <v>91</v>
      </c>
      <c r="M102" s="162" t="s">
        <v>448</v>
      </c>
      <c r="N102" s="162" t="s">
        <v>1697</v>
      </c>
      <c r="O102" s="161" t="s">
        <v>18</v>
      </c>
      <c r="P102" s="161" t="s">
        <v>18</v>
      </c>
      <c r="Q102" s="112"/>
      <c r="R102" s="112"/>
      <c r="S102" s="162"/>
      <c r="T102" s="162"/>
      <c r="U102" s="162"/>
      <c r="V102" s="162"/>
      <c r="W102" s="162"/>
      <c r="X102" s="162"/>
      <c r="Y102" s="162"/>
      <c r="Z102" s="162"/>
      <c r="AA102" s="162"/>
      <c r="AB102" s="162"/>
      <c r="AC102" s="162"/>
      <c r="AD102" s="162"/>
      <c r="AE102" s="162"/>
      <c r="AF102" s="162"/>
      <c r="AG102" s="162"/>
      <c r="AH102" s="162"/>
      <c r="AI102" s="162"/>
      <c r="AJ102" s="162"/>
      <c r="AK102" s="162"/>
      <c r="AL102" s="162"/>
      <c r="AM102" s="162"/>
      <c r="AN102" s="162"/>
      <c r="AO102" s="162"/>
      <c r="AP102" s="162"/>
      <c r="AQ102" s="162"/>
      <c r="AR102" s="162"/>
      <c r="AS102" s="162"/>
      <c r="AT102" s="162"/>
      <c r="AU102" s="162"/>
      <c r="AV102" s="116"/>
      <c r="AW102" s="116"/>
      <c r="AX102" s="116"/>
      <c r="AY102" s="116"/>
    </row>
    <row r="103" spans="1:51" s="115" customFormat="1" ht="90" x14ac:dyDescent="0.2">
      <c r="A103" s="105">
        <v>81</v>
      </c>
      <c r="B103" s="162" t="s">
        <v>1946</v>
      </c>
      <c r="C103" s="162" t="s">
        <v>138</v>
      </c>
      <c r="D103" s="160">
        <v>2015</v>
      </c>
      <c r="E103" s="162" t="s">
        <v>521</v>
      </c>
      <c r="F103" s="162" t="s">
        <v>1945</v>
      </c>
      <c r="G103" s="162" t="s">
        <v>1977</v>
      </c>
      <c r="H103" s="162" t="s">
        <v>1976</v>
      </c>
      <c r="I103" s="162" t="s">
        <v>1975</v>
      </c>
      <c r="J103" s="162" t="s">
        <v>444</v>
      </c>
      <c r="K103" s="162" t="s">
        <v>1979</v>
      </c>
      <c r="L103" s="162" t="s">
        <v>443</v>
      </c>
      <c r="M103" s="162"/>
      <c r="N103" s="162" t="s">
        <v>1978</v>
      </c>
      <c r="O103" s="161" t="s">
        <v>18</v>
      </c>
      <c r="P103" s="162" t="s">
        <v>1052</v>
      </c>
      <c r="Q103" s="112"/>
      <c r="R103" s="11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16"/>
      <c r="AW103" s="116"/>
      <c r="AX103" s="116"/>
      <c r="AY103" s="116"/>
    </row>
    <row r="104" spans="1:51" s="115" customFormat="1" ht="135" x14ac:dyDescent="0.2">
      <c r="A104" s="105">
        <v>82</v>
      </c>
      <c r="B104" s="162" t="s">
        <v>542</v>
      </c>
      <c r="C104" s="162" t="s">
        <v>135</v>
      </c>
      <c r="D104" s="160">
        <v>2014</v>
      </c>
      <c r="E104" s="162" t="s">
        <v>63</v>
      </c>
      <c r="F104" s="162" t="s">
        <v>543</v>
      </c>
      <c r="G104" s="162" t="s">
        <v>639</v>
      </c>
      <c r="H104" s="162" t="s">
        <v>1095</v>
      </c>
      <c r="I104" s="162" t="s">
        <v>638</v>
      </c>
      <c r="J104" s="162" t="s">
        <v>651</v>
      </c>
      <c r="K104" s="162" t="s">
        <v>642</v>
      </c>
      <c r="L104" s="162" t="s">
        <v>91</v>
      </c>
      <c r="M104" s="162" t="s">
        <v>443</v>
      </c>
      <c r="N104" s="162" t="s">
        <v>640</v>
      </c>
      <c r="O104" s="161" t="s">
        <v>18</v>
      </c>
      <c r="P104" s="162" t="s">
        <v>641</v>
      </c>
      <c r="Q104" s="162"/>
      <c r="R104" s="112"/>
      <c r="S104" s="162"/>
      <c r="T104" s="162"/>
      <c r="U104" s="162"/>
      <c r="V104" s="162"/>
      <c r="W104" s="162"/>
      <c r="X104" s="162"/>
      <c r="Y104" s="162"/>
      <c r="Z104" s="162"/>
      <c r="AA104" s="162"/>
      <c r="AB104" s="162"/>
      <c r="AC104" s="162"/>
      <c r="AD104" s="162"/>
      <c r="AE104" s="162"/>
      <c r="AF104" s="162"/>
      <c r="AG104" s="162"/>
      <c r="AH104" s="162"/>
      <c r="AI104" s="162"/>
      <c r="AJ104" s="162"/>
      <c r="AK104" s="162"/>
      <c r="AL104" s="162"/>
      <c r="AM104" s="162"/>
      <c r="AN104" s="162"/>
      <c r="AO104" s="162"/>
      <c r="AP104" s="162"/>
      <c r="AQ104" s="162"/>
      <c r="AR104" s="162"/>
      <c r="AS104" s="162"/>
      <c r="AT104" s="162"/>
      <c r="AU104" s="162"/>
      <c r="AV104" s="116"/>
      <c r="AW104" s="116"/>
      <c r="AX104" s="116"/>
      <c r="AY104" s="116"/>
    </row>
    <row r="105" spans="1:51" s="115" customFormat="1" ht="75" x14ac:dyDescent="0.2">
      <c r="A105" s="105">
        <v>83</v>
      </c>
      <c r="B105" s="162" t="s">
        <v>1948</v>
      </c>
      <c r="C105" s="162" t="s">
        <v>130</v>
      </c>
      <c r="D105" s="160">
        <v>2014</v>
      </c>
      <c r="E105" s="162" t="s">
        <v>63</v>
      </c>
      <c r="F105" s="162" t="s">
        <v>1947</v>
      </c>
      <c r="G105" s="162" t="s">
        <v>1987</v>
      </c>
      <c r="H105" s="162" t="s">
        <v>102</v>
      </c>
      <c r="I105" s="162" t="s">
        <v>110</v>
      </c>
      <c r="J105" s="162" t="s">
        <v>89</v>
      </c>
      <c r="K105" s="162" t="s">
        <v>1988</v>
      </c>
      <c r="L105" s="162" t="s">
        <v>441</v>
      </c>
      <c r="M105" s="162"/>
      <c r="N105" s="162" t="s">
        <v>1990</v>
      </c>
      <c r="O105" s="161" t="s">
        <v>18</v>
      </c>
      <c r="P105" s="162" t="s">
        <v>1989</v>
      </c>
      <c r="Q105" s="112"/>
      <c r="R105" s="112"/>
      <c r="S105" s="162"/>
      <c r="T105" s="162"/>
      <c r="U105" s="162"/>
      <c r="V105" s="162"/>
      <c r="W105" s="162"/>
      <c r="X105" s="162"/>
      <c r="Y105" s="162"/>
      <c r="Z105" s="162"/>
      <c r="AA105" s="162"/>
      <c r="AB105" s="162"/>
      <c r="AC105" s="162"/>
      <c r="AD105" s="162"/>
      <c r="AE105" s="162"/>
      <c r="AF105" s="162"/>
      <c r="AG105" s="162"/>
      <c r="AH105" s="162"/>
      <c r="AI105" s="162"/>
      <c r="AJ105" s="162"/>
      <c r="AK105" s="162"/>
      <c r="AL105" s="162"/>
      <c r="AM105" s="162"/>
      <c r="AN105" s="162"/>
      <c r="AO105" s="162"/>
      <c r="AP105" s="162"/>
      <c r="AQ105" s="162"/>
      <c r="AR105" s="162"/>
      <c r="AS105" s="162"/>
      <c r="AT105" s="162"/>
      <c r="AU105" s="162"/>
      <c r="AV105" s="116"/>
      <c r="AW105" s="116"/>
      <c r="AX105" s="116"/>
      <c r="AY105" s="116"/>
    </row>
    <row r="106" spans="1:51" s="115" customFormat="1" x14ac:dyDescent="0.2">
      <c r="A106" s="105"/>
      <c r="D106" s="136"/>
      <c r="G106" s="162"/>
      <c r="H106" s="112"/>
      <c r="I106" s="112"/>
      <c r="J106" s="112"/>
      <c r="K106" s="112"/>
      <c r="L106" s="112"/>
      <c r="M106" s="112"/>
      <c r="N106" s="112"/>
      <c r="O106" s="112"/>
      <c r="P106" s="112"/>
      <c r="Q106" s="112"/>
      <c r="R106" s="112"/>
      <c r="S106" s="112"/>
      <c r="T106" s="112"/>
      <c r="U106" s="112"/>
      <c r="V106" s="112"/>
      <c r="W106" s="112"/>
      <c r="X106" s="112"/>
      <c r="Y106" s="112"/>
      <c r="Z106" s="112"/>
      <c r="AA106" s="112"/>
      <c r="AB106" s="112"/>
      <c r="AC106" s="112"/>
      <c r="AD106" s="112"/>
      <c r="AE106" s="112"/>
      <c r="AF106" s="112"/>
      <c r="AG106" s="112"/>
      <c r="AH106" s="112"/>
      <c r="AI106" s="112"/>
      <c r="AJ106" s="112"/>
      <c r="AK106" s="112"/>
      <c r="AL106" s="112"/>
      <c r="AM106" s="112"/>
      <c r="AN106" s="112"/>
      <c r="AO106" s="112"/>
      <c r="AP106" s="112"/>
      <c r="AQ106" s="112"/>
      <c r="AR106" s="112"/>
      <c r="AS106" s="112"/>
      <c r="AT106" s="112"/>
      <c r="AU106" s="112"/>
    </row>
    <row r="107" spans="1:51" s="115" customFormat="1" x14ac:dyDescent="0.2">
      <c r="A107" s="105"/>
      <c r="D107" s="136"/>
      <c r="G107" s="16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112"/>
      <c r="AO107" s="112"/>
      <c r="AP107" s="112"/>
      <c r="AQ107" s="112"/>
      <c r="AR107" s="112"/>
      <c r="AS107" s="112"/>
      <c r="AT107" s="112"/>
      <c r="AU107" s="112"/>
    </row>
    <row r="108" spans="1:51" s="115" customFormat="1" x14ac:dyDescent="0.2">
      <c r="A108" s="105"/>
      <c r="D108" s="136"/>
      <c r="G108" s="162"/>
      <c r="H108" s="112"/>
      <c r="I108" s="112"/>
      <c r="J108" s="112"/>
      <c r="K108" s="112"/>
      <c r="L108" s="112"/>
      <c r="M108" s="112"/>
      <c r="N108" s="112"/>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c r="AJ108" s="112"/>
      <c r="AK108" s="112"/>
      <c r="AL108" s="112"/>
      <c r="AM108" s="112"/>
      <c r="AN108" s="112"/>
      <c r="AO108" s="112"/>
      <c r="AP108" s="112"/>
      <c r="AQ108" s="112"/>
      <c r="AR108" s="112"/>
      <c r="AS108" s="112"/>
      <c r="AT108" s="112"/>
      <c r="AU108" s="112"/>
    </row>
    <row r="109" spans="1:51" s="115" customFormat="1" x14ac:dyDescent="0.2">
      <c r="A109" s="105"/>
      <c r="D109" s="136"/>
      <c r="G109" s="162"/>
      <c r="H109" s="112"/>
      <c r="I109" s="112"/>
      <c r="J109" s="112"/>
      <c r="K109" s="112"/>
      <c r="L109" s="112"/>
      <c r="M109" s="112"/>
      <c r="N109" s="112"/>
      <c r="O109" s="112"/>
      <c r="P109" s="112"/>
      <c r="Q109" s="112"/>
      <c r="R109" s="112"/>
      <c r="S109" s="112"/>
      <c r="T109" s="112"/>
      <c r="U109" s="112"/>
      <c r="V109" s="112"/>
      <c r="W109" s="112"/>
      <c r="X109" s="112"/>
      <c r="Y109" s="112"/>
      <c r="Z109" s="112"/>
      <c r="AA109" s="112"/>
      <c r="AB109" s="112"/>
      <c r="AC109" s="112"/>
      <c r="AD109" s="112"/>
      <c r="AE109" s="112"/>
      <c r="AF109" s="112"/>
      <c r="AG109" s="112"/>
      <c r="AH109" s="112"/>
      <c r="AI109" s="112"/>
      <c r="AJ109" s="112"/>
      <c r="AK109" s="112"/>
      <c r="AL109" s="112"/>
      <c r="AM109" s="112"/>
      <c r="AN109" s="112"/>
      <c r="AO109" s="112"/>
      <c r="AP109" s="112"/>
      <c r="AQ109" s="112"/>
      <c r="AR109" s="112"/>
      <c r="AS109" s="112"/>
      <c r="AT109" s="112"/>
      <c r="AU109" s="112"/>
    </row>
    <row r="110" spans="1:51" s="115" customFormat="1" x14ac:dyDescent="0.2">
      <c r="A110" s="105"/>
      <c r="D110" s="136"/>
      <c r="G110" s="162"/>
      <c r="H110" s="112"/>
      <c r="I110" s="112"/>
      <c r="J110" s="112"/>
      <c r="K110" s="112"/>
      <c r="L110" s="112"/>
      <c r="M110" s="112"/>
      <c r="N110" s="112"/>
      <c r="O110" s="112"/>
      <c r="P110" s="112"/>
      <c r="Q110" s="112"/>
      <c r="R110" s="112"/>
      <c r="S110" s="112"/>
      <c r="T110" s="112"/>
      <c r="U110" s="112"/>
      <c r="V110" s="112"/>
      <c r="W110" s="112"/>
      <c r="X110" s="112"/>
      <c r="Y110" s="112"/>
      <c r="Z110" s="112"/>
      <c r="AA110" s="112"/>
      <c r="AB110" s="112"/>
      <c r="AC110" s="112"/>
      <c r="AD110" s="112"/>
      <c r="AE110" s="112"/>
      <c r="AF110" s="112"/>
      <c r="AG110" s="112"/>
      <c r="AH110" s="112"/>
      <c r="AI110" s="112"/>
      <c r="AJ110" s="112"/>
      <c r="AK110" s="112"/>
      <c r="AL110" s="112"/>
      <c r="AM110" s="112"/>
      <c r="AN110" s="112"/>
      <c r="AO110" s="112"/>
      <c r="AP110" s="112"/>
      <c r="AQ110" s="112"/>
      <c r="AR110" s="112"/>
      <c r="AS110" s="112"/>
      <c r="AT110" s="112"/>
      <c r="AU110" s="112"/>
    </row>
    <row r="111" spans="1:51" s="115" customFormat="1" x14ac:dyDescent="0.2">
      <c r="A111" s="105"/>
      <c r="D111" s="136"/>
      <c r="G111" s="162"/>
      <c r="H111" s="112"/>
      <c r="I111" s="112"/>
      <c r="J111" s="112"/>
      <c r="K111" s="112"/>
      <c r="L111" s="112"/>
      <c r="M111" s="112"/>
      <c r="N111" s="112"/>
      <c r="O111" s="112"/>
      <c r="P111" s="112"/>
      <c r="Q111" s="112"/>
      <c r="R111" s="112"/>
      <c r="S111" s="112"/>
      <c r="T111" s="112"/>
      <c r="U111" s="112"/>
      <c r="V111" s="112"/>
      <c r="W111" s="112"/>
      <c r="X111" s="112"/>
      <c r="Y111" s="112"/>
      <c r="Z111" s="112"/>
      <c r="AA111" s="112"/>
      <c r="AB111" s="112"/>
      <c r="AC111" s="112"/>
      <c r="AD111" s="112"/>
      <c r="AE111" s="112"/>
      <c r="AF111" s="112"/>
      <c r="AG111" s="112"/>
      <c r="AH111" s="112"/>
      <c r="AI111" s="112"/>
      <c r="AJ111" s="112"/>
      <c r="AK111" s="112"/>
      <c r="AL111" s="112"/>
      <c r="AM111" s="112"/>
      <c r="AN111" s="112"/>
      <c r="AO111" s="112"/>
      <c r="AP111" s="112"/>
      <c r="AQ111" s="112"/>
      <c r="AR111" s="112"/>
      <c r="AS111" s="112"/>
      <c r="AT111" s="112"/>
      <c r="AU111" s="112"/>
    </row>
    <row r="112" spans="1:51" s="115" customFormat="1" x14ac:dyDescent="0.2">
      <c r="A112" s="105"/>
      <c r="D112" s="136"/>
      <c r="G112" s="162"/>
      <c r="H112" s="112"/>
      <c r="I112" s="112"/>
      <c r="J112" s="112"/>
      <c r="K112" s="112"/>
      <c r="L112" s="112"/>
      <c r="M112" s="112"/>
      <c r="N112" s="112"/>
      <c r="O112" s="112"/>
      <c r="P112" s="112"/>
      <c r="Q112" s="112"/>
      <c r="R112" s="112"/>
      <c r="S112" s="112"/>
      <c r="T112" s="112"/>
      <c r="U112" s="112"/>
      <c r="V112" s="112"/>
      <c r="W112" s="112"/>
      <c r="X112" s="112"/>
      <c r="Y112" s="112"/>
      <c r="Z112" s="112"/>
      <c r="AA112" s="112"/>
      <c r="AB112" s="112"/>
      <c r="AC112" s="112"/>
      <c r="AD112" s="112"/>
      <c r="AE112" s="112"/>
      <c r="AF112" s="112"/>
      <c r="AG112" s="112"/>
      <c r="AH112" s="112"/>
      <c r="AI112" s="112"/>
      <c r="AJ112" s="112"/>
      <c r="AK112" s="112"/>
      <c r="AL112" s="112"/>
      <c r="AM112" s="112"/>
      <c r="AN112" s="112"/>
      <c r="AO112" s="112"/>
      <c r="AP112" s="112"/>
      <c r="AQ112" s="112"/>
      <c r="AR112" s="112"/>
      <c r="AS112" s="112"/>
      <c r="AT112" s="112"/>
      <c r="AU112" s="112"/>
    </row>
    <row r="113" spans="1:47" s="115" customFormat="1" x14ac:dyDescent="0.2">
      <c r="A113" s="105"/>
      <c r="D113" s="136"/>
      <c r="G113" s="162"/>
      <c r="H113" s="112"/>
      <c r="I113" s="112"/>
      <c r="J113" s="112"/>
      <c r="K113" s="112"/>
      <c r="L113" s="112"/>
      <c r="M113" s="112"/>
      <c r="N113" s="112"/>
      <c r="O113" s="112"/>
      <c r="P113" s="112"/>
      <c r="Q113" s="112"/>
      <c r="R113" s="112"/>
      <c r="S113" s="112"/>
      <c r="T113" s="112"/>
      <c r="U113" s="112"/>
      <c r="V113" s="112"/>
      <c r="W113" s="112"/>
      <c r="X113" s="112"/>
      <c r="Y113" s="112"/>
      <c r="Z113" s="112"/>
      <c r="AA113" s="112"/>
      <c r="AB113" s="112"/>
      <c r="AC113" s="112"/>
      <c r="AD113" s="112"/>
      <c r="AE113" s="112"/>
      <c r="AF113" s="112"/>
      <c r="AG113" s="112"/>
      <c r="AH113" s="112"/>
      <c r="AI113" s="112"/>
      <c r="AJ113" s="112"/>
      <c r="AK113" s="112"/>
      <c r="AL113" s="112"/>
      <c r="AM113" s="112"/>
      <c r="AN113" s="112"/>
      <c r="AO113" s="112"/>
      <c r="AP113" s="112"/>
      <c r="AQ113" s="112"/>
      <c r="AR113" s="112"/>
      <c r="AS113" s="112"/>
      <c r="AT113" s="112"/>
      <c r="AU113" s="112"/>
    </row>
    <row r="114" spans="1:47" s="115" customFormat="1" x14ac:dyDescent="0.2">
      <c r="A114" s="105"/>
      <c r="D114" s="136"/>
      <c r="G114" s="162"/>
      <c r="H114" s="112"/>
      <c r="I114" s="112"/>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c r="AT114" s="112"/>
      <c r="AU114" s="112"/>
    </row>
    <row r="115" spans="1:47" s="115" customFormat="1" x14ac:dyDescent="0.2">
      <c r="A115" s="105"/>
      <c r="D115" s="136"/>
      <c r="G115" s="162"/>
      <c r="H115" s="112"/>
      <c r="I115" s="112"/>
      <c r="J115" s="112"/>
      <c r="K115" s="112"/>
      <c r="L115" s="112"/>
      <c r="M115" s="112"/>
      <c r="N115" s="112"/>
      <c r="O115" s="112"/>
      <c r="P115" s="112"/>
      <c r="Q115" s="112"/>
      <c r="R115" s="112"/>
      <c r="S115" s="112"/>
      <c r="T115" s="112"/>
      <c r="U115" s="112"/>
      <c r="V115" s="112"/>
      <c r="W115" s="112"/>
      <c r="X115" s="112"/>
      <c r="Y115" s="112"/>
      <c r="Z115" s="112"/>
      <c r="AA115" s="112"/>
      <c r="AB115" s="112"/>
      <c r="AC115" s="112"/>
      <c r="AD115" s="112"/>
      <c r="AE115" s="112"/>
      <c r="AF115" s="112"/>
      <c r="AG115" s="112"/>
      <c r="AH115" s="112"/>
      <c r="AI115" s="112"/>
      <c r="AJ115" s="112"/>
      <c r="AK115" s="112"/>
      <c r="AL115" s="112"/>
      <c r="AM115" s="112"/>
      <c r="AN115" s="112"/>
      <c r="AO115" s="112"/>
      <c r="AP115" s="112"/>
      <c r="AQ115" s="112"/>
      <c r="AR115" s="112"/>
      <c r="AS115" s="112"/>
      <c r="AT115" s="112"/>
      <c r="AU115" s="112"/>
    </row>
    <row r="116" spans="1:47" s="115" customFormat="1" x14ac:dyDescent="0.2">
      <c r="A116" s="105"/>
      <c r="D116" s="136"/>
      <c r="G116" s="162"/>
      <c r="H116" s="112"/>
      <c r="I116" s="112"/>
      <c r="J116" s="112"/>
      <c r="K116" s="112"/>
      <c r="L116" s="112"/>
      <c r="M116" s="112"/>
      <c r="N116" s="112"/>
      <c r="O116" s="112"/>
      <c r="P116" s="112"/>
      <c r="Q116" s="112"/>
      <c r="R116" s="112"/>
      <c r="S116" s="112"/>
      <c r="T116" s="112"/>
      <c r="U116" s="112"/>
      <c r="V116" s="112"/>
      <c r="W116" s="112"/>
      <c r="X116" s="112"/>
      <c r="Y116" s="112"/>
      <c r="Z116" s="112"/>
      <c r="AA116" s="112"/>
      <c r="AB116" s="112"/>
      <c r="AC116" s="112"/>
      <c r="AD116" s="112"/>
      <c r="AE116" s="112"/>
      <c r="AF116" s="112"/>
      <c r="AG116" s="112"/>
      <c r="AH116" s="112"/>
      <c r="AI116" s="112"/>
      <c r="AJ116" s="112"/>
      <c r="AK116" s="112"/>
      <c r="AL116" s="112"/>
      <c r="AM116" s="112"/>
      <c r="AN116" s="112"/>
      <c r="AO116" s="112"/>
      <c r="AP116" s="112"/>
      <c r="AQ116" s="112"/>
      <c r="AR116" s="112"/>
      <c r="AS116" s="112"/>
      <c r="AT116" s="112"/>
      <c r="AU116" s="112"/>
    </row>
    <row r="117" spans="1:47" s="115" customFormat="1" x14ac:dyDescent="0.2">
      <c r="A117" s="105"/>
      <c r="D117" s="136"/>
      <c r="G117" s="162"/>
      <c r="H117" s="112"/>
      <c r="I117" s="112"/>
      <c r="J117" s="112"/>
      <c r="K117" s="112"/>
      <c r="L117" s="112"/>
      <c r="M117" s="112"/>
      <c r="N117" s="112"/>
      <c r="O117" s="112"/>
      <c r="P117" s="112"/>
      <c r="Q117" s="112"/>
      <c r="R117" s="112"/>
      <c r="S117" s="112"/>
      <c r="T117" s="112"/>
      <c r="U117" s="112"/>
      <c r="V117" s="112"/>
      <c r="W117" s="112"/>
      <c r="X117" s="112"/>
      <c r="Y117" s="112"/>
      <c r="Z117" s="112"/>
      <c r="AA117" s="112"/>
      <c r="AB117" s="112"/>
      <c r="AC117" s="112"/>
      <c r="AD117" s="112"/>
      <c r="AE117" s="112"/>
      <c r="AF117" s="112"/>
      <c r="AG117" s="112"/>
      <c r="AH117" s="112"/>
      <c r="AI117" s="112"/>
      <c r="AJ117" s="112"/>
      <c r="AK117" s="112"/>
      <c r="AL117" s="112"/>
      <c r="AM117" s="112"/>
      <c r="AN117" s="112"/>
      <c r="AO117" s="112"/>
      <c r="AP117" s="112"/>
      <c r="AQ117" s="112"/>
      <c r="AR117" s="112"/>
      <c r="AS117" s="112"/>
      <c r="AT117" s="112"/>
      <c r="AU117" s="112"/>
    </row>
    <row r="118" spans="1:47" s="115" customFormat="1" x14ac:dyDescent="0.2">
      <c r="A118" s="105"/>
      <c r="D118" s="136"/>
      <c r="G118" s="162"/>
      <c r="H118" s="112"/>
      <c r="I118" s="112"/>
      <c r="J118" s="112"/>
      <c r="K118" s="112"/>
      <c r="L118" s="112"/>
      <c r="M118" s="112"/>
      <c r="N118" s="112"/>
      <c r="O118" s="112"/>
      <c r="P118" s="112"/>
      <c r="Q118" s="112"/>
      <c r="R118" s="112"/>
      <c r="S118" s="112"/>
      <c r="T118" s="112"/>
      <c r="U118" s="112"/>
      <c r="V118" s="112"/>
      <c r="W118" s="112"/>
      <c r="X118" s="112"/>
      <c r="Y118" s="112"/>
      <c r="Z118" s="112"/>
      <c r="AA118" s="112"/>
      <c r="AB118" s="112"/>
      <c r="AC118" s="112"/>
      <c r="AD118" s="112"/>
      <c r="AE118" s="112"/>
      <c r="AF118" s="112"/>
      <c r="AG118" s="112"/>
      <c r="AH118" s="112"/>
      <c r="AI118" s="112"/>
      <c r="AJ118" s="112"/>
      <c r="AK118" s="112"/>
      <c r="AL118" s="112"/>
      <c r="AM118" s="112"/>
      <c r="AN118" s="112"/>
      <c r="AO118" s="112"/>
      <c r="AP118" s="112"/>
      <c r="AQ118" s="112"/>
      <c r="AR118" s="112"/>
      <c r="AS118" s="112"/>
      <c r="AT118" s="112"/>
      <c r="AU118" s="112"/>
    </row>
    <row r="119" spans="1:47" s="115" customFormat="1" x14ac:dyDescent="0.2">
      <c r="A119" s="105"/>
      <c r="D119" s="136"/>
      <c r="G119" s="162"/>
      <c r="H119" s="112"/>
      <c r="I119" s="112"/>
      <c r="J119" s="112"/>
      <c r="K119" s="112"/>
      <c r="L119" s="112"/>
      <c r="M119" s="112"/>
      <c r="N119" s="112"/>
      <c r="O119" s="112"/>
      <c r="P119" s="112"/>
      <c r="Q119" s="112"/>
      <c r="R119" s="112"/>
      <c r="S119" s="112"/>
      <c r="T119" s="112"/>
      <c r="U119" s="112"/>
      <c r="V119" s="112"/>
      <c r="W119" s="112"/>
      <c r="X119" s="112"/>
      <c r="Y119" s="112"/>
      <c r="Z119" s="112"/>
      <c r="AA119" s="112"/>
      <c r="AB119" s="112"/>
      <c r="AC119" s="112"/>
      <c r="AD119" s="112"/>
      <c r="AE119" s="112"/>
      <c r="AF119" s="112"/>
      <c r="AG119" s="112"/>
      <c r="AH119" s="112"/>
      <c r="AI119" s="112"/>
      <c r="AJ119" s="112"/>
      <c r="AK119" s="112"/>
      <c r="AL119" s="112"/>
      <c r="AM119" s="112"/>
      <c r="AN119" s="112"/>
      <c r="AO119" s="112"/>
      <c r="AP119" s="112"/>
      <c r="AQ119" s="112"/>
      <c r="AR119" s="112"/>
      <c r="AS119" s="112"/>
      <c r="AT119" s="112"/>
      <c r="AU119" s="112"/>
    </row>
    <row r="120" spans="1:47" s="115" customFormat="1" x14ac:dyDescent="0.2">
      <c r="A120" s="105"/>
      <c r="D120" s="136"/>
      <c r="G120" s="162"/>
      <c r="H120" s="112"/>
      <c r="I120" s="112"/>
      <c r="J120" s="112"/>
      <c r="K120" s="112"/>
      <c r="L120" s="112"/>
      <c r="M120" s="112"/>
      <c r="N120" s="112"/>
      <c r="O120" s="112"/>
      <c r="P120" s="112"/>
      <c r="Q120" s="112"/>
      <c r="R120" s="112"/>
      <c r="S120" s="112"/>
      <c r="T120" s="112"/>
      <c r="U120" s="112"/>
      <c r="V120" s="112"/>
      <c r="W120" s="112"/>
      <c r="X120" s="112"/>
      <c r="Y120" s="112"/>
      <c r="Z120" s="112"/>
      <c r="AA120" s="112"/>
      <c r="AB120" s="112"/>
      <c r="AC120" s="112"/>
      <c r="AD120" s="112"/>
      <c r="AE120" s="112"/>
      <c r="AF120" s="112"/>
      <c r="AG120" s="112"/>
      <c r="AH120" s="112"/>
      <c r="AI120" s="112"/>
      <c r="AJ120" s="112"/>
      <c r="AK120" s="112"/>
      <c r="AL120" s="112"/>
      <c r="AM120" s="112"/>
      <c r="AN120" s="112"/>
      <c r="AO120" s="112"/>
      <c r="AP120" s="112"/>
      <c r="AQ120" s="112"/>
      <c r="AR120" s="112"/>
      <c r="AS120" s="112"/>
      <c r="AT120" s="112"/>
      <c r="AU120" s="112"/>
    </row>
    <row r="121" spans="1:47" s="115" customFormat="1" ht="15" customHeight="1" x14ac:dyDescent="0.2">
      <c r="A121" s="105"/>
      <c r="D121" s="136"/>
      <c r="G121" s="162"/>
      <c r="H121" s="112"/>
      <c r="I121" s="112"/>
      <c r="J121" s="112"/>
      <c r="K121" s="112"/>
      <c r="L121" s="112"/>
      <c r="M121" s="112"/>
      <c r="N121" s="112"/>
      <c r="O121" s="112"/>
      <c r="P121" s="112"/>
      <c r="Q121" s="112"/>
      <c r="R121" s="112"/>
      <c r="S121" s="112"/>
      <c r="T121" s="112"/>
      <c r="U121" s="112"/>
      <c r="V121" s="112"/>
      <c r="W121" s="112"/>
      <c r="X121" s="112"/>
      <c r="Y121" s="112"/>
      <c r="Z121" s="112"/>
      <c r="AA121" s="112"/>
      <c r="AB121" s="112"/>
      <c r="AC121" s="112"/>
      <c r="AD121" s="112"/>
      <c r="AE121" s="112"/>
      <c r="AF121" s="112"/>
      <c r="AG121" s="112"/>
      <c r="AH121" s="112"/>
      <c r="AI121" s="112"/>
      <c r="AJ121" s="112"/>
      <c r="AK121" s="112"/>
      <c r="AL121" s="112"/>
      <c r="AM121" s="112"/>
      <c r="AN121" s="112"/>
      <c r="AO121" s="112"/>
      <c r="AP121" s="112"/>
      <c r="AQ121" s="112"/>
      <c r="AR121" s="112"/>
      <c r="AS121" s="112"/>
      <c r="AT121" s="112"/>
      <c r="AU121" s="112"/>
    </row>
    <row r="122" spans="1:47" s="115" customFormat="1" x14ac:dyDescent="0.2">
      <c r="A122" s="105"/>
      <c r="D122" s="136"/>
      <c r="G122" s="162"/>
      <c r="H122" s="112"/>
      <c r="I122" s="112"/>
      <c r="J122" s="112"/>
      <c r="K122" s="112"/>
      <c r="L122" s="112"/>
      <c r="M122" s="112"/>
      <c r="N122" s="112"/>
      <c r="O122" s="112"/>
      <c r="P122" s="112"/>
      <c r="Q122" s="112"/>
      <c r="R122" s="112"/>
      <c r="S122" s="112"/>
      <c r="T122" s="112"/>
      <c r="U122" s="112"/>
      <c r="V122" s="112"/>
      <c r="W122" s="112"/>
      <c r="X122" s="112"/>
      <c r="Y122" s="112"/>
      <c r="Z122" s="112"/>
      <c r="AA122" s="112"/>
      <c r="AB122" s="112"/>
      <c r="AC122" s="112"/>
      <c r="AD122" s="112"/>
      <c r="AE122" s="112"/>
      <c r="AF122" s="112"/>
      <c r="AG122" s="112"/>
      <c r="AH122" s="112"/>
      <c r="AI122" s="112"/>
      <c r="AJ122" s="112"/>
      <c r="AK122" s="112"/>
      <c r="AL122" s="112"/>
      <c r="AM122" s="112"/>
      <c r="AN122" s="112"/>
      <c r="AO122" s="112"/>
      <c r="AP122" s="112"/>
      <c r="AQ122" s="112"/>
      <c r="AR122" s="112"/>
      <c r="AS122" s="112"/>
      <c r="AT122" s="112"/>
      <c r="AU122" s="112"/>
    </row>
    <row r="123" spans="1:47" s="115" customFormat="1" x14ac:dyDescent="0.2">
      <c r="A123" s="105"/>
      <c r="D123" s="136"/>
      <c r="G123" s="162"/>
      <c r="H123" s="112"/>
      <c r="I123" s="112"/>
      <c r="J123" s="112"/>
      <c r="K123" s="112"/>
      <c r="L123" s="112"/>
      <c r="M123" s="112"/>
      <c r="N123" s="112"/>
      <c r="O123" s="112"/>
      <c r="P123" s="112"/>
      <c r="Q123" s="112"/>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c r="AO123" s="112"/>
      <c r="AP123" s="112"/>
      <c r="AQ123" s="112"/>
      <c r="AR123" s="112"/>
      <c r="AS123" s="112"/>
      <c r="AT123" s="112"/>
      <c r="AU123" s="112"/>
    </row>
    <row r="124" spans="1:47" s="115" customFormat="1" x14ac:dyDescent="0.2">
      <c r="A124" s="105"/>
      <c r="D124" s="136"/>
      <c r="G124" s="162"/>
      <c r="H124" s="112"/>
      <c r="I124" s="112"/>
      <c r="J124" s="112"/>
      <c r="K124" s="112"/>
      <c r="L124" s="112"/>
      <c r="M124" s="112"/>
      <c r="N124" s="112"/>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c r="AO124" s="112"/>
      <c r="AP124" s="112"/>
      <c r="AQ124" s="112"/>
      <c r="AR124" s="112"/>
      <c r="AS124" s="112"/>
      <c r="AT124" s="112"/>
      <c r="AU124" s="112"/>
    </row>
    <row r="125" spans="1:47" s="115" customFormat="1" x14ac:dyDescent="0.2">
      <c r="A125" s="105"/>
      <c r="D125" s="136"/>
      <c r="G125" s="162"/>
      <c r="H125" s="112"/>
      <c r="I125" s="112"/>
      <c r="J125" s="112"/>
      <c r="K125" s="112"/>
      <c r="L125" s="112"/>
      <c r="M125" s="112"/>
      <c r="N125" s="112"/>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c r="AJ125" s="112"/>
      <c r="AK125" s="112"/>
      <c r="AL125" s="112"/>
      <c r="AM125" s="112"/>
      <c r="AN125" s="112"/>
      <c r="AO125" s="112"/>
      <c r="AP125" s="112"/>
      <c r="AQ125" s="112"/>
      <c r="AR125" s="112"/>
      <c r="AS125" s="112"/>
      <c r="AT125" s="112"/>
      <c r="AU125" s="112"/>
    </row>
    <row r="126" spans="1:47" s="115" customFormat="1" x14ac:dyDescent="0.2">
      <c r="A126" s="105"/>
      <c r="D126" s="136"/>
      <c r="G126" s="162"/>
      <c r="H126" s="112"/>
      <c r="I126" s="112"/>
      <c r="J126" s="112"/>
      <c r="K126" s="112"/>
      <c r="L126" s="112"/>
      <c r="M126" s="112"/>
      <c r="N126" s="112"/>
      <c r="O126" s="112"/>
      <c r="P126" s="112"/>
      <c r="Q126" s="112"/>
      <c r="R126" s="112"/>
      <c r="S126" s="112"/>
      <c r="T126" s="112"/>
      <c r="U126" s="112"/>
      <c r="V126" s="112"/>
      <c r="W126" s="112"/>
      <c r="X126" s="112"/>
      <c r="Y126" s="112"/>
      <c r="Z126" s="112"/>
      <c r="AA126" s="112"/>
      <c r="AB126" s="112"/>
      <c r="AC126" s="112"/>
      <c r="AD126" s="112"/>
      <c r="AE126" s="112"/>
      <c r="AF126" s="112"/>
      <c r="AG126" s="112"/>
      <c r="AH126" s="112"/>
      <c r="AI126" s="112"/>
      <c r="AJ126" s="112"/>
      <c r="AK126" s="112"/>
      <c r="AL126" s="112"/>
      <c r="AM126" s="112"/>
      <c r="AN126" s="112"/>
      <c r="AO126" s="112"/>
      <c r="AP126" s="112"/>
      <c r="AQ126" s="112"/>
      <c r="AR126" s="112"/>
      <c r="AS126" s="112"/>
      <c r="AT126" s="112"/>
      <c r="AU126" s="112"/>
    </row>
    <row r="127" spans="1:47" s="115" customFormat="1" x14ac:dyDescent="0.2">
      <c r="A127" s="105"/>
      <c r="D127" s="136"/>
      <c r="G127" s="162"/>
      <c r="H127" s="112"/>
      <c r="I127" s="112"/>
      <c r="J127" s="112"/>
      <c r="K127" s="112"/>
      <c r="L127" s="112"/>
      <c r="M127" s="112"/>
      <c r="N127" s="112"/>
      <c r="O127" s="112"/>
      <c r="P127" s="112"/>
      <c r="Q127" s="112"/>
      <c r="R127" s="112"/>
      <c r="S127" s="112"/>
      <c r="T127" s="112"/>
      <c r="U127" s="112"/>
      <c r="V127" s="112"/>
      <c r="W127" s="112"/>
      <c r="X127" s="112"/>
      <c r="Y127" s="112"/>
      <c r="Z127" s="112"/>
      <c r="AA127" s="112"/>
      <c r="AB127" s="112"/>
      <c r="AC127" s="112"/>
      <c r="AD127" s="112"/>
      <c r="AE127" s="112"/>
      <c r="AF127" s="112"/>
      <c r="AG127" s="112"/>
      <c r="AH127" s="112"/>
      <c r="AI127" s="112"/>
      <c r="AJ127" s="112"/>
      <c r="AK127" s="112"/>
      <c r="AL127" s="112"/>
      <c r="AM127" s="112"/>
      <c r="AN127" s="112"/>
      <c r="AO127" s="112"/>
      <c r="AP127" s="112"/>
      <c r="AQ127" s="112"/>
      <c r="AR127" s="112"/>
      <c r="AS127" s="112"/>
      <c r="AT127" s="112"/>
      <c r="AU127" s="112"/>
    </row>
    <row r="128" spans="1:47" s="115" customFormat="1" x14ac:dyDescent="0.2">
      <c r="A128" s="105"/>
      <c r="D128" s="136"/>
      <c r="G128" s="162"/>
      <c r="H128" s="112"/>
      <c r="I128" s="112"/>
      <c r="J128" s="112"/>
      <c r="K128" s="112"/>
      <c r="L128" s="112"/>
      <c r="M128" s="112"/>
      <c r="N128" s="112"/>
      <c r="O128" s="112"/>
      <c r="P128" s="112"/>
      <c r="Q128" s="112"/>
      <c r="R128" s="112"/>
      <c r="S128" s="112"/>
      <c r="T128" s="112"/>
      <c r="U128" s="112"/>
      <c r="V128" s="112"/>
      <c r="W128" s="112"/>
      <c r="X128" s="112"/>
      <c r="Y128" s="112"/>
      <c r="Z128" s="112"/>
      <c r="AA128" s="112"/>
      <c r="AB128" s="112"/>
      <c r="AC128" s="112"/>
      <c r="AD128" s="112"/>
      <c r="AE128" s="112"/>
      <c r="AF128" s="112"/>
      <c r="AG128" s="112"/>
      <c r="AH128" s="112"/>
      <c r="AI128" s="112"/>
      <c r="AJ128" s="112"/>
      <c r="AK128" s="112"/>
      <c r="AL128" s="112"/>
      <c r="AM128" s="112"/>
      <c r="AN128" s="112"/>
      <c r="AO128" s="112"/>
      <c r="AP128" s="112"/>
      <c r="AQ128" s="112"/>
      <c r="AR128" s="112"/>
      <c r="AS128" s="112"/>
      <c r="AT128" s="112"/>
      <c r="AU128" s="112"/>
    </row>
    <row r="129" spans="1:47" s="115" customFormat="1" x14ac:dyDescent="0.2">
      <c r="A129" s="105"/>
      <c r="D129" s="136"/>
      <c r="G129" s="162"/>
      <c r="H129" s="112"/>
      <c r="I129" s="112"/>
      <c r="J129" s="112"/>
      <c r="K129" s="112"/>
      <c r="L129" s="112"/>
      <c r="M129" s="112"/>
      <c r="N129" s="112"/>
      <c r="O129" s="112"/>
      <c r="P129" s="112"/>
      <c r="Q129" s="112"/>
      <c r="R129" s="112"/>
      <c r="S129" s="112"/>
      <c r="T129" s="112"/>
      <c r="U129" s="112"/>
      <c r="V129" s="112"/>
      <c r="W129" s="112"/>
      <c r="X129" s="112"/>
      <c r="Y129" s="112"/>
      <c r="Z129" s="112"/>
      <c r="AA129" s="112"/>
      <c r="AB129" s="112"/>
      <c r="AC129" s="112"/>
      <c r="AD129" s="112"/>
      <c r="AE129" s="112"/>
      <c r="AF129" s="112"/>
      <c r="AG129" s="112"/>
      <c r="AH129" s="112"/>
      <c r="AI129" s="112"/>
      <c r="AJ129" s="112"/>
      <c r="AK129" s="112"/>
      <c r="AL129" s="112"/>
      <c r="AM129" s="112"/>
      <c r="AN129" s="112"/>
      <c r="AO129" s="112"/>
      <c r="AP129" s="112"/>
      <c r="AQ129" s="112"/>
      <c r="AR129" s="112"/>
      <c r="AS129" s="112"/>
      <c r="AT129" s="112"/>
      <c r="AU129" s="112"/>
    </row>
    <row r="130" spans="1:47" s="115" customFormat="1" x14ac:dyDescent="0.2">
      <c r="A130" s="105"/>
      <c r="D130" s="136"/>
      <c r="G130" s="162"/>
      <c r="H130" s="112"/>
      <c r="I130" s="112"/>
      <c r="J130" s="112"/>
      <c r="K130" s="112"/>
      <c r="L130" s="112"/>
      <c r="M130" s="112"/>
      <c r="N130" s="112"/>
      <c r="O130" s="112"/>
      <c r="P130" s="112"/>
      <c r="Q130" s="112"/>
      <c r="R130" s="112"/>
      <c r="S130" s="112"/>
      <c r="T130" s="112"/>
      <c r="U130" s="112"/>
      <c r="V130" s="112"/>
      <c r="W130" s="112"/>
      <c r="X130" s="112"/>
      <c r="Y130" s="112"/>
      <c r="Z130" s="112"/>
      <c r="AA130" s="112"/>
      <c r="AB130" s="112"/>
      <c r="AC130" s="112"/>
      <c r="AD130" s="112"/>
      <c r="AE130" s="112"/>
      <c r="AF130" s="112"/>
      <c r="AG130" s="112"/>
      <c r="AH130" s="112"/>
      <c r="AI130" s="112"/>
      <c r="AJ130" s="112"/>
      <c r="AK130" s="112"/>
      <c r="AL130" s="112"/>
      <c r="AM130" s="112"/>
      <c r="AN130" s="112"/>
      <c r="AO130" s="112"/>
      <c r="AP130" s="112"/>
      <c r="AQ130" s="112"/>
      <c r="AR130" s="112"/>
      <c r="AS130" s="112"/>
      <c r="AT130" s="112"/>
      <c r="AU130" s="112"/>
    </row>
    <row r="131" spans="1:47" s="115" customFormat="1" x14ac:dyDescent="0.2">
      <c r="A131" s="105"/>
      <c r="D131" s="136"/>
      <c r="G131" s="162"/>
      <c r="H131" s="112"/>
      <c r="I131" s="112"/>
      <c r="J131" s="112"/>
      <c r="K131" s="112"/>
      <c r="L131" s="112"/>
      <c r="M131" s="112"/>
      <c r="N131" s="112"/>
      <c r="O131" s="112"/>
      <c r="P131" s="112"/>
      <c r="Q131" s="112"/>
      <c r="R131" s="112"/>
      <c r="S131" s="112"/>
      <c r="T131" s="112"/>
      <c r="U131" s="112"/>
      <c r="V131" s="112"/>
      <c r="W131" s="112"/>
      <c r="X131" s="112"/>
      <c r="Y131" s="112"/>
      <c r="Z131" s="112"/>
      <c r="AA131" s="112"/>
      <c r="AB131" s="112"/>
      <c r="AC131" s="112"/>
      <c r="AD131" s="112"/>
      <c r="AE131" s="112"/>
      <c r="AF131" s="112"/>
      <c r="AG131" s="112"/>
      <c r="AH131" s="112"/>
      <c r="AI131" s="112"/>
      <c r="AJ131" s="112"/>
      <c r="AK131" s="112"/>
      <c r="AL131" s="112"/>
      <c r="AM131" s="112"/>
      <c r="AN131" s="112"/>
      <c r="AO131" s="112"/>
      <c r="AP131" s="112"/>
      <c r="AQ131" s="112"/>
      <c r="AR131" s="112"/>
      <c r="AS131" s="112"/>
      <c r="AT131" s="112"/>
      <c r="AU131" s="112"/>
    </row>
    <row r="132" spans="1:47" s="115" customFormat="1" x14ac:dyDescent="0.2">
      <c r="A132" s="105"/>
      <c r="D132" s="136"/>
      <c r="G132" s="162"/>
      <c r="H132" s="112"/>
      <c r="I132" s="112"/>
      <c r="J132" s="112"/>
      <c r="K132" s="112"/>
      <c r="L132" s="112"/>
      <c r="M132" s="112"/>
      <c r="N132" s="112"/>
      <c r="O132" s="112"/>
      <c r="P132" s="112"/>
      <c r="Q132" s="112"/>
      <c r="R132" s="112"/>
      <c r="S132" s="112"/>
      <c r="T132" s="112"/>
      <c r="U132" s="112"/>
      <c r="V132" s="112"/>
      <c r="W132" s="112"/>
      <c r="X132" s="112"/>
      <c r="Y132" s="112"/>
      <c r="Z132" s="112"/>
      <c r="AA132" s="112"/>
      <c r="AB132" s="112"/>
      <c r="AC132" s="112"/>
      <c r="AD132" s="112"/>
      <c r="AE132" s="112"/>
      <c r="AF132" s="112"/>
      <c r="AG132" s="112"/>
      <c r="AH132" s="112"/>
      <c r="AI132" s="112"/>
      <c r="AJ132" s="112"/>
      <c r="AK132" s="112"/>
      <c r="AL132" s="112"/>
      <c r="AM132" s="112"/>
      <c r="AN132" s="112"/>
      <c r="AO132" s="112"/>
      <c r="AP132" s="112"/>
      <c r="AQ132" s="112"/>
      <c r="AR132" s="112"/>
      <c r="AS132" s="112"/>
      <c r="AT132" s="112"/>
      <c r="AU132" s="112"/>
    </row>
    <row r="133" spans="1:47" s="115" customFormat="1" x14ac:dyDescent="0.2">
      <c r="A133" s="105"/>
      <c r="D133" s="136"/>
      <c r="G133" s="162"/>
      <c r="H133" s="112"/>
      <c r="I133" s="112"/>
      <c r="J133" s="112"/>
      <c r="K133" s="112"/>
      <c r="L133" s="112"/>
      <c r="M133" s="112"/>
      <c r="N133" s="112"/>
      <c r="O133" s="112"/>
      <c r="P133" s="112"/>
      <c r="Q133" s="112"/>
      <c r="R133" s="112"/>
      <c r="S133" s="112"/>
      <c r="T133" s="112"/>
      <c r="U133" s="112"/>
      <c r="V133" s="112"/>
      <c r="W133" s="112"/>
      <c r="X133" s="112"/>
      <c r="Y133" s="112"/>
      <c r="Z133" s="112"/>
      <c r="AA133" s="112"/>
      <c r="AB133" s="112"/>
      <c r="AC133" s="112"/>
      <c r="AD133" s="112"/>
      <c r="AE133" s="112"/>
      <c r="AF133" s="112"/>
      <c r="AG133" s="112"/>
      <c r="AH133" s="112"/>
      <c r="AI133" s="112"/>
      <c r="AJ133" s="112"/>
      <c r="AK133" s="112"/>
      <c r="AL133" s="112"/>
      <c r="AM133" s="112"/>
      <c r="AN133" s="112"/>
      <c r="AO133" s="112"/>
      <c r="AP133" s="112"/>
      <c r="AQ133" s="112"/>
      <c r="AR133" s="112"/>
      <c r="AS133" s="112"/>
      <c r="AT133" s="112"/>
      <c r="AU133" s="112"/>
    </row>
    <row r="134" spans="1:47" s="115" customFormat="1" x14ac:dyDescent="0.2">
      <c r="A134" s="105"/>
      <c r="D134" s="136"/>
      <c r="G134" s="162"/>
      <c r="H134" s="112"/>
      <c r="I134" s="112"/>
      <c r="J134" s="112"/>
      <c r="K134" s="112"/>
      <c r="L134" s="112"/>
      <c r="M134" s="112"/>
      <c r="N134" s="112"/>
      <c r="O134" s="112"/>
      <c r="P134" s="112"/>
      <c r="Q134" s="112"/>
      <c r="R134" s="112"/>
      <c r="S134" s="112"/>
      <c r="T134" s="112"/>
      <c r="U134" s="112"/>
      <c r="V134" s="112"/>
      <c r="W134" s="112"/>
      <c r="X134" s="112"/>
      <c r="Y134" s="112"/>
      <c r="Z134" s="112"/>
      <c r="AA134" s="112"/>
      <c r="AB134" s="112"/>
      <c r="AC134" s="112"/>
      <c r="AD134" s="112"/>
      <c r="AE134" s="112"/>
      <c r="AF134" s="112"/>
      <c r="AG134" s="112"/>
      <c r="AH134" s="112"/>
      <c r="AI134" s="112"/>
      <c r="AJ134" s="112"/>
      <c r="AK134" s="112"/>
      <c r="AL134" s="112"/>
      <c r="AM134" s="112"/>
      <c r="AN134" s="112"/>
      <c r="AO134" s="112"/>
      <c r="AP134" s="112"/>
      <c r="AQ134" s="112"/>
      <c r="AR134" s="112"/>
      <c r="AS134" s="112"/>
      <c r="AT134" s="112"/>
      <c r="AU134" s="112"/>
    </row>
    <row r="135" spans="1:47" s="115" customFormat="1" x14ac:dyDescent="0.2">
      <c r="A135" s="105"/>
      <c r="D135" s="136"/>
      <c r="G135" s="162"/>
      <c r="H135" s="112"/>
      <c r="I135" s="112"/>
      <c r="J135" s="112"/>
      <c r="K135" s="112"/>
      <c r="L135" s="112"/>
      <c r="M135" s="112"/>
      <c r="N135" s="112"/>
      <c r="O135" s="112"/>
      <c r="P135" s="112"/>
      <c r="Q135" s="112"/>
      <c r="R135" s="112"/>
      <c r="S135" s="112"/>
      <c r="T135" s="112"/>
      <c r="U135" s="112"/>
      <c r="V135" s="112"/>
      <c r="W135" s="112"/>
      <c r="X135" s="112"/>
      <c r="Y135" s="112"/>
      <c r="Z135" s="112"/>
      <c r="AA135" s="112"/>
      <c r="AB135" s="112"/>
      <c r="AC135" s="112"/>
      <c r="AD135" s="112"/>
      <c r="AE135" s="112"/>
      <c r="AF135" s="112"/>
      <c r="AG135" s="112"/>
      <c r="AH135" s="112"/>
      <c r="AI135" s="112"/>
      <c r="AJ135" s="112"/>
      <c r="AK135" s="112"/>
      <c r="AL135" s="112"/>
      <c r="AM135" s="112"/>
      <c r="AN135" s="112"/>
      <c r="AO135" s="112"/>
      <c r="AP135" s="112"/>
      <c r="AQ135" s="112"/>
      <c r="AR135" s="112"/>
      <c r="AS135" s="112"/>
      <c r="AT135" s="112"/>
      <c r="AU135" s="112"/>
    </row>
    <row r="136" spans="1:47" s="115" customFormat="1" x14ac:dyDescent="0.2">
      <c r="A136" s="105"/>
      <c r="D136" s="136"/>
      <c r="G136" s="162"/>
      <c r="H136" s="112"/>
      <c r="I136" s="112"/>
      <c r="J136" s="112"/>
      <c r="K136" s="112"/>
      <c r="L136" s="112"/>
      <c r="M136" s="112"/>
      <c r="N136" s="112"/>
      <c r="O136" s="112"/>
      <c r="P136" s="112"/>
      <c r="Q136" s="112"/>
      <c r="R136" s="112"/>
      <c r="S136" s="112"/>
      <c r="T136" s="112"/>
      <c r="U136" s="112"/>
      <c r="V136" s="112"/>
      <c r="W136" s="112"/>
      <c r="X136" s="112"/>
      <c r="Y136" s="112"/>
      <c r="Z136" s="112"/>
      <c r="AA136" s="112"/>
      <c r="AB136" s="112"/>
      <c r="AC136" s="112"/>
      <c r="AD136" s="112"/>
      <c r="AE136" s="112"/>
      <c r="AF136" s="112"/>
      <c r="AG136" s="112"/>
      <c r="AH136" s="112"/>
      <c r="AI136" s="112"/>
      <c r="AJ136" s="112"/>
      <c r="AK136" s="112"/>
      <c r="AL136" s="112"/>
      <c r="AM136" s="112"/>
      <c r="AN136" s="112"/>
      <c r="AO136" s="112"/>
      <c r="AP136" s="112"/>
      <c r="AQ136" s="112"/>
      <c r="AR136" s="112"/>
      <c r="AS136" s="112"/>
      <c r="AT136" s="112"/>
      <c r="AU136" s="112"/>
    </row>
    <row r="137" spans="1:47" s="115" customFormat="1" x14ac:dyDescent="0.2">
      <c r="A137" s="105"/>
      <c r="D137" s="136"/>
      <c r="G137" s="162"/>
      <c r="H137" s="112"/>
      <c r="I137" s="112"/>
      <c r="J137" s="112"/>
      <c r="K137" s="112"/>
      <c r="L137" s="112"/>
      <c r="M137" s="112"/>
      <c r="N137" s="112"/>
      <c r="O137" s="112"/>
      <c r="P137" s="112"/>
      <c r="Q137" s="112"/>
      <c r="R137" s="112"/>
      <c r="S137" s="112"/>
      <c r="T137" s="112"/>
      <c r="U137" s="112"/>
      <c r="V137" s="112"/>
      <c r="W137" s="112"/>
      <c r="X137" s="112"/>
      <c r="Y137" s="112"/>
      <c r="Z137" s="112"/>
      <c r="AA137" s="112"/>
      <c r="AB137" s="112"/>
      <c r="AC137" s="112"/>
      <c r="AD137" s="112"/>
      <c r="AE137" s="112"/>
      <c r="AF137" s="112"/>
      <c r="AG137" s="112"/>
      <c r="AH137" s="112"/>
      <c r="AI137" s="112"/>
      <c r="AJ137" s="112"/>
      <c r="AK137" s="112"/>
      <c r="AL137" s="112"/>
      <c r="AM137" s="112"/>
      <c r="AN137" s="112"/>
      <c r="AO137" s="112"/>
      <c r="AP137" s="112"/>
      <c r="AQ137" s="112"/>
      <c r="AR137" s="112"/>
      <c r="AS137" s="112"/>
      <c r="AT137" s="112"/>
      <c r="AU137" s="112"/>
    </row>
    <row r="138" spans="1:47" s="115" customFormat="1" x14ac:dyDescent="0.2">
      <c r="A138" s="105"/>
      <c r="D138" s="136"/>
      <c r="G138" s="162"/>
      <c r="H138" s="112"/>
      <c r="I138" s="112"/>
      <c r="J138" s="112"/>
      <c r="K138" s="112"/>
      <c r="L138" s="112"/>
      <c r="M138" s="112"/>
      <c r="N138" s="112"/>
      <c r="O138" s="112"/>
      <c r="P138" s="112"/>
      <c r="Q138" s="112"/>
      <c r="R138" s="112"/>
      <c r="S138" s="112"/>
      <c r="T138" s="112"/>
      <c r="U138" s="112"/>
      <c r="V138" s="112"/>
      <c r="W138" s="112"/>
      <c r="X138" s="112"/>
      <c r="Y138" s="112"/>
      <c r="Z138" s="112"/>
      <c r="AA138" s="112"/>
      <c r="AB138" s="112"/>
      <c r="AC138" s="112"/>
      <c r="AD138" s="112"/>
      <c r="AE138" s="112"/>
      <c r="AF138" s="112"/>
      <c r="AG138" s="112"/>
      <c r="AH138" s="112"/>
      <c r="AI138" s="112"/>
      <c r="AJ138" s="112"/>
      <c r="AK138" s="112"/>
      <c r="AL138" s="112"/>
      <c r="AM138" s="112"/>
      <c r="AN138" s="112"/>
      <c r="AO138" s="112"/>
      <c r="AP138" s="112"/>
      <c r="AQ138" s="112"/>
      <c r="AR138" s="112"/>
      <c r="AS138" s="112"/>
      <c r="AT138" s="112"/>
      <c r="AU138" s="112"/>
    </row>
    <row r="139" spans="1:47" s="115" customFormat="1" x14ac:dyDescent="0.2">
      <c r="A139" s="105"/>
      <c r="D139" s="136"/>
      <c r="G139" s="162"/>
      <c r="H139" s="112"/>
      <c r="I139" s="112"/>
      <c r="J139" s="112"/>
      <c r="K139" s="112"/>
      <c r="L139" s="112"/>
      <c r="M139" s="112"/>
      <c r="N139" s="112"/>
      <c r="O139" s="112"/>
      <c r="P139" s="112"/>
      <c r="Q139" s="112"/>
      <c r="R139" s="112"/>
      <c r="S139" s="112"/>
      <c r="T139" s="112"/>
      <c r="U139" s="112"/>
      <c r="V139" s="112"/>
      <c r="W139" s="112"/>
      <c r="X139" s="112"/>
      <c r="Y139" s="112"/>
      <c r="Z139" s="112"/>
      <c r="AA139" s="112"/>
      <c r="AB139" s="112"/>
      <c r="AC139" s="112"/>
      <c r="AD139" s="112"/>
      <c r="AE139" s="112"/>
      <c r="AF139" s="112"/>
      <c r="AG139" s="112"/>
      <c r="AH139" s="112"/>
      <c r="AI139" s="112"/>
      <c r="AJ139" s="112"/>
      <c r="AK139" s="112"/>
      <c r="AL139" s="112"/>
      <c r="AM139" s="112"/>
      <c r="AN139" s="112"/>
      <c r="AO139" s="112"/>
      <c r="AP139" s="112"/>
      <c r="AQ139" s="112"/>
      <c r="AR139" s="112"/>
      <c r="AS139" s="112"/>
      <c r="AT139" s="112"/>
      <c r="AU139" s="112"/>
    </row>
    <row r="140" spans="1:47" s="115" customFormat="1" x14ac:dyDescent="0.2">
      <c r="A140" s="105"/>
      <c r="D140" s="136"/>
      <c r="G140" s="162"/>
      <c r="H140" s="112"/>
      <c r="I140" s="112"/>
      <c r="J140" s="112"/>
      <c r="K140" s="112"/>
      <c r="L140" s="112"/>
      <c r="M140" s="112"/>
      <c r="N140" s="112"/>
      <c r="O140" s="112"/>
      <c r="P140" s="112"/>
      <c r="Q140" s="112"/>
      <c r="R140" s="112"/>
      <c r="S140" s="112"/>
      <c r="T140" s="112"/>
      <c r="U140" s="112"/>
      <c r="V140" s="112"/>
      <c r="W140" s="112"/>
      <c r="X140" s="112"/>
      <c r="Y140" s="112"/>
      <c r="Z140" s="112"/>
      <c r="AA140" s="112"/>
      <c r="AB140" s="112"/>
      <c r="AC140" s="112"/>
      <c r="AD140" s="112"/>
      <c r="AE140" s="112"/>
      <c r="AF140" s="112"/>
      <c r="AG140" s="112"/>
      <c r="AH140" s="112"/>
      <c r="AI140" s="112"/>
      <c r="AJ140" s="112"/>
      <c r="AK140" s="112"/>
      <c r="AL140" s="112"/>
      <c r="AM140" s="112"/>
      <c r="AN140" s="112"/>
      <c r="AO140" s="112"/>
      <c r="AP140" s="112"/>
      <c r="AQ140" s="112"/>
      <c r="AR140" s="112"/>
      <c r="AS140" s="112"/>
      <c r="AT140" s="112"/>
      <c r="AU140" s="112"/>
    </row>
    <row r="141" spans="1:47" s="115" customFormat="1" x14ac:dyDescent="0.2">
      <c r="A141" s="105"/>
      <c r="D141" s="136"/>
      <c r="G141" s="16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2"/>
      <c r="AD141" s="112"/>
      <c r="AE141" s="112"/>
      <c r="AF141" s="112"/>
      <c r="AG141" s="112"/>
      <c r="AH141" s="112"/>
      <c r="AI141" s="112"/>
      <c r="AJ141" s="112"/>
      <c r="AK141" s="112"/>
      <c r="AL141" s="112"/>
      <c r="AM141" s="112"/>
      <c r="AN141" s="112"/>
      <c r="AO141" s="112"/>
      <c r="AP141" s="112"/>
      <c r="AQ141" s="112"/>
      <c r="AR141" s="112"/>
      <c r="AS141" s="112"/>
      <c r="AT141" s="112"/>
      <c r="AU141" s="112"/>
    </row>
    <row r="142" spans="1:47" s="115" customFormat="1" x14ac:dyDescent="0.2">
      <c r="A142" s="105"/>
      <c r="D142" s="136"/>
      <c r="G142" s="162"/>
      <c r="H142" s="112"/>
      <c r="I142" s="112"/>
      <c r="J142" s="112"/>
      <c r="K142" s="112"/>
      <c r="L142" s="112"/>
      <c r="M142" s="112"/>
      <c r="N142" s="112"/>
      <c r="O142" s="112"/>
      <c r="P142" s="112"/>
      <c r="Q142" s="112"/>
      <c r="R142" s="112"/>
      <c r="S142" s="112"/>
      <c r="T142" s="112"/>
      <c r="U142" s="112"/>
      <c r="V142" s="112"/>
      <c r="W142" s="112"/>
      <c r="X142" s="112"/>
      <c r="Y142" s="112"/>
      <c r="Z142" s="112"/>
      <c r="AA142" s="112"/>
      <c r="AB142" s="112"/>
      <c r="AC142" s="112"/>
      <c r="AD142" s="112"/>
      <c r="AE142" s="112"/>
      <c r="AF142" s="112"/>
      <c r="AG142" s="112"/>
      <c r="AH142" s="112"/>
      <c r="AI142" s="112"/>
      <c r="AJ142" s="112"/>
      <c r="AK142" s="112"/>
      <c r="AL142" s="112"/>
      <c r="AM142" s="112"/>
      <c r="AN142" s="112"/>
      <c r="AO142" s="112"/>
      <c r="AP142" s="112"/>
      <c r="AQ142" s="112"/>
      <c r="AR142" s="112"/>
      <c r="AS142" s="112"/>
      <c r="AT142" s="112"/>
      <c r="AU142" s="112"/>
    </row>
    <row r="143" spans="1:47" s="115" customFormat="1" ht="15" customHeight="1" x14ac:dyDescent="0.2">
      <c r="A143" s="105"/>
      <c r="D143" s="136"/>
      <c r="G143" s="162"/>
      <c r="H143" s="112"/>
      <c r="I143" s="112"/>
      <c r="J143" s="112"/>
      <c r="K143" s="112"/>
      <c r="L143" s="112"/>
      <c r="M143" s="112"/>
      <c r="N143" s="112"/>
      <c r="O143" s="112"/>
      <c r="P143" s="112"/>
      <c r="Q143" s="112"/>
      <c r="R143" s="112"/>
      <c r="S143" s="112"/>
      <c r="T143" s="112"/>
      <c r="U143" s="112"/>
      <c r="V143" s="112"/>
      <c r="W143" s="112"/>
      <c r="X143" s="112"/>
      <c r="Y143" s="112"/>
      <c r="Z143" s="112"/>
      <c r="AA143" s="112"/>
      <c r="AB143" s="112"/>
      <c r="AC143" s="112"/>
      <c r="AD143" s="112"/>
      <c r="AE143" s="112"/>
      <c r="AF143" s="112"/>
      <c r="AG143" s="112"/>
      <c r="AH143" s="112"/>
      <c r="AI143" s="112"/>
      <c r="AJ143" s="112"/>
      <c r="AK143" s="112"/>
      <c r="AL143" s="112"/>
      <c r="AM143" s="112"/>
      <c r="AN143" s="112"/>
      <c r="AO143" s="112"/>
      <c r="AP143" s="112"/>
      <c r="AQ143" s="112"/>
      <c r="AR143" s="112"/>
      <c r="AS143" s="112"/>
      <c r="AT143" s="112"/>
      <c r="AU143" s="112"/>
    </row>
    <row r="144" spans="1:47" s="115" customFormat="1" x14ac:dyDescent="0.2">
      <c r="A144" s="116"/>
      <c r="D144" s="136"/>
      <c r="G144" s="162"/>
      <c r="H144" s="112"/>
      <c r="I144" s="112"/>
      <c r="J144" s="112"/>
      <c r="K144" s="112"/>
      <c r="L144" s="112"/>
      <c r="M144" s="112"/>
      <c r="N144" s="112"/>
      <c r="O144" s="112"/>
      <c r="P144" s="112"/>
      <c r="Q144" s="112"/>
      <c r="R144" s="112"/>
      <c r="S144" s="112"/>
      <c r="T144" s="112"/>
      <c r="U144" s="112"/>
      <c r="V144" s="112"/>
      <c r="W144" s="112"/>
      <c r="X144" s="112"/>
      <c r="Y144" s="112"/>
      <c r="Z144" s="112"/>
      <c r="AA144" s="112"/>
      <c r="AB144" s="112"/>
      <c r="AC144" s="112"/>
      <c r="AD144" s="112"/>
      <c r="AE144" s="112"/>
      <c r="AF144" s="112"/>
      <c r="AG144" s="112"/>
      <c r="AH144" s="112"/>
      <c r="AI144" s="112"/>
      <c r="AJ144" s="112"/>
      <c r="AK144" s="112"/>
      <c r="AL144" s="112"/>
      <c r="AM144" s="112"/>
      <c r="AN144" s="112"/>
      <c r="AO144" s="112"/>
      <c r="AP144" s="112"/>
      <c r="AQ144" s="112"/>
      <c r="AR144" s="112"/>
      <c r="AS144" s="112"/>
      <c r="AT144" s="112"/>
      <c r="AU144" s="112"/>
    </row>
    <row r="145" spans="1:47" s="115" customFormat="1" x14ac:dyDescent="0.2">
      <c r="A145" s="116"/>
      <c r="D145" s="136"/>
      <c r="G145" s="162"/>
      <c r="H145" s="112"/>
      <c r="I145" s="112"/>
      <c r="J145" s="112"/>
      <c r="K145" s="112"/>
      <c r="L145" s="112"/>
      <c r="M145" s="112"/>
      <c r="N145" s="112"/>
      <c r="O145" s="112"/>
      <c r="P145" s="112"/>
      <c r="Q145" s="112"/>
      <c r="R145" s="112"/>
      <c r="S145" s="112"/>
      <c r="T145" s="112"/>
      <c r="U145" s="112"/>
      <c r="V145" s="112"/>
      <c r="W145" s="112"/>
      <c r="X145" s="112"/>
      <c r="Y145" s="112"/>
      <c r="Z145" s="112"/>
      <c r="AA145" s="112"/>
      <c r="AB145" s="112"/>
      <c r="AC145" s="112"/>
      <c r="AD145" s="112"/>
      <c r="AE145" s="112"/>
      <c r="AF145" s="112"/>
      <c r="AG145" s="112"/>
      <c r="AH145" s="112"/>
      <c r="AI145" s="112"/>
      <c r="AJ145" s="112"/>
      <c r="AK145" s="112"/>
      <c r="AL145" s="112"/>
      <c r="AM145" s="112"/>
      <c r="AN145" s="112"/>
      <c r="AO145" s="112"/>
      <c r="AP145" s="112"/>
      <c r="AQ145" s="112"/>
      <c r="AR145" s="112"/>
      <c r="AS145" s="112"/>
      <c r="AT145" s="112"/>
      <c r="AU145" s="112"/>
    </row>
    <row r="146" spans="1:47" s="115" customFormat="1" x14ac:dyDescent="0.2">
      <c r="A146" s="116"/>
      <c r="D146" s="136"/>
      <c r="G146" s="162"/>
      <c r="H146" s="112"/>
      <c r="I146" s="112"/>
      <c r="J146" s="112"/>
      <c r="K146" s="112"/>
      <c r="L146" s="112"/>
      <c r="M146" s="112"/>
      <c r="N146" s="112"/>
      <c r="O146" s="112"/>
      <c r="P146" s="112"/>
      <c r="Q146" s="112"/>
      <c r="R146" s="112"/>
      <c r="S146" s="112"/>
      <c r="T146" s="112"/>
      <c r="U146" s="112"/>
      <c r="V146" s="112"/>
      <c r="W146" s="112"/>
      <c r="X146" s="112"/>
      <c r="Y146" s="112"/>
      <c r="Z146" s="112"/>
      <c r="AA146" s="112"/>
      <c r="AB146" s="112"/>
      <c r="AC146" s="112"/>
      <c r="AD146" s="112"/>
      <c r="AE146" s="112"/>
      <c r="AF146" s="112"/>
      <c r="AG146" s="112"/>
      <c r="AH146" s="112"/>
      <c r="AI146" s="112"/>
      <c r="AJ146" s="112"/>
      <c r="AK146" s="112"/>
      <c r="AL146" s="112"/>
      <c r="AM146" s="112"/>
      <c r="AN146" s="112"/>
      <c r="AO146" s="112"/>
      <c r="AP146" s="112"/>
      <c r="AQ146" s="112"/>
      <c r="AR146" s="112"/>
      <c r="AS146" s="112"/>
      <c r="AT146" s="112"/>
      <c r="AU146" s="112"/>
    </row>
    <row r="147" spans="1:47" s="115" customFormat="1" x14ac:dyDescent="0.2">
      <c r="A147" s="116"/>
      <c r="D147" s="136"/>
      <c r="G147" s="162"/>
      <c r="H147" s="112"/>
      <c r="I147" s="112"/>
      <c r="J147" s="112"/>
      <c r="K147" s="112"/>
      <c r="L147" s="112"/>
      <c r="M147" s="112"/>
      <c r="N147" s="112"/>
      <c r="O147" s="112"/>
      <c r="P147" s="112"/>
      <c r="Q147" s="112"/>
      <c r="R147" s="112"/>
      <c r="S147" s="112"/>
      <c r="T147" s="112"/>
      <c r="U147" s="112"/>
      <c r="V147" s="112"/>
      <c r="W147" s="112"/>
      <c r="X147" s="112"/>
      <c r="Y147" s="112"/>
      <c r="Z147" s="112"/>
      <c r="AA147" s="112"/>
      <c r="AB147" s="112"/>
      <c r="AC147" s="112"/>
      <c r="AD147" s="112"/>
      <c r="AE147" s="112"/>
      <c r="AF147" s="112"/>
      <c r="AG147" s="112"/>
      <c r="AH147" s="112"/>
      <c r="AI147" s="112"/>
      <c r="AJ147" s="112"/>
      <c r="AK147" s="112"/>
      <c r="AL147" s="112"/>
      <c r="AM147" s="112"/>
      <c r="AN147" s="112"/>
      <c r="AO147" s="112"/>
      <c r="AP147" s="112"/>
      <c r="AQ147" s="112"/>
      <c r="AR147" s="112"/>
      <c r="AS147" s="112"/>
      <c r="AT147" s="112"/>
      <c r="AU147" s="112"/>
    </row>
    <row r="148" spans="1:47" s="115" customFormat="1" x14ac:dyDescent="0.2">
      <c r="A148" s="116"/>
      <c r="D148" s="136"/>
      <c r="G148" s="162"/>
      <c r="H148" s="112"/>
      <c r="I148" s="112"/>
      <c r="J148" s="112"/>
      <c r="K148" s="112"/>
      <c r="L148" s="112"/>
      <c r="M148" s="112"/>
      <c r="N148" s="112"/>
      <c r="O148" s="112"/>
      <c r="P148" s="112"/>
      <c r="Q148" s="112"/>
      <c r="R148" s="112"/>
      <c r="S148" s="112"/>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c r="AO148" s="112"/>
      <c r="AP148" s="112"/>
      <c r="AQ148" s="112"/>
      <c r="AR148" s="112"/>
      <c r="AS148" s="112"/>
      <c r="AT148" s="112"/>
      <c r="AU148" s="112"/>
    </row>
    <row r="149" spans="1:47" s="115" customFormat="1" x14ac:dyDescent="0.2">
      <c r="A149" s="116"/>
      <c r="D149" s="136"/>
      <c r="G149" s="162"/>
      <c r="H149" s="112"/>
      <c r="I149" s="112"/>
      <c r="J149" s="112"/>
      <c r="K149" s="112"/>
      <c r="L149" s="112"/>
      <c r="M149" s="112"/>
      <c r="N149" s="112"/>
      <c r="O149" s="112"/>
      <c r="P149" s="112"/>
      <c r="Q149" s="112"/>
      <c r="R149" s="112"/>
      <c r="S149" s="112"/>
      <c r="T149" s="112"/>
      <c r="U149" s="112"/>
      <c r="V149" s="112"/>
      <c r="W149" s="112"/>
      <c r="X149" s="112"/>
      <c r="Y149" s="112"/>
      <c r="Z149" s="112"/>
      <c r="AA149" s="112"/>
      <c r="AB149" s="112"/>
      <c r="AC149" s="112"/>
      <c r="AD149" s="112"/>
      <c r="AE149" s="112"/>
      <c r="AF149" s="112"/>
      <c r="AG149" s="112"/>
      <c r="AH149" s="112"/>
      <c r="AI149" s="112"/>
      <c r="AJ149" s="112"/>
      <c r="AK149" s="112"/>
      <c r="AL149" s="112"/>
      <c r="AM149" s="112"/>
      <c r="AN149" s="112"/>
      <c r="AO149" s="112"/>
      <c r="AP149" s="112"/>
      <c r="AQ149" s="112"/>
      <c r="AR149" s="112"/>
      <c r="AS149" s="112"/>
      <c r="AT149" s="112"/>
      <c r="AU149" s="112"/>
    </row>
    <row r="150" spans="1:47" s="115" customFormat="1" x14ac:dyDescent="0.2">
      <c r="A150" s="116"/>
      <c r="D150" s="136"/>
      <c r="G150" s="162"/>
      <c r="H150" s="112"/>
      <c r="I150" s="112"/>
      <c r="J150" s="112"/>
      <c r="K150" s="112"/>
      <c r="L150" s="112"/>
      <c r="M150" s="112"/>
      <c r="N150" s="112"/>
      <c r="O150" s="112"/>
      <c r="P150" s="112"/>
      <c r="Q150" s="112"/>
      <c r="R150" s="112"/>
      <c r="S150" s="112"/>
      <c r="T150" s="112"/>
      <c r="U150" s="112"/>
      <c r="V150" s="112"/>
      <c r="W150" s="112"/>
      <c r="X150" s="112"/>
      <c r="Y150" s="112"/>
      <c r="Z150" s="112"/>
      <c r="AA150" s="112"/>
      <c r="AB150" s="112"/>
      <c r="AC150" s="112"/>
      <c r="AD150" s="112"/>
      <c r="AE150" s="112"/>
      <c r="AF150" s="112"/>
      <c r="AG150" s="112"/>
      <c r="AH150" s="112"/>
      <c r="AI150" s="112"/>
      <c r="AJ150" s="112"/>
      <c r="AK150" s="112"/>
      <c r="AL150" s="112"/>
      <c r="AM150" s="112"/>
      <c r="AN150" s="112"/>
      <c r="AO150" s="112"/>
      <c r="AP150" s="112"/>
      <c r="AQ150" s="112"/>
      <c r="AR150" s="112"/>
      <c r="AS150" s="112"/>
      <c r="AT150" s="112"/>
      <c r="AU150" s="112"/>
    </row>
    <row r="151" spans="1:47" s="115" customFormat="1" x14ac:dyDescent="0.2">
      <c r="A151" s="116"/>
      <c r="D151" s="136"/>
      <c r="G151" s="162"/>
      <c r="H151" s="112"/>
      <c r="I151" s="112"/>
      <c r="J151" s="112"/>
      <c r="K151" s="112"/>
      <c r="L151" s="112"/>
      <c r="M151" s="112"/>
      <c r="N151" s="112"/>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c r="AJ151" s="112"/>
      <c r="AK151" s="112"/>
      <c r="AL151" s="112"/>
      <c r="AM151" s="112"/>
      <c r="AN151" s="112"/>
      <c r="AO151" s="112"/>
      <c r="AP151" s="112"/>
      <c r="AQ151" s="112"/>
      <c r="AR151" s="112"/>
      <c r="AS151" s="112"/>
      <c r="AT151" s="112"/>
      <c r="AU151" s="112"/>
    </row>
    <row r="152" spans="1:47" s="115" customFormat="1" x14ac:dyDescent="0.2">
      <c r="A152" s="116"/>
      <c r="D152" s="136"/>
      <c r="G152" s="162"/>
      <c r="H152" s="112"/>
      <c r="I152" s="112"/>
      <c r="J152" s="112"/>
      <c r="K152" s="112"/>
      <c r="L152" s="112"/>
      <c r="M152" s="112"/>
      <c r="N152" s="112"/>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c r="AJ152" s="112"/>
      <c r="AK152" s="112"/>
      <c r="AL152" s="112"/>
      <c r="AM152" s="112"/>
      <c r="AN152" s="112"/>
      <c r="AO152" s="112"/>
      <c r="AP152" s="112"/>
      <c r="AQ152" s="112"/>
      <c r="AR152" s="112"/>
      <c r="AS152" s="112"/>
      <c r="AT152" s="112"/>
      <c r="AU152" s="112"/>
    </row>
    <row r="153" spans="1:47" s="115" customFormat="1" x14ac:dyDescent="0.2">
      <c r="A153" s="116"/>
      <c r="D153" s="136"/>
      <c r="G153" s="162"/>
      <c r="H153" s="112"/>
      <c r="I153" s="112"/>
      <c r="J153" s="112"/>
      <c r="K153" s="112"/>
      <c r="L153" s="112"/>
      <c r="M153" s="112"/>
      <c r="N153" s="112"/>
      <c r="O153" s="112"/>
      <c r="P153" s="112"/>
      <c r="Q153" s="112"/>
      <c r="R153" s="112"/>
      <c r="S153" s="112"/>
      <c r="T153" s="112"/>
      <c r="U153" s="112"/>
      <c r="V153" s="112"/>
      <c r="W153" s="112"/>
      <c r="X153" s="112"/>
      <c r="Y153" s="112"/>
      <c r="Z153" s="112"/>
      <c r="AA153" s="112"/>
      <c r="AB153" s="112"/>
      <c r="AC153" s="112"/>
      <c r="AD153" s="112"/>
      <c r="AE153" s="112"/>
      <c r="AF153" s="112"/>
      <c r="AG153" s="112"/>
      <c r="AH153" s="112"/>
      <c r="AI153" s="112"/>
      <c r="AJ153" s="112"/>
      <c r="AK153" s="112"/>
      <c r="AL153" s="112"/>
      <c r="AM153" s="112"/>
      <c r="AN153" s="112"/>
      <c r="AO153" s="112"/>
      <c r="AP153" s="112"/>
      <c r="AQ153" s="112"/>
      <c r="AR153" s="112"/>
      <c r="AS153" s="112"/>
      <c r="AT153" s="112"/>
      <c r="AU153" s="112"/>
    </row>
    <row r="154" spans="1:47" s="115" customFormat="1" x14ac:dyDescent="0.2">
      <c r="A154" s="116"/>
      <c r="D154" s="136"/>
      <c r="G154" s="162"/>
      <c r="H154" s="112"/>
      <c r="I154" s="112"/>
      <c r="J154" s="112"/>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2"/>
      <c r="AN154" s="112"/>
      <c r="AO154" s="112"/>
      <c r="AP154" s="112"/>
      <c r="AQ154" s="112"/>
      <c r="AR154" s="112"/>
      <c r="AS154" s="112"/>
      <c r="AT154" s="112"/>
      <c r="AU154" s="112"/>
    </row>
    <row r="155" spans="1:47" s="115" customFormat="1" x14ac:dyDescent="0.2">
      <c r="A155" s="116"/>
      <c r="D155" s="136"/>
      <c r="G155" s="162"/>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c r="AD155" s="112"/>
      <c r="AE155" s="112"/>
      <c r="AF155" s="112"/>
      <c r="AG155" s="112"/>
      <c r="AH155" s="112"/>
      <c r="AI155" s="112"/>
      <c r="AJ155" s="112"/>
      <c r="AK155" s="112"/>
      <c r="AL155" s="112"/>
      <c r="AM155" s="112"/>
      <c r="AN155" s="112"/>
      <c r="AO155" s="112"/>
      <c r="AP155" s="112"/>
      <c r="AQ155" s="112"/>
      <c r="AR155" s="112"/>
      <c r="AS155" s="112"/>
      <c r="AT155" s="112"/>
      <c r="AU155" s="112"/>
    </row>
    <row r="156" spans="1:47" s="115" customFormat="1" x14ac:dyDescent="0.2">
      <c r="A156" s="116"/>
      <c r="D156" s="136"/>
      <c r="G156" s="162"/>
      <c r="H156" s="112"/>
      <c r="I156" s="112"/>
      <c r="J156" s="112"/>
      <c r="K156" s="112"/>
      <c r="L156" s="112"/>
      <c r="M156" s="112"/>
      <c r="N156" s="112"/>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c r="AJ156" s="112"/>
      <c r="AK156" s="112"/>
      <c r="AL156" s="112"/>
      <c r="AM156" s="112"/>
      <c r="AN156" s="112"/>
      <c r="AO156" s="112"/>
      <c r="AP156" s="112"/>
      <c r="AQ156" s="112"/>
      <c r="AR156" s="112"/>
      <c r="AS156" s="112"/>
      <c r="AT156" s="112"/>
      <c r="AU156" s="112"/>
    </row>
    <row r="157" spans="1:47" s="115" customFormat="1" x14ac:dyDescent="0.2">
      <c r="A157" s="116"/>
      <c r="D157" s="136"/>
      <c r="G157" s="162"/>
      <c r="H157" s="112"/>
      <c r="I157" s="112"/>
      <c r="J157" s="112"/>
      <c r="K157" s="112"/>
      <c r="L157" s="112"/>
      <c r="M157" s="112"/>
      <c r="N157" s="112"/>
      <c r="O157" s="112"/>
      <c r="P157" s="112"/>
      <c r="Q157" s="112"/>
      <c r="R157" s="112"/>
      <c r="S157" s="112"/>
      <c r="T157" s="112"/>
      <c r="U157" s="112"/>
      <c r="V157" s="112"/>
      <c r="W157" s="112"/>
      <c r="X157" s="112"/>
      <c r="Y157" s="112"/>
      <c r="Z157" s="112"/>
      <c r="AA157" s="112"/>
      <c r="AB157" s="112"/>
      <c r="AC157" s="112"/>
      <c r="AD157" s="112"/>
      <c r="AE157" s="112"/>
      <c r="AF157" s="112"/>
      <c r="AG157" s="112"/>
      <c r="AH157" s="112"/>
      <c r="AI157" s="112"/>
      <c r="AJ157" s="112"/>
      <c r="AK157" s="112"/>
      <c r="AL157" s="112"/>
      <c r="AM157" s="112"/>
      <c r="AN157" s="112"/>
      <c r="AO157" s="112"/>
      <c r="AP157" s="112"/>
      <c r="AQ157" s="112"/>
      <c r="AR157" s="112"/>
      <c r="AS157" s="112"/>
      <c r="AT157" s="112"/>
      <c r="AU157" s="112"/>
    </row>
    <row r="158" spans="1:47" s="115" customFormat="1" x14ac:dyDescent="0.2">
      <c r="A158" s="116"/>
      <c r="D158" s="136"/>
      <c r="G158" s="162"/>
      <c r="H158" s="112"/>
      <c r="I158" s="112"/>
      <c r="J158" s="112"/>
      <c r="K158" s="112"/>
      <c r="L158" s="112"/>
      <c r="M158" s="112"/>
      <c r="N158" s="112"/>
      <c r="O158" s="112"/>
      <c r="P158" s="112"/>
      <c r="Q158" s="112"/>
      <c r="R158" s="112"/>
      <c r="S158" s="112"/>
      <c r="T158" s="112"/>
      <c r="U158" s="112"/>
      <c r="V158" s="112"/>
      <c r="W158" s="112"/>
      <c r="X158" s="112"/>
      <c r="Y158" s="112"/>
      <c r="Z158" s="112"/>
      <c r="AA158" s="112"/>
      <c r="AB158" s="112"/>
      <c r="AC158" s="112"/>
      <c r="AD158" s="112"/>
      <c r="AE158" s="112"/>
      <c r="AF158" s="112"/>
      <c r="AG158" s="112"/>
      <c r="AH158" s="112"/>
      <c r="AI158" s="112"/>
      <c r="AJ158" s="112"/>
      <c r="AK158" s="112"/>
      <c r="AL158" s="112"/>
      <c r="AM158" s="112"/>
      <c r="AN158" s="112"/>
      <c r="AO158" s="112"/>
      <c r="AP158" s="112"/>
      <c r="AQ158" s="112"/>
      <c r="AR158" s="112"/>
      <c r="AS158" s="112"/>
      <c r="AT158" s="112"/>
      <c r="AU158" s="112"/>
    </row>
    <row r="159" spans="1:47" s="115" customFormat="1" x14ac:dyDescent="0.2">
      <c r="A159" s="116"/>
      <c r="D159" s="136"/>
      <c r="G159" s="162"/>
      <c r="H159" s="112"/>
      <c r="I159" s="112"/>
      <c r="J159" s="112"/>
      <c r="K159" s="112"/>
      <c r="L159" s="112"/>
      <c r="M159" s="112"/>
      <c r="N159" s="112"/>
      <c r="O159" s="112"/>
      <c r="P159" s="112"/>
      <c r="Q159" s="112"/>
      <c r="R159" s="112"/>
      <c r="S159" s="112"/>
      <c r="T159" s="112"/>
      <c r="U159" s="112"/>
      <c r="V159" s="112"/>
      <c r="W159" s="112"/>
      <c r="X159" s="112"/>
      <c r="Y159" s="112"/>
      <c r="Z159" s="112"/>
      <c r="AA159" s="112"/>
      <c r="AB159" s="112"/>
      <c r="AC159" s="112"/>
      <c r="AD159" s="112"/>
      <c r="AE159" s="112"/>
      <c r="AF159" s="112"/>
      <c r="AG159" s="112"/>
      <c r="AH159" s="112"/>
      <c r="AI159" s="112"/>
      <c r="AJ159" s="112"/>
      <c r="AK159" s="112"/>
      <c r="AL159" s="112"/>
      <c r="AM159" s="112"/>
      <c r="AN159" s="112"/>
      <c r="AO159" s="112"/>
      <c r="AP159" s="112"/>
      <c r="AQ159" s="112"/>
      <c r="AR159" s="112"/>
      <c r="AS159" s="112"/>
      <c r="AT159" s="112"/>
      <c r="AU159" s="112"/>
    </row>
    <row r="160" spans="1:47" s="115" customFormat="1" x14ac:dyDescent="0.2">
      <c r="A160" s="116"/>
      <c r="D160" s="136"/>
      <c r="G160" s="162"/>
      <c r="H160" s="112"/>
      <c r="I160" s="112"/>
      <c r="J160" s="112"/>
      <c r="K160" s="112"/>
      <c r="L160" s="112"/>
      <c r="M160" s="112"/>
      <c r="N160" s="112"/>
      <c r="O160" s="112"/>
      <c r="P160" s="112"/>
      <c r="Q160" s="112"/>
      <c r="R160" s="112"/>
      <c r="S160" s="112"/>
      <c r="T160" s="112"/>
      <c r="U160" s="112"/>
      <c r="V160" s="112"/>
      <c r="W160" s="112"/>
      <c r="X160" s="112"/>
      <c r="Y160" s="112"/>
      <c r="Z160" s="112"/>
      <c r="AA160" s="112"/>
      <c r="AB160" s="112"/>
      <c r="AC160" s="112"/>
      <c r="AD160" s="112"/>
      <c r="AE160" s="112"/>
      <c r="AF160" s="112"/>
      <c r="AG160" s="112"/>
      <c r="AH160" s="112"/>
      <c r="AI160" s="112"/>
      <c r="AJ160" s="112"/>
      <c r="AK160" s="112"/>
      <c r="AL160" s="112"/>
      <c r="AM160" s="112"/>
      <c r="AN160" s="112"/>
      <c r="AO160" s="112"/>
      <c r="AP160" s="112"/>
      <c r="AQ160" s="112"/>
      <c r="AR160" s="112"/>
      <c r="AS160" s="112"/>
      <c r="AT160" s="112"/>
      <c r="AU160" s="112"/>
    </row>
    <row r="161" spans="1:47" s="115" customFormat="1" x14ac:dyDescent="0.2">
      <c r="A161" s="116"/>
      <c r="D161" s="136"/>
      <c r="G161" s="162"/>
      <c r="H161" s="112"/>
      <c r="I161" s="112"/>
      <c r="J161" s="112"/>
      <c r="K161" s="112"/>
      <c r="L161" s="112"/>
      <c r="M161" s="112"/>
      <c r="N161" s="112"/>
      <c r="O161" s="112"/>
      <c r="P161" s="112"/>
      <c r="Q161" s="112"/>
      <c r="R161" s="112"/>
      <c r="S161" s="112"/>
      <c r="T161" s="112"/>
      <c r="U161" s="112"/>
      <c r="V161" s="112"/>
      <c r="W161" s="112"/>
      <c r="X161" s="112"/>
      <c r="Y161" s="112"/>
      <c r="Z161" s="112"/>
      <c r="AA161" s="112"/>
      <c r="AB161" s="112"/>
      <c r="AC161" s="112"/>
      <c r="AD161" s="112"/>
      <c r="AE161" s="112"/>
      <c r="AF161" s="112"/>
      <c r="AG161" s="112"/>
      <c r="AH161" s="112"/>
      <c r="AI161" s="112"/>
      <c r="AJ161" s="112"/>
      <c r="AK161" s="112"/>
      <c r="AL161" s="112"/>
      <c r="AM161" s="112"/>
      <c r="AN161" s="112"/>
      <c r="AO161" s="112"/>
      <c r="AP161" s="112"/>
      <c r="AQ161" s="112"/>
      <c r="AR161" s="112"/>
      <c r="AS161" s="112"/>
      <c r="AT161" s="112"/>
      <c r="AU161" s="112"/>
    </row>
    <row r="162" spans="1:47" s="115" customFormat="1" x14ac:dyDescent="0.2">
      <c r="A162" s="116"/>
      <c r="D162" s="136"/>
      <c r="G162" s="162"/>
      <c r="H162" s="112"/>
      <c r="I162" s="112"/>
      <c r="J162" s="112"/>
      <c r="K162" s="112"/>
      <c r="L162" s="112"/>
      <c r="M162" s="112"/>
      <c r="N162" s="112"/>
      <c r="O162" s="112"/>
      <c r="P162" s="112"/>
      <c r="Q162" s="112"/>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c r="AO162" s="112"/>
      <c r="AP162" s="112"/>
      <c r="AQ162" s="112"/>
      <c r="AR162" s="112"/>
      <c r="AS162" s="112"/>
      <c r="AT162" s="112"/>
      <c r="AU162" s="112"/>
    </row>
    <row r="163" spans="1:47" s="115" customFormat="1" x14ac:dyDescent="0.2">
      <c r="A163" s="116"/>
      <c r="D163" s="136"/>
      <c r="G163" s="162"/>
      <c r="H163" s="112"/>
      <c r="I163" s="112"/>
      <c r="J163" s="112"/>
      <c r="K163" s="112"/>
      <c r="L163" s="112"/>
      <c r="M163" s="112"/>
      <c r="N163" s="112"/>
      <c r="O163" s="112"/>
      <c r="P163" s="112"/>
      <c r="Q163" s="112"/>
      <c r="R163" s="112"/>
      <c r="S163" s="112"/>
      <c r="T163" s="112"/>
      <c r="U163" s="112"/>
      <c r="V163" s="112"/>
      <c r="W163" s="112"/>
      <c r="X163" s="112"/>
      <c r="Y163" s="112"/>
      <c r="Z163" s="112"/>
      <c r="AA163" s="112"/>
      <c r="AB163" s="112"/>
      <c r="AC163" s="112"/>
      <c r="AD163" s="112"/>
      <c r="AE163" s="112"/>
      <c r="AF163" s="112"/>
      <c r="AG163" s="112"/>
      <c r="AH163" s="112"/>
      <c r="AI163" s="112"/>
      <c r="AJ163" s="112"/>
      <c r="AK163" s="112"/>
      <c r="AL163" s="112"/>
      <c r="AM163" s="112"/>
      <c r="AN163" s="112"/>
      <c r="AO163" s="112"/>
      <c r="AP163" s="112"/>
      <c r="AQ163" s="112"/>
      <c r="AR163" s="112"/>
      <c r="AS163" s="112"/>
      <c r="AT163" s="112"/>
      <c r="AU163" s="112"/>
    </row>
    <row r="164" spans="1:47" s="115" customFormat="1" x14ac:dyDescent="0.2">
      <c r="A164" s="116"/>
      <c r="D164" s="136"/>
      <c r="G164" s="162"/>
      <c r="H164" s="112"/>
      <c r="I164" s="112"/>
      <c r="J164" s="112"/>
      <c r="K164" s="112"/>
      <c r="L164" s="112"/>
      <c r="M164" s="112"/>
      <c r="N164" s="112"/>
      <c r="O164" s="112"/>
      <c r="P164" s="112"/>
      <c r="Q164" s="112"/>
      <c r="R164" s="112"/>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2"/>
      <c r="AN164" s="112"/>
      <c r="AO164" s="112"/>
      <c r="AP164" s="112"/>
      <c r="AQ164" s="112"/>
      <c r="AR164" s="112"/>
      <c r="AS164" s="112"/>
      <c r="AT164" s="112"/>
      <c r="AU164" s="112"/>
    </row>
    <row r="165" spans="1:47" s="115" customFormat="1" x14ac:dyDescent="0.2">
      <c r="A165" s="116"/>
      <c r="D165" s="136"/>
      <c r="G165" s="162"/>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c r="AD165" s="112"/>
      <c r="AE165" s="112"/>
      <c r="AF165" s="112"/>
      <c r="AG165" s="112"/>
      <c r="AH165" s="112"/>
      <c r="AI165" s="112"/>
      <c r="AJ165" s="112"/>
      <c r="AK165" s="112"/>
      <c r="AL165" s="112"/>
      <c r="AM165" s="112"/>
      <c r="AN165" s="112"/>
      <c r="AO165" s="112"/>
      <c r="AP165" s="112"/>
      <c r="AQ165" s="112"/>
      <c r="AR165" s="112"/>
      <c r="AS165" s="112"/>
      <c r="AT165" s="112"/>
      <c r="AU165" s="112"/>
    </row>
    <row r="166" spans="1:47" s="115" customFormat="1" x14ac:dyDescent="0.2">
      <c r="A166" s="116"/>
      <c r="D166" s="136"/>
      <c r="G166" s="162"/>
      <c r="H166" s="112"/>
      <c r="I166" s="112"/>
      <c r="J166" s="112"/>
      <c r="K166" s="112"/>
      <c r="L166" s="112"/>
      <c r="M166" s="112"/>
      <c r="N166" s="112"/>
      <c r="O166" s="112"/>
      <c r="P166" s="112"/>
      <c r="Q166" s="112"/>
      <c r="R166" s="112"/>
      <c r="S166" s="112"/>
      <c r="T166" s="112"/>
      <c r="U166" s="112"/>
      <c r="V166" s="112"/>
      <c r="W166" s="112"/>
      <c r="X166" s="112"/>
      <c r="Y166" s="112"/>
      <c r="Z166" s="112"/>
      <c r="AA166" s="112"/>
      <c r="AB166" s="112"/>
      <c r="AC166" s="112"/>
      <c r="AD166" s="112"/>
      <c r="AE166" s="112"/>
      <c r="AF166" s="112"/>
      <c r="AG166" s="112"/>
      <c r="AH166" s="112"/>
      <c r="AI166" s="112"/>
      <c r="AJ166" s="112"/>
      <c r="AK166" s="112"/>
      <c r="AL166" s="112"/>
      <c r="AM166" s="112"/>
      <c r="AN166" s="112"/>
      <c r="AO166" s="112"/>
      <c r="AP166" s="112"/>
      <c r="AQ166" s="112"/>
      <c r="AR166" s="112"/>
      <c r="AS166" s="112"/>
      <c r="AT166" s="112"/>
      <c r="AU166" s="112"/>
    </row>
    <row r="167" spans="1:47" s="115" customFormat="1" x14ac:dyDescent="0.2">
      <c r="A167" s="116"/>
      <c r="D167" s="136"/>
      <c r="G167" s="162"/>
      <c r="H167" s="112"/>
      <c r="I167" s="112"/>
      <c r="J167" s="112"/>
      <c r="K167" s="112"/>
      <c r="L167" s="112"/>
      <c r="M167" s="112"/>
      <c r="N167" s="112"/>
      <c r="O167" s="112"/>
      <c r="P167" s="112"/>
      <c r="Q167" s="112"/>
      <c r="R167" s="112"/>
      <c r="S167" s="112"/>
      <c r="T167" s="112"/>
      <c r="U167" s="112"/>
      <c r="V167" s="112"/>
      <c r="W167" s="112"/>
      <c r="X167" s="112"/>
      <c r="Y167" s="112"/>
      <c r="Z167" s="112"/>
      <c r="AA167" s="112"/>
      <c r="AB167" s="112"/>
      <c r="AC167" s="112"/>
      <c r="AD167" s="112"/>
      <c r="AE167" s="112"/>
      <c r="AF167" s="112"/>
      <c r="AG167" s="112"/>
      <c r="AH167" s="112"/>
      <c r="AI167" s="112"/>
      <c r="AJ167" s="112"/>
      <c r="AK167" s="112"/>
      <c r="AL167" s="112"/>
      <c r="AM167" s="112"/>
      <c r="AN167" s="112"/>
      <c r="AO167" s="112"/>
      <c r="AP167" s="112"/>
      <c r="AQ167" s="112"/>
      <c r="AR167" s="112"/>
      <c r="AS167" s="112"/>
      <c r="AT167" s="112"/>
      <c r="AU167" s="112"/>
    </row>
    <row r="168" spans="1:47" s="115" customFormat="1" x14ac:dyDescent="0.2">
      <c r="A168" s="116"/>
      <c r="D168" s="136"/>
      <c r="G168" s="162"/>
      <c r="H168" s="112"/>
      <c r="I168" s="112"/>
      <c r="J168" s="112"/>
      <c r="K168" s="112"/>
      <c r="L168" s="112"/>
      <c r="M168" s="112"/>
      <c r="N168" s="112"/>
      <c r="O168" s="112"/>
      <c r="P168" s="112"/>
      <c r="Q168" s="112"/>
      <c r="R168" s="112"/>
      <c r="S168" s="112"/>
      <c r="T168" s="112"/>
      <c r="U168" s="112"/>
      <c r="V168" s="112"/>
      <c r="W168" s="112"/>
      <c r="X168" s="112"/>
      <c r="Y168" s="112"/>
      <c r="Z168" s="112"/>
      <c r="AA168" s="112"/>
      <c r="AB168" s="112"/>
      <c r="AC168" s="112"/>
      <c r="AD168" s="112"/>
      <c r="AE168" s="112"/>
      <c r="AF168" s="112"/>
      <c r="AG168" s="112"/>
      <c r="AH168" s="112"/>
      <c r="AI168" s="112"/>
      <c r="AJ168" s="112"/>
      <c r="AK168" s="112"/>
      <c r="AL168" s="112"/>
      <c r="AM168" s="112"/>
      <c r="AN168" s="112"/>
      <c r="AO168" s="112"/>
      <c r="AP168" s="112"/>
      <c r="AQ168" s="112"/>
      <c r="AR168" s="112"/>
      <c r="AS168" s="112"/>
      <c r="AT168" s="112"/>
      <c r="AU168" s="112"/>
    </row>
    <row r="169" spans="1:47" s="115" customFormat="1" x14ac:dyDescent="0.2">
      <c r="A169" s="116"/>
      <c r="D169" s="136"/>
      <c r="G169" s="162"/>
      <c r="H169" s="112"/>
      <c r="I169" s="112"/>
      <c r="J169" s="112"/>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2"/>
      <c r="AN169" s="112"/>
      <c r="AO169" s="112"/>
      <c r="AP169" s="112"/>
      <c r="AQ169" s="112"/>
      <c r="AR169" s="112"/>
      <c r="AS169" s="112"/>
      <c r="AT169" s="112"/>
      <c r="AU169" s="112"/>
    </row>
    <row r="170" spans="1:47" s="115" customFormat="1" x14ac:dyDescent="0.2">
      <c r="A170" s="116"/>
      <c r="D170" s="136"/>
      <c r="G170" s="162"/>
      <c r="H170" s="112"/>
      <c r="I170" s="112"/>
      <c r="J170" s="112"/>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2"/>
      <c r="AN170" s="112"/>
      <c r="AO170" s="112"/>
      <c r="AP170" s="112"/>
      <c r="AQ170" s="112"/>
      <c r="AR170" s="112"/>
      <c r="AS170" s="112"/>
      <c r="AT170" s="112"/>
      <c r="AU170" s="112"/>
    </row>
    <row r="171" spans="1:47" s="115" customFormat="1" ht="15" customHeight="1" x14ac:dyDescent="0.2">
      <c r="A171" s="116"/>
      <c r="D171" s="136"/>
      <c r="G171" s="162"/>
      <c r="H171" s="112"/>
      <c r="I171" s="112"/>
      <c r="J171" s="112"/>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2"/>
      <c r="AN171" s="112"/>
      <c r="AO171" s="112"/>
      <c r="AP171" s="112"/>
      <c r="AQ171" s="112"/>
      <c r="AR171" s="112"/>
      <c r="AS171" s="112"/>
      <c r="AT171" s="112"/>
      <c r="AU171" s="112"/>
    </row>
    <row r="172" spans="1:47" s="115" customFormat="1" x14ac:dyDescent="0.2">
      <c r="A172" s="116"/>
      <c r="D172" s="136"/>
      <c r="G172" s="162"/>
      <c r="H172" s="112"/>
      <c r="I172" s="112"/>
      <c r="J172" s="112"/>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2"/>
      <c r="AN172" s="112"/>
      <c r="AO172" s="112"/>
      <c r="AP172" s="112"/>
      <c r="AQ172" s="112"/>
      <c r="AR172" s="112"/>
      <c r="AS172" s="112"/>
      <c r="AT172" s="112"/>
      <c r="AU172" s="112"/>
    </row>
    <row r="173" spans="1:47" s="115" customFormat="1" x14ac:dyDescent="0.2">
      <c r="A173" s="116"/>
      <c r="D173" s="136"/>
      <c r="G173" s="162"/>
      <c r="H173" s="112"/>
      <c r="I173" s="112"/>
      <c r="J173" s="112"/>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2"/>
      <c r="AN173" s="112"/>
      <c r="AO173" s="112"/>
      <c r="AP173" s="112"/>
      <c r="AQ173" s="112"/>
      <c r="AR173" s="112"/>
      <c r="AS173" s="112"/>
      <c r="AT173" s="112"/>
      <c r="AU173" s="112"/>
    </row>
    <row r="174" spans="1:47" s="115" customFormat="1" x14ac:dyDescent="0.2">
      <c r="A174" s="116"/>
      <c r="D174" s="136"/>
      <c r="G174" s="162"/>
      <c r="H174" s="112"/>
      <c r="I174" s="112"/>
      <c r="J174" s="112"/>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c r="AO174" s="112"/>
      <c r="AP174" s="112"/>
      <c r="AQ174" s="112"/>
      <c r="AR174" s="112"/>
      <c r="AS174" s="112"/>
      <c r="AT174" s="112"/>
      <c r="AU174" s="112"/>
    </row>
    <row r="175" spans="1:47" s="115" customFormat="1" x14ac:dyDescent="0.2">
      <c r="A175" s="116"/>
      <c r="D175" s="136"/>
      <c r="G175" s="162"/>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2"/>
      <c r="AN175" s="112"/>
      <c r="AO175" s="112"/>
      <c r="AP175" s="112"/>
      <c r="AQ175" s="112"/>
      <c r="AR175" s="112"/>
      <c r="AS175" s="112"/>
      <c r="AT175" s="112"/>
      <c r="AU175" s="112"/>
    </row>
    <row r="176" spans="1:47" s="115" customFormat="1" x14ac:dyDescent="0.2">
      <c r="A176" s="116"/>
      <c r="D176" s="136"/>
      <c r="G176" s="162"/>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c r="AN176" s="112"/>
      <c r="AO176" s="112"/>
      <c r="AP176" s="112"/>
      <c r="AQ176" s="112"/>
      <c r="AR176" s="112"/>
      <c r="AS176" s="112"/>
      <c r="AT176" s="112"/>
      <c r="AU176" s="112"/>
    </row>
    <row r="177" spans="1:47" s="115" customFormat="1" x14ac:dyDescent="0.2">
      <c r="A177" s="116"/>
      <c r="D177" s="136"/>
      <c r="G177" s="162"/>
      <c r="H177" s="112"/>
      <c r="I177" s="112"/>
      <c r="J177" s="112"/>
      <c r="K177" s="112"/>
      <c r="L177" s="112"/>
      <c r="M177" s="112"/>
      <c r="N177" s="112"/>
      <c r="O177" s="112"/>
      <c r="P177" s="112"/>
      <c r="Q177" s="112"/>
      <c r="R177" s="112"/>
      <c r="S177" s="112"/>
      <c r="T177" s="112"/>
      <c r="U177" s="112"/>
      <c r="V177" s="112"/>
      <c r="W177" s="112"/>
      <c r="X177" s="112"/>
      <c r="Y177" s="112"/>
      <c r="Z177" s="112"/>
      <c r="AA177" s="112"/>
      <c r="AB177" s="112"/>
      <c r="AC177" s="112"/>
      <c r="AD177" s="112"/>
      <c r="AE177" s="112"/>
      <c r="AF177" s="112"/>
      <c r="AG177" s="112"/>
      <c r="AH177" s="112"/>
      <c r="AI177" s="112"/>
      <c r="AJ177" s="112"/>
      <c r="AK177" s="112"/>
      <c r="AL177" s="112"/>
      <c r="AM177" s="112"/>
      <c r="AN177" s="112"/>
      <c r="AO177" s="112"/>
      <c r="AP177" s="112"/>
      <c r="AQ177" s="112"/>
      <c r="AR177" s="112"/>
      <c r="AS177" s="112"/>
      <c r="AT177" s="112"/>
      <c r="AU177" s="112"/>
    </row>
    <row r="178" spans="1:47" s="115" customFormat="1" x14ac:dyDescent="0.2">
      <c r="A178" s="116"/>
      <c r="D178" s="136"/>
      <c r="G178" s="51"/>
      <c r="H178" s="112"/>
      <c r="I178" s="112"/>
      <c r="J178" s="112"/>
      <c r="K178" s="112"/>
      <c r="L178" s="112"/>
      <c r="M178" s="112"/>
      <c r="N178" s="112"/>
      <c r="O178" s="112"/>
      <c r="P178" s="112"/>
      <c r="Q178" s="112"/>
      <c r="R178" s="112"/>
      <c r="S178" s="112"/>
      <c r="T178" s="112"/>
      <c r="U178" s="112"/>
      <c r="V178" s="112"/>
      <c r="W178" s="112"/>
      <c r="X178" s="112"/>
      <c r="Y178" s="112"/>
      <c r="Z178" s="112"/>
      <c r="AA178" s="112"/>
      <c r="AB178" s="112"/>
      <c r="AC178" s="112"/>
      <c r="AD178" s="112"/>
      <c r="AE178" s="112"/>
      <c r="AF178" s="112"/>
      <c r="AG178" s="112"/>
      <c r="AH178" s="112"/>
      <c r="AI178" s="112"/>
      <c r="AJ178" s="112"/>
      <c r="AK178" s="112"/>
      <c r="AL178" s="112"/>
      <c r="AM178" s="112"/>
      <c r="AN178" s="112"/>
      <c r="AO178" s="112"/>
      <c r="AP178" s="112"/>
      <c r="AQ178" s="112"/>
      <c r="AR178" s="112"/>
      <c r="AS178" s="112"/>
      <c r="AT178" s="112"/>
      <c r="AU178" s="112"/>
    </row>
    <row r="179" spans="1:47" s="115" customFormat="1" x14ac:dyDescent="0.2">
      <c r="A179" s="116"/>
      <c r="D179" s="136"/>
      <c r="G179" s="51"/>
      <c r="H179" s="112"/>
      <c r="I179" s="112"/>
      <c r="J179" s="112"/>
      <c r="K179" s="112"/>
      <c r="L179" s="112"/>
      <c r="M179" s="112"/>
      <c r="N179" s="112"/>
      <c r="O179" s="112"/>
      <c r="P179" s="112"/>
      <c r="Q179" s="112"/>
      <c r="R179" s="112"/>
      <c r="S179" s="112"/>
      <c r="T179" s="112"/>
      <c r="U179" s="112"/>
      <c r="V179" s="112"/>
      <c r="W179" s="112"/>
      <c r="X179" s="112"/>
      <c r="Y179" s="112"/>
      <c r="Z179" s="112"/>
      <c r="AA179" s="112"/>
      <c r="AB179" s="112"/>
      <c r="AC179" s="112"/>
      <c r="AD179" s="112"/>
      <c r="AE179" s="112"/>
      <c r="AF179" s="112"/>
      <c r="AG179" s="112"/>
      <c r="AH179" s="112"/>
      <c r="AI179" s="112"/>
      <c r="AJ179" s="112"/>
      <c r="AK179" s="112"/>
      <c r="AL179" s="112"/>
      <c r="AM179" s="112"/>
      <c r="AN179" s="112"/>
      <c r="AO179" s="112"/>
      <c r="AP179" s="112"/>
      <c r="AQ179" s="112"/>
      <c r="AR179" s="112"/>
      <c r="AS179" s="112"/>
      <c r="AT179" s="112"/>
      <c r="AU179" s="112"/>
    </row>
    <row r="180" spans="1:47" s="115" customFormat="1" x14ac:dyDescent="0.2">
      <c r="A180" s="116"/>
      <c r="D180" s="136"/>
      <c r="G180" s="51"/>
      <c r="H180" s="112"/>
      <c r="I180" s="112"/>
      <c r="J180" s="112"/>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c r="AO180" s="112"/>
      <c r="AP180" s="112"/>
      <c r="AQ180" s="112"/>
      <c r="AR180" s="112"/>
      <c r="AS180" s="112"/>
      <c r="AT180" s="112"/>
      <c r="AU180" s="112"/>
    </row>
    <row r="181" spans="1:47" s="115" customFormat="1" x14ac:dyDescent="0.2">
      <c r="A181" s="116"/>
      <c r="D181" s="136"/>
      <c r="G181" s="51"/>
      <c r="H181" s="112"/>
      <c r="I181" s="112"/>
      <c r="J181" s="112"/>
      <c r="K181" s="112"/>
      <c r="L181" s="112"/>
      <c r="M181" s="112"/>
      <c r="N181" s="112"/>
      <c r="O181" s="112"/>
      <c r="P181" s="112"/>
      <c r="Q181" s="112"/>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2"/>
      <c r="AN181" s="112"/>
      <c r="AO181" s="112"/>
      <c r="AP181" s="112"/>
      <c r="AQ181" s="112"/>
      <c r="AR181" s="112"/>
      <c r="AS181" s="112"/>
      <c r="AT181" s="112"/>
      <c r="AU181" s="112"/>
    </row>
    <row r="182" spans="1:47" s="115" customFormat="1" x14ac:dyDescent="0.2">
      <c r="A182" s="116"/>
      <c r="D182" s="136"/>
      <c r="G182" s="51"/>
      <c r="H182" s="112"/>
      <c r="I182" s="112"/>
      <c r="J182" s="112"/>
      <c r="K182" s="112"/>
      <c r="L182" s="112"/>
      <c r="M182" s="112"/>
      <c r="N182" s="112"/>
      <c r="O182" s="112"/>
      <c r="P182" s="112"/>
      <c r="Q182" s="112"/>
      <c r="R182" s="112"/>
      <c r="S182" s="112"/>
      <c r="T182" s="112"/>
      <c r="U182" s="112"/>
      <c r="V182" s="112"/>
      <c r="W182" s="112"/>
      <c r="X182" s="112"/>
      <c r="Y182" s="112"/>
      <c r="Z182" s="112"/>
      <c r="AA182" s="112"/>
      <c r="AB182" s="112"/>
      <c r="AC182" s="112"/>
      <c r="AD182" s="112"/>
      <c r="AE182" s="112"/>
      <c r="AF182" s="112"/>
      <c r="AG182" s="112"/>
      <c r="AH182" s="112"/>
      <c r="AI182" s="112"/>
      <c r="AJ182" s="112"/>
      <c r="AK182" s="112"/>
      <c r="AL182" s="112"/>
      <c r="AM182" s="112"/>
      <c r="AN182" s="112"/>
      <c r="AO182" s="112"/>
      <c r="AP182" s="112"/>
      <c r="AQ182" s="112"/>
      <c r="AR182" s="112"/>
      <c r="AS182" s="112"/>
      <c r="AT182" s="112"/>
      <c r="AU182" s="112"/>
    </row>
    <row r="183" spans="1:47" s="115" customFormat="1" x14ac:dyDescent="0.2">
      <c r="A183" s="116"/>
      <c r="D183" s="136"/>
      <c r="G183" s="51"/>
      <c r="H183" s="112"/>
      <c r="I183" s="112"/>
      <c r="J183" s="112"/>
      <c r="K183" s="112"/>
      <c r="L183" s="112"/>
      <c r="M183" s="112"/>
      <c r="N183" s="112"/>
      <c r="O183" s="112"/>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2"/>
      <c r="AN183" s="112"/>
      <c r="AO183" s="112"/>
      <c r="AP183" s="112"/>
      <c r="AQ183" s="112"/>
      <c r="AR183" s="112"/>
      <c r="AS183" s="112"/>
      <c r="AT183" s="112"/>
      <c r="AU183" s="112"/>
    </row>
    <row r="184" spans="1:47" s="115" customFormat="1" x14ac:dyDescent="0.2">
      <c r="A184" s="116"/>
      <c r="D184" s="136"/>
      <c r="G184" s="51"/>
      <c r="H184" s="112"/>
      <c r="I184" s="112"/>
      <c r="J184" s="112"/>
      <c r="K184" s="112"/>
      <c r="L184" s="112"/>
      <c r="M184" s="112"/>
      <c r="N184" s="112"/>
      <c r="O184" s="112"/>
      <c r="P184" s="112"/>
      <c r="Q184" s="11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c r="AO184" s="112"/>
      <c r="AP184" s="112"/>
      <c r="AQ184" s="112"/>
      <c r="AR184" s="112"/>
      <c r="AS184" s="112"/>
      <c r="AT184" s="112"/>
      <c r="AU184" s="112"/>
    </row>
    <row r="185" spans="1:47" s="115" customFormat="1" x14ac:dyDescent="0.2">
      <c r="A185" s="116"/>
      <c r="D185" s="136"/>
      <c r="G185" s="51"/>
      <c r="H185" s="112"/>
      <c r="I185" s="112"/>
      <c r="J185" s="112"/>
      <c r="K185" s="112"/>
      <c r="L185" s="112"/>
      <c r="M185" s="112"/>
      <c r="N185" s="112"/>
      <c r="O185" s="112"/>
      <c r="P185" s="112"/>
      <c r="Q185" s="112"/>
      <c r="R185" s="112"/>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c r="AO185" s="112"/>
      <c r="AP185" s="112"/>
      <c r="AQ185" s="112"/>
      <c r="AR185" s="112"/>
      <c r="AS185" s="112"/>
      <c r="AT185" s="112"/>
      <c r="AU185" s="112"/>
    </row>
    <row r="186" spans="1:47" s="115" customFormat="1" x14ac:dyDescent="0.2">
      <c r="A186" s="116"/>
      <c r="D186" s="136"/>
      <c r="G186" s="116"/>
      <c r="O186" s="145"/>
      <c r="P186" s="145"/>
    </row>
    <row r="187" spans="1:47" s="115" customFormat="1" x14ac:dyDescent="0.2">
      <c r="A187" s="116"/>
      <c r="D187" s="136"/>
      <c r="G187" s="116"/>
      <c r="O187" s="145"/>
      <c r="P187" s="145"/>
    </row>
    <row r="188" spans="1:47" s="115" customFormat="1" x14ac:dyDescent="0.2">
      <c r="A188" s="116"/>
      <c r="D188" s="136"/>
      <c r="G188" s="116"/>
      <c r="O188" s="145"/>
      <c r="P188" s="145"/>
    </row>
    <row r="189" spans="1:47" s="115" customFormat="1" x14ac:dyDescent="0.2">
      <c r="A189" s="116"/>
      <c r="D189" s="136"/>
      <c r="G189" s="116"/>
      <c r="O189" s="145"/>
      <c r="P189" s="145"/>
    </row>
    <row r="190" spans="1:47" s="115" customFormat="1" x14ac:dyDescent="0.2">
      <c r="A190" s="116"/>
      <c r="D190" s="136"/>
      <c r="G190" s="116"/>
      <c r="O190" s="145"/>
      <c r="P190" s="145"/>
    </row>
    <row r="191" spans="1:47" s="115" customFormat="1" x14ac:dyDescent="0.2">
      <c r="A191" s="116"/>
      <c r="D191" s="136"/>
      <c r="G191" s="116"/>
      <c r="O191" s="145"/>
      <c r="P191" s="145"/>
    </row>
    <row r="192" spans="1:47" s="115" customFormat="1" x14ac:dyDescent="0.2">
      <c r="A192" s="116"/>
      <c r="D192" s="136"/>
      <c r="G192" s="116"/>
      <c r="O192" s="145"/>
      <c r="P192" s="145"/>
    </row>
    <row r="193" spans="1:16" s="115" customFormat="1" x14ac:dyDescent="0.2">
      <c r="A193" s="116"/>
      <c r="D193" s="136"/>
      <c r="G193" s="116"/>
      <c r="O193" s="145"/>
      <c r="P193" s="145"/>
    </row>
    <row r="194" spans="1:16" s="115" customFormat="1" x14ac:dyDescent="0.2">
      <c r="A194" s="116"/>
      <c r="D194" s="136"/>
      <c r="G194" s="116"/>
      <c r="O194" s="145"/>
      <c r="P194" s="145"/>
    </row>
    <row r="195" spans="1:16" s="115" customFormat="1" x14ac:dyDescent="0.2">
      <c r="A195" s="116"/>
      <c r="D195" s="136"/>
      <c r="G195" s="116"/>
      <c r="O195" s="145"/>
      <c r="P195" s="145"/>
    </row>
    <row r="196" spans="1:16" s="115" customFormat="1" x14ac:dyDescent="0.2">
      <c r="A196" s="116"/>
      <c r="D196" s="136"/>
      <c r="G196" s="116"/>
      <c r="O196" s="145"/>
      <c r="P196" s="145"/>
    </row>
    <row r="197" spans="1:16" s="115" customFormat="1" x14ac:dyDescent="0.2">
      <c r="A197" s="116"/>
      <c r="D197" s="136"/>
      <c r="G197" s="116"/>
      <c r="O197" s="145"/>
      <c r="P197" s="145"/>
    </row>
    <row r="198" spans="1:16" s="115" customFormat="1" x14ac:dyDescent="0.2">
      <c r="A198" s="116"/>
      <c r="D198" s="136"/>
      <c r="G198" s="116"/>
      <c r="O198" s="145"/>
      <c r="P198" s="145"/>
    </row>
    <row r="199" spans="1:16" s="115" customFormat="1" x14ac:dyDescent="0.2">
      <c r="A199" s="116"/>
      <c r="D199" s="136"/>
      <c r="G199" s="116"/>
      <c r="O199" s="145"/>
      <c r="P199" s="145"/>
    </row>
    <row r="200" spans="1:16" s="115" customFormat="1" ht="15" customHeight="1" x14ac:dyDescent="0.2">
      <c r="A200" s="116"/>
      <c r="D200" s="136"/>
      <c r="G200" s="116"/>
      <c r="O200" s="145"/>
      <c r="P200" s="145"/>
    </row>
    <row r="201" spans="1:16" s="115" customFormat="1" x14ac:dyDescent="0.2">
      <c r="A201" s="116"/>
      <c r="D201" s="136"/>
      <c r="G201" s="116"/>
      <c r="O201" s="145"/>
      <c r="P201" s="145"/>
    </row>
    <row r="202" spans="1:16" s="115" customFormat="1" x14ac:dyDescent="0.2">
      <c r="A202" s="116"/>
      <c r="D202" s="136"/>
      <c r="G202" s="116"/>
      <c r="O202" s="145"/>
      <c r="P202" s="145"/>
    </row>
    <row r="203" spans="1:16" s="115" customFormat="1" x14ac:dyDescent="0.2">
      <c r="A203" s="116"/>
      <c r="D203" s="136"/>
      <c r="G203" s="116"/>
      <c r="O203" s="145"/>
      <c r="P203" s="145"/>
    </row>
    <row r="204" spans="1:16" s="115" customFormat="1" x14ac:dyDescent="0.2">
      <c r="A204" s="116"/>
      <c r="D204" s="136"/>
      <c r="G204" s="116"/>
      <c r="O204" s="145"/>
      <c r="P204" s="145"/>
    </row>
    <row r="205" spans="1:16" s="115" customFormat="1" x14ac:dyDescent="0.2">
      <c r="A205" s="116"/>
      <c r="D205" s="136"/>
      <c r="G205" s="116"/>
      <c r="O205" s="145"/>
      <c r="P205" s="145"/>
    </row>
    <row r="206" spans="1:16" s="115" customFormat="1" x14ac:dyDescent="0.2">
      <c r="A206" s="116"/>
      <c r="D206" s="136"/>
      <c r="G206" s="116"/>
      <c r="O206" s="145"/>
      <c r="P206" s="145"/>
    </row>
    <row r="207" spans="1:16" s="115" customFormat="1" x14ac:dyDescent="0.2">
      <c r="A207" s="116"/>
      <c r="D207" s="136"/>
      <c r="G207" s="116"/>
      <c r="O207" s="145"/>
      <c r="P207" s="145"/>
    </row>
    <row r="208" spans="1:16" s="115" customFormat="1" x14ac:dyDescent="0.2">
      <c r="A208" s="116"/>
      <c r="D208" s="136"/>
      <c r="G208" s="116"/>
      <c r="O208" s="145"/>
      <c r="P208" s="145"/>
    </row>
    <row r="209" spans="1:16" s="115" customFormat="1" x14ac:dyDescent="0.2">
      <c r="A209" s="116"/>
      <c r="D209" s="136"/>
      <c r="G209" s="116"/>
      <c r="O209" s="145"/>
      <c r="P209" s="145"/>
    </row>
    <row r="210" spans="1:16" s="115" customFormat="1" x14ac:dyDescent="0.2">
      <c r="A210" s="116"/>
      <c r="D210" s="136"/>
      <c r="G210" s="116"/>
      <c r="O210" s="145"/>
      <c r="P210" s="145"/>
    </row>
    <row r="211" spans="1:16" s="115" customFormat="1" x14ac:dyDescent="0.2">
      <c r="A211" s="116"/>
      <c r="D211" s="136"/>
      <c r="G211" s="116"/>
      <c r="O211" s="145"/>
      <c r="P211" s="145"/>
    </row>
    <row r="212" spans="1:16" s="115" customFormat="1" x14ac:dyDescent="0.2">
      <c r="A212" s="116"/>
      <c r="D212" s="136"/>
      <c r="G212" s="116"/>
      <c r="O212" s="145"/>
      <c r="P212" s="145"/>
    </row>
    <row r="213" spans="1:16" s="115" customFormat="1" x14ac:dyDescent="0.2">
      <c r="A213" s="116"/>
      <c r="D213" s="136"/>
      <c r="G213" s="116"/>
      <c r="O213" s="145"/>
      <c r="P213" s="145"/>
    </row>
    <row r="214" spans="1:16" s="115" customFormat="1" x14ac:dyDescent="0.2">
      <c r="A214" s="116"/>
      <c r="D214" s="136"/>
      <c r="G214" s="116"/>
      <c r="O214" s="145"/>
      <c r="P214" s="145"/>
    </row>
    <row r="215" spans="1:16" s="115" customFormat="1" x14ac:dyDescent="0.2">
      <c r="A215" s="116"/>
      <c r="D215" s="136"/>
      <c r="G215" s="116"/>
      <c r="O215" s="145"/>
      <c r="P215" s="145"/>
    </row>
    <row r="216" spans="1:16" s="115" customFormat="1" x14ac:dyDescent="0.2">
      <c r="A216" s="116"/>
      <c r="D216" s="136"/>
      <c r="G216" s="116"/>
      <c r="O216" s="145"/>
      <c r="P216" s="145"/>
    </row>
    <row r="217" spans="1:16" s="115" customFormat="1" x14ac:dyDescent="0.2">
      <c r="A217" s="116"/>
      <c r="D217" s="136"/>
      <c r="G217" s="116"/>
      <c r="O217" s="145"/>
      <c r="P217" s="145"/>
    </row>
    <row r="218" spans="1:16" s="115" customFormat="1" x14ac:dyDescent="0.2">
      <c r="A218" s="116"/>
      <c r="D218" s="136"/>
      <c r="G218" s="116"/>
      <c r="O218" s="145"/>
      <c r="P218" s="145"/>
    </row>
    <row r="219" spans="1:16" s="115" customFormat="1" x14ac:dyDescent="0.2">
      <c r="A219" s="116"/>
      <c r="D219" s="136"/>
      <c r="G219" s="116"/>
      <c r="O219" s="145"/>
      <c r="P219" s="145"/>
    </row>
    <row r="220" spans="1:16" s="115" customFormat="1" x14ac:dyDescent="0.2">
      <c r="A220" s="116"/>
      <c r="D220" s="136"/>
      <c r="G220" s="116"/>
      <c r="O220" s="145"/>
      <c r="P220" s="145"/>
    </row>
    <row r="221" spans="1:16" s="115" customFormat="1" x14ac:dyDescent="0.2">
      <c r="A221" s="116"/>
      <c r="D221" s="136"/>
      <c r="G221" s="116"/>
      <c r="O221" s="145"/>
      <c r="P221" s="145"/>
    </row>
    <row r="222" spans="1:16" s="115" customFormat="1" x14ac:dyDescent="0.2">
      <c r="A222" s="116"/>
      <c r="D222" s="136"/>
      <c r="G222" s="116"/>
      <c r="O222" s="145"/>
      <c r="P222" s="145"/>
    </row>
    <row r="223" spans="1:16" s="115" customFormat="1" x14ac:dyDescent="0.2">
      <c r="A223" s="116"/>
      <c r="D223" s="136"/>
      <c r="G223" s="116"/>
      <c r="O223" s="145"/>
      <c r="P223" s="145"/>
    </row>
    <row r="224" spans="1:16" s="115" customFormat="1" x14ac:dyDescent="0.2">
      <c r="A224" s="116"/>
      <c r="D224" s="136"/>
      <c r="G224" s="116"/>
      <c r="O224" s="145"/>
      <c r="P224" s="145"/>
    </row>
    <row r="225" spans="1:16" s="115" customFormat="1" x14ac:dyDescent="0.2">
      <c r="A225" s="116"/>
      <c r="D225" s="136"/>
      <c r="G225" s="116"/>
      <c r="O225" s="145"/>
      <c r="P225" s="145"/>
    </row>
    <row r="226" spans="1:16" s="115" customFormat="1" x14ac:dyDescent="0.2">
      <c r="A226" s="116"/>
      <c r="D226" s="136"/>
      <c r="G226" s="116"/>
      <c r="O226" s="145"/>
      <c r="P226" s="145"/>
    </row>
    <row r="227" spans="1:16" s="115" customFormat="1" x14ac:dyDescent="0.2">
      <c r="A227" s="116"/>
      <c r="D227" s="136"/>
      <c r="G227" s="116"/>
      <c r="O227" s="145"/>
      <c r="P227" s="145"/>
    </row>
    <row r="228" spans="1:16" s="115" customFormat="1" x14ac:dyDescent="0.2">
      <c r="A228" s="116"/>
      <c r="D228" s="136"/>
      <c r="G228" s="116"/>
      <c r="O228" s="145"/>
      <c r="P228" s="145"/>
    </row>
    <row r="229" spans="1:16" s="115" customFormat="1" x14ac:dyDescent="0.2">
      <c r="A229" s="116"/>
      <c r="D229" s="136"/>
      <c r="G229" s="116"/>
      <c r="O229" s="145"/>
      <c r="P229" s="145"/>
    </row>
    <row r="230" spans="1:16" s="115" customFormat="1" x14ac:dyDescent="0.2">
      <c r="A230" s="116"/>
      <c r="D230" s="136"/>
      <c r="G230" s="116"/>
      <c r="O230" s="145"/>
      <c r="P230" s="145"/>
    </row>
    <row r="231" spans="1:16" s="115" customFormat="1" x14ac:dyDescent="0.2">
      <c r="A231" s="116"/>
      <c r="D231" s="136"/>
      <c r="G231" s="116"/>
      <c r="O231" s="145"/>
      <c r="P231" s="145"/>
    </row>
    <row r="232" spans="1:16" s="115" customFormat="1" x14ac:dyDescent="0.2">
      <c r="A232" s="116"/>
      <c r="D232" s="136"/>
      <c r="G232" s="116"/>
      <c r="O232" s="145"/>
      <c r="P232" s="145"/>
    </row>
    <row r="233" spans="1:16" s="115" customFormat="1" x14ac:dyDescent="0.2">
      <c r="A233" s="116"/>
      <c r="D233" s="136"/>
      <c r="G233" s="116"/>
      <c r="O233" s="145"/>
      <c r="P233" s="145"/>
    </row>
    <row r="234" spans="1:16" s="115" customFormat="1" x14ac:dyDescent="0.2">
      <c r="A234" s="116"/>
      <c r="D234" s="136"/>
      <c r="G234" s="116"/>
      <c r="O234" s="145"/>
      <c r="P234" s="145"/>
    </row>
    <row r="235" spans="1:16" s="115" customFormat="1" x14ac:dyDescent="0.2">
      <c r="A235" s="116"/>
      <c r="D235" s="136"/>
      <c r="G235" s="116"/>
      <c r="O235" s="145"/>
      <c r="P235" s="145"/>
    </row>
  </sheetData>
  <mergeCells count="100">
    <mergeCell ref="M68:M70"/>
    <mergeCell ref="N68:N70"/>
    <mergeCell ref="O68:O70"/>
    <mergeCell ref="P68:P70"/>
    <mergeCell ref="Q68:Q70"/>
    <mergeCell ref="M24:M33"/>
    <mergeCell ref="N24:N33"/>
    <mergeCell ref="O24:O33"/>
    <mergeCell ref="P24:P33"/>
    <mergeCell ref="A68:A70"/>
    <mergeCell ref="B68:B70"/>
    <mergeCell ref="C68:C70"/>
    <mergeCell ref="D68:D70"/>
    <mergeCell ref="E68:E70"/>
    <mergeCell ref="F68:F70"/>
    <mergeCell ref="G68:G70"/>
    <mergeCell ref="H68:H70"/>
    <mergeCell ref="I68:I70"/>
    <mergeCell ref="J68:J70"/>
    <mergeCell ref="K68:K70"/>
    <mergeCell ref="L68:L70"/>
    <mergeCell ref="P34:P36"/>
    <mergeCell ref="Q34:Q36"/>
    <mergeCell ref="Q24:Q28"/>
    <mergeCell ref="Q29:Q33"/>
    <mergeCell ref="A24:A33"/>
    <mergeCell ref="B24:B33"/>
    <mergeCell ref="C24:C33"/>
    <mergeCell ref="D24:D33"/>
    <mergeCell ref="E24:E33"/>
    <mergeCell ref="F24:F33"/>
    <mergeCell ref="G24:G33"/>
    <mergeCell ref="H24:H33"/>
    <mergeCell ref="I24:I33"/>
    <mergeCell ref="J24:J33"/>
    <mergeCell ref="K24:K33"/>
    <mergeCell ref="L24:L33"/>
    <mergeCell ref="K34:K36"/>
    <mergeCell ref="L34:L36"/>
    <mergeCell ref="M34:M36"/>
    <mergeCell ref="N34:N36"/>
    <mergeCell ref="O34:O36"/>
    <mergeCell ref="F34:F36"/>
    <mergeCell ref="G34:G36"/>
    <mergeCell ref="H34:H36"/>
    <mergeCell ref="I34:I36"/>
    <mergeCell ref="J34:J36"/>
    <mergeCell ref="G12:G14"/>
    <mergeCell ref="F12:F14"/>
    <mergeCell ref="E12:E14"/>
    <mergeCell ref="D12:D14"/>
    <mergeCell ref="C12:C14"/>
    <mergeCell ref="L12:L14"/>
    <mergeCell ref="K12:K14"/>
    <mergeCell ref="J12:J14"/>
    <mergeCell ref="I12:I14"/>
    <mergeCell ref="H12:H14"/>
    <mergeCell ref="Q12:Q14"/>
    <mergeCell ref="P12:P14"/>
    <mergeCell ref="O12:O14"/>
    <mergeCell ref="N12:N14"/>
    <mergeCell ref="M12:M14"/>
    <mergeCell ref="P62:P65"/>
    <mergeCell ref="Q62:Q65"/>
    <mergeCell ref="K62:K65"/>
    <mergeCell ref="L62:L65"/>
    <mergeCell ref="M62:M65"/>
    <mergeCell ref="N62:N65"/>
    <mergeCell ref="O62:O65"/>
    <mergeCell ref="F62:F65"/>
    <mergeCell ref="G62:G65"/>
    <mergeCell ref="H62:H65"/>
    <mergeCell ref="I62:I65"/>
    <mergeCell ref="J62:J65"/>
    <mergeCell ref="B1:E1"/>
    <mergeCell ref="B2:E2"/>
    <mergeCell ref="A62:A65"/>
    <mergeCell ref="B62:B65"/>
    <mergeCell ref="C62:C65"/>
    <mergeCell ref="D62:D65"/>
    <mergeCell ref="E62:E65"/>
    <mergeCell ref="B12:B14"/>
    <mergeCell ref="A12:A14"/>
    <mergeCell ref="A34:A36"/>
    <mergeCell ref="B34:B36"/>
    <mergeCell ref="C34:C36"/>
    <mergeCell ref="D34:D36"/>
    <mergeCell ref="E34:E36"/>
    <mergeCell ref="A91:A92"/>
    <mergeCell ref="B91:B92"/>
    <mergeCell ref="C91:C92"/>
    <mergeCell ref="D91:D92"/>
    <mergeCell ref="E91:E92"/>
    <mergeCell ref="O91:O92"/>
    <mergeCell ref="P91:P92"/>
    <mergeCell ref="F91:F92"/>
    <mergeCell ref="G91:G92"/>
    <mergeCell ref="L91:L92"/>
    <mergeCell ref="M91:M92"/>
    <mergeCell ref="N91:N92"/>
  </mergeCells>
  <pageMargins left="0.51181102362204722" right="0.51181102362204722" top="0.78740157480314965" bottom="0.78740157480314965" header="0.31496062992125984" footer="0.31496062992125984"/>
  <pageSetup paperSize="9" orientation="portrait"/>
  <extLst>
    <ext xmlns:x14="http://schemas.microsoft.com/office/spreadsheetml/2009/9/main" uri="{CCE6A557-97BC-4b89-ADB6-D9C93CAAB3DF}">
      <x14:dataValidations xmlns:xm="http://schemas.microsoft.com/office/excel/2006/main" disablePrompts="1" count="6">
        <x14:dataValidation type="list" allowBlank="1" showInputMessage="1" showErrorMessage="1" xr:uid="{00000000-0002-0000-0400-000000000000}">
          <x14:formula1>
            <xm:f>Lists!$H$4:$H$21</xm:f>
          </x14:formula1>
          <xm:sqref>M76 M71 M21 M24 M66 M4 M18:M19 M11:M12 M103:M105 M48:M49 M51 M53 M60 M68 M95:M98 M100:M101 M86:M89 M37 M44</xm:sqref>
        </x14:dataValidation>
        <x14:dataValidation type="list" allowBlank="1" showInputMessage="1" showErrorMessage="1" xr:uid="{00000000-0002-0000-0400-000001000000}">
          <x14:formula1>
            <xm:f>Lists!$H$3:$H$21</xm:f>
          </x14:formula1>
          <xm:sqref>M77:M85 M93:M94 M22:M23 M67 M5:M10 M20 M50 M52 M54:M58 M72:M75 M34 M15:M17 M61:M62 M99 M102 M90:M91 M38:M43 M45:M47</xm:sqref>
        </x14:dataValidation>
        <x14:dataValidation type="list" allowBlank="1" showInputMessage="1" showErrorMessage="1" xr:uid="{00000000-0002-0000-0400-000002000000}">
          <x14:formula1>
            <xm:f>Lists!$D$3:$D$15</xm:f>
          </x14:formula1>
          <xm:sqref>J60:J62 J34 J4:J12 J71:J105 J15:J24 J66:J68 J37:J58</xm:sqref>
        </x14:dataValidation>
        <x14:dataValidation type="list" allowBlank="1" showInputMessage="1" showErrorMessage="1" xr:uid="{00000000-0002-0000-0400-000003000000}">
          <x14:formula1>
            <xm:f>Lists!$B$3:$B$21</xm:f>
          </x14:formula1>
          <xm:sqref>H60:H62 H34 H4:H12 H104:H105 H15:H24 H66:H68 H71:H102 H37:H58</xm:sqref>
        </x14:dataValidation>
        <x14:dataValidation type="list" allowBlank="1" showInputMessage="1" showErrorMessage="1" xr:uid="{00000000-0002-0000-0400-000004000000}">
          <x14:formula1>
            <xm:f>Lists!$F$3:$F$7</xm:f>
          </x14:formula1>
          <xm:sqref>L60:L62 L34 L4:L12 L93:L105 L15:L24 L66:L68 L71:L91 L37:L58</xm:sqref>
        </x14:dataValidation>
        <x14:dataValidation type="list" allowBlank="1" showInputMessage="1" showErrorMessage="1" xr:uid="{00000000-0002-0000-0400-000005000000}">
          <x14:formula1>
            <xm:f>'/Users/julejule/Dropbox/JS-Thesis/01_Data extraction - SLR/[06dez2016-SLR-Data extraction form_JS_MS - for PAPER.xlsx]Lists'!#REF!</xm:f>
          </x14:formula1>
          <xm:sqref>L59:M59 H59 J59</xm:sqref>
        </x14:dataValidation>
      </x14:dataValidations>
    </ex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6"/>
  <sheetViews>
    <sheetView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83203125" defaultRowHeight="15" outlineLevelCol="1" x14ac:dyDescent="0.2"/>
  <cols>
    <col min="1" max="1" width="4.33203125" style="1" customWidth="1"/>
    <col min="2" max="2" width="25.5" customWidth="1"/>
    <col min="3" max="3" width="13.6640625" customWidth="1"/>
    <col min="4" max="4" width="8.83203125" style="52"/>
    <col min="5" max="5" width="17.5" customWidth="1"/>
    <col min="6" max="6" width="19.33203125" customWidth="1"/>
    <col min="7" max="7" width="38.5" style="1" customWidth="1"/>
    <col min="8" max="8" width="15" customWidth="1"/>
    <col min="9" max="9" width="31.83203125" customWidth="1"/>
    <col min="10" max="10" width="6" customWidth="1"/>
    <col min="11" max="11" width="24.83203125" customWidth="1"/>
    <col min="12" max="12" width="10.5" customWidth="1"/>
    <col min="13" max="13" width="10.33203125" customWidth="1"/>
    <col min="14" max="14" width="27.33203125" customWidth="1"/>
    <col min="15" max="15" width="29" style="58" customWidth="1"/>
    <col min="16" max="16" width="22.33203125" style="58" customWidth="1"/>
    <col min="17" max="17" width="22.33203125" customWidth="1" outlineLevel="1"/>
    <col min="18" max="18" width="23" customWidth="1" outlineLevel="1"/>
    <col min="19" max="20" width="14.83203125" customWidth="1"/>
    <col min="21" max="21" width="14.5" customWidth="1"/>
    <col min="22" max="22" width="17.5" customWidth="1"/>
    <col min="23" max="23" width="18.33203125" bestFit="1" customWidth="1"/>
    <col min="24" max="24" width="14.5" bestFit="1" customWidth="1"/>
    <col min="25" max="25" width="13.5" bestFit="1" customWidth="1"/>
    <col min="26" max="26" width="14.83203125" bestFit="1" customWidth="1"/>
    <col min="27" max="27" width="27" bestFit="1" customWidth="1"/>
    <col min="28" max="28" width="32.83203125" bestFit="1" customWidth="1"/>
    <col min="29" max="29" width="32.83203125" customWidth="1"/>
    <col min="30" max="30" width="36.1640625" bestFit="1" customWidth="1"/>
    <col min="31" max="31" width="42.6640625" bestFit="1" customWidth="1"/>
    <col min="32" max="32" width="32" bestFit="1" customWidth="1"/>
    <col min="33" max="33" width="37.83203125" bestFit="1" customWidth="1"/>
    <col min="34" max="34" width="32.83203125" bestFit="1" customWidth="1"/>
    <col min="35" max="35" width="37" bestFit="1" customWidth="1"/>
    <col min="36" max="36" width="23.6640625" bestFit="1" customWidth="1"/>
    <col min="37" max="37" width="25.6640625" bestFit="1" customWidth="1"/>
    <col min="38" max="38" width="22.1640625" bestFit="1" customWidth="1"/>
    <col min="39" max="39" width="25.5" bestFit="1" customWidth="1"/>
    <col min="40" max="40" width="24.33203125" bestFit="1" customWidth="1"/>
    <col min="41" max="41" width="26" bestFit="1" customWidth="1"/>
    <col min="42" max="42" width="27" bestFit="1" customWidth="1"/>
    <col min="43" max="43" width="28.83203125" bestFit="1" customWidth="1"/>
    <col min="44" max="44" width="26" bestFit="1" customWidth="1"/>
    <col min="45" max="45" width="25.33203125" bestFit="1" customWidth="1"/>
    <col min="46" max="46" width="24.6640625" bestFit="1" customWidth="1"/>
    <col min="47" max="47" width="28.83203125" bestFit="1" customWidth="1"/>
    <col min="48" max="48" width="23.83203125" bestFit="1" customWidth="1"/>
    <col min="49" max="49" width="20.33203125" bestFit="1" customWidth="1"/>
    <col min="50" max="50" width="12.5" bestFit="1" customWidth="1"/>
    <col min="51" max="51" width="25.83203125" bestFit="1" customWidth="1"/>
  </cols>
  <sheetData>
    <row r="1" spans="1:51" x14ac:dyDescent="0.2">
      <c r="A1" s="12"/>
      <c r="B1" s="210" t="s">
        <v>0</v>
      </c>
      <c r="C1" s="210"/>
      <c r="D1" s="210"/>
      <c r="E1" s="210"/>
      <c r="G1"/>
      <c r="O1"/>
      <c r="P1"/>
    </row>
    <row r="2" spans="1:51" x14ac:dyDescent="0.2">
      <c r="A2" s="12"/>
      <c r="B2" s="211" t="s">
        <v>1</v>
      </c>
      <c r="C2" s="211"/>
      <c r="D2" s="211"/>
      <c r="E2" s="211"/>
      <c r="G2"/>
      <c r="O2"/>
      <c r="P2"/>
    </row>
    <row r="3" spans="1:51" s="3" customFormat="1" ht="14" x14ac:dyDescent="0.2">
      <c r="A3" s="26" t="s">
        <v>9</v>
      </c>
      <c r="B3" s="27" t="s">
        <v>2</v>
      </c>
      <c r="C3" s="27" t="s">
        <v>3</v>
      </c>
      <c r="D3" s="27" t="s">
        <v>4</v>
      </c>
      <c r="E3" s="27" t="s">
        <v>5</v>
      </c>
      <c r="F3" s="27" t="s">
        <v>7</v>
      </c>
      <c r="G3" s="27" t="s">
        <v>6</v>
      </c>
      <c r="H3" s="27" t="s">
        <v>32</v>
      </c>
      <c r="I3" s="27" t="s">
        <v>436</v>
      </c>
      <c r="J3" s="27" t="s">
        <v>450</v>
      </c>
      <c r="K3" s="27" t="s">
        <v>437</v>
      </c>
      <c r="L3" s="27" t="s">
        <v>16</v>
      </c>
      <c r="M3" s="27" t="s">
        <v>93</v>
      </c>
      <c r="N3" s="27" t="s">
        <v>438</v>
      </c>
      <c r="O3" s="27" t="s">
        <v>35</v>
      </c>
      <c r="P3" s="27" t="s">
        <v>68</v>
      </c>
      <c r="Q3" s="27"/>
      <c r="R3" s="27"/>
      <c r="S3" s="27" t="s">
        <v>77</v>
      </c>
      <c r="T3" s="27" t="s">
        <v>19</v>
      </c>
      <c r="U3" s="28" t="s">
        <v>20</v>
      </c>
      <c r="V3" s="28" t="s">
        <v>21</v>
      </c>
      <c r="W3" s="28" t="s">
        <v>75</v>
      </c>
      <c r="X3" s="28" t="s">
        <v>22</v>
      </c>
      <c r="Y3" s="28" t="s">
        <v>23</v>
      </c>
      <c r="Z3" s="28" t="s">
        <v>24</v>
      </c>
      <c r="AA3" s="28" t="s">
        <v>37</v>
      </c>
      <c r="AB3" s="28" t="s">
        <v>406</v>
      </c>
      <c r="AC3" s="28" t="s">
        <v>1749</v>
      </c>
      <c r="AD3" s="28" t="s">
        <v>1718</v>
      </c>
      <c r="AE3" s="28" t="s">
        <v>1719</v>
      </c>
      <c r="AF3" s="28" t="s">
        <v>1720</v>
      </c>
      <c r="AG3" s="28" t="s">
        <v>1105</v>
      </c>
      <c r="AH3" s="28" t="s">
        <v>1106</v>
      </c>
      <c r="AI3" s="28" t="s">
        <v>1926</v>
      </c>
      <c r="AJ3" s="28" t="s">
        <v>1467</v>
      </c>
      <c r="AK3" s="28" t="s">
        <v>1504</v>
      </c>
      <c r="AL3" s="28" t="s">
        <v>1520</v>
      </c>
      <c r="AM3" s="28" t="s">
        <v>1521</v>
      </c>
      <c r="AN3" s="28" t="s">
        <v>1522</v>
      </c>
      <c r="AO3" s="28" t="s">
        <v>1523</v>
      </c>
      <c r="AP3" s="28" t="s">
        <v>1524</v>
      </c>
      <c r="AQ3" s="28" t="s">
        <v>1526</v>
      </c>
      <c r="AR3" s="28" t="s">
        <v>1525</v>
      </c>
      <c r="AS3" s="28" t="s">
        <v>1527</v>
      </c>
      <c r="AT3" s="27" t="s">
        <v>1528</v>
      </c>
      <c r="AU3" s="27" t="s">
        <v>1529</v>
      </c>
      <c r="AV3" s="27" t="s">
        <v>1716</v>
      </c>
      <c r="AW3" s="27" t="s">
        <v>1717</v>
      </c>
      <c r="AX3" s="27" t="s">
        <v>1722</v>
      </c>
      <c r="AY3" s="27" t="s">
        <v>1721</v>
      </c>
    </row>
    <row r="4" spans="1:51" s="108" customFormat="1" ht="75" x14ac:dyDescent="0.2">
      <c r="A4" s="105">
        <v>1</v>
      </c>
      <c r="B4" s="167" t="s">
        <v>664</v>
      </c>
      <c r="C4" s="105" t="s">
        <v>82</v>
      </c>
      <c r="D4" s="166">
        <v>2013</v>
      </c>
      <c r="E4" s="167" t="s">
        <v>114</v>
      </c>
      <c r="F4" s="167" t="s">
        <v>663</v>
      </c>
      <c r="G4" s="107" t="s">
        <v>982</v>
      </c>
      <c r="H4" s="167" t="s">
        <v>1150</v>
      </c>
      <c r="I4" s="107" t="s">
        <v>983</v>
      </c>
      <c r="J4" s="107" t="s">
        <v>445</v>
      </c>
      <c r="K4" s="167" t="s">
        <v>984</v>
      </c>
      <c r="L4" s="167" t="s">
        <v>441</v>
      </c>
      <c r="M4" s="167"/>
      <c r="N4" s="167" t="s">
        <v>985</v>
      </c>
      <c r="O4" s="164" t="s">
        <v>987</v>
      </c>
      <c r="P4" s="164" t="s">
        <v>986</v>
      </c>
      <c r="Q4" s="105"/>
      <c r="R4" s="105"/>
      <c r="S4" s="167"/>
      <c r="T4" s="167"/>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row>
    <row r="5" spans="1:51" s="105" customFormat="1" ht="105" x14ac:dyDescent="0.2">
      <c r="A5" s="105">
        <v>2</v>
      </c>
      <c r="B5" s="167" t="s">
        <v>132</v>
      </c>
      <c r="C5" s="105" t="s">
        <v>123</v>
      </c>
      <c r="D5" s="166">
        <v>2014</v>
      </c>
      <c r="E5" s="167" t="s">
        <v>114</v>
      </c>
      <c r="F5" s="167" t="s">
        <v>122</v>
      </c>
      <c r="G5" s="107" t="s">
        <v>261</v>
      </c>
      <c r="H5" s="107" t="s">
        <v>102</v>
      </c>
      <c r="I5" s="107" t="s">
        <v>110</v>
      </c>
      <c r="J5" s="107" t="s">
        <v>446</v>
      </c>
      <c r="K5" s="167" t="s">
        <v>262</v>
      </c>
      <c r="L5" s="167" t="s">
        <v>443</v>
      </c>
      <c r="M5" s="167"/>
      <c r="N5" s="167" t="s">
        <v>260</v>
      </c>
      <c r="O5" s="168" t="s">
        <v>18</v>
      </c>
      <c r="P5" s="164" t="s">
        <v>259</v>
      </c>
      <c r="Q5" s="167"/>
      <c r="S5" s="167"/>
      <c r="T5" s="167"/>
    </row>
    <row r="6" spans="1:51" s="105" customFormat="1" ht="135" x14ac:dyDescent="0.2">
      <c r="A6" s="105">
        <v>3</v>
      </c>
      <c r="B6" s="167" t="s">
        <v>2015</v>
      </c>
      <c r="C6" s="105" t="s">
        <v>144</v>
      </c>
      <c r="D6" s="166">
        <v>2016</v>
      </c>
      <c r="E6" s="167" t="s">
        <v>114</v>
      </c>
      <c r="F6" s="167" t="s">
        <v>2014</v>
      </c>
      <c r="G6" s="107" t="s">
        <v>2045</v>
      </c>
      <c r="H6" s="107" t="s">
        <v>102</v>
      </c>
      <c r="I6" s="107" t="s">
        <v>110</v>
      </c>
      <c r="J6" s="107" t="s">
        <v>446</v>
      </c>
      <c r="K6" s="167" t="s">
        <v>2046</v>
      </c>
      <c r="L6" s="167" t="s">
        <v>91</v>
      </c>
      <c r="M6" s="167" t="s">
        <v>95</v>
      </c>
      <c r="N6" s="167" t="s">
        <v>2047</v>
      </c>
      <c r="O6" s="164" t="s">
        <v>2049</v>
      </c>
      <c r="P6" s="164" t="s">
        <v>2048</v>
      </c>
      <c r="S6" s="167"/>
    </row>
    <row r="7" spans="1:51" s="105" customFormat="1" ht="62" customHeight="1" x14ac:dyDescent="0.2">
      <c r="A7" s="220">
        <v>4</v>
      </c>
      <c r="B7" s="214" t="s">
        <v>133</v>
      </c>
      <c r="C7" s="218" t="s">
        <v>27</v>
      </c>
      <c r="D7" s="218">
        <v>2010</v>
      </c>
      <c r="E7" s="214" t="s">
        <v>107</v>
      </c>
      <c r="F7" s="214" t="s">
        <v>131</v>
      </c>
      <c r="G7" s="214" t="s">
        <v>279</v>
      </c>
      <c r="H7" s="214" t="s">
        <v>100</v>
      </c>
      <c r="I7" s="218" t="s">
        <v>275</v>
      </c>
      <c r="J7" s="218" t="s">
        <v>441</v>
      </c>
      <c r="K7" s="214" t="s">
        <v>276</v>
      </c>
      <c r="L7" s="214" t="s">
        <v>91</v>
      </c>
      <c r="M7" s="214" t="s">
        <v>94</v>
      </c>
      <c r="N7" s="214" t="s">
        <v>277</v>
      </c>
      <c r="O7" s="214" t="s">
        <v>274</v>
      </c>
      <c r="P7" s="214" t="s">
        <v>278</v>
      </c>
      <c r="Q7" s="218" t="s">
        <v>1935</v>
      </c>
      <c r="R7" s="166" t="s">
        <v>1923</v>
      </c>
      <c r="S7" s="146">
        <f>3.85*10^-4</f>
        <v>3.8500000000000003E-4</v>
      </c>
      <c r="T7" s="146">
        <f>1.16*10^-5</f>
        <v>1.1600000000000001E-5</v>
      </c>
      <c r="U7" s="175">
        <v>1.8800000000000001E-2</v>
      </c>
      <c r="V7" s="146">
        <f>4.57*10^-9</f>
        <v>4.5700000000000006E-9</v>
      </c>
      <c r="W7" s="146">
        <f>1.76*10^-5</f>
        <v>1.7600000000000001E-5</v>
      </c>
      <c r="X7" s="146"/>
      <c r="Y7" s="175"/>
      <c r="Z7" s="175">
        <v>1.58</v>
      </c>
      <c r="AA7" s="146">
        <f>3.2*10^-4</f>
        <v>3.2000000000000003E-4</v>
      </c>
      <c r="AB7" s="146">
        <f>9.16*10^-3</f>
        <v>9.1599999999999997E-3</v>
      </c>
      <c r="AC7" s="146"/>
      <c r="AD7" s="146"/>
      <c r="AE7" s="146"/>
      <c r="AF7" s="146"/>
      <c r="AG7" s="146">
        <f>2.13*10^-3</f>
        <v>2.1299999999999999E-3</v>
      </c>
      <c r="AH7" s="146">
        <v>11.1</v>
      </c>
      <c r="AI7" s="146">
        <f>1.58*10^-4</f>
        <v>1.5800000000000002E-4</v>
      </c>
      <c r="AJ7" s="146"/>
      <c r="AK7" s="146"/>
    </row>
    <row r="8" spans="1:51" s="105" customFormat="1" ht="62" customHeight="1" x14ac:dyDescent="0.2">
      <c r="A8" s="220"/>
      <c r="B8" s="214"/>
      <c r="C8" s="218"/>
      <c r="D8" s="218"/>
      <c r="E8" s="214"/>
      <c r="F8" s="214"/>
      <c r="G8" s="214"/>
      <c r="H8" s="214"/>
      <c r="I8" s="218"/>
      <c r="J8" s="218"/>
      <c r="K8" s="214"/>
      <c r="L8" s="214"/>
      <c r="M8" s="214"/>
      <c r="N8" s="214"/>
      <c r="O8" s="214"/>
      <c r="P8" s="214"/>
      <c r="Q8" s="218"/>
      <c r="R8" s="166" t="s">
        <v>1069</v>
      </c>
      <c r="S8" s="146">
        <f>5.39*10^-3</f>
        <v>5.3899999999999998E-3</v>
      </c>
      <c r="T8" s="146">
        <f>7.52*10^-4</f>
        <v>7.5199999999999996E-4</v>
      </c>
      <c r="U8" s="175">
        <v>1.39</v>
      </c>
      <c r="V8" s="146">
        <f>2.72*10^-8</f>
        <v>2.7200000000000002E-8</v>
      </c>
      <c r="W8" s="146">
        <f>9.32*10^-4</f>
        <v>9.320000000000001E-4</v>
      </c>
      <c r="X8" s="146"/>
      <c r="Y8" s="184"/>
      <c r="Z8" s="175">
        <v>22.2</v>
      </c>
      <c r="AA8" s="146">
        <f>1.34*10^-2</f>
        <v>1.34E-2</v>
      </c>
      <c r="AB8" s="146">
        <f>4.44*10^-1</f>
        <v>0.44400000000000006</v>
      </c>
      <c r="AC8" s="185"/>
      <c r="AD8" s="185"/>
      <c r="AE8" s="185"/>
      <c r="AF8" s="185"/>
      <c r="AG8" s="146">
        <f>2.23*10^-1</f>
        <v>0.223</v>
      </c>
      <c r="AH8" s="146">
        <v>578</v>
      </c>
      <c r="AI8" s="146">
        <f>3.73*10^-3</f>
        <v>3.7300000000000002E-3</v>
      </c>
      <c r="AJ8" s="185"/>
      <c r="AK8" s="185"/>
    </row>
    <row r="9" spans="1:51" s="105" customFormat="1" ht="62" customHeight="1" x14ac:dyDescent="0.2">
      <c r="A9" s="220"/>
      <c r="B9" s="214"/>
      <c r="C9" s="218"/>
      <c r="D9" s="218"/>
      <c r="E9" s="214"/>
      <c r="F9" s="214"/>
      <c r="G9" s="214"/>
      <c r="H9" s="214"/>
      <c r="I9" s="218"/>
      <c r="J9" s="218"/>
      <c r="K9" s="214"/>
      <c r="L9" s="214"/>
      <c r="M9" s="214"/>
      <c r="N9" s="214"/>
      <c r="O9" s="214"/>
      <c r="P9" s="214"/>
      <c r="Q9" s="218"/>
      <c r="R9" s="166" t="s">
        <v>1925</v>
      </c>
      <c r="S9" s="146">
        <f>8.59*10^-4</f>
        <v>8.5900000000000006E-4</v>
      </c>
      <c r="T9" s="146">
        <f>8.18*10^-5</f>
        <v>8.180000000000001E-5</v>
      </c>
      <c r="U9" s="186">
        <v>0.14899999999999999</v>
      </c>
      <c r="V9" s="146">
        <f>6.71*10^-9</f>
        <v>6.7100000000000002E-9</v>
      </c>
      <c r="W9" s="146">
        <f>1.04*10^-4</f>
        <v>1.0400000000000001E-4</v>
      </c>
      <c r="X9" s="146"/>
      <c r="Y9" s="184"/>
      <c r="Z9" s="175">
        <v>3.54</v>
      </c>
      <c r="AA9" s="146">
        <f>1.56*10^-3</f>
        <v>1.5600000000000002E-3</v>
      </c>
      <c r="AB9" s="146">
        <f>5.03*10^-2</f>
        <v>5.0300000000000004E-2</v>
      </c>
      <c r="AC9" s="185"/>
      <c r="AD9" s="185"/>
      <c r="AE9" s="185"/>
      <c r="AF9" s="185"/>
      <c r="AG9" s="146">
        <f>2.31*10^-2</f>
        <v>2.3100000000000002E-2</v>
      </c>
      <c r="AH9" s="146">
        <v>64.83</v>
      </c>
      <c r="AI9" s="146">
        <f>4.96*10^-4</f>
        <v>4.9600000000000002E-4</v>
      </c>
      <c r="AJ9" s="185"/>
      <c r="AK9" s="185"/>
    </row>
    <row r="10" spans="1:51" s="105" customFormat="1" ht="120" x14ac:dyDescent="0.2">
      <c r="A10" s="105">
        <v>5</v>
      </c>
      <c r="B10" s="167" t="s">
        <v>1358</v>
      </c>
      <c r="C10" s="105" t="s">
        <v>147</v>
      </c>
      <c r="D10" s="166">
        <v>2015</v>
      </c>
      <c r="E10" s="167" t="s">
        <v>114</v>
      </c>
      <c r="F10" s="167" t="s">
        <v>1357</v>
      </c>
      <c r="G10" s="167" t="s">
        <v>1469</v>
      </c>
      <c r="H10" s="167" t="s">
        <v>102</v>
      </c>
      <c r="I10" s="167" t="s">
        <v>110</v>
      </c>
      <c r="J10" s="167" t="s">
        <v>90</v>
      </c>
      <c r="K10" s="167" t="s">
        <v>1470</v>
      </c>
      <c r="L10" s="105" t="s">
        <v>91</v>
      </c>
      <c r="M10" s="105" t="s">
        <v>94</v>
      </c>
      <c r="N10" s="167" t="s">
        <v>1471</v>
      </c>
      <c r="O10" s="167" t="s">
        <v>456</v>
      </c>
      <c r="P10" s="164" t="s">
        <v>1472</v>
      </c>
      <c r="Q10" s="167" t="s">
        <v>1473</v>
      </c>
      <c r="R10" s="105" t="s">
        <v>2044</v>
      </c>
      <c r="S10" s="167"/>
      <c r="U10" s="105">
        <v>0.18279999999999999</v>
      </c>
    </row>
    <row r="11" spans="1:51" s="105" customFormat="1" ht="75" x14ac:dyDescent="0.2">
      <c r="A11" s="105">
        <v>6</v>
      </c>
      <c r="B11" s="167" t="s">
        <v>1770</v>
      </c>
      <c r="D11" s="166">
        <v>2008</v>
      </c>
      <c r="E11" s="167" t="s">
        <v>1771</v>
      </c>
      <c r="F11" s="167" t="s">
        <v>1772</v>
      </c>
      <c r="G11" s="167"/>
      <c r="H11" s="167"/>
      <c r="I11" s="167"/>
      <c r="J11" s="167"/>
      <c r="K11" s="167"/>
      <c r="L11" s="167"/>
      <c r="M11" s="167"/>
      <c r="N11" s="167"/>
      <c r="O11" s="166"/>
      <c r="P11" s="164"/>
      <c r="Q11" s="167" t="s">
        <v>1834</v>
      </c>
      <c r="S11" s="146"/>
      <c r="T11" s="146"/>
      <c r="U11" s="146"/>
      <c r="V11" s="146"/>
      <c r="W11" s="146"/>
      <c r="X11" s="146"/>
      <c r="Y11" s="175"/>
      <c r="Z11" s="175"/>
      <c r="AA11" s="186"/>
      <c r="AB11" s="146"/>
      <c r="AC11" s="146"/>
      <c r="AD11" s="146"/>
      <c r="AE11" s="146"/>
      <c r="AF11" s="146"/>
      <c r="AG11" s="146"/>
      <c r="AH11" s="146"/>
      <c r="AI11" s="146"/>
      <c r="AJ11" s="146"/>
    </row>
    <row r="12" spans="1:51" s="115" customFormat="1" ht="75" x14ac:dyDescent="0.2">
      <c r="A12" s="105">
        <v>7</v>
      </c>
      <c r="B12" s="167" t="s">
        <v>140</v>
      </c>
      <c r="C12" s="105" t="s">
        <v>135</v>
      </c>
      <c r="D12" s="166">
        <v>2015</v>
      </c>
      <c r="E12" s="167" t="s">
        <v>114</v>
      </c>
      <c r="F12" s="167" t="s">
        <v>141</v>
      </c>
      <c r="G12" s="167" t="s">
        <v>290</v>
      </c>
      <c r="H12" s="167" t="s">
        <v>100</v>
      </c>
      <c r="I12" s="167" t="s">
        <v>275</v>
      </c>
      <c r="J12" s="167" t="s">
        <v>90</v>
      </c>
      <c r="K12" s="167" t="s">
        <v>288</v>
      </c>
      <c r="L12" s="167" t="s">
        <v>91</v>
      </c>
      <c r="M12" s="167" t="s">
        <v>443</v>
      </c>
      <c r="N12" s="167" t="s">
        <v>490</v>
      </c>
      <c r="O12" s="168" t="s">
        <v>18</v>
      </c>
      <c r="P12" s="168" t="s">
        <v>18</v>
      </c>
      <c r="Q12" s="105"/>
      <c r="R12" s="105"/>
      <c r="S12" s="167"/>
      <c r="T12" s="105"/>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6"/>
      <c r="AW12" s="116"/>
      <c r="AX12" s="116"/>
      <c r="AY12" s="116"/>
    </row>
    <row r="13" spans="1:51" s="116" customFormat="1" ht="75" x14ac:dyDescent="0.2">
      <c r="A13" s="105">
        <v>8</v>
      </c>
      <c r="B13" s="167" t="s">
        <v>2016</v>
      </c>
      <c r="C13" s="105" t="s">
        <v>2018</v>
      </c>
      <c r="D13" s="166">
        <v>2015</v>
      </c>
      <c r="E13" s="167" t="s">
        <v>164</v>
      </c>
      <c r="F13" s="167" t="s">
        <v>2017</v>
      </c>
      <c r="G13" s="167" t="s">
        <v>2057</v>
      </c>
      <c r="H13" s="167" t="s">
        <v>1150</v>
      </c>
      <c r="I13" s="147" t="s">
        <v>2059</v>
      </c>
      <c r="J13" s="167" t="s">
        <v>445</v>
      </c>
      <c r="K13" s="167" t="s">
        <v>2058</v>
      </c>
      <c r="L13" s="167" t="s">
        <v>441</v>
      </c>
      <c r="M13" s="167"/>
      <c r="N13" s="167" t="s">
        <v>2060</v>
      </c>
      <c r="O13" s="168" t="s">
        <v>18</v>
      </c>
      <c r="P13" s="164" t="s">
        <v>2061</v>
      </c>
      <c r="Q13" s="167" t="s">
        <v>2062</v>
      </c>
      <c r="R13" s="105"/>
      <c r="S13" s="167"/>
    </row>
    <row r="14" spans="1:51" s="116" customFormat="1" ht="165" x14ac:dyDescent="0.2">
      <c r="A14" s="105">
        <v>9</v>
      </c>
      <c r="B14" s="167" t="s">
        <v>2020</v>
      </c>
      <c r="C14" s="105" t="s">
        <v>8</v>
      </c>
      <c r="D14" s="166">
        <v>2015</v>
      </c>
      <c r="E14" s="167" t="s">
        <v>114</v>
      </c>
      <c r="F14" s="167" t="s">
        <v>2019</v>
      </c>
      <c r="G14" s="167" t="s">
        <v>2054</v>
      </c>
      <c r="H14" s="167" t="s">
        <v>100</v>
      </c>
      <c r="I14" s="167" t="s">
        <v>275</v>
      </c>
      <c r="J14" s="167" t="s">
        <v>444</v>
      </c>
      <c r="K14" s="167" t="s">
        <v>408</v>
      </c>
      <c r="L14" s="167" t="s">
        <v>91</v>
      </c>
      <c r="M14" s="167" t="s">
        <v>443</v>
      </c>
      <c r="N14" s="167" t="s">
        <v>2055</v>
      </c>
      <c r="O14" s="164" t="s">
        <v>2056</v>
      </c>
      <c r="P14" s="166" t="s">
        <v>1288</v>
      </c>
      <c r="Q14" s="167"/>
      <c r="R14" s="105"/>
      <c r="S14" s="167"/>
    </row>
    <row r="15" spans="1:51" s="116" customFormat="1" ht="180" x14ac:dyDescent="0.2">
      <c r="A15" s="105">
        <v>10</v>
      </c>
      <c r="B15" s="167" t="s">
        <v>2022</v>
      </c>
      <c r="C15" s="105" t="s">
        <v>82</v>
      </c>
      <c r="D15" s="166">
        <v>2015</v>
      </c>
      <c r="E15" s="167" t="s">
        <v>114</v>
      </c>
      <c r="F15" s="167" t="s">
        <v>2021</v>
      </c>
      <c r="G15" s="167" t="s">
        <v>2050</v>
      </c>
      <c r="H15" s="167" t="s">
        <v>1150</v>
      </c>
      <c r="I15" s="167" t="s">
        <v>2051</v>
      </c>
      <c r="J15" s="167" t="s">
        <v>446</v>
      </c>
      <c r="K15" s="167" t="s">
        <v>2053</v>
      </c>
      <c r="L15" s="167" t="s">
        <v>441</v>
      </c>
      <c r="M15" s="167"/>
      <c r="N15" s="167" t="s">
        <v>2052</v>
      </c>
      <c r="O15" s="168" t="s">
        <v>18</v>
      </c>
      <c r="P15" s="166" t="s">
        <v>1288</v>
      </c>
      <c r="Q15" s="167"/>
      <c r="R15" s="105"/>
      <c r="S15" s="167"/>
    </row>
    <row r="16" spans="1:51" s="115" customFormat="1" ht="105" x14ac:dyDescent="0.2">
      <c r="A16" s="105">
        <v>11</v>
      </c>
      <c r="B16" s="167" t="s">
        <v>1810</v>
      </c>
      <c r="C16" s="105" t="s">
        <v>135</v>
      </c>
      <c r="D16" s="166">
        <v>2017</v>
      </c>
      <c r="E16" s="167" t="s">
        <v>114</v>
      </c>
      <c r="F16" s="167" t="s">
        <v>1809</v>
      </c>
      <c r="G16" s="167" t="s">
        <v>1835</v>
      </c>
      <c r="H16" s="167" t="s">
        <v>1095</v>
      </c>
      <c r="I16" s="167" t="s">
        <v>281</v>
      </c>
      <c r="J16" s="167" t="s">
        <v>89</v>
      </c>
      <c r="K16" s="105" t="s">
        <v>1837</v>
      </c>
      <c r="L16" s="105" t="s">
        <v>441</v>
      </c>
      <c r="M16" s="105"/>
      <c r="N16" s="167" t="s">
        <v>1838</v>
      </c>
      <c r="O16" s="163" t="s">
        <v>18</v>
      </c>
      <c r="P16" s="164" t="s">
        <v>1836</v>
      </c>
      <c r="Q16" s="164"/>
      <c r="R16" s="105"/>
      <c r="S16" s="147"/>
      <c r="T16" s="167"/>
      <c r="U16" s="116"/>
      <c r="V16" s="116"/>
      <c r="W16" s="116"/>
      <c r="X16" s="116"/>
      <c r="Y16" s="116"/>
      <c r="Z16" s="116"/>
      <c r="AA16" s="116"/>
      <c r="AB16" s="116"/>
      <c r="AC16" s="116"/>
      <c r="AD16" s="116"/>
      <c r="AE16" s="116"/>
      <c r="AF16" s="116"/>
      <c r="AG16" s="116"/>
      <c r="AH16" s="116"/>
      <c r="AI16" s="116"/>
      <c r="AJ16" s="116"/>
      <c r="AK16" s="116"/>
      <c r="AL16" s="116"/>
      <c r="AM16" s="116"/>
      <c r="AN16" s="116"/>
      <c r="AO16" s="116"/>
      <c r="AP16" s="116"/>
      <c r="AQ16" s="116"/>
      <c r="AR16" s="116"/>
      <c r="AS16" s="116"/>
      <c r="AT16" s="116"/>
      <c r="AU16" s="116"/>
      <c r="AV16" s="116"/>
      <c r="AW16" s="116"/>
      <c r="AX16" s="116"/>
      <c r="AY16" s="116"/>
    </row>
    <row r="17" spans="1:51" s="115" customFormat="1" ht="34" customHeight="1" x14ac:dyDescent="0.2">
      <c r="A17" s="220">
        <v>12</v>
      </c>
      <c r="B17" s="214" t="s">
        <v>719</v>
      </c>
      <c r="C17" s="218" t="s">
        <v>27</v>
      </c>
      <c r="D17" s="218">
        <v>2011</v>
      </c>
      <c r="E17" s="214" t="s">
        <v>114</v>
      </c>
      <c r="F17" s="219" t="s">
        <v>718</v>
      </c>
      <c r="G17" s="214" t="s">
        <v>1099</v>
      </c>
      <c r="H17" s="214" t="s">
        <v>100</v>
      </c>
      <c r="I17" s="216" t="s">
        <v>1100</v>
      </c>
      <c r="J17" s="216" t="s">
        <v>90</v>
      </c>
      <c r="K17" s="214" t="s">
        <v>1101</v>
      </c>
      <c r="L17" s="214" t="s">
        <v>91</v>
      </c>
      <c r="M17" s="214" t="s">
        <v>443</v>
      </c>
      <c r="N17" s="214" t="s">
        <v>1104</v>
      </c>
      <c r="O17" s="214" t="s">
        <v>1103</v>
      </c>
      <c r="P17" s="214" t="s">
        <v>1102</v>
      </c>
      <c r="Q17" s="218" t="s">
        <v>1935</v>
      </c>
      <c r="R17" s="166" t="s">
        <v>1923</v>
      </c>
      <c r="S17" s="113">
        <f>3.46*10^-4</f>
        <v>3.4600000000000001E-4</v>
      </c>
      <c r="T17" s="167">
        <f>1.05*10^-5</f>
        <v>1.0500000000000001E-5</v>
      </c>
      <c r="U17" s="105">
        <f>1.69*10^-2</f>
        <v>1.6899999999999998E-2</v>
      </c>
      <c r="V17" s="105">
        <f>4.11*10^-9</f>
        <v>4.1100000000000009E-9</v>
      </c>
      <c r="W17" s="105">
        <f>1.59*10^-5</f>
        <v>1.5900000000000004E-5</v>
      </c>
      <c r="X17" s="105"/>
      <c r="Y17" s="105"/>
      <c r="Z17" s="105"/>
      <c r="AA17" s="105">
        <f>2.88*10^-4</f>
        <v>2.8800000000000001E-4</v>
      </c>
      <c r="AB17" s="105">
        <f>8.24*10^-3</f>
        <v>8.2400000000000008E-3</v>
      </c>
      <c r="AC17" s="105"/>
      <c r="AD17" s="116"/>
      <c r="AE17" s="116"/>
      <c r="AF17" s="116"/>
      <c r="AG17" s="116">
        <f>1.92*10^-3</f>
        <v>1.92E-3</v>
      </c>
      <c r="AH17" s="116">
        <v>10</v>
      </c>
      <c r="AI17" s="116">
        <f>1.42*10^-4</f>
        <v>1.4200000000000001E-4</v>
      </c>
      <c r="AJ17" s="116"/>
      <c r="AK17" s="116"/>
      <c r="AL17" s="116"/>
      <c r="AM17" s="116"/>
      <c r="AN17" s="116"/>
      <c r="AO17" s="116"/>
      <c r="AP17" s="116"/>
      <c r="AQ17" s="116"/>
      <c r="AR17" s="116"/>
      <c r="AS17" s="116"/>
      <c r="AT17" s="116"/>
      <c r="AU17" s="116"/>
      <c r="AV17" s="116"/>
      <c r="AW17" s="116"/>
      <c r="AX17" s="116"/>
      <c r="AY17" s="116"/>
    </row>
    <row r="18" spans="1:51" s="115" customFormat="1" ht="34" customHeight="1" x14ac:dyDescent="0.2">
      <c r="A18" s="220"/>
      <c r="B18" s="214"/>
      <c r="C18" s="218"/>
      <c r="D18" s="218"/>
      <c r="E18" s="214"/>
      <c r="F18" s="219"/>
      <c r="G18" s="214"/>
      <c r="H18" s="214"/>
      <c r="I18" s="216"/>
      <c r="J18" s="216"/>
      <c r="K18" s="214"/>
      <c r="L18" s="214"/>
      <c r="M18" s="214"/>
      <c r="N18" s="214"/>
      <c r="O18" s="214"/>
      <c r="P18" s="214"/>
      <c r="Q18" s="218"/>
      <c r="R18" s="166" t="s">
        <v>1069</v>
      </c>
      <c r="S18" s="113">
        <f>4.85*10^-3</f>
        <v>4.8500000000000001E-3</v>
      </c>
      <c r="T18" s="167">
        <f>6.77*10^-4</f>
        <v>6.7699999999999998E-4</v>
      </c>
      <c r="U18" s="105">
        <v>1.25</v>
      </c>
      <c r="V18" s="105">
        <f>2.45*10^-8</f>
        <v>2.4500000000000001E-8</v>
      </c>
      <c r="W18" s="105">
        <f>8.39*10^-4</f>
        <v>8.3900000000000012E-4</v>
      </c>
      <c r="X18" s="105"/>
      <c r="Y18" s="105"/>
      <c r="Z18" s="105"/>
      <c r="AA18" s="105">
        <f>1.21*10^-2</f>
        <v>1.21E-2</v>
      </c>
      <c r="AB18" s="105">
        <f>3.99*10^-1</f>
        <v>0.39900000000000002</v>
      </c>
      <c r="AC18" s="105"/>
      <c r="AD18" s="116"/>
      <c r="AE18" s="116"/>
      <c r="AF18" s="116"/>
      <c r="AG18" s="116">
        <f>2.01*10^-1</f>
        <v>0.20099999999999998</v>
      </c>
      <c r="AH18" s="116">
        <f>5.2*10^-2</f>
        <v>5.2000000000000005E-2</v>
      </c>
      <c r="AI18" s="116">
        <f>3.35*10^-3</f>
        <v>3.3500000000000001E-3</v>
      </c>
      <c r="AJ18" s="116"/>
      <c r="AK18" s="116"/>
      <c r="AL18" s="116"/>
      <c r="AM18" s="116"/>
      <c r="AN18" s="116"/>
      <c r="AO18" s="116"/>
      <c r="AP18" s="116"/>
      <c r="AQ18" s="116"/>
      <c r="AR18" s="116"/>
      <c r="AS18" s="116"/>
      <c r="AT18" s="116"/>
      <c r="AU18" s="116"/>
      <c r="AV18" s="116"/>
      <c r="AW18" s="116"/>
      <c r="AX18" s="116"/>
      <c r="AY18" s="116"/>
    </row>
    <row r="19" spans="1:51" s="115" customFormat="1" ht="34" customHeight="1" x14ac:dyDescent="0.2">
      <c r="A19" s="220"/>
      <c r="B19" s="214"/>
      <c r="C19" s="218"/>
      <c r="D19" s="218"/>
      <c r="E19" s="214"/>
      <c r="F19" s="219"/>
      <c r="G19" s="214"/>
      <c r="H19" s="214"/>
      <c r="I19" s="216"/>
      <c r="J19" s="216"/>
      <c r="K19" s="214"/>
      <c r="L19" s="214"/>
      <c r="M19" s="214"/>
      <c r="N19" s="214"/>
      <c r="O19" s="214"/>
      <c r="P19" s="214"/>
      <c r="Q19" s="218"/>
      <c r="R19" s="166" t="s">
        <v>1925</v>
      </c>
      <c r="S19" s="113">
        <f>8.91*10^-4</f>
        <v>8.9100000000000008E-4</v>
      </c>
      <c r="T19" s="167">
        <f>9.11*10^-5</f>
        <v>9.1100000000000005E-5</v>
      </c>
      <c r="U19" s="105">
        <v>0.16700000000000001</v>
      </c>
      <c r="V19" s="105">
        <f>6.57*10^-9</f>
        <v>6.5700000000000011E-9</v>
      </c>
      <c r="W19" s="105">
        <f>1.16*10^-4</f>
        <v>1.16E-4</v>
      </c>
      <c r="X19" s="105"/>
      <c r="Y19" s="105"/>
      <c r="Z19" s="105"/>
      <c r="AA19" s="105">
        <f>1.71*10^-3</f>
        <v>1.7099999999999999E-3</v>
      </c>
      <c r="AB19" s="105">
        <f>5.56*10^-2</f>
        <v>5.5599999999999997E-2</v>
      </c>
      <c r="AC19" s="105"/>
      <c r="AD19" s="116"/>
      <c r="AE19" s="116"/>
      <c r="AF19" s="116"/>
      <c r="AG19" s="116">
        <f>2.6*10^-2</f>
        <v>2.6000000000000002E-2</v>
      </c>
      <c r="AH19" s="116">
        <f>7.18*10^-1</f>
        <v>0.71799999999999997</v>
      </c>
      <c r="AI19" s="116">
        <f>5.31*10^-4</f>
        <v>5.31E-4</v>
      </c>
      <c r="AJ19" s="116"/>
      <c r="AK19" s="116"/>
      <c r="AL19" s="116"/>
      <c r="AM19" s="116"/>
      <c r="AN19" s="116"/>
      <c r="AO19" s="116"/>
      <c r="AP19" s="116"/>
      <c r="AQ19" s="116"/>
      <c r="AR19" s="116"/>
      <c r="AS19" s="116"/>
      <c r="AT19" s="116"/>
      <c r="AU19" s="116"/>
      <c r="AV19" s="116"/>
      <c r="AW19" s="116"/>
      <c r="AX19" s="116"/>
      <c r="AY19" s="116"/>
    </row>
    <row r="20" spans="1:51" s="115" customFormat="1" ht="150" x14ac:dyDescent="0.2">
      <c r="A20" s="105">
        <v>13</v>
      </c>
      <c r="B20" s="167" t="s">
        <v>1773</v>
      </c>
      <c r="C20" s="105" t="s">
        <v>156</v>
      </c>
      <c r="D20" s="166">
        <v>2014</v>
      </c>
      <c r="E20" s="167" t="s">
        <v>114</v>
      </c>
      <c r="F20" s="113" t="s">
        <v>1774</v>
      </c>
      <c r="G20" s="167" t="s">
        <v>1840</v>
      </c>
      <c r="H20" s="167" t="s">
        <v>1095</v>
      </c>
      <c r="I20" s="167" t="s">
        <v>1839</v>
      </c>
      <c r="J20" s="167" t="s">
        <v>88</v>
      </c>
      <c r="K20" s="167" t="s">
        <v>1844</v>
      </c>
      <c r="L20" s="167" t="s">
        <v>91</v>
      </c>
      <c r="M20" s="167" t="s">
        <v>443</v>
      </c>
      <c r="N20" s="167" t="s">
        <v>1841</v>
      </c>
      <c r="O20" s="167" t="s">
        <v>1103</v>
      </c>
      <c r="P20" s="167" t="s">
        <v>1843</v>
      </c>
      <c r="Q20" s="167" t="s">
        <v>1842</v>
      </c>
      <c r="R20" s="112"/>
      <c r="S20" s="167"/>
      <c r="T20" s="167"/>
      <c r="U20" s="167"/>
      <c r="V20" s="167"/>
      <c r="W20" s="167"/>
      <c r="X20" s="167"/>
      <c r="Y20" s="167"/>
      <c r="Z20" s="167"/>
      <c r="AA20" s="167"/>
      <c r="AB20" s="167"/>
      <c r="AC20" s="167"/>
      <c r="AD20" s="167"/>
      <c r="AE20" s="167"/>
      <c r="AF20" s="167"/>
      <c r="AG20" s="167"/>
      <c r="AH20" s="167"/>
      <c r="AI20" s="167"/>
      <c r="AJ20" s="167"/>
      <c r="AK20" s="167"/>
      <c r="AL20" s="167"/>
      <c r="AM20" s="167"/>
      <c r="AN20" s="167"/>
      <c r="AO20" s="167"/>
      <c r="AP20" s="167"/>
      <c r="AQ20" s="167"/>
      <c r="AR20" s="167"/>
      <c r="AS20" s="167"/>
      <c r="AT20" s="167"/>
      <c r="AU20" s="167"/>
      <c r="AV20" s="116"/>
      <c r="AW20" s="116"/>
      <c r="AX20" s="116"/>
      <c r="AY20" s="116"/>
    </row>
    <row r="21" spans="1:51" s="115" customFormat="1" ht="135" x14ac:dyDescent="0.2">
      <c r="A21" s="105">
        <v>14</v>
      </c>
      <c r="B21" s="167" t="s">
        <v>2023</v>
      </c>
      <c r="C21" s="167" t="s">
        <v>162</v>
      </c>
      <c r="D21" s="166">
        <v>2006</v>
      </c>
      <c r="E21" s="167" t="s">
        <v>28</v>
      </c>
      <c r="F21" s="167" t="s">
        <v>2024</v>
      </c>
      <c r="G21" s="167" t="s">
        <v>2063</v>
      </c>
      <c r="H21" s="167" t="s">
        <v>103</v>
      </c>
      <c r="I21" s="167" t="s">
        <v>110</v>
      </c>
      <c r="J21" s="167" t="s">
        <v>89</v>
      </c>
      <c r="K21" s="167" t="s">
        <v>2066</v>
      </c>
      <c r="L21" s="167" t="s">
        <v>441</v>
      </c>
      <c r="M21" s="167"/>
      <c r="N21" s="167" t="s">
        <v>2065</v>
      </c>
      <c r="O21" s="163" t="s">
        <v>18</v>
      </c>
      <c r="P21" s="164" t="s">
        <v>2064</v>
      </c>
      <c r="Q21" s="112"/>
      <c r="R21" s="112"/>
      <c r="S21" s="167"/>
      <c r="T21" s="167"/>
      <c r="U21" s="167"/>
      <c r="V21" s="167"/>
      <c r="W21" s="167"/>
      <c r="X21" s="167"/>
      <c r="Y21" s="167"/>
      <c r="Z21" s="167"/>
      <c r="AA21" s="167"/>
      <c r="AB21" s="167"/>
      <c r="AC21" s="167"/>
      <c r="AD21" s="167"/>
      <c r="AE21" s="167"/>
      <c r="AF21" s="167"/>
      <c r="AG21" s="167"/>
      <c r="AH21" s="167"/>
      <c r="AI21" s="167"/>
      <c r="AJ21" s="167"/>
      <c r="AK21" s="167"/>
      <c r="AL21" s="167"/>
      <c r="AM21" s="167"/>
      <c r="AN21" s="167"/>
      <c r="AO21" s="167"/>
      <c r="AP21" s="167"/>
      <c r="AQ21" s="167"/>
      <c r="AR21" s="167"/>
      <c r="AS21" s="167"/>
      <c r="AT21" s="167"/>
      <c r="AU21" s="167"/>
      <c r="AV21" s="116"/>
      <c r="AW21" s="116"/>
      <c r="AX21" s="116"/>
      <c r="AY21" s="116"/>
    </row>
    <row r="22" spans="1:51" s="115" customFormat="1" ht="90" x14ac:dyDescent="0.2">
      <c r="A22" s="105">
        <v>15</v>
      </c>
      <c r="B22" s="167" t="s">
        <v>2025</v>
      </c>
      <c r="C22" s="167" t="s">
        <v>174</v>
      </c>
      <c r="D22" s="166">
        <v>2012</v>
      </c>
      <c r="E22" s="167" t="s">
        <v>2027</v>
      </c>
      <c r="F22" s="167" t="s">
        <v>2026</v>
      </c>
      <c r="G22" s="167" t="s">
        <v>2069</v>
      </c>
      <c r="H22" s="167" t="s">
        <v>98</v>
      </c>
      <c r="I22" s="107" t="s">
        <v>2068</v>
      </c>
      <c r="J22" s="167" t="s">
        <v>444</v>
      </c>
      <c r="K22" s="167" t="s">
        <v>2070</v>
      </c>
      <c r="L22" s="167" t="s">
        <v>441</v>
      </c>
      <c r="M22" s="167"/>
      <c r="N22" s="167" t="s">
        <v>1035</v>
      </c>
      <c r="O22" s="163" t="s">
        <v>18</v>
      </c>
      <c r="P22" s="163" t="s">
        <v>18</v>
      </c>
      <c r="Q22" s="164" t="s">
        <v>2067</v>
      </c>
      <c r="R22" s="164"/>
      <c r="S22" s="167"/>
      <c r="T22" s="167"/>
      <c r="U22" s="167"/>
      <c r="V22" s="167"/>
      <c r="W22" s="167"/>
      <c r="X22" s="167"/>
      <c r="Y22" s="167"/>
      <c r="Z22" s="167"/>
      <c r="AA22" s="167"/>
      <c r="AB22" s="167"/>
      <c r="AC22" s="167"/>
      <c r="AD22" s="167"/>
      <c r="AE22" s="167"/>
      <c r="AF22" s="167"/>
      <c r="AG22" s="167"/>
      <c r="AH22" s="167"/>
      <c r="AI22" s="167"/>
      <c r="AJ22" s="167"/>
      <c r="AK22" s="167"/>
      <c r="AL22" s="167"/>
      <c r="AM22" s="167"/>
      <c r="AN22" s="167"/>
      <c r="AO22" s="167"/>
      <c r="AP22" s="167"/>
      <c r="AQ22" s="167"/>
      <c r="AR22" s="167"/>
      <c r="AS22" s="167"/>
      <c r="AT22" s="167"/>
      <c r="AU22" s="167"/>
      <c r="AV22" s="116"/>
      <c r="AW22" s="116"/>
      <c r="AX22" s="116"/>
      <c r="AY22" s="116"/>
    </row>
    <row r="23" spans="1:51" s="115" customFormat="1" ht="105" x14ac:dyDescent="0.2">
      <c r="A23" s="105">
        <v>16</v>
      </c>
      <c r="B23" s="167" t="s">
        <v>1777</v>
      </c>
      <c r="C23" s="167" t="s">
        <v>82</v>
      </c>
      <c r="D23" s="166">
        <v>2015</v>
      </c>
      <c r="E23" s="167" t="s">
        <v>164</v>
      </c>
      <c r="F23" s="167" t="s">
        <v>1778</v>
      </c>
      <c r="G23" s="107" t="s">
        <v>1850</v>
      </c>
      <c r="H23" s="167" t="s">
        <v>100</v>
      </c>
      <c r="I23" s="107" t="s">
        <v>275</v>
      </c>
      <c r="J23" s="107" t="s">
        <v>90</v>
      </c>
      <c r="K23" s="167" t="s">
        <v>1851</v>
      </c>
      <c r="L23" s="167" t="s">
        <v>91</v>
      </c>
      <c r="M23" s="167" t="s">
        <v>1269</v>
      </c>
      <c r="N23" s="167" t="s">
        <v>1852</v>
      </c>
      <c r="O23" s="164" t="s">
        <v>1069</v>
      </c>
      <c r="P23" s="167" t="s">
        <v>1825</v>
      </c>
      <c r="Q23" s="112"/>
      <c r="R23" s="112"/>
      <c r="S23" s="167"/>
      <c r="T23" s="167"/>
      <c r="U23" s="167"/>
      <c r="V23" s="167"/>
      <c r="W23" s="167"/>
      <c r="X23" s="167"/>
      <c r="Y23" s="167"/>
      <c r="Z23" s="167"/>
      <c r="AA23" s="167"/>
      <c r="AB23" s="167"/>
      <c r="AC23" s="167"/>
      <c r="AD23" s="167"/>
      <c r="AE23" s="167"/>
      <c r="AF23" s="167"/>
      <c r="AG23" s="167"/>
      <c r="AH23" s="167"/>
      <c r="AI23" s="167"/>
      <c r="AJ23" s="167"/>
      <c r="AK23" s="167"/>
      <c r="AL23" s="167"/>
      <c r="AM23" s="167"/>
      <c r="AN23" s="167"/>
      <c r="AO23" s="167"/>
      <c r="AP23" s="167"/>
      <c r="AQ23" s="167"/>
      <c r="AR23" s="167"/>
      <c r="AS23" s="167"/>
      <c r="AT23" s="167"/>
      <c r="AU23" s="167"/>
      <c r="AV23" s="116"/>
      <c r="AW23" s="116"/>
      <c r="AX23" s="116"/>
      <c r="AY23" s="116"/>
    </row>
    <row r="24" spans="1:51" s="115" customFormat="1" ht="75" x14ac:dyDescent="0.2">
      <c r="A24" s="105">
        <v>17</v>
      </c>
      <c r="B24" s="167" t="s">
        <v>1779</v>
      </c>
      <c r="C24" s="167" t="s">
        <v>1854</v>
      </c>
      <c r="D24" s="166">
        <v>2004</v>
      </c>
      <c r="E24" s="167" t="s">
        <v>1771</v>
      </c>
      <c r="F24" s="167" t="s">
        <v>1780</v>
      </c>
      <c r="G24" s="167" t="s">
        <v>1853</v>
      </c>
      <c r="H24" s="167" t="s">
        <v>100</v>
      </c>
      <c r="I24" s="107" t="s">
        <v>275</v>
      </c>
      <c r="J24" s="167" t="s">
        <v>88</v>
      </c>
      <c r="K24" s="167" t="s">
        <v>1855</v>
      </c>
      <c r="L24" s="167" t="s">
        <v>443</v>
      </c>
      <c r="M24" s="167"/>
      <c r="N24" s="167" t="s">
        <v>1856</v>
      </c>
      <c r="O24" s="163" t="s">
        <v>18</v>
      </c>
      <c r="P24" s="164" t="s">
        <v>304</v>
      </c>
      <c r="Q24" s="164" t="s">
        <v>1857</v>
      </c>
      <c r="R24" s="112"/>
      <c r="S24" s="167"/>
      <c r="T24" s="167"/>
      <c r="U24" s="167"/>
      <c r="V24" s="167"/>
      <c r="W24" s="167"/>
      <c r="X24" s="167"/>
      <c r="Y24" s="167"/>
      <c r="Z24" s="167"/>
      <c r="AA24" s="167"/>
      <c r="AB24" s="167"/>
      <c r="AC24" s="167"/>
      <c r="AD24" s="167"/>
      <c r="AE24" s="167"/>
      <c r="AF24" s="167"/>
      <c r="AG24" s="167"/>
      <c r="AH24" s="167"/>
      <c r="AI24" s="167"/>
      <c r="AJ24" s="167"/>
      <c r="AK24" s="167"/>
      <c r="AL24" s="167"/>
      <c r="AM24" s="167"/>
      <c r="AN24" s="167"/>
      <c r="AO24" s="167"/>
      <c r="AP24" s="167"/>
      <c r="AQ24" s="167"/>
      <c r="AR24" s="167"/>
      <c r="AS24" s="167"/>
      <c r="AT24" s="167"/>
      <c r="AU24" s="167"/>
      <c r="AV24" s="116"/>
      <c r="AW24" s="116"/>
      <c r="AX24" s="116"/>
      <c r="AY24" s="116"/>
    </row>
    <row r="25" spans="1:51" s="115" customFormat="1" ht="75" x14ac:dyDescent="0.2">
      <c r="A25" s="105">
        <v>18</v>
      </c>
      <c r="B25" s="167" t="s">
        <v>2029</v>
      </c>
      <c r="C25" s="105" t="s">
        <v>795</v>
      </c>
      <c r="D25" s="166">
        <v>2016</v>
      </c>
      <c r="E25" s="167" t="s">
        <v>114</v>
      </c>
      <c r="F25" s="107" t="s">
        <v>2028</v>
      </c>
      <c r="G25" s="167" t="s">
        <v>2071</v>
      </c>
      <c r="H25" s="167" t="s">
        <v>100</v>
      </c>
      <c r="I25" s="107" t="s">
        <v>275</v>
      </c>
      <c r="J25" s="167" t="s">
        <v>444</v>
      </c>
      <c r="K25" s="107" t="s">
        <v>408</v>
      </c>
      <c r="L25" s="107" t="s">
        <v>441</v>
      </c>
      <c r="M25" s="107"/>
      <c r="N25" s="167" t="s">
        <v>2072</v>
      </c>
      <c r="O25" s="168" t="s">
        <v>18</v>
      </c>
      <c r="P25" s="168" t="s">
        <v>18</v>
      </c>
      <c r="Q25" s="112"/>
      <c r="R25" s="112"/>
      <c r="S25" s="167"/>
      <c r="T25" s="167"/>
      <c r="U25" s="167"/>
      <c r="V25" s="167"/>
      <c r="W25" s="167"/>
      <c r="X25" s="167"/>
      <c r="Y25" s="167"/>
      <c r="Z25" s="167"/>
      <c r="AA25" s="167"/>
      <c r="AB25" s="167"/>
      <c r="AC25" s="167"/>
      <c r="AD25" s="167"/>
      <c r="AE25" s="167"/>
      <c r="AF25" s="167"/>
      <c r="AG25" s="167"/>
      <c r="AH25" s="167"/>
      <c r="AI25" s="167"/>
      <c r="AJ25" s="167"/>
      <c r="AK25" s="167"/>
      <c r="AL25" s="167"/>
      <c r="AM25" s="167"/>
      <c r="AN25" s="167"/>
      <c r="AO25" s="167"/>
      <c r="AP25" s="167"/>
      <c r="AQ25" s="167"/>
      <c r="AR25" s="167"/>
      <c r="AS25" s="167"/>
      <c r="AT25" s="167"/>
      <c r="AU25" s="167"/>
      <c r="AV25" s="116"/>
      <c r="AW25" s="116"/>
      <c r="AX25" s="116"/>
      <c r="AY25" s="116"/>
    </row>
    <row r="26" spans="1:51" s="115" customFormat="1" ht="135" x14ac:dyDescent="0.2">
      <c r="A26" s="105">
        <v>19</v>
      </c>
      <c r="B26" s="167" t="s">
        <v>173</v>
      </c>
      <c r="C26" s="105" t="s">
        <v>174</v>
      </c>
      <c r="D26" s="166">
        <v>2016</v>
      </c>
      <c r="E26" s="167" t="s">
        <v>164</v>
      </c>
      <c r="F26" s="167" t="s">
        <v>172</v>
      </c>
      <c r="G26" s="167" t="s">
        <v>344</v>
      </c>
      <c r="H26" s="167" t="s">
        <v>443</v>
      </c>
      <c r="I26" s="167" t="s">
        <v>315</v>
      </c>
      <c r="J26" s="167" t="s">
        <v>90</v>
      </c>
      <c r="K26" s="167" t="s">
        <v>343</v>
      </c>
      <c r="L26" s="167" t="s">
        <v>441</v>
      </c>
      <c r="M26" s="167"/>
      <c r="N26" s="105" t="s">
        <v>273</v>
      </c>
      <c r="O26" s="168" t="s">
        <v>18</v>
      </c>
      <c r="P26" s="168" t="s">
        <v>18</v>
      </c>
      <c r="Q26" s="112"/>
      <c r="R26" s="112"/>
      <c r="S26" s="167"/>
      <c r="T26" s="167"/>
      <c r="U26" s="167"/>
      <c r="V26" s="167"/>
      <c r="W26" s="167"/>
      <c r="X26" s="167"/>
      <c r="Y26" s="167"/>
      <c r="Z26" s="167"/>
      <c r="AA26" s="167"/>
      <c r="AB26" s="167"/>
      <c r="AC26" s="167"/>
      <c r="AD26" s="167"/>
      <c r="AE26" s="167"/>
      <c r="AF26" s="167"/>
      <c r="AG26" s="167"/>
      <c r="AH26" s="167"/>
      <c r="AI26" s="167"/>
      <c r="AJ26" s="167"/>
      <c r="AK26" s="167"/>
      <c r="AL26" s="167"/>
      <c r="AM26" s="167"/>
      <c r="AN26" s="167"/>
      <c r="AO26" s="167"/>
      <c r="AP26" s="167"/>
      <c r="AQ26" s="167"/>
      <c r="AR26" s="167"/>
      <c r="AS26" s="167"/>
      <c r="AT26" s="167"/>
      <c r="AU26" s="167"/>
      <c r="AV26" s="116"/>
      <c r="AW26" s="116"/>
      <c r="AX26" s="116"/>
      <c r="AY26" s="116"/>
    </row>
    <row r="27" spans="1:51" s="115" customFormat="1" ht="90" x14ac:dyDescent="0.2">
      <c r="A27" s="105">
        <v>20</v>
      </c>
      <c r="B27" s="167" t="s">
        <v>1782</v>
      </c>
      <c r="C27" s="167" t="s">
        <v>121</v>
      </c>
      <c r="D27" s="166">
        <v>2013</v>
      </c>
      <c r="E27" s="167" t="s">
        <v>661</v>
      </c>
      <c r="F27" s="167" t="s">
        <v>1781</v>
      </c>
      <c r="G27" s="167" t="s">
        <v>1915</v>
      </c>
      <c r="H27" s="167" t="s">
        <v>102</v>
      </c>
      <c r="I27" s="167" t="s">
        <v>110</v>
      </c>
      <c r="J27" s="167" t="s">
        <v>443</v>
      </c>
      <c r="K27" s="167" t="s">
        <v>315</v>
      </c>
      <c r="L27" s="167" t="s">
        <v>441</v>
      </c>
      <c r="M27" s="167"/>
      <c r="N27" s="167" t="s">
        <v>1914</v>
      </c>
      <c r="O27" s="163" t="s">
        <v>18</v>
      </c>
      <c r="P27" s="163" t="s">
        <v>18</v>
      </c>
      <c r="Q27" s="164" t="s">
        <v>1916</v>
      </c>
      <c r="R27" s="112"/>
      <c r="S27" s="167"/>
      <c r="T27" s="167"/>
      <c r="U27" s="167"/>
      <c r="V27" s="167"/>
      <c r="W27" s="167"/>
      <c r="X27" s="167"/>
      <c r="Y27" s="167"/>
      <c r="Z27" s="167"/>
      <c r="AA27" s="167"/>
      <c r="AB27" s="167"/>
      <c r="AC27" s="167"/>
      <c r="AD27" s="167"/>
      <c r="AE27" s="167"/>
      <c r="AF27" s="167"/>
      <c r="AG27" s="167"/>
      <c r="AH27" s="167"/>
      <c r="AI27" s="167"/>
      <c r="AJ27" s="167"/>
      <c r="AK27" s="167"/>
      <c r="AL27" s="167"/>
      <c r="AM27" s="167"/>
      <c r="AN27" s="167"/>
      <c r="AO27" s="167"/>
      <c r="AP27" s="167"/>
      <c r="AQ27" s="167"/>
      <c r="AR27" s="167"/>
      <c r="AS27" s="167"/>
      <c r="AT27" s="167"/>
      <c r="AU27" s="167"/>
      <c r="AV27" s="116"/>
      <c r="AW27" s="116"/>
      <c r="AX27" s="116"/>
      <c r="AY27" s="116"/>
    </row>
    <row r="28" spans="1:51" s="115" customFormat="1" ht="44" customHeight="1" x14ac:dyDescent="0.2">
      <c r="A28" s="220">
        <v>21</v>
      </c>
      <c r="B28" s="214" t="s">
        <v>1381</v>
      </c>
      <c r="C28" s="214" t="s">
        <v>177</v>
      </c>
      <c r="D28" s="218">
        <v>2015</v>
      </c>
      <c r="E28" s="214" t="s">
        <v>660</v>
      </c>
      <c r="F28" s="214" t="s">
        <v>1380</v>
      </c>
      <c r="G28" s="214" t="s">
        <v>1537</v>
      </c>
      <c r="H28" s="214" t="s">
        <v>100</v>
      </c>
      <c r="I28" s="214" t="s">
        <v>275</v>
      </c>
      <c r="J28" s="214" t="s">
        <v>88</v>
      </c>
      <c r="K28" s="214" t="s">
        <v>1538</v>
      </c>
      <c r="L28" s="214" t="s">
        <v>91</v>
      </c>
      <c r="M28" s="214" t="s">
        <v>443</v>
      </c>
      <c r="N28" s="214" t="s">
        <v>1543</v>
      </c>
      <c r="O28" s="214" t="s">
        <v>313</v>
      </c>
      <c r="P28" s="214" t="s">
        <v>18</v>
      </c>
      <c r="Q28" s="214" t="s">
        <v>2125</v>
      </c>
      <c r="R28" s="164" t="s">
        <v>2109</v>
      </c>
      <c r="S28" s="164"/>
      <c r="T28" s="167"/>
      <c r="U28" s="167" t="s">
        <v>2110</v>
      </c>
      <c r="V28" s="167"/>
      <c r="W28" s="167"/>
      <c r="X28" s="167"/>
      <c r="Y28" s="167" t="s">
        <v>2111</v>
      </c>
      <c r="AA28" s="167"/>
      <c r="AB28" s="167"/>
      <c r="AC28" s="167"/>
      <c r="AD28" s="167"/>
      <c r="AE28" s="167"/>
      <c r="AF28" s="167"/>
      <c r="AG28" s="167"/>
      <c r="AH28" s="167"/>
      <c r="AI28" s="167"/>
      <c r="AJ28" s="167"/>
      <c r="AK28" s="167"/>
      <c r="AL28" s="167"/>
      <c r="AM28" s="167"/>
      <c r="AN28" s="167"/>
      <c r="AO28" s="167"/>
      <c r="AP28" s="167"/>
      <c r="AQ28" s="167"/>
      <c r="AR28" s="167"/>
      <c r="AS28" s="167"/>
      <c r="AT28" s="167"/>
      <c r="AU28" s="167"/>
      <c r="AV28" s="116"/>
      <c r="AW28" s="116"/>
      <c r="AX28" s="116"/>
      <c r="AY28" s="116"/>
    </row>
    <row r="29" spans="1:51" s="115" customFormat="1" ht="44" customHeight="1" x14ac:dyDescent="0.2">
      <c r="A29" s="220"/>
      <c r="B29" s="214"/>
      <c r="C29" s="214"/>
      <c r="D29" s="218"/>
      <c r="E29" s="214"/>
      <c r="F29" s="214"/>
      <c r="G29" s="214"/>
      <c r="H29" s="214"/>
      <c r="I29" s="214"/>
      <c r="J29" s="214"/>
      <c r="K29" s="214"/>
      <c r="L29" s="214"/>
      <c r="M29" s="214"/>
      <c r="N29" s="214"/>
      <c r="O29" s="214"/>
      <c r="P29" s="214"/>
      <c r="Q29" s="214"/>
      <c r="R29" s="164" t="s">
        <v>2112</v>
      </c>
      <c r="S29" s="164"/>
      <c r="T29" s="167"/>
      <c r="U29" s="167" t="s">
        <v>2113</v>
      </c>
      <c r="V29" s="167"/>
      <c r="W29" s="167"/>
      <c r="X29" s="167"/>
      <c r="Y29" s="167" t="s">
        <v>2114</v>
      </c>
      <c r="AA29" s="167"/>
      <c r="AB29" s="167"/>
      <c r="AC29" s="167"/>
      <c r="AD29" s="167"/>
      <c r="AE29" s="167"/>
      <c r="AF29" s="167"/>
      <c r="AG29" s="167"/>
      <c r="AH29" s="167"/>
      <c r="AI29" s="167"/>
      <c r="AJ29" s="167"/>
      <c r="AK29" s="167"/>
      <c r="AL29" s="167"/>
      <c r="AM29" s="167"/>
      <c r="AN29" s="167"/>
      <c r="AO29" s="167"/>
      <c r="AP29" s="167"/>
      <c r="AQ29" s="167"/>
      <c r="AR29" s="167"/>
      <c r="AS29" s="167"/>
      <c r="AT29" s="167"/>
      <c r="AU29" s="167"/>
      <c r="AV29" s="116"/>
      <c r="AW29" s="116"/>
      <c r="AX29" s="116"/>
      <c r="AY29" s="116"/>
    </row>
    <row r="30" spans="1:51" s="115" customFormat="1" ht="44" customHeight="1" x14ac:dyDescent="0.2">
      <c r="A30" s="220"/>
      <c r="B30" s="214"/>
      <c r="C30" s="214"/>
      <c r="D30" s="218"/>
      <c r="E30" s="214"/>
      <c r="F30" s="214"/>
      <c r="G30" s="214"/>
      <c r="H30" s="214"/>
      <c r="I30" s="214"/>
      <c r="J30" s="214"/>
      <c r="K30" s="214"/>
      <c r="L30" s="214"/>
      <c r="M30" s="214"/>
      <c r="N30" s="214"/>
      <c r="O30" s="214"/>
      <c r="P30" s="214"/>
      <c r="Q30" s="214"/>
      <c r="R30" s="164" t="s">
        <v>2115</v>
      </c>
      <c r="S30" s="164"/>
      <c r="T30" s="167"/>
      <c r="U30" s="167" t="s">
        <v>2116</v>
      </c>
      <c r="V30" s="167"/>
      <c r="W30" s="167"/>
      <c r="X30" s="167"/>
      <c r="Y30" s="167" t="s">
        <v>2117</v>
      </c>
      <c r="AA30" s="167"/>
      <c r="AB30" s="167"/>
      <c r="AC30" s="167"/>
      <c r="AD30" s="167"/>
      <c r="AE30" s="167"/>
      <c r="AF30" s="167"/>
      <c r="AG30" s="167"/>
      <c r="AH30" s="167"/>
      <c r="AI30" s="167"/>
      <c r="AJ30" s="167"/>
      <c r="AK30" s="167"/>
      <c r="AL30" s="167"/>
      <c r="AM30" s="167"/>
      <c r="AN30" s="167"/>
      <c r="AO30" s="167"/>
      <c r="AP30" s="167"/>
      <c r="AQ30" s="167"/>
      <c r="AR30" s="167"/>
      <c r="AS30" s="167"/>
      <c r="AT30" s="167"/>
      <c r="AU30" s="167"/>
      <c r="AV30" s="116"/>
      <c r="AW30" s="116"/>
      <c r="AX30" s="116"/>
      <c r="AY30" s="116"/>
    </row>
    <row r="31" spans="1:51" s="115" customFormat="1" ht="44" customHeight="1" x14ac:dyDescent="0.2">
      <c r="A31" s="220"/>
      <c r="B31" s="214"/>
      <c r="C31" s="214"/>
      <c r="D31" s="218"/>
      <c r="E31" s="214"/>
      <c r="F31" s="214"/>
      <c r="G31" s="214"/>
      <c r="H31" s="214"/>
      <c r="I31" s="214"/>
      <c r="J31" s="214"/>
      <c r="K31" s="214"/>
      <c r="L31" s="214"/>
      <c r="M31" s="214"/>
      <c r="N31" s="214"/>
      <c r="O31" s="214"/>
      <c r="P31" s="214"/>
      <c r="Q31" s="214"/>
      <c r="R31" s="164" t="s">
        <v>2118</v>
      </c>
      <c r="S31" s="164"/>
      <c r="T31" s="167"/>
      <c r="U31" s="167" t="s">
        <v>2119</v>
      </c>
      <c r="V31" s="167"/>
      <c r="W31" s="167"/>
      <c r="X31" s="167"/>
      <c r="Y31" s="167" t="s">
        <v>2120</v>
      </c>
      <c r="AA31" s="167"/>
      <c r="AB31" s="167"/>
      <c r="AC31" s="167"/>
      <c r="AD31" s="167"/>
      <c r="AE31" s="167"/>
      <c r="AF31" s="167"/>
      <c r="AG31" s="167"/>
      <c r="AH31" s="167"/>
      <c r="AI31" s="167"/>
      <c r="AJ31" s="167"/>
      <c r="AK31" s="167"/>
      <c r="AL31" s="167"/>
      <c r="AM31" s="167"/>
      <c r="AN31" s="167"/>
      <c r="AO31" s="167"/>
      <c r="AP31" s="167"/>
      <c r="AQ31" s="167"/>
      <c r="AR31" s="167"/>
      <c r="AS31" s="167"/>
      <c r="AT31" s="167"/>
      <c r="AU31" s="167"/>
      <c r="AV31" s="116"/>
      <c r="AW31" s="116"/>
      <c r="AX31" s="116"/>
      <c r="AY31" s="116"/>
    </row>
    <row r="32" spans="1:51" s="115" customFormat="1" ht="44" customHeight="1" x14ac:dyDescent="0.2">
      <c r="A32" s="220"/>
      <c r="B32" s="214"/>
      <c r="C32" s="214"/>
      <c r="D32" s="218"/>
      <c r="E32" s="214"/>
      <c r="F32" s="214"/>
      <c r="G32" s="214"/>
      <c r="H32" s="214"/>
      <c r="I32" s="214"/>
      <c r="J32" s="214"/>
      <c r="K32" s="214"/>
      <c r="L32" s="214"/>
      <c r="M32" s="214"/>
      <c r="N32" s="214"/>
      <c r="O32" s="214"/>
      <c r="P32" s="214"/>
      <c r="Q32" s="214"/>
      <c r="R32" s="164" t="s">
        <v>2121</v>
      </c>
      <c r="S32" s="164"/>
      <c r="T32" s="167"/>
      <c r="U32" s="167">
        <v>0</v>
      </c>
      <c r="V32" s="167"/>
      <c r="W32" s="167"/>
      <c r="X32" s="167"/>
      <c r="Y32" s="167" t="s">
        <v>2122</v>
      </c>
      <c r="AA32" s="167"/>
      <c r="AB32" s="167"/>
      <c r="AC32" s="167"/>
      <c r="AD32" s="167"/>
      <c r="AE32" s="167"/>
      <c r="AF32" s="167"/>
      <c r="AG32" s="167"/>
      <c r="AH32" s="167"/>
      <c r="AI32" s="167"/>
      <c r="AJ32" s="167"/>
      <c r="AK32" s="167"/>
      <c r="AL32" s="167"/>
      <c r="AM32" s="167"/>
      <c r="AN32" s="167"/>
      <c r="AO32" s="167"/>
      <c r="AP32" s="167"/>
      <c r="AQ32" s="167"/>
      <c r="AR32" s="167"/>
      <c r="AS32" s="167"/>
      <c r="AT32" s="167"/>
      <c r="AU32" s="167"/>
      <c r="AV32" s="116"/>
      <c r="AW32" s="116"/>
      <c r="AX32" s="116"/>
      <c r="AY32" s="116"/>
    </row>
    <row r="33" spans="1:51" s="115" customFormat="1" ht="44" customHeight="1" x14ac:dyDescent="0.2">
      <c r="A33" s="220"/>
      <c r="B33" s="214"/>
      <c r="C33" s="214"/>
      <c r="D33" s="218"/>
      <c r="E33" s="214"/>
      <c r="F33" s="214"/>
      <c r="G33" s="214"/>
      <c r="H33" s="214"/>
      <c r="I33" s="214"/>
      <c r="J33" s="214"/>
      <c r="K33" s="214"/>
      <c r="L33" s="214"/>
      <c r="M33" s="214"/>
      <c r="N33" s="214"/>
      <c r="O33" s="214"/>
      <c r="P33" s="214"/>
      <c r="Q33" s="214"/>
      <c r="R33" s="164" t="s">
        <v>2123</v>
      </c>
      <c r="S33" s="164"/>
      <c r="T33" s="167"/>
      <c r="U33" s="167">
        <v>0</v>
      </c>
      <c r="V33" s="167"/>
      <c r="W33" s="167"/>
      <c r="X33" s="167"/>
      <c r="Y33" s="167" t="s">
        <v>2124</v>
      </c>
      <c r="AA33" s="167"/>
      <c r="AB33" s="167"/>
      <c r="AC33" s="167"/>
      <c r="AD33" s="167"/>
      <c r="AE33" s="167"/>
      <c r="AF33" s="167"/>
      <c r="AG33" s="167"/>
      <c r="AH33" s="167"/>
      <c r="AI33" s="167"/>
      <c r="AJ33" s="167"/>
      <c r="AK33" s="167"/>
      <c r="AL33" s="167"/>
      <c r="AM33" s="167"/>
      <c r="AN33" s="167"/>
      <c r="AO33" s="167"/>
      <c r="AP33" s="167"/>
      <c r="AQ33" s="167"/>
      <c r="AR33" s="167"/>
      <c r="AS33" s="167"/>
      <c r="AT33" s="167"/>
      <c r="AU33" s="167"/>
      <c r="AV33" s="116"/>
      <c r="AW33" s="116"/>
      <c r="AX33" s="116"/>
      <c r="AY33" s="116"/>
    </row>
    <row r="34" spans="1:51" s="115" customFormat="1" ht="135" x14ac:dyDescent="0.2">
      <c r="A34" s="105">
        <v>22</v>
      </c>
      <c r="B34" s="167" t="s">
        <v>2030</v>
      </c>
      <c r="C34" s="167" t="s">
        <v>2073</v>
      </c>
      <c r="D34" s="166">
        <v>2005</v>
      </c>
      <c r="E34" s="167" t="s">
        <v>107</v>
      </c>
      <c r="F34" s="107" t="s">
        <v>2031</v>
      </c>
      <c r="G34" s="167" t="s">
        <v>2074</v>
      </c>
      <c r="H34" s="167" t="s">
        <v>100</v>
      </c>
      <c r="I34" s="167" t="s">
        <v>275</v>
      </c>
      <c r="J34" s="167" t="s">
        <v>88</v>
      </c>
      <c r="K34" s="107" t="s">
        <v>2075</v>
      </c>
      <c r="L34" s="107" t="s">
        <v>441</v>
      </c>
      <c r="M34" s="107"/>
      <c r="N34" s="167" t="s">
        <v>2077</v>
      </c>
      <c r="O34" s="164" t="s">
        <v>2076</v>
      </c>
      <c r="P34" s="164" t="s">
        <v>2078</v>
      </c>
      <c r="Q34" s="112"/>
      <c r="R34" s="167" t="s">
        <v>2079</v>
      </c>
      <c r="S34" s="167"/>
      <c r="T34" s="167"/>
      <c r="U34" s="167">
        <v>4.3E-3</v>
      </c>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16"/>
      <c r="AW34" s="116"/>
      <c r="AX34" s="116"/>
      <c r="AY34" s="116"/>
    </row>
    <row r="35" spans="1:51" s="115" customFormat="1" ht="105" x14ac:dyDescent="0.2">
      <c r="A35" s="105">
        <v>23</v>
      </c>
      <c r="B35" s="167" t="s">
        <v>1783</v>
      </c>
      <c r="C35" s="167" t="s">
        <v>174</v>
      </c>
      <c r="D35" s="166">
        <v>2013</v>
      </c>
      <c r="E35" s="167" t="s">
        <v>660</v>
      </c>
      <c r="F35" s="167" t="s">
        <v>1784</v>
      </c>
      <c r="G35" s="167" t="s">
        <v>1858</v>
      </c>
      <c r="H35" s="167" t="s">
        <v>443</v>
      </c>
      <c r="I35" s="167" t="s">
        <v>315</v>
      </c>
      <c r="J35" s="167" t="s">
        <v>90</v>
      </c>
      <c r="K35" s="167" t="s">
        <v>1859</v>
      </c>
      <c r="L35" s="167" t="s">
        <v>441</v>
      </c>
      <c r="M35" s="167"/>
      <c r="N35" s="167" t="s">
        <v>1861</v>
      </c>
      <c r="O35" s="163" t="s">
        <v>18</v>
      </c>
      <c r="P35" s="164" t="s">
        <v>1862</v>
      </c>
      <c r="Q35" s="164" t="s">
        <v>1860</v>
      </c>
      <c r="R35" s="112"/>
      <c r="S35" s="167"/>
      <c r="T35" s="167"/>
      <c r="U35" s="167"/>
      <c r="V35" s="167"/>
      <c r="W35" s="167"/>
      <c r="X35" s="167"/>
      <c r="Y35" s="167"/>
      <c r="Z35" s="167"/>
      <c r="AA35" s="167"/>
      <c r="AB35" s="167"/>
      <c r="AC35" s="167"/>
      <c r="AD35" s="167"/>
      <c r="AE35" s="167"/>
      <c r="AF35" s="167"/>
      <c r="AG35" s="167"/>
      <c r="AH35" s="167"/>
      <c r="AI35" s="167"/>
      <c r="AJ35" s="167"/>
      <c r="AK35" s="167"/>
      <c r="AL35" s="167"/>
      <c r="AM35" s="167"/>
      <c r="AN35" s="167"/>
      <c r="AO35" s="167"/>
      <c r="AP35" s="167"/>
      <c r="AQ35" s="167"/>
      <c r="AR35" s="167"/>
      <c r="AS35" s="167"/>
      <c r="AT35" s="167"/>
      <c r="AU35" s="167"/>
      <c r="AV35" s="116"/>
      <c r="AW35" s="116"/>
      <c r="AX35" s="116"/>
      <c r="AY35" s="116"/>
    </row>
    <row r="36" spans="1:51" s="115" customFormat="1" ht="120" x14ac:dyDescent="0.2">
      <c r="A36" s="105">
        <v>24</v>
      </c>
      <c r="B36" s="167" t="s">
        <v>182</v>
      </c>
      <c r="C36" s="105" t="s">
        <v>138</v>
      </c>
      <c r="D36" s="166">
        <v>2016</v>
      </c>
      <c r="E36" s="167" t="s">
        <v>114</v>
      </c>
      <c r="F36" s="167" t="s">
        <v>181</v>
      </c>
      <c r="G36" s="167" t="s">
        <v>352</v>
      </c>
      <c r="H36" s="167" t="s">
        <v>100</v>
      </c>
      <c r="I36" s="167" t="s">
        <v>354</v>
      </c>
      <c r="J36" s="167" t="s">
        <v>88</v>
      </c>
      <c r="K36" s="167" t="s">
        <v>351</v>
      </c>
      <c r="L36" s="167" t="s">
        <v>91</v>
      </c>
      <c r="M36" s="167" t="s">
        <v>443</v>
      </c>
      <c r="N36" s="167" t="s">
        <v>355</v>
      </c>
      <c r="O36" s="167" t="s">
        <v>357</v>
      </c>
      <c r="P36" s="167" t="s">
        <v>356</v>
      </c>
      <c r="Q36" s="112"/>
      <c r="R36" s="112"/>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16"/>
      <c r="AW36" s="116"/>
      <c r="AX36" s="116"/>
      <c r="AY36" s="116"/>
    </row>
    <row r="37" spans="1:51" s="115" customFormat="1" ht="90" x14ac:dyDescent="0.2">
      <c r="A37" s="105">
        <v>25</v>
      </c>
      <c r="B37" s="167" t="s">
        <v>184</v>
      </c>
      <c r="C37" s="105" t="s">
        <v>138</v>
      </c>
      <c r="D37" s="166">
        <v>2015</v>
      </c>
      <c r="E37" s="167" t="s">
        <v>164</v>
      </c>
      <c r="F37" s="167" t="s">
        <v>183</v>
      </c>
      <c r="G37" s="167" t="s">
        <v>358</v>
      </c>
      <c r="H37" s="167" t="s">
        <v>98</v>
      </c>
      <c r="I37" s="167" t="s">
        <v>360</v>
      </c>
      <c r="J37" s="167" t="s">
        <v>90</v>
      </c>
      <c r="K37" s="167" t="s">
        <v>359</v>
      </c>
      <c r="L37" s="167" t="s">
        <v>441</v>
      </c>
      <c r="M37" s="167"/>
      <c r="N37" s="105" t="s">
        <v>361</v>
      </c>
      <c r="O37" s="168" t="s">
        <v>18</v>
      </c>
      <c r="P37" s="168" t="s">
        <v>18</v>
      </c>
      <c r="Q37" s="167" t="s">
        <v>2126</v>
      </c>
      <c r="R37" s="112"/>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c r="AR37" s="167"/>
      <c r="AS37" s="167"/>
      <c r="AT37" s="167"/>
      <c r="AU37" s="167"/>
      <c r="AV37" s="116"/>
      <c r="AW37" s="116"/>
      <c r="AX37" s="116"/>
      <c r="AY37" s="116"/>
    </row>
    <row r="38" spans="1:51" s="115" customFormat="1" ht="60" x14ac:dyDescent="0.2">
      <c r="A38" s="105">
        <v>26</v>
      </c>
      <c r="B38" s="167" t="s">
        <v>1789</v>
      </c>
      <c r="C38" s="167" t="s">
        <v>121</v>
      </c>
      <c r="D38" s="166">
        <v>2016</v>
      </c>
      <c r="E38" s="167" t="s">
        <v>164</v>
      </c>
      <c r="F38" s="167" t="s">
        <v>1790</v>
      </c>
      <c r="G38" s="167" t="s">
        <v>1870</v>
      </c>
      <c r="H38" s="167" t="s">
        <v>100</v>
      </c>
      <c r="I38" s="167" t="s">
        <v>275</v>
      </c>
      <c r="J38" s="167" t="s">
        <v>90</v>
      </c>
      <c r="K38" s="167" t="s">
        <v>1872</v>
      </c>
      <c r="L38" s="167" t="s">
        <v>441</v>
      </c>
      <c r="M38" s="167"/>
      <c r="N38" s="167" t="s">
        <v>1871</v>
      </c>
      <c r="O38" s="164" t="s">
        <v>568</v>
      </c>
      <c r="P38" s="163" t="s">
        <v>18</v>
      </c>
      <c r="Q38" s="112"/>
      <c r="R38" s="112"/>
      <c r="S38" s="167"/>
      <c r="T38" s="167"/>
      <c r="U38" s="167"/>
      <c r="V38" s="167"/>
      <c r="W38" s="167"/>
      <c r="X38" s="167"/>
      <c r="Y38" s="167"/>
      <c r="Z38" s="167"/>
      <c r="AA38" s="167"/>
      <c r="AB38" s="167"/>
      <c r="AC38" s="167"/>
      <c r="AD38" s="167"/>
      <c r="AE38" s="167"/>
      <c r="AF38" s="167"/>
      <c r="AG38" s="167"/>
      <c r="AH38" s="167"/>
      <c r="AI38" s="167"/>
      <c r="AJ38" s="167"/>
      <c r="AK38" s="167"/>
      <c r="AL38" s="167"/>
      <c r="AM38" s="167"/>
      <c r="AN38" s="167"/>
      <c r="AO38" s="167"/>
      <c r="AP38" s="167"/>
      <c r="AQ38" s="167"/>
      <c r="AR38" s="167"/>
      <c r="AS38" s="167"/>
      <c r="AT38" s="167"/>
      <c r="AU38" s="167"/>
      <c r="AV38" s="116"/>
      <c r="AW38" s="116"/>
      <c r="AX38" s="116"/>
      <c r="AY38" s="116"/>
    </row>
    <row r="39" spans="1:51" s="115" customFormat="1" ht="75" x14ac:dyDescent="0.2">
      <c r="A39" s="105">
        <v>27</v>
      </c>
      <c r="B39" s="167" t="s">
        <v>195</v>
      </c>
      <c r="C39" s="105" t="s">
        <v>194</v>
      </c>
      <c r="D39" s="166">
        <v>2015</v>
      </c>
      <c r="E39" s="167" t="s">
        <v>114</v>
      </c>
      <c r="F39" s="167" t="s">
        <v>193</v>
      </c>
      <c r="G39" s="167" t="s">
        <v>376</v>
      </c>
      <c r="H39" s="167" t="s">
        <v>98</v>
      </c>
      <c r="I39" s="167" t="s">
        <v>377</v>
      </c>
      <c r="J39" s="167" t="s">
        <v>445</v>
      </c>
      <c r="K39" s="167" t="s">
        <v>488</v>
      </c>
      <c r="L39" s="167" t="s">
        <v>92</v>
      </c>
      <c r="M39" s="167" t="s">
        <v>443</v>
      </c>
      <c r="N39" s="167" t="s">
        <v>489</v>
      </c>
      <c r="O39" s="168" t="s">
        <v>18</v>
      </c>
      <c r="P39" s="105" t="s">
        <v>378</v>
      </c>
      <c r="Q39" s="112"/>
      <c r="R39" s="112"/>
      <c r="S39" s="167"/>
      <c r="T39" s="167"/>
      <c r="U39" s="167"/>
      <c r="V39" s="167"/>
      <c r="W39" s="167"/>
      <c r="X39" s="167"/>
      <c r="Y39" s="167"/>
      <c r="Z39" s="167"/>
      <c r="AA39" s="167"/>
      <c r="AB39" s="167"/>
      <c r="AC39" s="167"/>
      <c r="AD39" s="167"/>
      <c r="AE39" s="167"/>
      <c r="AF39" s="167"/>
      <c r="AG39" s="167"/>
      <c r="AH39" s="167"/>
      <c r="AI39" s="167"/>
      <c r="AJ39" s="167"/>
      <c r="AK39" s="167"/>
      <c r="AL39" s="167"/>
      <c r="AM39" s="167"/>
      <c r="AN39" s="167"/>
      <c r="AO39" s="167"/>
      <c r="AP39" s="167"/>
      <c r="AQ39" s="167"/>
      <c r="AR39" s="167"/>
      <c r="AS39" s="167"/>
      <c r="AT39" s="167"/>
      <c r="AU39" s="167"/>
      <c r="AV39" s="116"/>
      <c r="AW39" s="116"/>
      <c r="AX39" s="116"/>
      <c r="AY39" s="116"/>
    </row>
    <row r="40" spans="1:51" s="115" customFormat="1" ht="60" x14ac:dyDescent="0.2">
      <c r="A40" s="105">
        <v>28</v>
      </c>
      <c r="B40" s="167" t="s">
        <v>761</v>
      </c>
      <c r="C40" s="167" t="s">
        <v>795</v>
      </c>
      <c r="D40" s="166">
        <v>2001</v>
      </c>
      <c r="E40" s="167" t="s">
        <v>118</v>
      </c>
      <c r="F40" s="167" t="s">
        <v>760</v>
      </c>
      <c r="G40" s="167" t="s">
        <v>1204</v>
      </c>
      <c r="H40" s="167" t="s">
        <v>1150</v>
      </c>
      <c r="I40" s="167" t="s">
        <v>1203</v>
      </c>
      <c r="J40" s="167" t="s">
        <v>445</v>
      </c>
      <c r="K40" s="167" t="s">
        <v>1205</v>
      </c>
      <c r="L40" s="167" t="s">
        <v>443</v>
      </c>
      <c r="M40" s="167"/>
      <c r="N40" s="167" t="s">
        <v>18</v>
      </c>
      <c r="O40" s="164" t="s">
        <v>1196</v>
      </c>
      <c r="P40" s="163" t="s">
        <v>18</v>
      </c>
      <c r="Q40" s="167" t="s">
        <v>1921</v>
      </c>
      <c r="R40" s="112"/>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16"/>
      <c r="AW40" s="116"/>
      <c r="AX40" s="116"/>
      <c r="AY40" s="116"/>
    </row>
    <row r="41" spans="1:51" s="115" customFormat="1" ht="105" x14ac:dyDescent="0.2">
      <c r="A41" s="105">
        <v>29</v>
      </c>
      <c r="B41" s="167" t="s">
        <v>200</v>
      </c>
      <c r="C41" s="105" t="s">
        <v>197</v>
      </c>
      <c r="D41" s="166">
        <v>2016</v>
      </c>
      <c r="E41" s="167" t="s">
        <v>164</v>
      </c>
      <c r="F41" s="172" t="s">
        <v>199</v>
      </c>
      <c r="G41" s="107" t="s">
        <v>383</v>
      </c>
      <c r="H41" s="107" t="s">
        <v>443</v>
      </c>
      <c r="I41" s="167" t="s">
        <v>386</v>
      </c>
      <c r="J41" s="167" t="s">
        <v>88</v>
      </c>
      <c r="K41" s="105" t="s">
        <v>384</v>
      </c>
      <c r="L41" s="105" t="s">
        <v>92</v>
      </c>
      <c r="M41" s="105" t="s">
        <v>443</v>
      </c>
      <c r="N41" s="167" t="s">
        <v>385</v>
      </c>
      <c r="O41" s="168" t="s">
        <v>18</v>
      </c>
      <c r="P41" s="168" t="s">
        <v>18</v>
      </c>
      <c r="Q41" s="112"/>
      <c r="R41" s="112"/>
      <c r="S41" s="167"/>
      <c r="T41" s="167"/>
      <c r="U41" s="167"/>
      <c r="V41" s="167"/>
      <c r="W41" s="167"/>
      <c r="X41" s="167"/>
      <c r="Y41" s="167"/>
      <c r="Z41" s="167"/>
      <c r="AA41" s="167"/>
      <c r="AB41" s="167"/>
      <c r="AC41" s="167"/>
      <c r="AD41" s="167"/>
      <c r="AE41" s="167"/>
      <c r="AF41" s="167"/>
      <c r="AG41" s="167"/>
      <c r="AH41" s="167"/>
      <c r="AI41" s="167"/>
      <c r="AJ41" s="167"/>
      <c r="AK41" s="167"/>
      <c r="AL41" s="167"/>
      <c r="AM41" s="167"/>
      <c r="AN41" s="167"/>
      <c r="AO41" s="167"/>
      <c r="AP41" s="167"/>
      <c r="AQ41" s="167"/>
      <c r="AR41" s="167"/>
      <c r="AS41" s="167"/>
      <c r="AT41" s="167"/>
      <c r="AU41" s="167"/>
      <c r="AV41" s="116"/>
      <c r="AW41" s="116"/>
      <c r="AX41" s="116"/>
      <c r="AY41" s="116"/>
    </row>
    <row r="42" spans="1:51" s="115" customFormat="1" ht="105" x14ac:dyDescent="0.2">
      <c r="A42" s="105">
        <v>30</v>
      </c>
      <c r="B42" s="167" t="s">
        <v>2032</v>
      </c>
      <c r="C42" s="105" t="s">
        <v>245</v>
      </c>
      <c r="D42" s="166">
        <v>2016</v>
      </c>
      <c r="E42" s="167" t="s">
        <v>773</v>
      </c>
      <c r="F42" s="107" t="s">
        <v>2033</v>
      </c>
      <c r="G42" s="167" t="s">
        <v>2080</v>
      </c>
      <c r="H42" s="167" t="s">
        <v>100</v>
      </c>
      <c r="I42" s="167" t="s">
        <v>2083</v>
      </c>
      <c r="J42" s="167" t="s">
        <v>444</v>
      </c>
      <c r="K42" s="107" t="s">
        <v>2081</v>
      </c>
      <c r="L42" s="107" t="s">
        <v>441</v>
      </c>
      <c r="M42" s="107"/>
      <c r="N42" s="167" t="s">
        <v>361</v>
      </c>
      <c r="O42" s="168" t="s">
        <v>18</v>
      </c>
      <c r="P42" s="164" t="s">
        <v>2082</v>
      </c>
      <c r="Q42" s="167" t="s">
        <v>2084</v>
      </c>
      <c r="R42" s="112"/>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7"/>
      <c r="AP42" s="167"/>
      <c r="AQ42" s="167"/>
      <c r="AR42" s="167"/>
      <c r="AS42" s="167"/>
      <c r="AT42" s="167"/>
      <c r="AU42" s="167"/>
      <c r="AV42" s="116"/>
      <c r="AW42" s="116"/>
      <c r="AX42" s="116"/>
      <c r="AY42" s="116"/>
    </row>
    <row r="43" spans="1:51" s="115" customFormat="1" ht="60" x14ac:dyDescent="0.2">
      <c r="A43" s="105">
        <v>31</v>
      </c>
      <c r="B43" s="167" t="s">
        <v>1811</v>
      </c>
      <c r="C43" s="105" t="s">
        <v>174</v>
      </c>
      <c r="D43" s="166">
        <v>2012</v>
      </c>
      <c r="E43" s="167" t="s">
        <v>222</v>
      </c>
      <c r="F43" s="167" t="s">
        <v>1812</v>
      </c>
      <c r="G43" s="167" t="s">
        <v>1813</v>
      </c>
      <c r="H43" s="167" t="s">
        <v>100</v>
      </c>
      <c r="I43" s="167" t="s">
        <v>275</v>
      </c>
      <c r="J43" s="167" t="s">
        <v>90</v>
      </c>
      <c r="K43" s="167" t="s">
        <v>288</v>
      </c>
      <c r="L43" s="167" t="s">
        <v>441</v>
      </c>
      <c r="M43" s="167"/>
      <c r="N43" s="167" t="s">
        <v>1814</v>
      </c>
      <c r="O43" s="163" t="s">
        <v>18</v>
      </c>
      <c r="P43" s="163" t="s">
        <v>18</v>
      </c>
      <c r="Q43" s="167" t="s">
        <v>1922</v>
      </c>
      <c r="R43" s="112"/>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7"/>
      <c r="AP43" s="167"/>
      <c r="AQ43" s="167"/>
      <c r="AR43" s="167"/>
      <c r="AS43" s="167"/>
      <c r="AT43" s="167"/>
      <c r="AU43" s="167"/>
      <c r="AV43" s="116"/>
      <c r="AW43" s="116"/>
      <c r="AX43" s="116"/>
      <c r="AY43" s="116"/>
    </row>
    <row r="44" spans="1:51" s="115" customFormat="1" ht="75" x14ac:dyDescent="0.2">
      <c r="A44" s="105">
        <v>32</v>
      </c>
      <c r="B44" s="167" t="s">
        <v>2034</v>
      </c>
      <c r="C44" s="105" t="s">
        <v>156</v>
      </c>
      <c r="D44" s="166">
        <v>2011</v>
      </c>
      <c r="E44" s="167" t="s">
        <v>683</v>
      </c>
      <c r="F44" s="107" t="s">
        <v>2035</v>
      </c>
      <c r="G44" s="167" t="s">
        <v>2085</v>
      </c>
      <c r="H44" s="167" t="s">
        <v>2089</v>
      </c>
      <c r="I44" s="167" t="s">
        <v>2088</v>
      </c>
      <c r="J44" s="167" t="s">
        <v>446</v>
      </c>
      <c r="K44" s="107" t="s">
        <v>2087</v>
      </c>
      <c r="L44" s="107" t="s">
        <v>441</v>
      </c>
      <c r="M44" s="107"/>
      <c r="N44" s="167" t="s">
        <v>2086</v>
      </c>
      <c r="O44" s="168" t="s">
        <v>18</v>
      </c>
      <c r="P44" s="168" t="s">
        <v>18</v>
      </c>
      <c r="Q44" s="112"/>
      <c r="R44" s="112"/>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c r="AR44" s="167"/>
      <c r="AS44" s="167"/>
      <c r="AT44" s="167"/>
      <c r="AU44" s="167"/>
      <c r="AV44" s="116"/>
      <c r="AW44" s="116"/>
      <c r="AX44" s="116"/>
      <c r="AY44" s="116"/>
    </row>
    <row r="45" spans="1:51" s="115" customFormat="1" ht="135" x14ac:dyDescent="0.2">
      <c r="A45" s="105">
        <v>33</v>
      </c>
      <c r="B45" s="167" t="s">
        <v>202</v>
      </c>
      <c r="C45" s="105" t="s">
        <v>203</v>
      </c>
      <c r="D45" s="166">
        <v>2014</v>
      </c>
      <c r="E45" s="167" t="s">
        <v>164</v>
      </c>
      <c r="F45" s="113" t="s">
        <v>204</v>
      </c>
      <c r="G45" s="112" t="s">
        <v>387</v>
      </c>
      <c r="H45" s="167" t="s">
        <v>443</v>
      </c>
      <c r="I45" s="107" t="s">
        <v>315</v>
      </c>
      <c r="J45" s="107" t="s">
        <v>90</v>
      </c>
      <c r="K45" s="167" t="s">
        <v>389</v>
      </c>
      <c r="L45" s="167" t="s">
        <v>91</v>
      </c>
      <c r="M45" s="167" t="s">
        <v>443</v>
      </c>
      <c r="N45" s="167" t="s">
        <v>388</v>
      </c>
      <c r="O45" s="167" t="s">
        <v>323</v>
      </c>
      <c r="P45" s="163" t="s">
        <v>18</v>
      </c>
      <c r="Q45" s="112"/>
      <c r="R45" s="112"/>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c r="AQ45" s="167"/>
      <c r="AR45" s="167"/>
      <c r="AS45" s="167"/>
      <c r="AT45" s="167"/>
      <c r="AU45" s="167"/>
      <c r="AV45" s="116"/>
      <c r="AW45" s="116"/>
      <c r="AX45" s="116"/>
      <c r="AY45" s="116"/>
    </row>
    <row r="46" spans="1:51" s="115" customFormat="1" ht="54" customHeight="1" x14ac:dyDescent="0.2">
      <c r="A46" s="220">
        <v>34</v>
      </c>
      <c r="B46" s="214" t="s">
        <v>2037</v>
      </c>
      <c r="C46" s="218" t="s">
        <v>230</v>
      </c>
      <c r="D46" s="218">
        <v>2015</v>
      </c>
      <c r="E46" s="214" t="s">
        <v>107</v>
      </c>
      <c r="F46" s="216" t="s">
        <v>2036</v>
      </c>
      <c r="G46" s="214" t="s">
        <v>2091</v>
      </c>
      <c r="H46" s="214" t="s">
        <v>100</v>
      </c>
      <c r="I46" s="214" t="s">
        <v>275</v>
      </c>
      <c r="J46" s="214" t="s">
        <v>444</v>
      </c>
      <c r="K46" s="214" t="s">
        <v>2093</v>
      </c>
      <c r="L46" s="214" t="s">
        <v>91</v>
      </c>
      <c r="M46" s="214" t="s">
        <v>443</v>
      </c>
      <c r="N46" s="214" t="s">
        <v>2094</v>
      </c>
      <c r="O46" s="214" t="s">
        <v>2092</v>
      </c>
      <c r="P46" s="218" t="s">
        <v>2090</v>
      </c>
      <c r="Q46" s="223"/>
      <c r="R46" s="167" t="s">
        <v>2095</v>
      </c>
      <c r="S46" s="167">
        <f>2.321103717*10^-3</f>
        <v>2.3211037170000003E-3</v>
      </c>
      <c r="T46" s="167">
        <f>0.175870125*10^-3</f>
        <v>1.75870125E-4</v>
      </c>
      <c r="U46" s="167">
        <f>876.61062*10^-3</f>
        <v>0.87661062000000001</v>
      </c>
      <c r="V46" s="167">
        <f>5.5494*10^-6*10^-3</f>
        <v>5.5493999999999999E-9</v>
      </c>
      <c r="W46" s="167">
        <f>0.09572161*10^-3</f>
        <v>9.5721610000000003E-5</v>
      </c>
      <c r="X46" s="167"/>
      <c r="Y46" s="167"/>
      <c r="Z46" s="167"/>
      <c r="AA46" s="167">
        <f>3.874175285*10^-3</f>
        <v>3.8741752850000003E-3</v>
      </c>
      <c r="AB46" s="167">
        <f>21.69288726*10^-3</f>
        <v>2.1692887259999998E-2</v>
      </c>
      <c r="AC46" s="167"/>
      <c r="AD46" s="167"/>
      <c r="AE46" s="167"/>
      <c r="AF46" s="167"/>
      <c r="AG46" s="167">
        <f>13.60474991*10^-3</f>
        <v>1.3604749910000002E-2</v>
      </c>
      <c r="AH46" s="167">
        <f>32987.60957*10^-3</f>
        <v>32.987609570000004</v>
      </c>
      <c r="AI46" s="167">
        <f>0.149061938*10^-3</f>
        <v>1.4906193800000002E-4</v>
      </c>
      <c r="AJ46" s="167"/>
      <c r="AK46" s="167"/>
      <c r="AL46" s="167"/>
      <c r="AM46" s="167"/>
      <c r="AN46" s="167"/>
      <c r="AO46" s="167"/>
      <c r="AP46" s="167"/>
      <c r="AQ46" s="167"/>
      <c r="AR46" s="167"/>
      <c r="AS46" s="167"/>
      <c r="AT46" s="167"/>
      <c r="AU46" s="167"/>
      <c r="AV46" s="116"/>
      <c r="AW46" s="116"/>
      <c r="AX46" s="116"/>
      <c r="AY46" s="116"/>
    </row>
    <row r="47" spans="1:51" s="115" customFormat="1" ht="54" customHeight="1" x14ac:dyDescent="0.2">
      <c r="A47" s="220"/>
      <c r="B47" s="214"/>
      <c r="C47" s="218"/>
      <c r="D47" s="218"/>
      <c r="E47" s="214"/>
      <c r="F47" s="216"/>
      <c r="G47" s="214"/>
      <c r="H47" s="214"/>
      <c r="I47" s="214"/>
      <c r="J47" s="214"/>
      <c r="K47" s="214"/>
      <c r="L47" s="214"/>
      <c r="M47" s="214"/>
      <c r="N47" s="214"/>
      <c r="O47" s="214"/>
      <c r="P47" s="218"/>
      <c r="Q47" s="223"/>
      <c r="R47" s="167" t="s">
        <v>2096</v>
      </c>
      <c r="S47" s="167">
        <f>0.424592143*10^-3</f>
        <v>4.2459214299999997E-4</v>
      </c>
      <c r="T47" s="167">
        <f>0.032171364*10^-3</f>
        <v>3.2171364000000003E-5</v>
      </c>
      <c r="U47" s="167">
        <f>160.3556012*10^-3</f>
        <v>0.1603556012</v>
      </c>
      <c r="V47" s="167">
        <f>1.01513*10^-6*10^-3</f>
        <v>1.01513E-9</v>
      </c>
      <c r="W47" s="167">
        <f>0.017510051*10^-3</f>
        <v>1.7510051E-5</v>
      </c>
      <c r="X47" s="167"/>
      <c r="Y47" s="167"/>
      <c r="Z47" s="167"/>
      <c r="AA47" s="167">
        <f>0.708690601*10^-3</f>
        <v>7.0869060100000008E-4</v>
      </c>
      <c r="AB47" s="167">
        <f>3.968211084*10^-3</f>
        <v>3.9682110839999998E-3</v>
      </c>
      <c r="AC47" s="167"/>
      <c r="AD47" s="167"/>
      <c r="AE47" s="167"/>
      <c r="AF47" s="167"/>
      <c r="AG47" s="167">
        <f>2.488673764*10^-3</f>
        <v>2.4886737640000003E-3</v>
      </c>
      <c r="AH47" s="167">
        <f>6034.318823*10^-3</f>
        <v>6.0343188229999996</v>
      </c>
      <c r="AI47" s="167">
        <f>0.027267428*10^-3</f>
        <v>2.7267427999999999E-5</v>
      </c>
      <c r="AJ47" s="167"/>
      <c r="AK47" s="167"/>
      <c r="AL47" s="167"/>
      <c r="AM47" s="167"/>
      <c r="AN47" s="167"/>
      <c r="AO47" s="167"/>
      <c r="AP47" s="167"/>
      <c r="AQ47" s="167"/>
      <c r="AR47" s="167"/>
      <c r="AS47" s="167"/>
      <c r="AT47" s="167"/>
      <c r="AU47" s="167"/>
      <c r="AV47" s="116"/>
      <c r="AW47" s="116"/>
      <c r="AX47" s="116"/>
      <c r="AY47" s="116"/>
    </row>
    <row r="48" spans="1:51" s="115" customFormat="1" ht="90" x14ac:dyDescent="0.2">
      <c r="A48" s="105">
        <v>35</v>
      </c>
      <c r="B48" s="167" t="s">
        <v>787</v>
      </c>
      <c r="C48" s="167" t="s">
        <v>27</v>
      </c>
      <c r="D48" s="166">
        <v>2010</v>
      </c>
      <c r="E48" s="167" t="s">
        <v>107</v>
      </c>
      <c r="F48" s="167" t="s">
        <v>786</v>
      </c>
      <c r="G48" s="167" t="s">
        <v>1246</v>
      </c>
      <c r="H48" s="167" t="s">
        <v>98</v>
      </c>
      <c r="I48" s="167" t="s">
        <v>1247</v>
      </c>
      <c r="J48" s="167" t="s">
        <v>445</v>
      </c>
      <c r="K48" s="167" t="s">
        <v>1249</v>
      </c>
      <c r="L48" s="167" t="s">
        <v>441</v>
      </c>
      <c r="M48" s="167"/>
      <c r="N48" s="167" t="s">
        <v>1035</v>
      </c>
      <c r="O48" s="164" t="s">
        <v>1248</v>
      </c>
      <c r="P48" s="167" t="s">
        <v>1250</v>
      </c>
      <c r="Q48" s="112"/>
      <c r="R48" s="112"/>
      <c r="S48" s="167"/>
      <c r="T48" s="167"/>
      <c r="U48" s="167"/>
      <c r="V48" s="167"/>
      <c r="W48" s="167"/>
      <c r="X48" s="167"/>
      <c r="Y48" s="167"/>
      <c r="Z48" s="167"/>
      <c r="AA48" s="167"/>
      <c r="AB48" s="167"/>
      <c r="AC48" s="167"/>
      <c r="AD48" s="167"/>
      <c r="AE48" s="167"/>
      <c r="AF48" s="167"/>
      <c r="AG48" s="167"/>
      <c r="AH48" s="167"/>
      <c r="AI48" s="167"/>
      <c r="AJ48" s="167"/>
      <c r="AK48" s="167"/>
      <c r="AL48" s="167"/>
      <c r="AM48" s="167"/>
      <c r="AN48" s="167"/>
      <c r="AO48" s="167"/>
      <c r="AP48" s="167"/>
      <c r="AQ48" s="167"/>
      <c r="AR48" s="167"/>
      <c r="AS48" s="167"/>
      <c r="AT48" s="167"/>
      <c r="AU48" s="167"/>
      <c r="AV48" s="116"/>
      <c r="AW48" s="116"/>
      <c r="AX48" s="116"/>
      <c r="AY48" s="116"/>
    </row>
    <row r="49" spans="1:51" s="115" customFormat="1" ht="75" x14ac:dyDescent="0.2">
      <c r="A49" s="105">
        <v>36</v>
      </c>
      <c r="B49" s="167" t="s">
        <v>2039</v>
      </c>
      <c r="C49" s="105" t="s">
        <v>174</v>
      </c>
      <c r="D49" s="166">
        <v>2016</v>
      </c>
      <c r="E49" s="167" t="s">
        <v>116</v>
      </c>
      <c r="F49" s="107" t="s">
        <v>2038</v>
      </c>
      <c r="G49" s="167" t="s">
        <v>2097</v>
      </c>
      <c r="H49" s="167" t="s">
        <v>100</v>
      </c>
      <c r="I49" s="167" t="s">
        <v>275</v>
      </c>
      <c r="J49" s="167" t="s">
        <v>90</v>
      </c>
      <c r="K49" s="107" t="s">
        <v>314</v>
      </c>
      <c r="L49" s="107" t="s">
        <v>441</v>
      </c>
      <c r="M49" s="107"/>
      <c r="N49" s="167" t="s">
        <v>2098</v>
      </c>
      <c r="O49" s="168" t="s">
        <v>18</v>
      </c>
      <c r="P49" s="168" t="s">
        <v>18</v>
      </c>
      <c r="Q49" s="164" t="s">
        <v>2099</v>
      </c>
      <c r="R49" s="112"/>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16"/>
      <c r="AW49" s="116"/>
      <c r="AX49" s="116"/>
      <c r="AY49" s="116"/>
    </row>
    <row r="50" spans="1:51" s="115" customFormat="1" ht="135" x14ac:dyDescent="0.2">
      <c r="A50" s="105">
        <v>37</v>
      </c>
      <c r="B50" s="167" t="s">
        <v>237</v>
      </c>
      <c r="C50" s="167" t="s">
        <v>194</v>
      </c>
      <c r="D50" s="166">
        <v>2015</v>
      </c>
      <c r="E50" s="167" t="s">
        <v>118</v>
      </c>
      <c r="F50" s="167" t="s">
        <v>236</v>
      </c>
      <c r="G50" s="167" t="s">
        <v>453</v>
      </c>
      <c r="H50" s="167" t="s">
        <v>100</v>
      </c>
      <c r="I50" s="167" t="s">
        <v>275</v>
      </c>
      <c r="J50" s="167" t="s">
        <v>90</v>
      </c>
      <c r="K50" s="167" t="s">
        <v>454</v>
      </c>
      <c r="L50" s="167" t="s">
        <v>650</v>
      </c>
      <c r="M50" s="167"/>
      <c r="N50" s="167" t="s">
        <v>455</v>
      </c>
      <c r="O50" s="167" t="s">
        <v>456</v>
      </c>
      <c r="P50" s="167" t="s">
        <v>378</v>
      </c>
      <c r="Q50" s="112"/>
      <c r="R50" s="112"/>
      <c r="S50" s="167"/>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c r="AQ50" s="167"/>
      <c r="AR50" s="167"/>
      <c r="AS50" s="167"/>
      <c r="AT50" s="167"/>
      <c r="AU50" s="167"/>
      <c r="AV50" s="116"/>
      <c r="AW50" s="116"/>
      <c r="AX50" s="116"/>
      <c r="AY50" s="116"/>
    </row>
    <row r="51" spans="1:51" s="115" customFormat="1" ht="135" x14ac:dyDescent="0.2">
      <c r="A51" s="105">
        <v>38</v>
      </c>
      <c r="B51" s="167" t="s">
        <v>803</v>
      </c>
      <c r="C51" s="167" t="s">
        <v>194</v>
      </c>
      <c r="D51" s="166">
        <v>2016</v>
      </c>
      <c r="E51" s="167" t="s">
        <v>114</v>
      </c>
      <c r="F51" s="167" t="s">
        <v>802</v>
      </c>
      <c r="G51" s="167" t="s">
        <v>1278</v>
      </c>
      <c r="H51" s="167" t="s">
        <v>98</v>
      </c>
      <c r="I51" s="167" t="s">
        <v>1280</v>
      </c>
      <c r="J51" s="167" t="s">
        <v>446</v>
      </c>
      <c r="K51" s="167" t="s">
        <v>1279</v>
      </c>
      <c r="L51" s="167" t="s">
        <v>92</v>
      </c>
      <c r="M51" s="167" t="s">
        <v>1281</v>
      </c>
      <c r="N51" s="164" t="s">
        <v>1282</v>
      </c>
      <c r="O51" s="163" t="s">
        <v>18</v>
      </c>
      <c r="P51" s="167" t="s">
        <v>378</v>
      </c>
      <c r="Q51" s="112"/>
      <c r="R51" s="112"/>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Q51" s="167"/>
      <c r="AR51" s="167"/>
      <c r="AS51" s="167"/>
      <c r="AT51" s="167"/>
      <c r="AU51" s="167"/>
      <c r="AV51" s="116"/>
      <c r="AW51" s="116"/>
      <c r="AX51" s="116"/>
      <c r="AY51" s="116"/>
    </row>
    <row r="52" spans="1:51" s="115" customFormat="1" ht="135" x14ac:dyDescent="0.2">
      <c r="A52" s="105">
        <v>39</v>
      </c>
      <c r="B52" s="167" t="s">
        <v>241</v>
      </c>
      <c r="C52" s="167" t="s">
        <v>82</v>
      </c>
      <c r="D52" s="166">
        <v>2013</v>
      </c>
      <c r="E52" s="167" t="s">
        <v>114</v>
      </c>
      <c r="F52" s="167" t="s">
        <v>240</v>
      </c>
      <c r="G52" s="167" t="s">
        <v>462</v>
      </c>
      <c r="H52" s="167" t="s">
        <v>100</v>
      </c>
      <c r="I52" s="167" t="s">
        <v>275</v>
      </c>
      <c r="J52" s="167" t="s">
        <v>88</v>
      </c>
      <c r="K52" s="167" t="s">
        <v>463</v>
      </c>
      <c r="L52" s="167" t="s">
        <v>91</v>
      </c>
      <c r="M52" s="167" t="s">
        <v>465</v>
      </c>
      <c r="N52" s="167" t="s">
        <v>464</v>
      </c>
      <c r="O52" s="163" t="s">
        <v>18</v>
      </c>
      <c r="P52" s="167" t="s">
        <v>466</v>
      </c>
      <c r="Q52" s="112"/>
      <c r="R52" s="112"/>
      <c r="S52" s="167"/>
      <c r="T52" s="167"/>
      <c r="U52" s="167"/>
      <c r="V52" s="167"/>
      <c r="W52" s="167"/>
      <c r="X52" s="167"/>
      <c r="Y52" s="167"/>
      <c r="Z52" s="167"/>
      <c r="AA52" s="167"/>
      <c r="AB52" s="167"/>
      <c r="AC52" s="167"/>
      <c r="AD52" s="167"/>
      <c r="AE52" s="167"/>
      <c r="AF52" s="167"/>
      <c r="AG52" s="167"/>
      <c r="AH52" s="167"/>
      <c r="AI52" s="167"/>
      <c r="AJ52" s="167"/>
      <c r="AK52" s="167"/>
      <c r="AL52" s="167"/>
      <c r="AM52" s="167"/>
      <c r="AN52" s="167"/>
      <c r="AO52" s="167"/>
      <c r="AP52" s="167"/>
      <c r="AQ52" s="167"/>
      <c r="AR52" s="167"/>
      <c r="AS52" s="167"/>
      <c r="AT52" s="167"/>
      <c r="AU52" s="167"/>
      <c r="AV52" s="116"/>
      <c r="AW52" s="116"/>
      <c r="AX52" s="116"/>
      <c r="AY52" s="116"/>
    </row>
    <row r="53" spans="1:51" s="115" customFormat="1" ht="75" x14ac:dyDescent="0.2">
      <c r="A53" s="105">
        <v>40</v>
      </c>
      <c r="B53" s="167" t="s">
        <v>811</v>
      </c>
      <c r="C53" s="105" t="s">
        <v>121</v>
      </c>
      <c r="D53" s="166">
        <v>2016</v>
      </c>
      <c r="E53" s="167" t="s">
        <v>114</v>
      </c>
      <c r="F53" s="167" t="s">
        <v>810</v>
      </c>
      <c r="G53" s="167" t="s">
        <v>1298</v>
      </c>
      <c r="H53" s="167" t="s">
        <v>1150</v>
      </c>
      <c r="I53" s="167" t="s">
        <v>1299</v>
      </c>
      <c r="J53" s="167" t="s">
        <v>445</v>
      </c>
      <c r="K53" s="167" t="s">
        <v>1300</v>
      </c>
      <c r="L53" s="167" t="s">
        <v>441</v>
      </c>
      <c r="M53" s="167"/>
      <c r="N53" s="167" t="s">
        <v>1302</v>
      </c>
      <c r="O53" s="163" t="s">
        <v>18</v>
      </c>
      <c r="P53" s="167" t="s">
        <v>1301</v>
      </c>
      <c r="Q53" s="112" t="s">
        <v>1303</v>
      </c>
      <c r="R53" s="112"/>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c r="AQ53" s="167"/>
      <c r="AR53" s="167"/>
      <c r="AS53" s="167"/>
      <c r="AT53" s="167"/>
      <c r="AU53" s="167"/>
      <c r="AV53" s="116"/>
      <c r="AW53" s="116"/>
      <c r="AX53" s="116"/>
      <c r="AY53" s="116"/>
    </row>
    <row r="54" spans="1:51" s="115" customFormat="1" ht="75" x14ac:dyDescent="0.2">
      <c r="A54" s="105">
        <v>41</v>
      </c>
      <c r="B54" s="167" t="s">
        <v>2041</v>
      </c>
      <c r="C54" s="105" t="s">
        <v>174</v>
      </c>
      <c r="D54" s="166">
        <v>2015</v>
      </c>
      <c r="E54" s="167" t="s">
        <v>164</v>
      </c>
      <c r="F54" s="107" t="s">
        <v>2040</v>
      </c>
      <c r="G54" s="167" t="s">
        <v>2100</v>
      </c>
      <c r="H54" s="167" t="s">
        <v>100</v>
      </c>
      <c r="I54" s="167" t="s">
        <v>275</v>
      </c>
      <c r="J54" s="167" t="s">
        <v>90</v>
      </c>
      <c r="K54" s="167" t="s">
        <v>314</v>
      </c>
      <c r="L54" s="107" t="s">
        <v>443</v>
      </c>
      <c r="M54" s="107"/>
      <c r="N54" s="167" t="s">
        <v>2102</v>
      </c>
      <c r="O54" s="168" t="s">
        <v>18</v>
      </c>
      <c r="P54" s="168" t="s">
        <v>18</v>
      </c>
      <c r="Q54" s="167" t="s">
        <v>2101</v>
      </c>
      <c r="R54" s="112"/>
      <c r="S54" s="167"/>
      <c r="T54" s="167"/>
      <c r="U54" s="167"/>
      <c r="V54" s="167"/>
      <c r="W54" s="167"/>
      <c r="X54" s="167"/>
      <c r="Y54" s="167"/>
      <c r="Z54" s="167"/>
      <c r="AA54" s="167"/>
      <c r="AB54" s="167"/>
      <c r="AC54" s="167"/>
      <c r="AD54" s="167"/>
      <c r="AE54" s="167"/>
      <c r="AF54" s="167"/>
      <c r="AG54" s="167"/>
      <c r="AH54" s="167"/>
      <c r="AI54" s="167"/>
      <c r="AJ54" s="167"/>
      <c r="AK54" s="167"/>
      <c r="AL54" s="167"/>
      <c r="AM54" s="167"/>
      <c r="AN54" s="167"/>
      <c r="AO54" s="167"/>
      <c r="AP54" s="167"/>
      <c r="AQ54" s="167"/>
      <c r="AR54" s="167"/>
      <c r="AS54" s="167"/>
      <c r="AT54" s="167"/>
      <c r="AU54" s="167"/>
      <c r="AV54" s="116"/>
      <c r="AW54" s="116"/>
      <c r="AX54" s="116"/>
      <c r="AY54" s="116"/>
    </row>
    <row r="55" spans="1:51" s="115" customFormat="1" ht="105" x14ac:dyDescent="0.2">
      <c r="A55" s="105">
        <v>42</v>
      </c>
      <c r="B55" s="167" t="s">
        <v>250</v>
      </c>
      <c r="C55" s="167" t="s">
        <v>174</v>
      </c>
      <c r="D55" s="166">
        <v>2015</v>
      </c>
      <c r="E55" s="167" t="s">
        <v>114</v>
      </c>
      <c r="F55" s="167" t="s">
        <v>249</v>
      </c>
      <c r="G55" s="167" t="s">
        <v>474</v>
      </c>
      <c r="H55" s="167" t="s">
        <v>1095</v>
      </c>
      <c r="I55" s="167" t="s">
        <v>475</v>
      </c>
      <c r="J55" s="167" t="s">
        <v>90</v>
      </c>
      <c r="K55" s="167" t="s">
        <v>314</v>
      </c>
      <c r="L55" s="167" t="s">
        <v>441</v>
      </c>
      <c r="M55" s="167"/>
      <c r="N55" s="167" t="s">
        <v>476</v>
      </c>
      <c r="O55" s="163" t="s">
        <v>18</v>
      </c>
      <c r="P55" s="163" t="s">
        <v>18</v>
      </c>
      <c r="Q55" s="167" t="s">
        <v>1922</v>
      </c>
      <c r="R55" s="112"/>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c r="AQ55" s="167"/>
      <c r="AR55" s="167"/>
      <c r="AS55" s="167"/>
      <c r="AT55" s="167"/>
      <c r="AU55" s="167"/>
      <c r="AV55" s="116"/>
      <c r="AW55" s="116"/>
      <c r="AX55" s="116"/>
      <c r="AY55" s="116"/>
    </row>
    <row r="56" spans="1:51" s="115" customFormat="1" ht="90" x14ac:dyDescent="0.2">
      <c r="A56" s="105">
        <v>43</v>
      </c>
      <c r="B56" s="167" t="s">
        <v>1805</v>
      </c>
      <c r="C56" s="167" t="s">
        <v>174</v>
      </c>
      <c r="D56" s="166">
        <v>2014</v>
      </c>
      <c r="E56" s="167" t="s">
        <v>114</v>
      </c>
      <c r="F56" s="167" t="s">
        <v>1806</v>
      </c>
      <c r="G56" s="167" t="s">
        <v>1911</v>
      </c>
      <c r="H56" s="167" t="s">
        <v>1095</v>
      </c>
      <c r="I56" s="167" t="s">
        <v>281</v>
      </c>
      <c r="J56" s="167" t="s">
        <v>90</v>
      </c>
      <c r="K56" s="167" t="s">
        <v>314</v>
      </c>
      <c r="L56" s="167" t="s">
        <v>441</v>
      </c>
      <c r="M56" s="167"/>
      <c r="N56" s="167" t="s">
        <v>1910</v>
      </c>
      <c r="O56" s="163" t="s">
        <v>18</v>
      </c>
      <c r="P56" s="163" t="s">
        <v>18</v>
      </c>
      <c r="Q56" s="167" t="s">
        <v>1908</v>
      </c>
      <c r="R56" s="112"/>
      <c r="S56" s="167"/>
      <c r="T56" s="167"/>
      <c r="U56" s="167"/>
      <c r="V56" s="167"/>
      <c r="W56" s="167"/>
      <c r="X56" s="167"/>
      <c r="Y56" s="167"/>
      <c r="Z56" s="167"/>
      <c r="AA56" s="167"/>
      <c r="AB56" s="167"/>
      <c r="AC56" s="167"/>
      <c r="AD56" s="167"/>
      <c r="AE56" s="167"/>
      <c r="AF56" s="167"/>
      <c r="AG56" s="167"/>
      <c r="AH56" s="167"/>
      <c r="AI56" s="167"/>
      <c r="AJ56" s="167"/>
      <c r="AK56" s="167"/>
      <c r="AL56" s="167"/>
      <c r="AM56" s="167"/>
      <c r="AN56" s="167"/>
      <c r="AO56" s="167"/>
      <c r="AP56" s="167"/>
      <c r="AQ56" s="167"/>
      <c r="AR56" s="167"/>
      <c r="AS56" s="167"/>
      <c r="AT56" s="167"/>
      <c r="AU56" s="167"/>
      <c r="AV56" s="116"/>
      <c r="AW56" s="116"/>
      <c r="AX56" s="116"/>
      <c r="AY56" s="116"/>
    </row>
    <row r="57" spans="1:51" s="115" customFormat="1" ht="75" x14ac:dyDescent="0.2">
      <c r="A57" s="105">
        <v>44</v>
      </c>
      <c r="B57" s="167" t="s">
        <v>1808</v>
      </c>
      <c r="C57" s="167" t="s">
        <v>174</v>
      </c>
      <c r="D57" s="166">
        <v>2016</v>
      </c>
      <c r="E57" s="167" t="s">
        <v>114</v>
      </c>
      <c r="F57" s="167" t="s">
        <v>1807</v>
      </c>
      <c r="G57" s="167" t="s">
        <v>1912</v>
      </c>
      <c r="H57" s="167" t="s">
        <v>100</v>
      </c>
      <c r="I57" s="167" t="s">
        <v>275</v>
      </c>
      <c r="J57" s="167" t="s">
        <v>90</v>
      </c>
      <c r="K57" s="167" t="s">
        <v>1913</v>
      </c>
      <c r="L57" s="167" t="s">
        <v>441</v>
      </c>
      <c r="M57" s="167"/>
      <c r="N57" s="167" t="s">
        <v>1909</v>
      </c>
      <c r="O57" s="163" t="s">
        <v>18</v>
      </c>
      <c r="P57" s="163" t="s">
        <v>18</v>
      </c>
      <c r="Q57" s="112"/>
      <c r="R57" s="112"/>
      <c r="S57" s="167"/>
      <c r="T57" s="167"/>
      <c r="U57" s="167"/>
      <c r="V57" s="167"/>
      <c r="W57" s="167"/>
      <c r="X57" s="167"/>
      <c r="Y57" s="167"/>
      <c r="Z57" s="167"/>
      <c r="AA57" s="167"/>
      <c r="AB57" s="167"/>
      <c r="AC57" s="167"/>
      <c r="AD57" s="167"/>
      <c r="AE57" s="167"/>
      <c r="AF57" s="167"/>
      <c r="AG57" s="167"/>
      <c r="AH57" s="167"/>
      <c r="AI57" s="167"/>
      <c r="AJ57" s="167"/>
      <c r="AK57" s="167"/>
      <c r="AL57" s="167"/>
      <c r="AM57" s="167"/>
      <c r="AN57" s="167"/>
      <c r="AO57" s="167"/>
      <c r="AP57" s="167"/>
      <c r="AQ57" s="167"/>
      <c r="AR57" s="167"/>
      <c r="AS57" s="167"/>
      <c r="AT57" s="167"/>
      <c r="AU57" s="167"/>
      <c r="AV57" s="116"/>
      <c r="AW57" s="116"/>
      <c r="AX57" s="116"/>
      <c r="AY57" s="116"/>
    </row>
    <row r="58" spans="1:51" s="115" customFormat="1" ht="90" x14ac:dyDescent="0.2">
      <c r="A58" s="105">
        <v>45</v>
      </c>
      <c r="B58" s="167" t="s">
        <v>252</v>
      </c>
      <c r="C58" s="167" t="s">
        <v>174</v>
      </c>
      <c r="D58" s="166">
        <v>2014</v>
      </c>
      <c r="E58" s="167" t="s">
        <v>243</v>
      </c>
      <c r="F58" s="167" t="s">
        <v>251</v>
      </c>
      <c r="G58" s="167" t="s">
        <v>478</v>
      </c>
      <c r="H58" s="167" t="s">
        <v>1095</v>
      </c>
      <c r="I58" s="167" t="s">
        <v>275</v>
      </c>
      <c r="J58" s="167" t="s">
        <v>90</v>
      </c>
      <c r="K58" s="167" t="s">
        <v>314</v>
      </c>
      <c r="L58" s="167" t="s">
        <v>441</v>
      </c>
      <c r="M58" s="167"/>
      <c r="N58" s="167" t="s">
        <v>479</v>
      </c>
      <c r="O58" s="163" t="s">
        <v>18</v>
      </c>
      <c r="P58" s="163" t="s">
        <v>18</v>
      </c>
      <c r="Q58" s="112"/>
      <c r="R58" s="112"/>
      <c r="S58" s="167"/>
      <c r="T58" s="167"/>
      <c r="U58" s="167"/>
      <c r="V58" s="167"/>
      <c r="W58" s="167"/>
      <c r="X58" s="167"/>
      <c r="Y58" s="167"/>
      <c r="Z58" s="167"/>
      <c r="AA58" s="167"/>
      <c r="AB58" s="167"/>
      <c r="AC58" s="167"/>
      <c r="AD58" s="167"/>
      <c r="AE58" s="167"/>
      <c r="AF58" s="167"/>
      <c r="AG58" s="167"/>
      <c r="AH58" s="167"/>
      <c r="AI58" s="167"/>
      <c r="AJ58" s="167"/>
      <c r="AK58" s="167"/>
      <c r="AL58" s="167"/>
      <c r="AM58" s="167"/>
      <c r="AN58" s="167"/>
      <c r="AO58" s="167"/>
      <c r="AP58" s="167"/>
      <c r="AQ58" s="167"/>
      <c r="AR58" s="167"/>
      <c r="AS58" s="167"/>
      <c r="AT58" s="167"/>
      <c r="AU58" s="167"/>
      <c r="AV58" s="116"/>
      <c r="AW58" s="116"/>
      <c r="AX58" s="116"/>
      <c r="AY58" s="116"/>
    </row>
    <row r="59" spans="1:51" s="115" customFormat="1" ht="135" x14ac:dyDescent="0.2">
      <c r="A59" s="105">
        <v>46</v>
      </c>
      <c r="B59" s="167" t="s">
        <v>2042</v>
      </c>
      <c r="C59" s="167" t="s">
        <v>121</v>
      </c>
      <c r="D59" s="166">
        <v>2015</v>
      </c>
      <c r="E59" s="167" t="s">
        <v>114</v>
      </c>
      <c r="F59" s="167" t="s">
        <v>2043</v>
      </c>
      <c r="G59" s="167" t="s">
        <v>2103</v>
      </c>
      <c r="H59" s="167" t="s">
        <v>2105</v>
      </c>
      <c r="I59" s="167" t="s">
        <v>2104</v>
      </c>
      <c r="J59" s="167" t="s">
        <v>444</v>
      </c>
      <c r="K59" s="167" t="s">
        <v>2106</v>
      </c>
      <c r="L59" s="167" t="s">
        <v>92</v>
      </c>
      <c r="M59" s="167" t="s">
        <v>1163</v>
      </c>
      <c r="N59" s="167" t="s">
        <v>2107</v>
      </c>
      <c r="O59" s="163" t="s">
        <v>18</v>
      </c>
      <c r="P59" s="164" t="s">
        <v>2108</v>
      </c>
      <c r="Q59" s="167"/>
      <c r="R59" s="112"/>
      <c r="S59" s="167"/>
      <c r="T59" s="167"/>
      <c r="U59" s="167"/>
      <c r="V59" s="167"/>
      <c r="W59" s="167"/>
      <c r="X59" s="167"/>
      <c r="Y59" s="167"/>
      <c r="Z59" s="167"/>
      <c r="AA59" s="167"/>
      <c r="AB59" s="167"/>
      <c r="AC59" s="167"/>
      <c r="AD59" s="167"/>
      <c r="AE59" s="167"/>
      <c r="AF59" s="167"/>
      <c r="AG59" s="167"/>
      <c r="AH59" s="167"/>
      <c r="AI59" s="167"/>
      <c r="AJ59" s="167"/>
      <c r="AK59" s="167"/>
      <c r="AL59" s="167"/>
      <c r="AM59" s="167"/>
      <c r="AN59" s="167"/>
      <c r="AO59" s="167"/>
      <c r="AP59" s="167"/>
      <c r="AQ59" s="167"/>
      <c r="AR59" s="167"/>
      <c r="AS59" s="167"/>
      <c r="AT59" s="167"/>
      <c r="AU59" s="167"/>
      <c r="AV59" s="116"/>
      <c r="AW59" s="116"/>
      <c r="AX59" s="116"/>
      <c r="AY59" s="116"/>
    </row>
    <row r="60" spans="1:51" s="115" customFormat="1" ht="105" x14ac:dyDescent="0.2">
      <c r="A60" s="105">
        <v>47</v>
      </c>
      <c r="B60" s="167" t="s">
        <v>1992</v>
      </c>
      <c r="C60" s="167" t="s">
        <v>1366</v>
      </c>
      <c r="D60" s="166">
        <v>2012</v>
      </c>
      <c r="E60" s="167" t="s">
        <v>63</v>
      </c>
      <c r="F60" s="167" t="s">
        <v>1993</v>
      </c>
      <c r="G60" s="167" t="s">
        <v>1999</v>
      </c>
      <c r="H60" s="167" t="s">
        <v>1976</v>
      </c>
      <c r="I60" s="167" t="s">
        <v>2000</v>
      </c>
      <c r="J60" s="167" t="s">
        <v>441</v>
      </c>
      <c r="K60" s="167" t="s">
        <v>2001</v>
      </c>
      <c r="L60" s="167" t="s">
        <v>441</v>
      </c>
      <c r="M60" s="167"/>
      <c r="N60" s="167" t="s">
        <v>2002</v>
      </c>
      <c r="O60" s="163" t="s">
        <v>18</v>
      </c>
      <c r="P60" s="164" t="s">
        <v>304</v>
      </c>
      <c r="Q60" s="112"/>
      <c r="R60" s="112"/>
      <c r="S60" s="167"/>
      <c r="T60" s="167"/>
      <c r="U60" s="167"/>
      <c r="V60" s="167"/>
      <c r="W60" s="167"/>
      <c r="X60" s="167"/>
      <c r="Y60" s="167"/>
      <c r="Z60" s="167"/>
      <c r="AA60" s="167"/>
      <c r="AB60" s="167"/>
      <c r="AC60" s="167"/>
      <c r="AD60" s="167"/>
      <c r="AE60" s="167"/>
      <c r="AF60" s="167"/>
      <c r="AG60" s="167"/>
      <c r="AH60" s="167"/>
      <c r="AI60" s="167"/>
      <c r="AJ60" s="167"/>
      <c r="AK60" s="167"/>
      <c r="AL60" s="167"/>
      <c r="AM60" s="167"/>
      <c r="AN60" s="167"/>
      <c r="AO60" s="167"/>
      <c r="AP60" s="167"/>
      <c r="AQ60" s="167"/>
      <c r="AR60" s="167"/>
      <c r="AS60" s="167"/>
      <c r="AT60" s="167"/>
      <c r="AU60" s="167"/>
      <c r="AV60" s="116"/>
      <c r="AW60" s="116"/>
      <c r="AX60" s="116"/>
      <c r="AY60" s="116"/>
    </row>
    <row r="61" spans="1:51" s="115" customFormat="1" ht="75" x14ac:dyDescent="0.2">
      <c r="A61" s="105">
        <v>48</v>
      </c>
      <c r="B61" s="167" t="s">
        <v>502</v>
      </c>
      <c r="C61" s="167" t="s">
        <v>147</v>
      </c>
      <c r="D61" s="166">
        <v>2010</v>
      </c>
      <c r="E61" s="167" t="s">
        <v>63</v>
      </c>
      <c r="F61" s="167" t="s">
        <v>503</v>
      </c>
      <c r="G61" s="167" t="s">
        <v>560</v>
      </c>
      <c r="H61" s="167" t="s">
        <v>103</v>
      </c>
      <c r="I61" s="167" t="s">
        <v>110</v>
      </c>
      <c r="J61" s="167" t="s">
        <v>446</v>
      </c>
      <c r="K61" s="167" t="s">
        <v>561</v>
      </c>
      <c r="L61" s="167" t="s">
        <v>441</v>
      </c>
      <c r="M61" s="167"/>
      <c r="N61" s="167" t="s">
        <v>562</v>
      </c>
      <c r="O61" s="163" t="s">
        <v>18</v>
      </c>
      <c r="P61" s="163" t="s">
        <v>18</v>
      </c>
      <c r="Q61" s="112"/>
      <c r="R61" s="167" t="s">
        <v>2011</v>
      </c>
      <c r="S61" s="167"/>
      <c r="T61" s="167"/>
      <c r="U61" s="167">
        <v>0.14299999999999999</v>
      </c>
      <c r="V61" s="167"/>
      <c r="W61" s="167"/>
      <c r="X61" s="167"/>
      <c r="Y61" s="167"/>
      <c r="Z61" s="167"/>
      <c r="AA61" s="167"/>
      <c r="AB61" s="167"/>
      <c r="AC61" s="167"/>
      <c r="AD61" s="167"/>
      <c r="AE61" s="167"/>
      <c r="AF61" s="167"/>
      <c r="AG61" s="167"/>
      <c r="AH61" s="167"/>
      <c r="AI61" s="167"/>
      <c r="AJ61" s="167"/>
      <c r="AK61" s="167"/>
      <c r="AL61" s="167"/>
      <c r="AM61" s="167"/>
      <c r="AN61" s="167"/>
      <c r="AO61" s="167"/>
      <c r="AP61" s="167"/>
      <c r="AQ61" s="167"/>
      <c r="AR61" s="167"/>
      <c r="AS61" s="167"/>
      <c r="AT61" s="167"/>
      <c r="AU61" s="167"/>
      <c r="AV61" s="167"/>
      <c r="AW61" s="116"/>
      <c r="AX61" s="116"/>
      <c r="AY61" s="116"/>
    </row>
    <row r="62" spans="1:51" s="115" customFormat="1" ht="75" x14ac:dyDescent="0.2">
      <c r="A62" s="105">
        <v>49</v>
      </c>
      <c r="B62" s="167" t="s">
        <v>506</v>
      </c>
      <c r="C62" s="167" t="s">
        <v>147</v>
      </c>
      <c r="D62" s="166">
        <v>2007</v>
      </c>
      <c r="E62" s="167" t="s">
        <v>63</v>
      </c>
      <c r="F62" s="167" t="s">
        <v>507</v>
      </c>
      <c r="G62" s="167" t="s">
        <v>569</v>
      </c>
      <c r="H62" s="167" t="s">
        <v>98</v>
      </c>
      <c r="I62" s="167" t="s">
        <v>571</v>
      </c>
      <c r="J62" s="167" t="s">
        <v>90</v>
      </c>
      <c r="K62" s="167" t="s">
        <v>572</v>
      </c>
      <c r="L62" s="167" t="s">
        <v>441</v>
      </c>
      <c r="M62" s="167"/>
      <c r="N62" s="167" t="s">
        <v>570</v>
      </c>
      <c r="O62" s="163" t="s">
        <v>18</v>
      </c>
      <c r="P62" s="163" t="s">
        <v>18</v>
      </c>
      <c r="Q62" s="167"/>
      <c r="R62" s="167" t="s">
        <v>2012</v>
      </c>
      <c r="S62" s="167"/>
      <c r="T62" s="167"/>
      <c r="U62" s="167">
        <v>0.14299999999999999</v>
      </c>
      <c r="V62" s="167"/>
      <c r="W62" s="167"/>
      <c r="X62" s="167"/>
      <c r="Y62" s="167"/>
      <c r="Z62" s="167"/>
      <c r="AA62" s="167"/>
      <c r="AB62" s="167"/>
      <c r="AC62" s="167"/>
      <c r="AD62" s="167"/>
      <c r="AE62" s="167"/>
      <c r="AF62" s="167"/>
      <c r="AG62" s="167"/>
      <c r="AH62" s="167"/>
      <c r="AI62" s="167"/>
      <c r="AJ62" s="167"/>
      <c r="AK62" s="167"/>
      <c r="AL62" s="167"/>
      <c r="AM62" s="167"/>
      <c r="AN62" s="167"/>
      <c r="AO62" s="167"/>
      <c r="AP62" s="167"/>
      <c r="AQ62" s="167"/>
      <c r="AR62" s="167"/>
      <c r="AS62" s="167"/>
      <c r="AT62" s="167"/>
      <c r="AU62" s="167"/>
      <c r="AV62" s="116"/>
      <c r="AW62" s="116"/>
      <c r="AX62" s="116"/>
      <c r="AY62" s="116"/>
    </row>
    <row r="63" spans="1:51" s="115" customFormat="1" ht="90" x14ac:dyDescent="0.2">
      <c r="A63" s="105">
        <v>50</v>
      </c>
      <c r="B63" s="167" t="s">
        <v>508</v>
      </c>
      <c r="C63" s="167" t="s">
        <v>82</v>
      </c>
      <c r="D63" s="166">
        <v>2014</v>
      </c>
      <c r="E63" s="167" t="s">
        <v>63</v>
      </c>
      <c r="F63" s="167" t="s">
        <v>509</v>
      </c>
      <c r="G63" s="167" t="s">
        <v>573</v>
      </c>
      <c r="H63" s="167" t="s">
        <v>103</v>
      </c>
      <c r="I63" s="167" t="s">
        <v>574</v>
      </c>
      <c r="J63" s="167" t="s">
        <v>446</v>
      </c>
      <c r="K63" s="167" t="s">
        <v>575</v>
      </c>
      <c r="L63" s="167" t="s">
        <v>441</v>
      </c>
      <c r="M63" s="167"/>
      <c r="N63" s="167" t="s">
        <v>361</v>
      </c>
      <c r="O63" s="163" t="s">
        <v>18</v>
      </c>
      <c r="P63" s="163" t="s">
        <v>18</v>
      </c>
      <c r="Q63" s="167" t="s">
        <v>2013</v>
      </c>
      <c r="R63" s="112"/>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7"/>
      <c r="AR63" s="167"/>
      <c r="AS63" s="167"/>
      <c r="AT63" s="167"/>
      <c r="AU63" s="167"/>
      <c r="AV63" s="116"/>
      <c r="AW63" s="116"/>
      <c r="AX63" s="116"/>
      <c r="AY63" s="116"/>
    </row>
    <row r="64" spans="1:51" s="115" customFormat="1" ht="90" x14ac:dyDescent="0.2">
      <c r="A64" s="105">
        <v>51</v>
      </c>
      <c r="B64" s="167" t="s">
        <v>1994</v>
      </c>
      <c r="C64" s="105" t="s">
        <v>27</v>
      </c>
      <c r="D64" s="166">
        <v>2013</v>
      </c>
      <c r="E64" s="167" t="s">
        <v>63</v>
      </c>
      <c r="F64" s="167" t="s">
        <v>1995</v>
      </c>
      <c r="G64" s="167" t="s">
        <v>2003</v>
      </c>
      <c r="H64" s="167" t="s">
        <v>1095</v>
      </c>
      <c r="I64" s="167" t="s">
        <v>281</v>
      </c>
      <c r="J64" s="167" t="s">
        <v>88</v>
      </c>
      <c r="K64" s="167" t="s">
        <v>2005</v>
      </c>
      <c r="L64" s="167" t="s">
        <v>91</v>
      </c>
      <c r="M64" s="167" t="s">
        <v>94</v>
      </c>
      <c r="N64" s="167" t="s">
        <v>2007</v>
      </c>
      <c r="O64" s="167" t="s">
        <v>2004</v>
      </c>
      <c r="P64" s="167" t="s">
        <v>2006</v>
      </c>
      <c r="Q64" s="112"/>
      <c r="R64" s="112"/>
      <c r="S64" s="167"/>
      <c r="T64" s="167"/>
      <c r="U64" s="167"/>
      <c r="V64" s="167"/>
      <c r="W64" s="167"/>
      <c r="X64" s="167"/>
      <c r="Y64" s="167"/>
      <c r="Z64" s="167"/>
      <c r="AA64" s="167"/>
      <c r="AB64" s="167"/>
      <c r="AC64" s="167"/>
      <c r="AD64" s="167"/>
      <c r="AE64" s="167"/>
      <c r="AF64" s="167"/>
      <c r="AG64" s="167"/>
      <c r="AH64" s="167"/>
      <c r="AI64" s="167"/>
      <c r="AJ64" s="167"/>
      <c r="AK64" s="167"/>
      <c r="AL64" s="167"/>
      <c r="AM64" s="167"/>
      <c r="AN64" s="167"/>
      <c r="AO64" s="167"/>
      <c r="AP64" s="167"/>
      <c r="AQ64" s="167"/>
      <c r="AR64" s="167"/>
      <c r="AS64" s="167"/>
      <c r="AT64" s="167"/>
      <c r="AU64" s="167"/>
      <c r="AV64" s="116"/>
      <c r="AW64" s="116"/>
      <c r="AX64" s="116"/>
      <c r="AY64" s="116"/>
    </row>
    <row r="65" spans="1:51" s="115" customFormat="1" ht="44" customHeight="1" x14ac:dyDescent="0.2">
      <c r="A65" s="220">
        <v>52</v>
      </c>
      <c r="B65" s="214" t="s">
        <v>512</v>
      </c>
      <c r="C65" s="214" t="s">
        <v>581</v>
      </c>
      <c r="D65" s="218">
        <v>2013</v>
      </c>
      <c r="E65" s="214" t="s">
        <v>63</v>
      </c>
      <c r="F65" s="214" t="s">
        <v>513</v>
      </c>
      <c r="G65" s="214" t="s">
        <v>582</v>
      </c>
      <c r="H65" s="214" t="s">
        <v>100</v>
      </c>
      <c r="I65" s="214" t="s">
        <v>275</v>
      </c>
      <c r="J65" s="214" t="s">
        <v>88</v>
      </c>
      <c r="K65" s="214" t="s">
        <v>583</v>
      </c>
      <c r="L65" s="214" t="s">
        <v>91</v>
      </c>
      <c r="M65" s="214" t="s">
        <v>443</v>
      </c>
      <c r="N65" s="214" t="s">
        <v>584</v>
      </c>
      <c r="O65" s="214" t="s">
        <v>1981</v>
      </c>
      <c r="P65" s="214" t="s">
        <v>317</v>
      </c>
      <c r="Q65" s="214" t="s">
        <v>1982</v>
      </c>
      <c r="R65" s="105" t="s">
        <v>1923</v>
      </c>
      <c r="S65" s="105">
        <f>3.46*10^-4</f>
        <v>3.4600000000000001E-4</v>
      </c>
      <c r="T65" s="105">
        <f>1.05*10^-5</f>
        <v>1.0500000000000001E-5</v>
      </c>
      <c r="U65" s="105">
        <f>1.69*10^-2</f>
        <v>1.6899999999999998E-2</v>
      </c>
      <c r="V65" s="105">
        <f>4.11*10^-9</f>
        <v>4.1100000000000009E-9</v>
      </c>
      <c r="W65" s="105">
        <f>1.59*10^-5</f>
        <v>1.5900000000000004E-5</v>
      </c>
      <c r="X65" s="105"/>
      <c r="Y65" s="105"/>
      <c r="Z65" s="105"/>
      <c r="AA65" s="105">
        <f>2.88*10^-4</f>
        <v>2.8800000000000001E-4</v>
      </c>
      <c r="AB65" s="116">
        <f>8.24*10^-3</f>
        <v>8.2400000000000008E-3</v>
      </c>
      <c r="AC65" s="116"/>
      <c r="AD65" s="116"/>
      <c r="AE65" s="116"/>
      <c r="AF65" s="116"/>
      <c r="AG65" s="116">
        <f>1.92*10^-3</f>
        <v>1.92E-3</v>
      </c>
      <c r="AH65" s="116">
        <v>10</v>
      </c>
      <c r="AI65" s="116">
        <f>1.42*10^-4</f>
        <v>1.4200000000000001E-4</v>
      </c>
      <c r="AJ65" s="116"/>
      <c r="AK65" s="116"/>
      <c r="AL65" s="116"/>
      <c r="AM65" s="116"/>
      <c r="AN65" s="116"/>
      <c r="AO65" s="116"/>
      <c r="AP65" s="116"/>
      <c r="AQ65" s="116"/>
      <c r="AR65" s="116"/>
      <c r="AS65" s="116"/>
      <c r="AT65" s="116"/>
      <c r="AU65" s="116"/>
      <c r="AV65" s="116"/>
      <c r="AW65" s="116"/>
      <c r="AX65" s="116"/>
      <c r="AY65" s="116"/>
    </row>
    <row r="66" spans="1:51" s="115" customFormat="1" ht="44" customHeight="1" x14ac:dyDescent="0.2">
      <c r="A66" s="220"/>
      <c r="B66" s="214"/>
      <c r="C66" s="214"/>
      <c r="D66" s="218"/>
      <c r="E66" s="214"/>
      <c r="F66" s="214"/>
      <c r="G66" s="214"/>
      <c r="H66" s="214"/>
      <c r="I66" s="214"/>
      <c r="J66" s="214"/>
      <c r="K66" s="214"/>
      <c r="L66" s="214"/>
      <c r="M66" s="214"/>
      <c r="N66" s="214"/>
      <c r="O66" s="214"/>
      <c r="P66" s="214"/>
      <c r="Q66" s="214"/>
      <c r="R66" s="167" t="s">
        <v>1069</v>
      </c>
      <c r="S66" s="105">
        <v>4.9438000000000008E-3</v>
      </c>
      <c r="T66" s="105">
        <v>6.9143999999999998E-4</v>
      </c>
      <c r="U66" s="105">
        <v>1.2798399999999999</v>
      </c>
      <c r="V66" s="105">
        <v>2.4868000000000005E-8</v>
      </c>
      <c r="W66" s="105">
        <v>8.5592000000000014E-4</v>
      </c>
      <c r="X66" s="105"/>
      <c r="Y66" s="105"/>
      <c r="Z66" s="105"/>
      <c r="AA66" s="105">
        <v>1.2296600000000001E-2</v>
      </c>
      <c r="AB66" s="169" t="s">
        <v>1986</v>
      </c>
      <c r="AC66" s="116"/>
      <c r="AD66" s="116"/>
      <c r="AE66" s="116"/>
      <c r="AF66" s="116"/>
      <c r="AG66" s="169" t="s">
        <v>1986</v>
      </c>
      <c r="AH66" s="169" t="s">
        <v>1986</v>
      </c>
      <c r="AI66" s="169" t="s">
        <v>1986</v>
      </c>
      <c r="AJ66" s="116"/>
      <c r="AK66" s="116"/>
      <c r="AL66" s="116"/>
      <c r="AM66" s="116"/>
      <c r="AN66" s="116"/>
      <c r="AO66" s="116"/>
      <c r="AP66" s="116"/>
      <c r="AQ66" s="116"/>
      <c r="AR66" s="116"/>
      <c r="AS66" s="116"/>
      <c r="AT66" s="116"/>
      <c r="AU66" s="116"/>
      <c r="AV66" s="116"/>
      <c r="AW66" s="116"/>
      <c r="AX66" s="116"/>
      <c r="AY66" s="116"/>
    </row>
    <row r="67" spans="1:51" s="115" customFormat="1" ht="44" customHeight="1" x14ac:dyDescent="0.2">
      <c r="A67" s="220"/>
      <c r="B67" s="214"/>
      <c r="C67" s="214"/>
      <c r="D67" s="218"/>
      <c r="E67" s="214"/>
      <c r="F67" s="214"/>
      <c r="G67" s="214"/>
      <c r="H67" s="214"/>
      <c r="I67" s="214"/>
      <c r="J67" s="214"/>
      <c r="K67" s="214"/>
      <c r="L67" s="214"/>
      <c r="M67" s="214"/>
      <c r="N67" s="214"/>
      <c r="O67" s="214"/>
      <c r="P67" s="214"/>
      <c r="Q67" s="214"/>
      <c r="R67" s="167" t="s">
        <v>1983</v>
      </c>
      <c r="S67" s="105">
        <v>4.8820000000000005E-4</v>
      </c>
      <c r="T67" s="105">
        <v>3.1560000000000003E-5</v>
      </c>
      <c r="U67" s="105">
        <v>5.5959999999999996E-2</v>
      </c>
      <c r="V67" s="105">
        <v>4.752000000000001E-9</v>
      </c>
      <c r="W67" s="105">
        <v>4.1880000000000006E-5</v>
      </c>
      <c r="X67" s="105"/>
      <c r="Y67" s="105"/>
      <c r="Z67" s="105"/>
      <c r="AA67" s="105">
        <v>6.5940000000000009E-4</v>
      </c>
      <c r="AB67" s="169" t="s">
        <v>1986</v>
      </c>
      <c r="AC67" s="116"/>
      <c r="AD67" s="116"/>
      <c r="AE67" s="116"/>
      <c r="AF67" s="116"/>
      <c r="AG67" s="169" t="s">
        <v>1986</v>
      </c>
      <c r="AH67" s="169" t="s">
        <v>1986</v>
      </c>
      <c r="AI67" s="169" t="s">
        <v>1986</v>
      </c>
      <c r="AJ67" s="116"/>
      <c r="AK67" s="116"/>
      <c r="AL67" s="116"/>
      <c r="AM67" s="116"/>
      <c r="AN67" s="116"/>
      <c r="AO67" s="116"/>
      <c r="AP67" s="116"/>
      <c r="AQ67" s="116"/>
      <c r="AR67" s="116"/>
      <c r="AS67" s="116"/>
      <c r="AT67" s="116"/>
      <c r="AU67" s="116"/>
      <c r="AV67" s="116"/>
      <c r="AW67" s="116"/>
      <c r="AX67" s="116"/>
      <c r="AY67" s="116"/>
    </row>
    <row r="68" spans="1:51" s="115" customFormat="1" ht="44" customHeight="1" x14ac:dyDescent="0.2">
      <c r="A68" s="220"/>
      <c r="B68" s="214"/>
      <c r="C68" s="214"/>
      <c r="D68" s="218"/>
      <c r="E68" s="214"/>
      <c r="F68" s="214"/>
      <c r="G68" s="214"/>
      <c r="H68" s="214"/>
      <c r="I68" s="214"/>
      <c r="J68" s="214"/>
      <c r="K68" s="214"/>
      <c r="L68" s="214"/>
      <c r="M68" s="214"/>
      <c r="N68" s="214"/>
      <c r="O68" s="214"/>
      <c r="P68" s="214"/>
      <c r="Q68" s="214"/>
      <c r="R68" s="167" t="s">
        <v>1984</v>
      </c>
      <c r="S68" s="105">
        <v>3.3322000000000004E-3</v>
      </c>
      <c r="T68" s="105">
        <v>4.5275999999999997E-4</v>
      </c>
      <c r="U68" s="105">
        <v>0.83716000000000002</v>
      </c>
      <c r="V68" s="105">
        <v>1.7592000000000003E-8</v>
      </c>
      <c r="W68" s="105">
        <v>5.6148000000000005E-4</v>
      </c>
      <c r="X68" s="105"/>
      <c r="Y68" s="105"/>
      <c r="Z68" s="105"/>
      <c r="AA68" s="105">
        <v>8.0873999999999998E-3</v>
      </c>
      <c r="AB68" s="169" t="s">
        <v>1986</v>
      </c>
      <c r="AC68" s="116"/>
      <c r="AD68" s="116"/>
      <c r="AE68" s="116"/>
      <c r="AF68" s="116"/>
      <c r="AG68" s="169" t="s">
        <v>1986</v>
      </c>
      <c r="AH68" s="169" t="s">
        <v>1986</v>
      </c>
      <c r="AI68" s="169" t="s">
        <v>1986</v>
      </c>
      <c r="AJ68" s="116"/>
      <c r="AK68" s="116"/>
      <c r="AL68" s="116"/>
      <c r="AM68" s="116"/>
      <c r="AN68" s="116"/>
      <c r="AO68" s="116"/>
      <c r="AP68" s="116"/>
      <c r="AQ68" s="116"/>
      <c r="AR68" s="116"/>
      <c r="AS68" s="116"/>
      <c r="AT68" s="116"/>
      <c r="AU68" s="116"/>
      <c r="AV68" s="116"/>
      <c r="AW68" s="116"/>
      <c r="AX68" s="116"/>
      <c r="AY68" s="116"/>
    </row>
    <row r="69" spans="1:51" s="115" customFormat="1" ht="150" x14ac:dyDescent="0.2">
      <c r="A69" s="105">
        <v>53</v>
      </c>
      <c r="B69" s="167" t="s">
        <v>1597</v>
      </c>
      <c r="C69" s="105" t="s">
        <v>135</v>
      </c>
      <c r="D69" s="166">
        <v>2016</v>
      </c>
      <c r="E69" s="167" t="s">
        <v>63</v>
      </c>
      <c r="F69" s="167" t="s">
        <v>1631</v>
      </c>
      <c r="G69" s="167" t="s">
        <v>1662</v>
      </c>
      <c r="H69" s="167" t="s">
        <v>1095</v>
      </c>
      <c r="I69" s="167" t="s">
        <v>281</v>
      </c>
      <c r="J69" s="167" t="s">
        <v>444</v>
      </c>
      <c r="K69" s="167" t="s">
        <v>1664</v>
      </c>
      <c r="L69" s="167" t="s">
        <v>91</v>
      </c>
      <c r="M69" s="167" t="s">
        <v>923</v>
      </c>
      <c r="N69" s="167" t="s">
        <v>1665</v>
      </c>
      <c r="O69" s="164" t="s">
        <v>1666</v>
      </c>
      <c r="P69" s="167" t="s">
        <v>1663</v>
      </c>
      <c r="Q69" s="112"/>
      <c r="R69" s="112"/>
      <c r="S69" s="167"/>
      <c r="T69" s="167"/>
      <c r="U69" s="167"/>
      <c r="V69" s="167"/>
      <c r="W69" s="167"/>
      <c r="X69" s="167"/>
      <c r="Y69" s="167"/>
      <c r="Z69" s="167"/>
      <c r="AA69" s="167"/>
      <c r="AB69" s="167"/>
      <c r="AC69" s="167"/>
      <c r="AD69" s="167"/>
      <c r="AE69" s="167"/>
      <c r="AF69" s="167"/>
      <c r="AG69" s="167"/>
      <c r="AH69" s="167"/>
      <c r="AI69" s="167"/>
      <c r="AJ69" s="167"/>
      <c r="AK69" s="167"/>
      <c r="AL69" s="167"/>
      <c r="AM69" s="167"/>
      <c r="AN69" s="167"/>
      <c r="AO69" s="167"/>
      <c r="AP69" s="167"/>
      <c r="AQ69" s="167"/>
      <c r="AR69" s="167"/>
      <c r="AS69" s="167"/>
      <c r="AT69" s="167"/>
      <c r="AU69" s="167"/>
      <c r="AV69" s="116"/>
      <c r="AW69" s="116"/>
      <c r="AX69" s="116"/>
      <c r="AY69" s="116"/>
    </row>
    <row r="70" spans="1:51" s="115" customFormat="1" ht="75" customHeight="1" x14ac:dyDescent="0.2">
      <c r="A70" s="220">
        <v>54</v>
      </c>
      <c r="B70" s="214" t="s">
        <v>1939</v>
      </c>
      <c r="C70" s="214" t="s">
        <v>156</v>
      </c>
      <c r="D70" s="218">
        <v>2013</v>
      </c>
      <c r="E70" s="214" t="s">
        <v>63</v>
      </c>
      <c r="F70" s="214" t="s">
        <v>1940</v>
      </c>
      <c r="G70" s="214" t="s">
        <v>1957</v>
      </c>
      <c r="H70" s="164" t="s">
        <v>98</v>
      </c>
      <c r="I70" s="164" t="s">
        <v>1959</v>
      </c>
      <c r="J70" s="164" t="s">
        <v>446</v>
      </c>
      <c r="K70" s="164" t="s">
        <v>1960</v>
      </c>
      <c r="L70" s="214" t="s">
        <v>441</v>
      </c>
      <c r="M70" s="214"/>
      <c r="N70" s="222" t="s">
        <v>1962</v>
      </c>
      <c r="O70" s="214" t="s">
        <v>1963</v>
      </c>
      <c r="P70" s="214" t="s">
        <v>1958</v>
      </c>
      <c r="Q70" s="112"/>
      <c r="R70" s="112"/>
      <c r="S70" s="167"/>
      <c r="T70" s="167"/>
      <c r="U70" s="167"/>
      <c r="V70" s="167"/>
      <c r="W70" s="167"/>
      <c r="X70" s="167"/>
      <c r="Y70" s="167"/>
      <c r="Z70" s="167"/>
      <c r="AA70" s="167"/>
      <c r="AB70" s="167"/>
      <c r="AC70" s="167"/>
      <c r="AD70" s="167"/>
      <c r="AE70" s="167"/>
      <c r="AF70" s="167"/>
      <c r="AG70" s="167"/>
      <c r="AH70" s="167"/>
      <c r="AI70" s="167"/>
      <c r="AJ70" s="167"/>
      <c r="AK70" s="167"/>
      <c r="AL70" s="167"/>
      <c r="AM70" s="167"/>
      <c r="AN70" s="167"/>
      <c r="AO70" s="167"/>
      <c r="AP70" s="167"/>
      <c r="AQ70" s="167"/>
      <c r="AR70" s="167"/>
      <c r="AS70" s="167"/>
      <c r="AT70" s="167"/>
      <c r="AU70" s="167"/>
      <c r="AV70" s="116"/>
      <c r="AW70" s="116"/>
      <c r="AX70" s="116"/>
      <c r="AY70" s="116"/>
    </row>
    <row r="71" spans="1:51" s="115" customFormat="1" ht="75" customHeight="1" x14ac:dyDescent="0.2">
      <c r="A71" s="220"/>
      <c r="B71" s="214"/>
      <c r="C71" s="214"/>
      <c r="D71" s="218"/>
      <c r="E71" s="214"/>
      <c r="F71" s="214"/>
      <c r="G71" s="214"/>
      <c r="H71" s="167" t="s">
        <v>100</v>
      </c>
      <c r="I71" s="116" t="s">
        <v>275</v>
      </c>
      <c r="J71" s="167" t="s">
        <v>444</v>
      </c>
      <c r="K71" s="116" t="s">
        <v>1961</v>
      </c>
      <c r="L71" s="214"/>
      <c r="M71" s="214"/>
      <c r="N71" s="222"/>
      <c r="O71" s="214"/>
      <c r="P71" s="214"/>
      <c r="Q71" s="112"/>
      <c r="R71" s="112"/>
      <c r="S71" s="167"/>
      <c r="T71" s="167"/>
      <c r="U71" s="167"/>
      <c r="V71" s="167"/>
      <c r="W71" s="167"/>
      <c r="X71" s="167"/>
      <c r="Y71" s="167"/>
      <c r="Z71" s="167"/>
      <c r="AA71" s="167"/>
      <c r="AB71" s="167"/>
      <c r="AC71" s="167"/>
      <c r="AD71" s="167"/>
      <c r="AE71" s="167"/>
      <c r="AF71" s="167"/>
      <c r="AG71" s="167"/>
      <c r="AH71" s="167"/>
      <c r="AI71" s="167"/>
      <c r="AJ71" s="167"/>
      <c r="AK71" s="167"/>
      <c r="AL71" s="167"/>
      <c r="AM71" s="167"/>
      <c r="AN71" s="167"/>
      <c r="AO71" s="167"/>
      <c r="AP71" s="167"/>
      <c r="AQ71" s="167"/>
      <c r="AR71" s="167"/>
      <c r="AS71" s="167"/>
      <c r="AT71" s="167"/>
      <c r="AU71" s="167"/>
      <c r="AV71" s="116"/>
      <c r="AW71" s="116"/>
      <c r="AX71" s="116"/>
      <c r="AY71" s="116"/>
    </row>
    <row r="72" spans="1:51" s="115" customFormat="1" ht="225" x14ac:dyDescent="0.2">
      <c r="A72" s="105">
        <v>55</v>
      </c>
      <c r="B72" s="167" t="s">
        <v>518</v>
      </c>
      <c r="C72" s="167" t="s">
        <v>138</v>
      </c>
      <c r="D72" s="166">
        <v>2015</v>
      </c>
      <c r="E72" s="167" t="s">
        <v>63</v>
      </c>
      <c r="F72" s="167" t="s">
        <v>519</v>
      </c>
      <c r="G72" s="167" t="s">
        <v>593</v>
      </c>
      <c r="H72" s="167" t="s">
        <v>443</v>
      </c>
      <c r="I72" s="167" t="s">
        <v>648</v>
      </c>
      <c r="J72" s="167" t="s">
        <v>444</v>
      </c>
      <c r="K72" s="167" t="s">
        <v>594</v>
      </c>
      <c r="L72" s="167" t="s">
        <v>441</v>
      </c>
      <c r="M72" s="167"/>
      <c r="N72" s="167" t="s">
        <v>595</v>
      </c>
      <c r="O72" s="163" t="s">
        <v>18</v>
      </c>
      <c r="P72" s="167" t="s">
        <v>596</v>
      </c>
      <c r="Q72" s="112"/>
      <c r="R72" s="112"/>
      <c r="S72" s="167"/>
      <c r="T72" s="167"/>
      <c r="U72" s="167"/>
      <c r="V72" s="167"/>
      <c r="W72" s="167"/>
      <c r="X72" s="167"/>
      <c r="Y72" s="167"/>
      <c r="Z72" s="167"/>
      <c r="AA72" s="167"/>
      <c r="AB72" s="167"/>
      <c r="AC72" s="167"/>
      <c r="AD72" s="167"/>
      <c r="AE72" s="167"/>
      <c r="AF72" s="167"/>
      <c r="AG72" s="167"/>
      <c r="AH72" s="167"/>
      <c r="AI72" s="167"/>
      <c r="AJ72" s="167"/>
      <c r="AK72" s="167"/>
      <c r="AL72" s="167"/>
      <c r="AM72" s="167"/>
      <c r="AN72" s="167"/>
      <c r="AO72" s="167"/>
      <c r="AP72" s="167"/>
      <c r="AQ72" s="167"/>
      <c r="AR72" s="167"/>
      <c r="AS72" s="167"/>
      <c r="AT72" s="167"/>
      <c r="AU72" s="167"/>
      <c r="AV72" s="116"/>
      <c r="AW72" s="116"/>
      <c r="AX72" s="116"/>
      <c r="AY72" s="116"/>
    </row>
    <row r="73" spans="1:51" s="115" customFormat="1" ht="165" x14ac:dyDescent="0.2">
      <c r="A73" s="105">
        <v>56</v>
      </c>
      <c r="B73" s="167" t="s">
        <v>1997</v>
      </c>
      <c r="C73" s="167" t="s">
        <v>82</v>
      </c>
      <c r="D73" s="166">
        <v>2016</v>
      </c>
      <c r="E73" s="167" t="s">
        <v>1996</v>
      </c>
      <c r="F73" s="167" t="s">
        <v>1998</v>
      </c>
      <c r="G73" s="167" t="s">
        <v>2008</v>
      </c>
      <c r="H73" s="167" t="s">
        <v>1095</v>
      </c>
      <c r="I73" s="167" t="s">
        <v>281</v>
      </c>
      <c r="J73" s="167" t="s">
        <v>445</v>
      </c>
      <c r="K73" s="167" t="s">
        <v>2009</v>
      </c>
      <c r="L73" s="167" t="s">
        <v>92</v>
      </c>
      <c r="M73" s="167" t="s">
        <v>1163</v>
      </c>
      <c r="N73" s="167" t="s">
        <v>2010</v>
      </c>
      <c r="O73" s="163" t="s">
        <v>18</v>
      </c>
      <c r="P73" s="167" t="s">
        <v>378</v>
      </c>
      <c r="Q73" s="112"/>
      <c r="R73" s="112"/>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c r="AQ73" s="167"/>
      <c r="AR73" s="167"/>
      <c r="AS73" s="167"/>
      <c r="AT73" s="167"/>
      <c r="AU73" s="167"/>
      <c r="AV73" s="116"/>
      <c r="AW73" s="116"/>
      <c r="AX73" s="116"/>
      <c r="AY73" s="116"/>
    </row>
    <row r="74" spans="1:51" s="115" customFormat="1" ht="135" x14ac:dyDescent="0.2">
      <c r="A74" s="105">
        <v>57</v>
      </c>
      <c r="B74" s="167" t="s">
        <v>533</v>
      </c>
      <c r="C74" s="167" t="s">
        <v>130</v>
      </c>
      <c r="D74" s="166">
        <v>2014</v>
      </c>
      <c r="E74" s="167" t="s">
        <v>521</v>
      </c>
      <c r="F74" s="167" t="s">
        <v>534</v>
      </c>
      <c r="G74" s="167" t="s">
        <v>621</v>
      </c>
      <c r="H74" s="167" t="s">
        <v>102</v>
      </c>
      <c r="I74" s="167" t="s">
        <v>341</v>
      </c>
      <c r="J74" s="167" t="s">
        <v>446</v>
      </c>
      <c r="K74" s="167" t="s">
        <v>622</v>
      </c>
      <c r="L74" s="167" t="s">
        <v>441</v>
      </c>
      <c r="M74" s="167"/>
      <c r="N74" s="167" t="s">
        <v>623</v>
      </c>
      <c r="O74" s="163" t="s">
        <v>18</v>
      </c>
      <c r="P74" s="167" t="s">
        <v>395</v>
      </c>
      <c r="Q74" s="167"/>
      <c r="R74" s="112"/>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c r="AQ74" s="167"/>
      <c r="AR74" s="167"/>
      <c r="AS74" s="167"/>
      <c r="AT74" s="167"/>
      <c r="AU74" s="167"/>
      <c r="AV74" s="116"/>
      <c r="AW74" s="116"/>
      <c r="AX74" s="116"/>
      <c r="AY74" s="116"/>
    </row>
    <row r="75" spans="1:51" s="115" customFormat="1" ht="105" x14ac:dyDescent="0.2">
      <c r="A75" s="105">
        <v>58</v>
      </c>
      <c r="B75" s="167" t="s">
        <v>862</v>
      </c>
      <c r="C75" s="105" t="s">
        <v>123</v>
      </c>
      <c r="D75" s="166">
        <v>2005</v>
      </c>
      <c r="E75" s="167" t="s">
        <v>63</v>
      </c>
      <c r="F75" s="167" t="s">
        <v>863</v>
      </c>
      <c r="G75" s="167" t="s">
        <v>957</v>
      </c>
      <c r="H75" s="167" t="s">
        <v>1095</v>
      </c>
      <c r="I75" s="167" t="s">
        <v>281</v>
      </c>
      <c r="J75" s="167" t="s">
        <v>90</v>
      </c>
      <c r="K75" s="167" t="s">
        <v>958</v>
      </c>
      <c r="L75" s="167" t="s">
        <v>441</v>
      </c>
      <c r="M75" s="167"/>
      <c r="N75" s="167" t="s">
        <v>959</v>
      </c>
      <c r="O75" s="167" t="s">
        <v>370</v>
      </c>
      <c r="P75" s="167" t="s">
        <v>960</v>
      </c>
      <c r="Q75" s="112"/>
      <c r="R75" s="112"/>
      <c r="S75" s="167"/>
      <c r="T75" s="167"/>
      <c r="U75" s="167"/>
      <c r="V75" s="167"/>
      <c r="W75" s="167"/>
      <c r="X75" s="167"/>
      <c r="Y75" s="167"/>
      <c r="Z75" s="167"/>
      <c r="AA75" s="167"/>
      <c r="AB75" s="167"/>
      <c r="AC75" s="167"/>
      <c r="AD75" s="167"/>
      <c r="AE75" s="167"/>
      <c r="AF75" s="167"/>
      <c r="AG75" s="167"/>
      <c r="AH75" s="167"/>
      <c r="AI75" s="167"/>
      <c r="AJ75" s="167"/>
      <c r="AK75" s="167"/>
      <c r="AL75" s="167"/>
      <c r="AM75" s="167"/>
      <c r="AN75" s="167"/>
      <c r="AO75" s="167"/>
      <c r="AP75" s="167"/>
      <c r="AQ75" s="167"/>
      <c r="AR75" s="167"/>
      <c r="AS75" s="167"/>
      <c r="AT75" s="167"/>
      <c r="AU75" s="167"/>
      <c r="AV75" s="116"/>
      <c r="AW75" s="116"/>
      <c r="AX75" s="116"/>
      <c r="AY75" s="116"/>
    </row>
    <row r="76" spans="1:51" s="115" customFormat="1" ht="105" x14ac:dyDescent="0.2">
      <c r="A76" s="105">
        <v>59</v>
      </c>
      <c r="B76" s="167" t="s">
        <v>1943</v>
      </c>
      <c r="C76" s="105" t="s">
        <v>130</v>
      </c>
      <c r="D76" s="166">
        <v>2016</v>
      </c>
      <c r="E76" s="167" t="s">
        <v>63</v>
      </c>
      <c r="F76" s="167" t="s">
        <v>1944</v>
      </c>
      <c r="G76" s="167" t="s">
        <v>1969</v>
      </c>
      <c r="H76" s="167" t="s">
        <v>102</v>
      </c>
      <c r="I76" s="167" t="s">
        <v>1971</v>
      </c>
      <c r="J76" s="167" t="s">
        <v>90</v>
      </c>
      <c r="K76" s="167" t="s">
        <v>1970</v>
      </c>
      <c r="L76" s="167" t="s">
        <v>650</v>
      </c>
      <c r="M76" s="167"/>
      <c r="N76" s="167" t="s">
        <v>1973</v>
      </c>
      <c r="O76" s="163" t="s">
        <v>18</v>
      </c>
      <c r="P76" s="167" t="s">
        <v>1972</v>
      </c>
      <c r="Q76" s="112"/>
      <c r="R76" s="112"/>
      <c r="S76" s="167"/>
      <c r="T76" s="167"/>
      <c r="U76" s="167"/>
      <c r="V76" s="167"/>
      <c r="W76" s="167"/>
      <c r="X76" s="167"/>
      <c r="Y76" s="167"/>
      <c r="Z76" s="167"/>
      <c r="AA76" s="167"/>
      <c r="AB76" s="167"/>
      <c r="AC76" s="167"/>
      <c r="AD76" s="167"/>
      <c r="AE76" s="167"/>
      <c r="AF76" s="167"/>
      <c r="AG76" s="167"/>
      <c r="AH76" s="167"/>
      <c r="AI76" s="167"/>
      <c r="AJ76" s="167"/>
      <c r="AK76" s="167"/>
      <c r="AL76" s="167"/>
      <c r="AM76" s="167"/>
      <c r="AN76" s="167"/>
      <c r="AO76" s="167"/>
      <c r="AP76" s="167"/>
      <c r="AQ76" s="167"/>
      <c r="AR76" s="167"/>
      <c r="AS76" s="167"/>
      <c r="AT76" s="167"/>
      <c r="AU76" s="167"/>
      <c r="AV76" s="116"/>
      <c r="AW76" s="116"/>
      <c r="AX76" s="116"/>
      <c r="AY76" s="116"/>
    </row>
    <row r="77" spans="1:51" s="115" customFormat="1" ht="75" x14ac:dyDescent="0.2">
      <c r="A77" s="105">
        <v>60</v>
      </c>
      <c r="B77" s="167" t="s">
        <v>540</v>
      </c>
      <c r="C77" s="167" t="s">
        <v>156</v>
      </c>
      <c r="D77" s="166">
        <v>2016</v>
      </c>
      <c r="E77" s="167" t="s">
        <v>63</v>
      </c>
      <c r="F77" s="167" t="s">
        <v>541</v>
      </c>
      <c r="G77" s="167" t="s">
        <v>634</v>
      </c>
      <c r="H77" s="167" t="s">
        <v>100</v>
      </c>
      <c r="I77" s="167" t="s">
        <v>275</v>
      </c>
      <c r="J77" s="167" t="s">
        <v>90</v>
      </c>
      <c r="K77" s="167" t="s">
        <v>636</v>
      </c>
      <c r="L77" s="167" t="s">
        <v>91</v>
      </c>
      <c r="M77" s="167" t="s">
        <v>95</v>
      </c>
      <c r="N77" s="167" t="s">
        <v>637</v>
      </c>
      <c r="O77" s="167" t="s">
        <v>568</v>
      </c>
      <c r="P77" s="167" t="s">
        <v>635</v>
      </c>
      <c r="Q77" s="112"/>
      <c r="R77" s="112"/>
      <c r="S77" s="167"/>
      <c r="T77" s="167"/>
      <c r="U77" s="167"/>
      <c r="V77" s="167"/>
      <c r="W77" s="167"/>
      <c r="X77" s="167"/>
      <c r="Y77" s="167"/>
      <c r="Z77" s="167"/>
      <c r="AA77" s="167"/>
      <c r="AB77" s="167"/>
      <c r="AC77" s="167"/>
      <c r="AD77" s="167"/>
      <c r="AE77" s="167"/>
      <c r="AF77" s="167"/>
      <c r="AG77" s="167"/>
      <c r="AH77" s="167"/>
      <c r="AI77" s="167"/>
      <c r="AJ77" s="167"/>
      <c r="AK77" s="167"/>
      <c r="AL77" s="167"/>
      <c r="AM77" s="167"/>
      <c r="AN77" s="167"/>
      <c r="AO77" s="167"/>
      <c r="AP77" s="167"/>
      <c r="AQ77" s="167"/>
      <c r="AR77" s="167"/>
      <c r="AS77" s="167"/>
      <c r="AT77" s="167"/>
      <c r="AU77" s="167"/>
      <c r="AV77" s="116"/>
      <c r="AW77" s="116"/>
      <c r="AX77" s="116"/>
      <c r="AY77" s="116"/>
    </row>
    <row r="78" spans="1:51" s="115" customFormat="1" ht="135" x14ac:dyDescent="0.2">
      <c r="A78" s="105">
        <v>61</v>
      </c>
      <c r="B78" s="167" t="s">
        <v>1648</v>
      </c>
      <c r="C78" s="105" t="s">
        <v>147</v>
      </c>
      <c r="D78" s="166">
        <v>2013</v>
      </c>
      <c r="E78" s="167" t="s">
        <v>63</v>
      </c>
      <c r="F78" s="167" t="s">
        <v>1647</v>
      </c>
      <c r="G78" s="167" t="s">
        <v>1695</v>
      </c>
      <c r="H78" s="167" t="s">
        <v>103</v>
      </c>
      <c r="I78" s="167" t="s">
        <v>110</v>
      </c>
      <c r="J78" s="167" t="s">
        <v>446</v>
      </c>
      <c r="K78" s="167" t="s">
        <v>1696</v>
      </c>
      <c r="L78" s="167" t="s">
        <v>91</v>
      </c>
      <c r="M78" s="167" t="s">
        <v>448</v>
      </c>
      <c r="N78" s="167" t="s">
        <v>1697</v>
      </c>
      <c r="O78" s="163" t="s">
        <v>18</v>
      </c>
      <c r="P78" s="163" t="s">
        <v>18</v>
      </c>
      <c r="Q78" s="112"/>
      <c r="R78" s="112"/>
      <c r="S78" s="167"/>
      <c r="T78" s="167"/>
      <c r="U78" s="167"/>
      <c r="V78" s="167"/>
      <c r="W78" s="167"/>
      <c r="X78" s="167"/>
      <c r="Y78" s="167"/>
      <c r="Z78" s="167"/>
      <c r="AA78" s="167"/>
      <c r="AB78" s="167"/>
      <c r="AC78" s="167"/>
      <c r="AD78" s="167"/>
      <c r="AE78" s="167"/>
      <c r="AF78" s="167"/>
      <c r="AG78" s="167"/>
      <c r="AH78" s="167"/>
      <c r="AI78" s="167"/>
      <c r="AJ78" s="167"/>
      <c r="AK78" s="167"/>
      <c r="AL78" s="167"/>
      <c r="AM78" s="167"/>
      <c r="AN78" s="167"/>
      <c r="AO78" s="167"/>
      <c r="AP78" s="167"/>
      <c r="AQ78" s="167"/>
      <c r="AR78" s="167"/>
      <c r="AS78" s="167"/>
      <c r="AT78" s="167"/>
      <c r="AU78" s="167"/>
      <c r="AV78" s="116"/>
      <c r="AW78" s="116"/>
      <c r="AX78" s="116"/>
      <c r="AY78" s="116"/>
    </row>
    <row r="79" spans="1:51" s="115" customFormat="1" x14ac:dyDescent="0.2">
      <c r="A79" s="105"/>
      <c r="B79" s="167"/>
      <c r="C79" s="167"/>
      <c r="D79" s="166"/>
      <c r="E79" s="167"/>
      <c r="F79" s="167"/>
      <c r="G79" s="167"/>
      <c r="H79" s="167"/>
      <c r="I79" s="167"/>
      <c r="J79" s="167"/>
      <c r="K79" s="167"/>
      <c r="L79" s="167"/>
      <c r="M79" s="167"/>
      <c r="N79" s="167"/>
      <c r="O79" s="163"/>
      <c r="P79" s="163"/>
      <c r="Q79" s="112"/>
      <c r="R79" s="112"/>
      <c r="S79" s="167"/>
      <c r="T79" s="167"/>
      <c r="U79" s="167"/>
      <c r="V79" s="167"/>
      <c r="W79" s="167"/>
      <c r="X79" s="167"/>
      <c r="Y79" s="167"/>
      <c r="Z79" s="167"/>
      <c r="AA79" s="167"/>
      <c r="AB79" s="167"/>
      <c r="AC79" s="167"/>
      <c r="AD79" s="167"/>
      <c r="AE79" s="167"/>
      <c r="AF79" s="167"/>
      <c r="AG79" s="167"/>
      <c r="AH79" s="167"/>
      <c r="AI79" s="167"/>
      <c r="AJ79" s="167"/>
      <c r="AK79" s="167"/>
      <c r="AL79" s="167"/>
      <c r="AM79" s="167"/>
      <c r="AN79" s="167"/>
      <c r="AO79" s="167"/>
      <c r="AP79" s="167"/>
      <c r="AQ79" s="167"/>
      <c r="AR79" s="167"/>
      <c r="AS79" s="167"/>
      <c r="AT79" s="167"/>
      <c r="AU79" s="167"/>
      <c r="AV79" s="116"/>
      <c r="AW79" s="116"/>
      <c r="AX79" s="116"/>
      <c r="AY79" s="116"/>
    </row>
    <row r="80" spans="1:51" s="115" customFormat="1" x14ac:dyDescent="0.2">
      <c r="A80" s="105"/>
      <c r="B80" s="167"/>
      <c r="C80" s="105"/>
      <c r="D80" s="166"/>
      <c r="E80" s="167"/>
      <c r="F80" s="167"/>
      <c r="G80" s="167"/>
      <c r="H80" s="167"/>
      <c r="I80" s="167"/>
      <c r="J80" s="167"/>
      <c r="K80" s="167"/>
      <c r="L80" s="167"/>
      <c r="M80" s="167"/>
      <c r="N80" s="167"/>
      <c r="O80" s="163"/>
      <c r="P80" s="167"/>
      <c r="Q80" s="112"/>
      <c r="R80" s="112"/>
      <c r="S80" s="167"/>
      <c r="T80" s="167"/>
      <c r="U80" s="167"/>
      <c r="V80" s="167"/>
      <c r="W80" s="167"/>
      <c r="X80" s="167"/>
      <c r="Y80" s="167"/>
      <c r="Z80" s="167"/>
      <c r="AA80" s="167"/>
      <c r="AB80" s="167"/>
      <c r="AC80" s="167"/>
      <c r="AD80" s="167"/>
      <c r="AE80" s="167"/>
      <c r="AF80" s="167"/>
      <c r="AG80" s="167"/>
      <c r="AH80" s="167"/>
      <c r="AI80" s="167"/>
      <c r="AJ80" s="167"/>
      <c r="AK80" s="167"/>
      <c r="AL80" s="167"/>
      <c r="AM80" s="167"/>
      <c r="AN80" s="167"/>
      <c r="AO80" s="167"/>
      <c r="AP80" s="167"/>
      <c r="AQ80" s="167"/>
      <c r="AR80" s="167"/>
      <c r="AS80" s="167"/>
      <c r="AT80" s="167"/>
      <c r="AU80" s="167"/>
      <c r="AV80" s="167"/>
      <c r="AW80" s="116"/>
      <c r="AX80" s="116"/>
      <c r="AY80" s="116"/>
    </row>
    <row r="81" spans="1:51" s="115" customFormat="1" x14ac:dyDescent="0.2">
      <c r="A81" s="105"/>
      <c r="B81" s="167"/>
      <c r="C81" s="167"/>
      <c r="D81" s="166"/>
      <c r="E81" s="167"/>
      <c r="F81" s="167"/>
      <c r="G81" s="167"/>
      <c r="H81" s="167"/>
      <c r="I81" s="167"/>
      <c r="J81" s="167"/>
      <c r="K81" s="167"/>
      <c r="L81" s="167"/>
      <c r="M81" s="167"/>
      <c r="N81" s="167"/>
      <c r="O81" s="167"/>
      <c r="P81" s="164"/>
      <c r="Q81" s="112"/>
      <c r="R81" s="112"/>
      <c r="S81" s="167"/>
      <c r="T81" s="167"/>
      <c r="U81" s="167"/>
      <c r="V81" s="167"/>
      <c r="W81" s="167"/>
      <c r="X81" s="167"/>
      <c r="Y81" s="167"/>
      <c r="Z81" s="167"/>
      <c r="AA81" s="167"/>
      <c r="AB81" s="167"/>
      <c r="AC81" s="167"/>
      <c r="AD81" s="167"/>
      <c r="AE81" s="167"/>
      <c r="AF81" s="167"/>
      <c r="AG81" s="167"/>
      <c r="AH81" s="167"/>
      <c r="AI81" s="167"/>
      <c r="AJ81" s="167"/>
      <c r="AK81" s="167"/>
      <c r="AL81" s="167"/>
      <c r="AM81" s="167"/>
      <c r="AN81" s="167"/>
      <c r="AO81" s="167"/>
      <c r="AP81" s="167"/>
      <c r="AQ81" s="167"/>
      <c r="AR81" s="167"/>
      <c r="AS81" s="167"/>
      <c r="AT81" s="167"/>
      <c r="AU81" s="167"/>
      <c r="AV81" s="116"/>
      <c r="AW81" s="116"/>
      <c r="AX81" s="116"/>
      <c r="AY81" s="116"/>
    </row>
    <row r="82" spans="1:51" s="115" customFormat="1" x14ac:dyDescent="0.2">
      <c r="A82" s="105"/>
      <c r="B82" s="167"/>
      <c r="C82" s="167"/>
      <c r="D82" s="166"/>
      <c r="E82" s="167"/>
      <c r="F82" s="167"/>
      <c r="G82" s="167"/>
      <c r="H82" s="167"/>
      <c r="I82" s="167"/>
      <c r="J82" s="167"/>
      <c r="K82" s="167"/>
      <c r="L82" s="167"/>
      <c r="M82" s="167"/>
      <c r="N82" s="167"/>
      <c r="O82" s="163"/>
      <c r="P82" s="163"/>
      <c r="Q82" s="167"/>
      <c r="R82" s="112"/>
      <c r="S82" s="167"/>
      <c r="T82" s="167"/>
      <c r="U82" s="167"/>
      <c r="V82" s="167"/>
      <c r="W82" s="167"/>
      <c r="X82" s="167"/>
      <c r="Y82" s="167"/>
      <c r="Z82" s="167"/>
      <c r="AA82" s="167"/>
      <c r="AB82" s="167"/>
      <c r="AC82" s="167"/>
      <c r="AD82" s="167"/>
      <c r="AE82" s="167"/>
      <c r="AF82" s="167"/>
      <c r="AG82" s="167"/>
      <c r="AH82" s="167"/>
      <c r="AI82" s="167"/>
      <c r="AJ82" s="167"/>
      <c r="AK82" s="167"/>
      <c r="AL82" s="167"/>
      <c r="AM82" s="167"/>
      <c r="AN82" s="167"/>
      <c r="AO82" s="167"/>
      <c r="AP82" s="167"/>
      <c r="AQ82" s="167"/>
      <c r="AR82" s="167"/>
      <c r="AS82" s="167"/>
      <c r="AT82" s="167"/>
      <c r="AU82" s="167"/>
      <c r="AV82" s="116"/>
      <c r="AW82" s="116"/>
      <c r="AX82" s="116"/>
      <c r="AY82" s="116"/>
    </row>
    <row r="83" spans="1:51" s="115" customFormat="1" x14ac:dyDescent="0.2">
      <c r="A83" s="105"/>
      <c r="B83" s="167"/>
      <c r="C83" s="167"/>
      <c r="D83" s="166"/>
      <c r="E83" s="167"/>
      <c r="F83" s="167"/>
      <c r="G83" s="167"/>
      <c r="H83" s="167"/>
      <c r="I83" s="167"/>
      <c r="J83" s="167"/>
      <c r="K83" s="167"/>
      <c r="L83" s="167"/>
      <c r="M83" s="167"/>
      <c r="N83" s="167"/>
      <c r="O83" s="163"/>
      <c r="P83" s="164"/>
      <c r="Q83" s="167"/>
      <c r="R83" s="112"/>
      <c r="S83" s="167"/>
      <c r="T83" s="167"/>
      <c r="U83" s="167"/>
      <c r="V83" s="167"/>
      <c r="W83" s="167"/>
      <c r="X83" s="167"/>
      <c r="Y83" s="167"/>
      <c r="Z83" s="167"/>
      <c r="AA83" s="167"/>
      <c r="AB83" s="167"/>
      <c r="AC83" s="167"/>
      <c r="AD83" s="167"/>
      <c r="AE83" s="167"/>
      <c r="AF83" s="167"/>
      <c r="AG83" s="167"/>
      <c r="AH83" s="167"/>
      <c r="AI83" s="167"/>
      <c r="AJ83" s="167"/>
      <c r="AK83" s="167"/>
      <c r="AL83" s="167"/>
      <c r="AM83" s="167"/>
      <c r="AN83" s="167"/>
      <c r="AO83" s="167"/>
      <c r="AP83" s="167"/>
      <c r="AQ83" s="167"/>
      <c r="AR83" s="167"/>
      <c r="AS83" s="167"/>
      <c r="AT83" s="167"/>
      <c r="AU83" s="167"/>
      <c r="AV83" s="116"/>
      <c r="AW83" s="116"/>
      <c r="AX83" s="116"/>
      <c r="AY83" s="116"/>
    </row>
    <row r="84" spans="1:51" s="115" customFormat="1" x14ac:dyDescent="0.2">
      <c r="A84" s="105"/>
      <c r="B84" s="167"/>
      <c r="C84" s="105"/>
      <c r="D84" s="166"/>
      <c r="E84" s="167"/>
      <c r="F84" s="167"/>
      <c r="G84" s="167"/>
      <c r="H84" s="167"/>
      <c r="I84" s="167"/>
      <c r="J84" s="167"/>
      <c r="K84" s="167"/>
      <c r="L84" s="167"/>
      <c r="M84" s="167"/>
      <c r="N84" s="167"/>
      <c r="O84" s="164"/>
      <c r="P84" s="167"/>
      <c r="Q84" s="112"/>
      <c r="R84" s="112"/>
      <c r="S84" s="167"/>
      <c r="T84" s="167"/>
      <c r="U84" s="167"/>
      <c r="V84" s="167"/>
      <c r="W84" s="167"/>
      <c r="X84" s="167"/>
      <c r="Y84" s="167"/>
      <c r="Z84" s="167"/>
      <c r="AA84" s="167"/>
      <c r="AB84" s="167"/>
      <c r="AC84" s="167"/>
      <c r="AD84" s="167"/>
      <c r="AE84" s="167"/>
      <c r="AF84" s="167"/>
      <c r="AG84" s="167"/>
      <c r="AH84" s="167"/>
      <c r="AI84" s="167"/>
      <c r="AJ84" s="167"/>
      <c r="AK84" s="167"/>
      <c r="AL84" s="167"/>
      <c r="AM84" s="167"/>
      <c r="AN84" s="167"/>
      <c r="AO84" s="167"/>
      <c r="AP84" s="167"/>
      <c r="AQ84" s="167"/>
      <c r="AR84" s="167"/>
      <c r="AS84" s="167"/>
      <c r="AT84" s="167"/>
      <c r="AU84" s="167"/>
      <c r="AV84" s="116"/>
      <c r="AW84" s="116"/>
      <c r="AX84" s="116"/>
      <c r="AY84" s="116"/>
    </row>
    <row r="85" spans="1:51" s="115" customFormat="1" x14ac:dyDescent="0.2">
      <c r="A85" s="105"/>
      <c r="B85" s="167"/>
      <c r="C85" s="167"/>
      <c r="D85" s="166"/>
      <c r="E85" s="167"/>
      <c r="F85" s="167"/>
      <c r="G85" s="167"/>
      <c r="H85" s="167"/>
      <c r="I85" s="167"/>
      <c r="J85" s="167"/>
      <c r="K85" s="167"/>
      <c r="L85" s="167"/>
      <c r="M85" s="167"/>
      <c r="N85" s="167"/>
      <c r="O85" s="163"/>
      <c r="P85" s="163"/>
      <c r="Q85" s="112"/>
      <c r="R85" s="112"/>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P85" s="167"/>
      <c r="AQ85" s="167"/>
      <c r="AR85" s="167"/>
      <c r="AS85" s="167"/>
      <c r="AT85" s="167"/>
      <c r="AU85" s="167"/>
      <c r="AV85" s="116"/>
      <c r="AW85" s="116"/>
      <c r="AX85" s="116"/>
      <c r="AY85" s="116"/>
    </row>
    <row r="86" spans="1:51" s="115" customFormat="1" x14ac:dyDescent="0.2">
      <c r="A86" s="105"/>
      <c r="B86" s="167"/>
      <c r="C86" s="167"/>
      <c r="D86" s="166"/>
      <c r="E86" s="167"/>
      <c r="F86" s="167"/>
      <c r="G86" s="167"/>
      <c r="H86" s="167"/>
      <c r="I86" s="167"/>
      <c r="J86" s="167"/>
      <c r="K86" s="167"/>
      <c r="L86" s="167"/>
      <c r="M86" s="167"/>
      <c r="N86" s="167"/>
      <c r="O86" s="164"/>
      <c r="P86" s="163"/>
      <c r="Q86" s="112"/>
      <c r="R86" s="112"/>
      <c r="S86" s="167"/>
      <c r="T86" s="167"/>
      <c r="U86" s="167"/>
      <c r="V86" s="167"/>
      <c r="W86" s="167"/>
      <c r="X86" s="167"/>
      <c r="Y86" s="167"/>
      <c r="Z86" s="167"/>
      <c r="AA86" s="167"/>
      <c r="AB86" s="167"/>
      <c r="AC86" s="167"/>
      <c r="AD86" s="167"/>
      <c r="AE86" s="167"/>
      <c r="AF86" s="167"/>
      <c r="AG86" s="167"/>
      <c r="AH86" s="167"/>
      <c r="AI86" s="167"/>
      <c r="AJ86" s="167"/>
      <c r="AK86" s="167"/>
      <c r="AL86" s="167"/>
      <c r="AM86" s="167"/>
      <c r="AN86" s="167"/>
      <c r="AO86" s="167"/>
      <c r="AP86" s="167"/>
      <c r="AQ86" s="167"/>
      <c r="AR86" s="167"/>
      <c r="AS86" s="167"/>
      <c r="AT86" s="167"/>
      <c r="AU86" s="167"/>
      <c r="AV86" s="116"/>
      <c r="AW86" s="116"/>
      <c r="AX86" s="116"/>
      <c r="AY86" s="116"/>
    </row>
    <row r="87" spans="1:51" s="115" customFormat="1" x14ac:dyDescent="0.2">
      <c r="A87" s="105"/>
      <c r="B87" s="167"/>
      <c r="C87" s="167"/>
      <c r="D87" s="166"/>
      <c r="E87" s="167"/>
      <c r="F87" s="167"/>
      <c r="G87" s="167"/>
      <c r="H87" s="167"/>
      <c r="I87" s="167"/>
      <c r="J87" s="167"/>
      <c r="K87" s="167"/>
      <c r="L87" s="167"/>
      <c r="M87" s="167"/>
      <c r="N87" s="167"/>
      <c r="O87" s="163"/>
      <c r="P87" s="168"/>
      <c r="Q87" s="112"/>
      <c r="R87" s="112"/>
      <c r="S87" s="167"/>
      <c r="T87" s="167"/>
      <c r="U87" s="167"/>
      <c r="V87" s="167"/>
      <c r="W87" s="167"/>
      <c r="X87" s="167"/>
      <c r="Y87" s="167"/>
      <c r="Z87" s="167"/>
      <c r="AA87" s="167"/>
      <c r="AB87" s="167"/>
      <c r="AC87" s="167"/>
      <c r="AD87" s="167"/>
      <c r="AE87" s="167"/>
      <c r="AF87" s="167"/>
      <c r="AG87" s="167"/>
      <c r="AH87" s="167"/>
      <c r="AI87" s="167"/>
      <c r="AJ87" s="167"/>
      <c r="AK87" s="167"/>
      <c r="AL87" s="167"/>
      <c r="AM87" s="167"/>
      <c r="AN87" s="167"/>
      <c r="AO87" s="167"/>
      <c r="AP87" s="167"/>
      <c r="AQ87" s="167"/>
      <c r="AR87" s="167"/>
      <c r="AS87" s="167"/>
      <c r="AT87" s="167"/>
      <c r="AU87" s="167"/>
      <c r="AV87" s="116"/>
      <c r="AW87" s="116"/>
      <c r="AX87" s="116"/>
      <c r="AY87" s="116"/>
    </row>
    <row r="88" spans="1:51" s="115" customFormat="1" x14ac:dyDescent="0.2">
      <c r="A88" s="105"/>
      <c r="B88" s="167"/>
      <c r="C88" s="167"/>
      <c r="D88" s="166"/>
      <c r="E88" s="167"/>
      <c r="F88" s="167"/>
      <c r="G88" s="167"/>
      <c r="H88" s="167"/>
      <c r="I88" s="167"/>
      <c r="J88" s="167"/>
      <c r="K88" s="167"/>
      <c r="L88" s="167"/>
      <c r="M88" s="167"/>
      <c r="N88" s="167"/>
      <c r="O88" s="163"/>
      <c r="P88" s="163"/>
      <c r="Q88" s="112"/>
      <c r="R88" s="112"/>
      <c r="S88" s="167"/>
      <c r="T88" s="167"/>
      <c r="U88" s="167"/>
      <c r="V88" s="167"/>
      <c r="W88" s="167"/>
      <c r="X88" s="167"/>
      <c r="Y88" s="167"/>
      <c r="Z88" s="167"/>
      <c r="AA88" s="167"/>
      <c r="AB88" s="167"/>
      <c r="AC88" s="167"/>
      <c r="AD88" s="167"/>
      <c r="AE88" s="167"/>
      <c r="AF88" s="167"/>
      <c r="AG88" s="167"/>
      <c r="AH88" s="167"/>
      <c r="AI88" s="167"/>
      <c r="AJ88" s="167"/>
      <c r="AK88" s="167"/>
      <c r="AL88" s="167"/>
      <c r="AM88" s="167"/>
      <c r="AN88" s="167"/>
      <c r="AO88" s="167"/>
      <c r="AP88" s="167"/>
      <c r="AQ88" s="167"/>
      <c r="AR88" s="167"/>
      <c r="AS88" s="167"/>
      <c r="AT88" s="167"/>
      <c r="AU88" s="167"/>
      <c r="AV88" s="116"/>
      <c r="AW88" s="116"/>
      <c r="AX88" s="116"/>
      <c r="AY88" s="116"/>
    </row>
    <row r="89" spans="1:51" s="115" customFormat="1" x14ac:dyDescent="0.2">
      <c r="A89" s="105"/>
      <c r="B89" s="167"/>
      <c r="C89" s="105"/>
      <c r="D89" s="166"/>
      <c r="E89" s="167"/>
      <c r="F89" s="167"/>
      <c r="G89" s="167"/>
      <c r="H89" s="167"/>
      <c r="I89" s="167"/>
      <c r="J89" s="167"/>
      <c r="K89" s="167"/>
      <c r="L89" s="167"/>
      <c r="M89" s="167"/>
      <c r="N89" s="167"/>
      <c r="O89" s="163"/>
      <c r="P89" s="163"/>
      <c r="Q89" s="112"/>
      <c r="R89" s="112"/>
      <c r="S89" s="167"/>
      <c r="T89" s="167"/>
      <c r="U89" s="167"/>
      <c r="V89" s="167"/>
      <c r="W89" s="167"/>
      <c r="X89" s="167"/>
      <c r="Y89" s="167"/>
      <c r="Z89" s="167"/>
      <c r="AA89" s="167"/>
      <c r="AB89" s="167"/>
      <c r="AC89" s="167"/>
      <c r="AD89" s="167"/>
      <c r="AE89" s="167"/>
      <c r="AF89" s="167"/>
      <c r="AG89" s="167"/>
      <c r="AH89" s="167"/>
      <c r="AI89" s="167"/>
      <c r="AJ89" s="167"/>
      <c r="AK89" s="167"/>
      <c r="AL89" s="167"/>
      <c r="AM89" s="167"/>
      <c r="AN89" s="167"/>
      <c r="AO89" s="167"/>
      <c r="AP89" s="167"/>
      <c r="AQ89" s="167"/>
      <c r="AR89" s="167"/>
      <c r="AS89" s="167"/>
      <c r="AT89" s="167"/>
      <c r="AU89" s="167"/>
      <c r="AV89" s="116"/>
      <c r="AW89" s="116"/>
      <c r="AX89" s="116"/>
      <c r="AY89" s="116"/>
    </row>
    <row r="90" spans="1:51" s="115" customFormat="1" x14ac:dyDescent="0.2">
      <c r="A90" s="105"/>
      <c r="B90" s="167"/>
      <c r="C90" s="105"/>
      <c r="D90" s="166"/>
      <c r="E90" s="167"/>
      <c r="F90" s="167"/>
      <c r="G90" s="167"/>
      <c r="H90" s="167"/>
      <c r="I90" s="167"/>
      <c r="J90" s="167"/>
      <c r="K90" s="167"/>
      <c r="L90" s="167"/>
      <c r="M90" s="167"/>
      <c r="N90" s="167"/>
      <c r="O90" s="163"/>
      <c r="P90" s="167"/>
      <c r="Q90" s="112"/>
      <c r="R90" s="112"/>
      <c r="S90" s="167"/>
      <c r="T90" s="167"/>
      <c r="U90" s="167"/>
      <c r="V90" s="167"/>
      <c r="W90" s="167"/>
      <c r="X90" s="167"/>
      <c r="Y90" s="167"/>
      <c r="Z90" s="167"/>
      <c r="AA90" s="167"/>
      <c r="AB90" s="167"/>
      <c r="AC90" s="167"/>
      <c r="AD90" s="167"/>
      <c r="AE90" s="167"/>
      <c r="AF90" s="167"/>
      <c r="AG90" s="167"/>
      <c r="AH90" s="167"/>
      <c r="AI90" s="167"/>
      <c r="AJ90" s="167"/>
      <c r="AK90" s="167"/>
      <c r="AL90" s="167"/>
      <c r="AM90" s="167"/>
      <c r="AN90" s="167"/>
      <c r="AO90" s="167"/>
      <c r="AP90" s="167"/>
      <c r="AQ90" s="167"/>
      <c r="AR90" s="167"/>
      <c r="AS90" s="167"/>
      <c r="AT90" s="167"/>
      <c r="AU90" s="167"/>
      <c r="AV90" s="116"/>
      <c r="AW90" s="116"/>
      <c r="AX90" s="116"/>
      <c r="AY90" s="116"/>
    </row>
    <row r="91" spans="1:51" s="115" customFormat="1" x14ac:dyDescent="0.2">
      <c r="A91" s="105"/>
      <c r="B91" s="167"/>
      <c r="C91" s="167"/>
      <c r="D91" s="166"/>
      <c r="E91" s="167"/>
      <c r="F91" s="167"/>
      <c r="G91" s="167"/>
      <c r="H91" s="167"/>
      <c r="I91" s="167"/>
      <c r="J91" s="167"/>
      <c r="K91" s="167"/>
      <c r="L91" s="167"/>
      <c r="M91" s="167"/>
      <c r="N91" s="167"/>
      <c r="O91" s="163"/>
      <c r="P91" s="167"/>
      <c r="Q91" s="167"/>
      <c r="R91" s="112"/>
      <c r="S91" s="167"/>
      <c r="T91" s="167"/>
      <c r="U91" s="167"/>
      <c r="V91" s="167"/>
      <c r="W91" s="167"/>
      <c r="X91" s="167"/>
      <c r="Y91" s="167"/>
      <c r="Z91" s="167"/>
      <c r="AA91" s="167"/>
      <c r="AB91" s="167"/>
      <c r="AC91" s="167"/>
      <c r="AD91" s="167"/>
      <c r="AE91" s="167"/>
      <c r="AF91" s="167"/>
      <c r="AG91" s="167"/>
      <c r="AH91" s="167"/>
      <c r="AI91" s="167"/>
      <c r="AJ91" s="167"/>
      <c r="AK91" s="167"/>
      <c r="AL91" s="167"/>
      <c r="AM91" s="167"/>
      <c r="AN91" s="167"/>
      <c r="AO91" s="167"/>
      <c r="AP91" s="167"/>
      <c r="AQ91" s="167"/>
      <c r="AR91" s="167"/>
      <c r="AS91" s="167"/>
      <c r="AT91" s="167"/>
      <c r="AU91" s="167"/>
      <c r="AV91" s="116"/>
      <c r="AW91" s="116"/>
      <c r="AX91" s="116"/>
      <c r="AY91" s="116"/>
    </row>
    <row r="92" spans="1:51" s="115" customFormat="1" x14ac:dyDescent="0.2">
      <c r="A92" s="105"/>
      <c r="B92" s="167"/>
      <c r="C92" s="167"/>
      <c r="D92" s="166"/>
      <c r="E92" s="167"/>
      <c r="F92" s="167"/>
      <c r="G92" s="167"/>
      <c r="H92" s="167"/>
      <c r="I92" s="167"/>
      <c r="J92" s="167"/>
      <c r="K92" s="167"/>
      <c r="L92" s="167"/>
      <c r="M92" s="167"/>
      <c r="N92" s="167"/>
      <c r="O92" s="163"/>
      <c r="P92" s="163"/>
      <c r="Q92" s="112"/>
      <c r="R92" s="112"/>
      <c r="S92" s="167"/>
      <c r="T92" s="167"/>
      <c r="U92" s="167"/>
      <c r="V92" s="167"/>
      <c r="W92" s="167"/>
      <c r="X92" s="167"/>
      <c r="Y92" s="167"/>
      <c r="Z92" s="167"/>
      <c r="AA92" s="167"/>
      <c r="AB92" s="167"/>
      <c r="AC92" s="167"/>
      <c r="AD92" s="167"/>
      <c r="AE92" s="167"/>
      <c r="AF92" s="167"/>
      <c r="AG92" s="167"/>
      <c r="AH92" s="167"/>
      <c r="AI92" s="167"/>
      <c r="AJ92" s="167"/>
      <c r="AK92" s="167"/>
      <c r="AL92" s="167"/>
      <c r="AM92" s="167"/>
      <c r="AN92" s="167"/>
      <c r="AO92" s="167"/>
      <c r="AP92" s="167"/>
      <c r="AQ92" s="167"/>
      <c r="AR92" s="167"/>
      <c r="AS92" s="167"/>
      <c r="AT92" s="167"/>
      <c r="AU92" s="167"/>
      <c r="AV92" s="116"/>
      <c r="AW92" s="116"/>
      <c r="AX92" s="116"/>
      <c r="AY92" s="116"/>
    </row>
    <row r="93" spans="1:51" s="115" customFormat="1" x14ac:dyDescent="0.2">
      <c r="A93" s="105"/>
      <c r="B93" s="167"/>
      <c r="C93" s="167"/>
      <c r="D93" s="166"/>
      <c r="E93" s="167"/>
      <c r="F93" s="167"/>
      <c r="G93" s="167"/>
      <c r="H93" s="167"/>
      <c r="I93" s="167"/>
      <c r="J93" s="167"/>
      <c r="K93" s="167"/>
      <c r="L93" s="167"/>
      <c r="M93" s="167"/>
      <c r="N93" s="167"/>
      <c r="O93" s="163"/>
      <c r="P93" s="167"/>
      <c r="Q93" s="112"/>
      <c r="R93" s="112"/>
      <c r="S93" s="167"/>
      <c r="T93" s="167"/>
      <c r="U93" s="167"/>
      <c r="V93" s="167"/>
      <c r="W93" s="167"/>
      <c r="X93" s="167"/>
      <c r="Y93" s="167"/>
      <c r="Z93" s="167"/>
      <c r="AA93" s="167"/>
      <c r="AB93" s="167"/>
      <c r="AC93" s="167"/>
      <c r="AD93" s="167"/>
      <c r="AE93" s="167"/>
      <c r="AF93" s="167"/>
      <c r="AG93" s="167"/>
      <c r="AH93" s="167"/>
      <c r="AI93" s="167"/>
      <c r="AJ93" s="167"/>
      <c r="AK93" s="167"/>
      <c r="AL93" s="167"/>
      <c r="AM93" s="167"/>
      <c r="AN93" s="167"/>
      <c r="AO93" s="167"/>
      <c r="AP93" s="167"/>
      <c r="AQ93" s="167"/>
      <c r="AR93" s="167"/>
      <c r="AS93" s="167"/>
      <c r="AT93" s="167"/>
      <c r="AU93" s="167"/>
      <c r="AV93" s="116"/>
      <c r="AW93" s="116"/>
      <c r="AX93" s="116"/>
      <c r="AY93" s="116"/>
    </row>
    <row r="94" spans="1:51" s="115" customFormat="1" x14ac:dyDescent="0.2">
      <c r="A94" s="105"/>
      <c r="B94" s="113"/>
      <c r="C94" s="113"/>
      <c r="D94" s="143"/>
      <c r="E94" s="113"/>
      <c r="F94" s="113"/>
      <c r="G94" s="113"/>
      <c r="H94" s="113"/>
      <c r="I94" s="113"/>
      <c r="J94" s="113"/>
      <c r="K94" s="113"/>
      <c r="L94" s="113"/>
      <c r="M94" s="113"/>
      <c r="N94" s="113"/>
      <c r="O94" s="114"/>
      <c r="P94" s="144"/>
      <c r="Q94" s="113"/>
      <c r="R94" s="112"/>
      <c r="S94" s="167"/>
      <c r="T94" s="167"/>
      <c r="U94" s="167"/>
      <c r="V94" s="167"/>
      <c r="W94" s="167"/>
      <c r="X94" s="167"/>
      <c r="Y94" s="167"/>
      <c r="Z94" s="167"/>
      <c r="AA94" s="167"/>
      <c r="AB94" s="167"/>
      <c r="AC94" s="167"/>
      <c r="AD94" s="167"/>
      <c r="AE94" s="167"/>
      <c r="AF94" s="167"/>
      <c r="AG94" s="167"/>
      <c r="AH94" s="167"/>
      <c r="AI94" s="167"/>
      <c r="AJ94" s="167"/>
      <c r="AK94" s="167"/>
      <c r="AL94" s="167"/>
      <c r="AM94" s="167"/>
      <c r="AN94" s="167"/>
      <c r="AO94" s="167"/>
      <c r="AP94" s="167"/>
      <c r="AQ94" s="167"/>
      <c r="AR94" s="167"/>
      <c r="AS94" s="167"/>
      <c r="AT94" s="167"/>
      <c r="AU94" s="167"/>
      <c r="AV94" s="116"/>
      <c r="AW94" s="116"/>
      <c r="AX94" s="116"/>
      <c r="AY94" s="116"/>
    </row>
    <row r="95" spans="1:51" s="115" customFormat="1" x14ac:dyDescent="0.2">
      <c r="A95" s="105"/>
      <c r="B95" s="117"/>
      <c r="C95" s="105"/>
      <c r="D95" s="166"/>
      <c r="E95" s="167"/>
      <c r="F95" s="167"/>
      <c r="G95" s="167"/>
      <c r="H95" s="167"/>
      <c r="I95" s="167"/>
      <c r="J95" s="167"/>
      <c r="K95" s="167"/>
      <c r="L95" s="167"/>
      <c r="M95" s="167"/>
      <c r="N95" s="167"/>
      <c r="O95" s="163"/>
      <c r="P95" s="167"/>
      <c r="Q95" s="112"/>
      <c r="R95" s="112"/>
      <c r="S95" s="167"/>
      <c r="T95" s="167"/>
      <c r="U95" s="167"/>
      <c r="V95" s="167"/>
      <c r="W95" s="167"/>
      <c r="X95" s="167"/>
      <c r="Y95" s="167"/>
      <c r="Z95" s="167"/>
      <c r="AA95" s="167"/>
      <c r="AB95" s="167"/>
      <c r="AC95" s="167"/>
      <c r="AD95" s="167"/>
      <c r="AE95" s="167"/>
      <c r="AF95" s="167"/>
      <c r="AG95" s="167"/>
      <c r="AH95" s="167"/>
      <c r="AI95" s="167"/>
      <c r="AJ95" s="167"/>
      <c r="AK95" s="167"/>
      <c r="AL95" s="167"/>
      <c r="AM95" s="167"/>
      <c r="AN95" s="167"/>
      <c r="AO95" s="167"/>
      <c r="AP95" s="167"/>
      <c r="AQ95" s="167"/>
      <c r="AR95" s="167"/>
      <c r="AS95" s="167"/>
      <c r="AT95" s="167"/>
      <c r="AU95" s="167"/>
      <c r="AV95" s="116"/>
      <c r="AW95" s="116"/>
      <c r="AX95" s="116"/>
      <c r="AY95" s="116"/>
    </row>
    <row r="96" spans="1:51" s="115" customFormat="1" x14ac:dyDescent="0.2">
      <c r="A96" s="105"/>
      <c r="B96" s="167"/>
      <c r="C96" s="167"/>
      <c r="D96" s="166"/>
      <c r="E96" s="167"/>
      <c r="F96" s="167"/>
      <c r="G96" s="167"/>
      <c r="H96" s="167"/>
      <c r="I96" s="167"/>
      <c r="J96" s="167"/>
      <c r="K96" s="167"/>
      <c r="L96" s="167"/>
      <c r="M96" s="167"/>
      <c r="N96" s="167"/>
      <c r="O96" s="163"/>
      <c r="P96" s="167"/>
      <c r="Q96" s="112"/>
      <c r="R96" s="112"/>
      <c r="S96" s="167"/>
      <c r="T96" s="167"/>
      <c r="U96" s="167"/>
      <c r="V96" s="167"/>
      <c r="W96" s="167"/>
      <c r="X96" s="167"/>
      <c r="Y96" s="167"/>
      <c r="Z96" s="167"/>
      <c r="AA96" s="167"/>
      <c r="AB96" s="167"/>
      <c r="AC96" s="167"/>
      <c r="AD96" s="167"/>
      <c r="AE96" s="167"/>
      <c r="AF96" s="167"/>
      <c r="AG96" s="167"/>
      <c r="AH96" s="167"/>
      <c r="AI96" s="167"/>
      <c r="AJ96" s="167"/>
      <c r="AK96" s="167"/>
      <c r="AL96" s="167"/>
      <c r="AM96" s="167"/>
      <c r="AN96" s="167"/>
      <c r="AO96" s="167"/>
      <c r="AP96" s="167"/>
      <c r="AQ96" s="167"/>
      <c r="AR96" s="167"/>
      <c r="AS96" s="167"/>
      <c r="AT96" s="167"/>
      <c r="AU96" s="167"/>
      <c r="AV96" s="116"/>
      <c r="AW96" s="116"/>
      <c r="AX96" s="116"/>
      <c r="AY96" s="116"/>
    </row>
    <row r="97" spans="1:51" s="115" customFormat="1" x14ac:dyDescent="0.2">
      <c r="A97" s="105"/>
      <c r="B97" s="167"/>
      <c r="C97" s="167"/>
      <c r="D97" s="166"/>
      <c r="E97" s="167"/>
      <c r="F97" s="167"/>
      <c r="G97" s="167"/>
      <c r="H97" s="167"/>
      <c r="I97" s="167"/>
      <c r="J97" s="167"/>
      <c r="K97" s="167"/>
      <c r="L97" s="167"/>
      <c r="M97" s="167"/>
      <c r="N97" s="167"/>
      <c r="O97" s="167"/>
      <c r="P97" s="167"/>
      <c r="Q97" s="112"/>
      <c r="R97" s="112"/>
      <c r="S97" s="167"/>
      <c r="T97" s="167"/>
      <c r="U97" s="167"/>
      <c r="V97" s="167"/>
      <c r="W97" s="167"/>
      <c r="X97" s="167"/>
      <c r="Y97" s="167"/>
      <c r="Z97" s="167"/>
      <c r="AA97" s="167"/>
      <c r="AB97" s="167"/>
      <c r="AC97" s="167"/>
      <c r="AD97" s="167"/>
      <c r="AE97" s="167"/>
      <c r="AF97" s="167"/>
      <c r="AG97" s="167"/>
      <c r="AH97" s="167"/>
      <c r="AI97" s="167"/>
      <c r="AJ97" s="167"/>
      <c r="AK97" s="167"/>
      <c r="AL97" s="167"/>
      <c r="AM97" s="167"/>
      <c r="AN97" s="167"/>
      <c r="AO97" s="167"/>
      <c r="AP97" s="167"/>
      <c r="AQ97" s="167"/>
      <c r="AR97" s="167"/>
      <c r="AS97" s="167"/>
      <c r="AT97" s="167"/>
      <c r="AU97" s="167"/>
      <c r="AV97" s="116"/>
      <c r="AW97" s="116"/>
      <c r="AX97" s="116"/>
      <c r="AY97" s="116"/>
    </row>
    <row r="98" spans="1:51" s="115" customFormat="1" x14ac:dyDescent="0.2">
      <c r="A98" s="105"/>
      <c r="B98" s="167"/>
      <c r="C98" s="167"/>
      <c r="D98" s="166"/>
      <c r="E98" s="167"/>
      <c r="F98" s="167"/>
      <c r="G98" s="167"/>
      <c r="H98" s="167"/>
      <c r="I98" s="167"/>
      <c r="J98" s="167"/>
      <c r="K98" s="167"/>
      <c r="L98" s="167"/>
      <c r="M98" s="167"/>
      <c r="N98" s="167"/>
      <c r="O98" s="163"/>
      <c r="P98" s="163"/>
      <c r="Q98" s="112"/>
      <c r="R98" s="112"/>
      <c r="S98" s="167"/>
      <c r="T98" s="167"/>
      <c r="U98" s="167"/>
      <c r="V98" s="167"/>
      <c r="W98" s="167"/>
      <c r="X98" s="167"/>
      <c r="Y98" s="167"/>
      <c r="Z98" s="167"/>
      <c r="AA98" s="167"/>
      <c r="AB98" s="167"/>
      <c r="AC98" s="167"/>
      <c r="AD98" s="167"/>
      <c r="AE98" s="167"/>
      <c r="AF98" s="167"/>
      <c r="AG98" s="167"/>
      <c r="AH98" s="167"/>
      <c r="AI98" s="167"/>
      <c r="AJ98" s="167"/>
      <c r="AK98" s="167"/>
      <c r="AL98" s="167"/>
      <c r="AM98" s="167"/>
      <c r="AN98" s="167"/>
      <c r="AO98" s="167"/>
      <c r="AP98" s="167"/>
      <c r="AQ98" s="167"/>
      <c r="AR98" s="167"/>
      <c r="AS98" s="167"/>
      <c r="AT98" s="167"/>
      <c r="AU98" s="167"/>
      <c r="AV98" s="116"/>
      <c r="AW98" s="116"/>
      <c r="AX98" s="116"/>
      <c r="AY98" s="116"/>
    </row>
    <row r="99" spans="1:51" s="115" customFormat="1" x14ac:dyDescent="0.2">
      <c r="A99" s="105"/>
      <c r="B99" s="167"/>
      <c r="C99" s="105"/>
      <c r="D99" s="166"/>
      <c r="E99" s="167"/>
      <c r="F99" s="167"/>
      <c r="G99" s="167"/>
      <c r="H99" s="167"/>
      <c r="I99" s="167"/>
      <c r="J99" s="167"/>
      <c r="K99" s="167"/>
      <c r="L99" s="167"/>
      <c r="M99" s="167"/>
      <c r="N99" s="167"/>
      <c r="O99" s="167"/>
      <c r="P99" s="167"/>
      <c r="Q99" s="167"/>
      <c r="R99" s="112"/>
      <c r="S99" s="167"/>
      <c r="T99" s="167"/>
      <c r="U99" s="167"/>
      <c r="V99" s="167"/>
      <c r="W99" s="167"/>
      <c r="X99" s="167"/>
      <c r="Y99" s="167"/>
      <c r="Z99" s="167"/>
      <c r="AA99" s="167"/>
      <c r="AB99" s="167"/>
      <c r="AC99" s="167"/>
      <c r="AD99" s="167"/>
      <c r="AE99" s="167"/>
      <c r="AF99" s="167"/>
      <c r="AG99" s="167"/>
      <c r="AH99" s="167"/>
      <c r="AI99" s="167"/>
      <c r="AJ99" s="167"/>
      <c r="AK99" s="167"/>
      <c r="AL99" s="167"/>
      <c r="AM99" s="167"/>
      <c r="AN99" s="167"/>
      <c r="AO99" s="167"/>
      <c r="AP99" s="167"/>
      <c r="AQ99" s="167"/>
      <c r="AR99" s="167"/>
      <c r="AS99" s="167"/>
      <c r="AT99" s="167"/>
      <c r="AU99" s="167"/>
      <c r="AV99" s="116"/>
      <c r="AW99" s="116"/>
      <c r="AX99" s="116"/>
      <c r="AY99" s="116"/>
    </row>
    <row r="100" spans="1:51" s="115" customFormat="1" x14ac:dyDescent="0.2">
      <c r="A100" s="105"/>
      <c r="B100" s="167"/>
      <c r="C100" s="105"/>
      <c r="D100" s="166"/>
      <c r="E100" s="167"/>
      <c r="F100" s="167"/>
      <c r="G100" s="167"/>
      <c r="H100" s="167"/>
      <c r="I100" s="167"/>
      <c r="J100" s="167"/>
      <c r="K100" s="167"/>
      <c r="L100" s="167"/>
      <c r="M100" s="167"/>
      <c r="N100" s="167"/>
      <c r="O100" s="167"/>
      <c r="P100" s="167"/>
      <c r="Q100" s="112"/>
      <c r="R100" s="112"/>
      <c r="S100" s="167"/>
      <c r="T100" s="167"/>
      <c r="U100" s="167"/>
      <c r="V100" s="167"/>
      <c r="W100" s="167"/>
      <c r="X100" s="167"/>
      <c r="Y100" s="167"/>
      <c r="Z100" s="167"/>
      <c r="AA100" s="167"/>
      <c r="AB100" s="167"/>
      <c r="AC100" s="167"/>
      <c r="AD100" s="167"/>
      <c r="AE100" s="167"/>
      <c r="AF100" s="167"/>
      <c r="AG100" s="167"/>
      <c r="AH100" s="167"/>
      <c r="AI100" s="167"/>
      <c r="AJ100" s="167"/>
      <c r="AK100" s="167"/>
      <c r="AL100" s="167"/>
      <c r="AM100" s="167"/>
      <c r="AN100" s="167"/>
      <c r="AO100" s="167"/>
      <c r="AP100" s="167"/>
      <c r="AQ100" s="167"/>
      <c r="AR100" s="167"/>
      <c r="AS100" s="167"/>
      <c r="AT100" s="167"/>
      <c r="AU100" s="167"/>
      <c r="AV100" s="116"/>
      <c r="AW100" s="116"/>
      <c r="AX100" s="116"/>
      <c r="AY100" s="116"/>
    </row>
    <row r="101" spans="1:51" s="115" customFormat="1" x14ac:dyDescent="0.2">
      <c r="A101" s="105"/>
      <c r="B101" s="167"/>
      <c r="C101" s="105"/>
      <c r="D101" s="166"/>
      <c r="E101" s="167"/>
      <c r="F101" s="167"/>
      <c r="G101" s="167"/>
      <c r="H101" s="167"/>
      <c r="I101" s="167"/>
      <c r="J101" s="167"/>
      <c r="K101" s="167"/>
      <c r="L101" s="167"/>
      <c r="M101" s="167"/>
      <c r="N101" s="167"/>
      <c r="O101" s="163"/>
      <c r="P101" s="167"/>
      <c r="Q101" s="112"/>
      <c r="R101" s="112"/>
      <c r="S101" s="167"/>
      <c r="T101" s="167"/>
      <c r="U101" s="167"/>
      <c r="V101" s="167"/>
      <c r="W101" s="167"/>
      <c r="X101" s="167"/>
      <c r="Y101" s="167"/>
      <c r="Z101" s="167"/>
      <c r="AA101" s="167"/>
      <c r="AB101" s="167"/>
      <c r="AC101" s="167"/>
      <c r="AD101" s="167"/>
      <c r="AE101" s="167"/>
      <c r="AF101" s="167"/>
      <c r="AG101" s="167"/>
      <c r="AH101" s="167"/>
      <c r="AI101" s="167"/>
      <c r="AJ101" s="167"/>
      <c r="AK101" s="167"/>
      <c r="AL101" s="167"/>
      <c r="AM101" s="167"/>
      <c r="AN101" s="167"/>
      <c r="AO101" s="167"/>
      <c r="AP101" s="167"/>
      <c r="AQ101" s="167"/>
      <c r="AR101" s="167"/>
      <c r="AS101" s="167"/>
      <c r="AT101" s="167"/>
      <c r="AU101" s="167"/>
      <c r="AV101" s="116"/>
      <c r="AW101" s="116"/>
      <c r="AX101" s="116"/>
      <c r="AY101" s="116"/>
    </row>
    <row r="102" spans="1:51" s="115" customFormat="1" x14ac:dyDescent="0.2">
      <c r="A102" s="105"/>
      <c r="B102" s="167"/>
      <c r="C102" s="105"/>
      <c r="D102" s="166"/>
      <c r="E102" s="167"/>
      <c r="F102" s="167"/>
      <c r="G102" s="167"/>
      <c r="H102" s="167"/>
      <c r="I102" s="167"/>
      <c r="J102" s="167"/>
      <c r="K102" s="167"/>
      <c r="L102" s="167"/>
      <c r="M102" s="167"/>
      <c r="N102" s="167"/>
      <c r="O102" s="163"/>
      <c r="P102" s="163"/>
      <c r="Q102" s="112"/>
      <c r="R102" s="112"/>
      <c r="S102" s="167"/>
      <c r="T102" s="167"/>
      <c r="U102" s="167"/>
      <c r="V102" s="167"/>
      <c r="W102" s="167"/>
      <c r="X102" s="167"/>
      <c r="Y102" s="167"/>
      <c r="Z102" s="167"/>
      <c r="AA102" s="167"/>
      <c r="AB102" s="167"/>
      <c r="AC102" s="167"/>
      <c r="AD102" s="167"/>
      <c r="AE102" s="167"/>
      <c r="AF102" s="167"/>
      <c r="AG102" s="167"/>
      <c r="AH102" s="167"/>
      <c r="AI102" s="167"/>
      <c r="AJ102" s="167"/>
      <c r="AK102" s="167"/>
      <c r="AL102" s="167"/>
      <c r="AM102" s="167"/>
      <c r="AN102" s="167"/>
      <c r="AO102" s="167"/>
      <c r="AP102" s="167"/>
      <c r="AQ102" s="167"/>
      <c r="AR102" s="167"/>
      <c r="AS102" s="167"/>
      <c r="AT102" s="167"/>
      <c r="AU102" s="167"/>
      <c r="AV102" s="116"/>
      <c r="AW102" s="116"/>
      <c r="AX102" s="116"/>
      <c r="AY102" s="116"/>
    </row>
    <row r="103" spans="1:51" s="115" customFormat="1" x14ac:dyDescent="0.2">
      <c r="A103" s="105"/>
      <c r="B103" s="167"/>
      <c r="C103" s="105"/>
      <c r="D103" s="166"/>
      <c r="E103" s="167"/>
      <c r="F103" s="167"/>
      <c r="G103" s="167"/>
      <c r="H103" s="167"/>
      <c r="I103" s="167"/>
      <c r="J103" s="167"/>
      <c r="K103" s="167"/>
      <c r="L103" s="167"/>
      <c r="M103" s="167"/>
      <c r="N103" s="167"/>
      <c r="O103" s="163"/>
      <c r="P103" s="166"/>
      <c r="Q103" s="112"/>
      <c r="R103" s="112"/>
      <c r="S103" s="167"/>
      <c r="T103" s="167"/>
      <c r="U103" s="167"/>
      <c r="V103" s="167"/>
      <c r="W103" s="167"/>
      <c r="X103" s="167"/>
      <c r="Y103" s="167"/>
      <c r="Z103" s="167"/>
      <c r="AA103" s="167"/>
      <c r="AB103" s="167"/>
      <c r="AC103" s="167"/>
      <c r="AD103" s="167"/>
      <c r="AE103" s="167"/>
      <c r="AF103" s="167"/>
      <c r="AG103" s="167"/>
      <c r="AH103" s="167"/>
      <c r="AI103" s="167"/>
      <c r="AJ103" s="167"/>
      <c r="AK103" s="167"/>
      <c r="AL103" s="167"/>
      <c r="AM103" s="167"/>
      <c r="AN103" s="167"/>
      <c r="AO103" s="167"/>
      <c r="AP103" s="167"/>
      <c r="AQ103" s="167"/>
      <c r="AR103" s="167"/>
      <c r="AS103" s="167"/>
      <c r="AT103" s="167"/>
      <c r="AU103" s="167"/>
      <c r="AV103" s="116"/>
      <c r="AW103" s="116"/>
      <c r="AX103" s="116"/>
      <c r="AY103" s="116"/>
    </row>
    <row r="104" spans="1:51" s="115" customFormat="1" x14ac:dyDescent="0.2">
      <c r="A104" s="105"/>
      <c r="B104" s="167"/>
      <c r="C104" s="167"/>
      <c r="D104" s="166"/>
      <c r="E104" s="167"/>
      <c r="F104" s="167"/>
      <c r="G104" s="167"/>
      <c r="H104" s="167"/>
      <c r="I104" s="167"/>
      <c r="J104" s="167"/>
      <c r="K104" s="167"/>
      <c r="L104" s="167"/>
      <c r="M104" s="167"/>
      <c r="N104" s="167"/>
      <c r="O104" s="163"/>
      <c r="P104" s="167"/>
      <c r="Q104" s="167"/>
      <c r="R104" s="112"/>
      <c r="S104" s="167"/>
      <c r="T104" s="167"/>
      <c r="U104" s="167"/>
      <c r="V104" s="167"/>
      <c r="W104" s="167"/>
      <c r="X104" s="167"/>
      <c r="Y104" s="167"/>
      <c r="Z104" s="167"/>
      <c r="AA104" s="167"/>
      <c r="AB104" s="167"/>
      <c r="AC104" s="167"/>
      <c r="AD104" s="167"/>
      <c r="AE104" s="167"/>
      <c r="AF104" s="167"/>
      <c r="AG104" s="167"/>
      <c r="AH104" s="167"/>
      <c r="AI104" s="167"/>
      <c r="AJ104" s="167"/>
      <c r="AK104" s="167"/>
      <c r="AL104" s="167"/>
      <c r="AM104" s="167"/>
      <c r="AN104" s="167"/>
      <c r="AO104" s="167"/>
      <c r="AP104" s="167"/>
      <c r="AQ104" s="167"/>
      <c r="AR104" s="167"/>
      <c r="AS104" s="167"/>
      <c r="AT104" s="167"/>
      <c r="AU104" s="167"/>
      <c r="AV104" s="116"/>
      <c r="AW104" s="116"/>
      <c r="AX104" s="116"/>
      <c r="AY104" s="116"/>
    </row>
    <row r="105" spans="1:51" s="115" customFormat="1" x14ac:dyDescent="0.2">
      <c r="A105" s="105"/>
      <c r="D105" s="136"/>
      <c r="G105" s="167"/>
      <c r="H105" s="112"/>
      <c r="I105" s="112"/>
      <c r="J105" s="112"/>
      <c r="K105" s="112"/>
      <c r="L105" s="112"/>
      <c r="M105" s="112"/>
      <c r="N105" s="112"/>
      <c r="O105" s="112"/>
      <c r="P105" s="112"/>
      <c r="Q105" s="112"/>
      <c r="R105" s="112"/>
      <c r="S105" s="167"/>
      <c r="T105" s="167"/>
      <c r="U105" s="167"/>
      <c r="V105" s="167"/>
      <c r="W105" s="167"/>
      <c r="X105" s="167"/>
      <c r="Y105" s="167"/>
      <c r="Z105" s="167"/>
      <c r="AA105" s="167"/>
      <c r="AB105" s="167"/>
      <c r="AC105" s="167"/>
      <c r="AD105" s="167"/>
      <c r="AE105" s="167"/>
      <c r="AF105" s="167"/>
      <c r="AG105" s="167"/>
      <c r="AH105" s="167"/>
      <c r="AI105" s="167"/>
      <c r="AJ105" s="167"/>
      <c r="AK105" s="167"/>
      <c r="AL105" s="167"/>
      <c r="AM105" s="167"/>
      <c r="AN105" s="167"/>
      <c r="AO105" s="167"/>
      <c r="AP105" s="167"/>
      <c r="AQ105" s="167"/>
      <c r="AR105" s="167"/>
      <c r="AS105" s="167"/>
      <c r="AT105" s="167"/>
      <c r="AU105" s="167"/>
      <c r="AV105" s="116"/>
      <c r="AW105" s="116"/>
      <c r="AX105" s="116"/>
      <c r="AY105" s="116"/>
    </row>
    <row r="106" spans="1:51" s="115" customFormat="1" x14ac:dyDescent="0.2">
      <c r="A106" s="105"/>
      <c r="D106" s="136"/>
      <c r="G106" s="167"/>
      <c r="H106" s="112"/>
      <c r="I106" s="112"/>
      <c r="J106" s="112"/>
      <c r="K106" s="112"/>
      <c r="L106" s="112"/>
      <c r="M106" s="112"/>
      <c r="N106" s="112"/>
      <c r="O106" s="112"/>
      <c r="P106" s="112"/>
      <c r="Q106" s="112"/>
      <c r="R106" s="112"/>
      <c r="S106" s="167"/>
      <c r="T106" s="167"/>
      <c r="U106" s="167"/>
      <c r="V106" s="167"/>
      <c r="W106" s="167"/>
      <c r="X106" s="167"/>
      <c r="Y106" s="167"/>
      <c r="Z106" s="167"/>
      <c r="AA106" s="167"/>
      <c r="AB106" s="167"/>
      <c r="AC106" s="167"/>
      <c r="AD106" s="167"/>
      <c r="AE106" s="167"/>
      <c r="AF106" s="167"/>
      <c r="AG106" s="167"/>
      <c r="AH106" s="167"/>
      <c r="AI106" s="167"/>
      <c r="AJ106" s="167"/>
      <c r="AK106" s="167"/>
      <c r="AL106" s="167"/>
      <c r="AM106" s="167"/>
      <c r="AN106" s="167"/>
      <c r="AO106" s="167"/>
      <c r="AP106" s="167"/>
      <c r="AQ106" s="167"/>
      <c r="AR106" s="167"/>
      <c r="AS106" s="167"/>
      <c r="AT106" s="167"/>
      <c r="AU106" s="167"/>
      <c r="AV106" s="116"/>
      <c r="AW106" s="116"/>
      <c r="AX106" s="116"/>
      <c r="AY106" s="116"/>
    </row>
    <row r="107" spans="1:51" s="115" customFormat="1" x14ac:dyDescent="0.2">
      <c r="A107" s="105"/>
      <c r="D107" s="136"/>
      <c r="G107" s="167"/>
      <c r="H107" s="112"/>
      <c r="I107" s="112"/>
      <c r="J107" s="112"/>
      <c r="K107" s="112"/>
      <c r="L107" s="112"/>
      <c r="M107" s="112"/>
      <c r="N107" s="112"/>
      <c r="O107" s="112"/>
      <c r="P107" s="112"/>
      <c r="Q107" s="112"/>
      <c r="R107" s="112"/>
      <c r="S107" s="167"/>
      <c r="T107" s="167"/>
      <c r="U107" s="167"/>
      <c r="V107" s="167"/>
      <c r="W107" s="167"/>
      <c r="X107" s="167"/>
      <c r="Y107" s="167"/>
      <c r="Z107" s="167"/>
      <c r="AA107" s="167"/>
      <c r="AB107" s="167"/>
      <c r="AC107" s="167"/>
      <c r="AD107" s="167"/>
      <c r="AE107" s="167"/>
      <c r="AF107" s="167"/>
      <c r="AG107" s="167"/>
      <c r="AH107" s="167"/>
      <c r="AI107" s="167"/>
      <c r="AJ107" s="167"/>
      <c r="AK107" s="167"/>
      <c r="AL107" s="167"/>
      <c r="AM107" s="167"/>
      <c r="AN107" s="167"/>
      <c r="AO107" s="167"/>
      <c r="AP107" s="167"/>
      <c r="AQ107" s="167"/>
      <c r="AR107" s="167"/>
      <c r="AS107" s="167"/>
      <c r="AT107" s="167"/>
      <c r="AU107" s="167"/>
      <c r="AV107" s="116"/>
      <c r="AW107" s="116"/>
      <c r="AX107" s="116"/>
      <c r="AY107" s="116"/>
    </row>
    <row r="108" spans="1:51" s="115" customFormat="1" x14ac:dyDescent="0.2">
      <c r="A108" s="105"/>
      <c r="D108" s="136"/>
      <c r="G108" s="167"/>
      <c r="H108" s="112"/>
      <c r="I108" s="112"/>
      <c r="J108" s="112"/>
      <c r="K108" s="112"/>
      <c r="L108" s="112"/>
      <c r="M108" s="112"/>
      <c r="N108" s="112"/>
      <c r="O108" s="112"/>
      <c r="P108" s="112"/>
      <c r="Q108" s="112"/>
      <c r="R108" s="112"/>
      <c r="S108" s="167"/>
      <c r="T108" s="167"/>
      <c r="U108" s="167"/>
      <c r="V108" s="167"/>
      <c r="W108" s="167"/>
      <c r="X108" s="167"/>
      <c r="Y108" s="167"/>
      <c r="Z108" s="167"/>
      <c r="AA108" s="167"/>
      <c r="AB108" s="167"/>
      <c r="AC108" s="167"/>
      <c r="AD108" s="167"/>
      <c r="AE108" s="167"/>
      <c r="AF108" s="167"/>
      <c r="AG108" s="167"/>
      <c r="AH108" s="167"/>
      <c r="AI108" s="167"/>
      <c r="AJ108" s="167"/>
      <c r="AK108" s="167"/>
      <c r="AL108" s="167"/>
      <c r="AM108" s="167"/>
      <c r="AN108" s="167"/>
      <c r="AO108" s="167"/>
      <c r="AP108" s="167"/>
      <c r="AQ108" s="167"/>
      <c r="AR108" s="167"/>
      <c r="AS108" s="167"/>
      <c r="AT108" s="167"/>
      <c r="AU108" s="167"/>
      <c r="AV108" s="116"/>
      <c r="AW108" s="116"/>
      <c r="AX108" s="116"/>
      <c r="AY108" s="116"/>
    </row>
    <row r="109" spans="1:51" s="115" customFormat="1" x14ac:dyDescent="0.2">
      <c r="A109" s="105"/>
      <c r="D109" s="136"/>
      <c r="G109" s="167"/>
      <c r="H109" s="112"/>
      <c r="I109" s="112"/>
      <c r="J109" s="112"/>
      <c r="K109" s="112"/>
      <c r="L109" s="112"/>
      <c r="M109" s="112"/>
      <c r="N109" s="112"/>
      <c r="O109" s="112"/>
      <c r="P109" s="112"/>
      <c r="Q109" s="112"/>
      <c r="R109" s="112"/>
      <c r="S109" s="167"/>
      <c r="T109" s="167"/>
      <c r="U109" s="167"/>
      <c r="V109" s="167"/>
      <c r="W109" s="167"/>
      <c r="X109" s="167"/>
      <c r="Y109" s="167"/>
      <c r="Z109" s="167"/>
      <c r="AA109" s="167"/>
      <c r="AB109" s="167"/>
      <c r="AC109" s="167"/>
      <c r="AD109" s="167"/>
      <c r="AE109" s="167"/>
      <c r="AF109" s="167"/>
      <c r="AG109" s="167"/>
      <c r="AH109" s="167"/>
      <c r="AI109" s="167"/>
      <c r="AJ109" s="167"/>
      <c r="AK109" s="167"/>
      <c r="AL109" s="167"/>
      <c r="AM109" s="167"/>
      <c r="AN109" s="167"/>
      <c r="AO109" s="167"/>
      <c r="AP109" s="167"/>
      <c r="AQ109" s="167"/>
      <c r="AR109" s="167"/>
      <c r="AS109" s="167"/>
      <c r="AT109" s="167"/>
      <c r="AU109" s="167"/>
      <c r="AV109" s="116"/>
      <c r="AW109" s="116"/>
      <c r="AX109" s="116"/>
      <c r="AY109" s="116"/>
    </row>
    <row r="110" spans="1:51" s="115" customFormat="1" x14ac:dyDescent="0.2">
      <c r="A110" s="105"/>
      <c r="D110" s="136"/>
      <c r="G110" s="167"/>
      <c r="H110" s="112"/>
      <c r="I110" s="112"/>
      <c r="J110" s="112"/>
      <c r="K110" s="112"/>
      <c r="L110" s="112"/>
      <c r="M110" s="112"/>
      <c r="N110" s="112"/>
      <c r="O110" s="112"/>
      <c r="P110" s="112"/>
      <c r="Q110" s="112"/>
      <c r="R110" s="112"/>
      <c r="S110" s="167"/>
      <c r="T110" s="167"/>
      <c r="U110" s="167"/>
      <c r="V110" s="167"/>
      <c r="W110" s="167"/>
      <c r="X110" s="167"/>
      <c r="Y110" s="167"/>
      <c r="Z110" s="167"/>
      <c r="AA110" s="167"/>
      <c r="AB110" s="167"/>
      <c r="AC110" s="167"/>
      <c r="AD110" s="167"/>
      <c r="AE110" s="167"/>
      <c r="AF110" s="167"/>
      <c r="AG110" s="167"/>
      <c r="AH110" s="167"/>
      <c r="AI110" s="167"/>
      <c r="AJ110" s="167"/>
      <c r="AK110" s="167"/>
      <c r="AL110" s="167"/>
      <c r="AM110" s="167"/>
      <c r="AN110" s="167"/>
      <c r="AO110" s="167"/>
      <c r="AP110" s="167"/>
      <c r="AQ110" s="167"/>
      <c r="AR110" s="167"/>
      <c r="AS110" s="167"/>
      <c r="AT110" s="167"/>
      <c r="AU110" s="167"/>
      <c r="AV110" s="116"/>
      <c r="AW110" s="116"/>
      <c r="AX110" s="116"/>
      <c r="AY110" s="116"/>
    </row>
    <row r="111" spans="1:51" s="115" customFormat="1" x14ac:dyDescent="0.2">
      <c r="A111" s="105"/>
      <c r="D111" s="136"/>
      <c r="G111" s="167"/>
      <c r="H111" s="112"/>
      <c r="I111" s="112"/>
      <c r="J111" s="112"/>
      <c r="K111" s="112"/>
      <c r="L111" s="112"/>
      <c r="M111" s="112"/>
      <c r="N111" s="112"/>
      <c r="O111" s="112"/>
      <c r="P111" s="112"/>
      <c r="Q111" s="112"/>
      <c r="R111" s="112"/>
      <c r="S111" s="167"/>
      <c r="T111" s="167"/>
      <c r="U111" s="167"/>
      <c r="V111" s="167"/>
      <c r="W111" s="167"/>
      <c r="X111" s="167"/>
      <c r="Y111" s="167"/>
      <c r="Z111" s="167"/>
      <c r="AA111" s="167"/>
      <c r="AB111" s="167"/>
      <c r="AC111" s="167"/>
      <c r="AD111" s="167"/>
      <c r="AE111" s="167"/>
      <c r="AF111" s="167"/>
      <c r="AG111" s="167"/>
      <c r="AH111" s="167"/>
      <c r="AI111" s="167"/>
      <c r="AJ111" s="167"/>
      <c r="AK111" s="167"/>
      <c r="AL111" s="167"/>
      <c r="AM111" s="167"/>
      <c r="AN111" s="167"/>
      <c r="AO111" s="167"/>
      <c r="AP111" s="167"/>
      <c r="AQ111" s="167"/>
      <c r="AR111" s="167"/>
      <c r="AS111" s="167"/>
      <c r="AT111" s="167"/>
      <c r="AU111" s="167"/>
      <c r="AV111" s="116"/>
      <c r="AW111" s="116"/>
      <c r="AX111" s="116"/>
      <c r="AY111" s="116"/>
    </row>
    <row r="112" spans="1:51" s="115" customFormat="1" x14ac:dyDescent="0.2">
      <c r="A112" s="105"/>
      <c r="D112" s="136"/>
      <c r="G112" s="167"/>
      <c r="H112" s="112"/>
      <c r="I112" s="112"/>
      <c r="J112" s="112"/>
      <c r="K112" s="112"/>
      <c r="L112" s="112"/>
      <c r="M112" s="112"/>
      <c r="N112" s="112"/>
      <c r="O112" s="112"/>
      <c r="P112" s="112"/>
      <c r="Q112" s="112"/>
      <c r="R112" s="112"/>
      <c r="S112" s="167"/>
      <c r="T112" s="167"/>
      <c r="U112" s="167"/>
      <c r="V112" s="167"/>
      <c r="W112" s="167"/>
      <c r="X112" s="167"/>
      <c r="Y112" s="167"/>
      <c r="Z112" s="167"/>
      <c r="AA112" s="167"/>
      <c r="AB112" s="167"/>
      <c r="AC112" s="167"/>
      <c r="AD112" s="167"/>
      <c r="AE112" s="167"/>
      <c r="AF112" s="167"/>
      <c r="AG112" s="167"/>
      <c r="AH112" s="167"/>
      <c r="AI112" s="167"/>
      <c r="AJ112" s="167"/>
      <c r="AK112" s="167"/>
      <c r="AL112" s="167"/>
      <c r="AM112" s="167"/>
      <c r="AN112" s="167"/>
      <c r="AO112" s="167"/>
      <c r="AP112" s="167"/>
      <c r="AQ112" s="167"/>
      <c r="AR112" s="167"/>
      <c r="AS112" s="167"/>
      <c r="AT112" s="167"/>
      <c r="AU112" s="167"/>
      <c r="AV112" s="116"/>
      <c r="AW112" s="116"/>
      <c r="AX112" s="116"/>
      <c r="AY112" s="116"/>
    </row>
    <row r="113" spans="1:51" s="115" customFormat="1" x14ac:dyDescent="0.2">
      <c r="A113" s="105"/>
      <c r="D113" s="136"/>
      <c r="G113" s="167"/>
      <c r="H113" s="112"/>
      <c r="I113" s="112"/>
      <c r="J113" s="112"/>
      <c r="K113" s="112"/>
      <c r="L113" s="112"/>
      <c r="M113" s="112"/>
      <c r="N113" s="112"/>
      <c r="O113" s="112"/>
      <c r="P113" s="112"/>
      <c r="Q113" s="112"/>
      <c r="R113" s="112"/>
      <c r="S113" s="167"/>
      <c r="T113" s="167"/>
      <c r="U113" s="167"/>
      <c r="V113" s="167"/>
      <c r="W113" s="167"/>
      <c r="X113" s="167"/>
      <c r="Y113" s="167"/>
      <c r="Z113" s="167"/>
      <c r="AA113" s="167"/>
      <c r="AB113" s="167"/>
      <c r="AC113" s="167"/>
      <c r="AD113" s="167"/>
      <c r="AE113" s="167"/>
      <c r="AF113" s="167"/>
      <c r="AG113" s="167"/>
      <c r="AH113" s="167"/>
      <c r="AI113" s="167"/>
      <c r="AJ113" s="167"/>
      <c r="AK113" s="167"/>
      <c r="AL113" s="167"/>
      <c r="AM113" s="167"/>
      <c r="AN113" s="167"/>
      <c r="AO113" s="167"/>
      <c r="AP113" s="167"/>
      <c r="AQ113" s="167"/>
      <c r="AR113" s="167"/>
      <c r="AS113" s="167"/>
      <c r="AT113" s="167"/>
      <c r="AU113" s="167"/>
      <c r="AV113" s="116"/>
      <c r="AW113" s="116"/>
      <c r="AX113" s="116"/>
      <c r="AY113" s="116"/>
    </row>
    <row r="114" spans="1:51" s="115" customFormat="1" x14ac:dyDescent="0.2">
      <c r="A114" s="105"/>
      <c r="D114" s="136"/>
      <c r="G114" s="167"/>
      <c r="H114" s="112"/>
      <c r="I114" s="112"/>
      <c r="J114" s="112"/>
      <c r="K114" s="112"/>
      <c r="L114" s="112"/>
      <c r="M114" s="112"/>
      <c r="N114" s="112"/>
      <c r="O114" s="112"/>
      <c r="P114" s="112"/>
      <c r="Q114" s="112"/>
      <c r="R114" s="112"/>
      <c r="S114" s="167"/>
      <c r="T114" s="167"/>
      <c r="U114" s="167"/>
      <c r="V114" s="167"/>
      <c r="W114" s="167"/>
      <c r="X114" s="167"/>
      <c r="Y114" s="167"/>
      <c r="Z114" s="167"/>
      <c r="AA114" s="167"/>
      <c r="AB114" s="167"/>
      <c r="AC114" s="167"/>
      <c r="AD114" s="167"/>
      <c r="AE114" s="167"/>
      <c r="AF114" s="167"/>
      <c r="AG114" s="167"/>
      <c r="AH114" s="167"/>
      <c r="AI114" s="167"/>
      <c r="AJ114" s="167"/>
      <c r="AK114" s="167"/>
      <c r="AL114" s="167"/>
      <c r="AM114" s="167"/>
      <c r="AN114" s="167"/>
      <c r="AO114" s="167"/>
      <c r="AP114" s="167"/>
      <c r="AQ114" s="167"/>
      <c r="AR114" s="167"/>
      <c r="AS114" s="167"/>
      <c r="AT114" s="167"/>
      <c r="AU114" s="167"/>
      <c r="AV114" s="116"/>
      <c r="AW114" s="116"/>
      <c r="AX114" s="116"/>
      <c r="AY114" s="116"/>
    </row>
    <row r="115" spans="1:51" s="115" customFormat="1" x14ac:dyDescent="0.2">
      <c r="A115" s="105"/>
      <c r="D115" s="136"/>
      <c r="G115" s="167"/>
      <c r="H115" s="112"/>
      <c r="I115" s="112"/>
      <c r="J115" s="112"/>
      <c r="K115" s="112"/>
      <c r="L115" s="112"/>
      <c r="M115" s="112"/>
      <c r="N115" s="112"/>
      <c r="O115" s="112"/>
      <c r="P115" s="112"/>
      <c r="Q115" s="112"/>
      <c r="R115" s="112"/>
      <c r="S115" s="167"/>
      <c r="T115" s="167"/>
      <c r="U115" s="167"/>
      <c r="V115" s="167"/>
      <c r="W115" s="167"/>
      <c r="X115" s="167"/>
      <c r="Y115" s="167"/>
      <c r="Z115" s="167"/>
      <c r="AA115" s="167"/>
      <c r="AB115" s="167"/>
      <c r="AC115" s="167"/>
      <c r="AD115" s="167"/>
      <c r="AE115" s="167"/>
      <c r="AF115" s="167"/>
      <c r="AG115" s="167"/>
      <c r="AH115" s="167"/>
      <c r="AI115" s="167"/>
      <c r="AJ115" s="167"/>
      <c r="AK115" s="167"/>
      <c r="AL115" s="167"/>
      <c r="AM115" s="167"/>
      <c r="AN115" s="167"/>
      <c r="AO115" s="167"/>
      <c r="AP115" s="167"/>
      <c r="AQ115" s="167"/>
      <c r="AR115" s="167"/>
      <c r="AS115" s="167"/>
      <c r="AT115" s="167"/>
      <c r="AU115" s="167"/>
      <c r="AV115" s="116"/>
      <c r="AW115" s="116"/>
      <c r="AX115" s="116"/>
      <c r="AY115" s="116"/>
    </row>
    <row r="116" spans="1:51" s="115" customFormat="1" x14ac:dyDescent="0.2">
      <c r="A116" s="105"/>
      <c r="D116" s="136"/>
      <c r="G116" s="167"/>
      <c r="H116" s="112"/>
      <c r="I116" s="112"/>
      <c r="J116" s="112"/>
      <c r="K116" s="112"/>
      <c r="L116" s="112"/>
      <c r="M116" s="112"/>
      <c r="N116" s="112"/>
      <c r="O116" s="112"/>
      <c r="P116" s="112"/>
      <c r="Q116" s="112"/>
      <c r="R116" s="112"/>
      <c r="S116" s="167"/>
      <c r="T116" s="167"/>
      <c r="U116" s="167"/>
      <c r="V116" s="167"/>
      <c r="W116" s="167"/>
      <c r="X116" s="167"/>
      <c r="Y116" s="167"/>
      <c r="Z116" s="167"/>
      <c r="AA116" s="167"/>
      <c r="AB116" s="167"/>
      <c r="AC116" s="167"/>
      <c r="AD116" s="167"/>
      <c r="AE116" s="167"/>
      <c r="AF116" s="167"/>
      <c r="AG116" s="167"/>
      <c r="AH116" s="167"/>
      <c r="AI116" s="167"/>
      <c r="AJ116" s="167"/>
      <c r="AK116" s="167"/>
      <c r="AL116" s="167"/>
      <c r="AM116" s="167"/>
      <c r="AN116" s="167"/>
      <c r="AO116" s="167"/>
      <c r="AP116" s="167"/>
      <c r="AQ116" s="167"/>
      <c r="AR116" s="167"/>
      <c r="AS116" s="167"/>
      <c r="AT116" s="167"/>
      <c r="AU116" s="167"/>
      <c r="AV116" s="116"/>
      <c r="AW116" s="116"/>
      <c r="AX116" s="116"/>
      <c r="AY116" s="116"/>
    </row>
    <row r="117" spans="1:51" s="115" customFormat="1" x14ac:dyDescent="0.2">
      <c r="A117" s="105"/>
      <c r="D117" s="136"/>
      <c r="G117" s="167"/>
      <c r="H117" s="112"/>
      <c r="I117" s="112"/>
      <c r="J117" s="112"/>
      <c r="K117" s="112"/>
      <c r="L117" s="112"/>
      <c r="M117" s="112"/>
      <c r="N117" s="112"/>
      <c r="O117" s="112"/>
      <c r="P117" s="112"/>
      <c r="Q117" s="112"/>
      <c r="R117" s="112"/>
      <c r="S117" s="167"/>
      <c r="T117" s="167"/>
      <c r="U117" s="167"/>
      <c r="V117" s="167"/>
      <c r="W117" s="167"/>
      <c r="X117" s="167"/>
      <c r="Y117" s="167"/>
      <c r="Z117" s="167"/>
      <c r="AA117" s="167"/>
      <c r="AB117" s="167"/>
      <c r="AC117" s="167"/>
      <c r="AD117" s="167"/>
      <c r="AE117" s="167"/>
      <c r="AF117" s="167"/>
      <c r="AG117" s="167"/>
      <c r="AH117" s="167"/>
      <c r="AI117" s="167"/>
      <c r="AJ117" s="167"/>
      <c r="AK117" s="167"/>
      <c r="AL117" s="167"/>
      <c r="AM117" s="167"/>
      <c r="AN117" s="167"/>
      <c r="AO117" s="167"/>
      <c r="AP117" s="167"/>
      <c r="AQ117" s="167"/>
      <c r="AR117" s="167"/>
      <c r="AS117" s="167"/>
      <c r="AT117" s="167"/>
      <c r="AU117" s="167"/>
      <c r="AV117" s="116"/>
      <c r="AW117" s="116"/>
      <c r="AX117" s="116"/>
      <c r="AY117" s="116"/>
    </row>
    <row r="118" spans="1:51" s="115" customFormat="1" x14ac:dyDescent="0.2">
      <c r="A118" s="105"/>
      <c r="D118" s="136"/>
      <c r="G118" s="167"/>
      <c r="H118" s="112"/>
      <c r="I118" s="112"/>
      <c r="J118" s="112"/>
      <c r="K118" s="112"/>
      <c r="L118" s="112"/>
      <c r="M118" s="112"/>
      <c r="N118" s="112"/>
      <c r="O118" s="112"/>
      <c r="P118" s="112"/>
      <c r="Q118" s="112"/>
      <c r="R118" s="112"/>
      <c r="S118" s="167"/>
      <c r="T118" s="167"/>
      <c r="U118" s="167"/>
      <c r="V118" s="167"/>
      <c r="W118" s="167"/>
      <c r="X118" s="167"/>
      <c r="Y118" s="167"/>
      <c r="Z118" s="167"/>
      <c r="AA118" s="167"/>
      <c r="AB118" s="167"/>
      <c r="AC118" s="167"/>
      <c r="AD118" s="167"/>
      <c r="AE118" s="167"/>
      <c r="AF118" s="167"/>
      <c r="AG118" s="167"/>
      <c r="AH118" s="167"/>
      <c r="AI118" s="167"/>
      <c r="AJ118" s="167"/>
      <c r="AK118" s="167"/>
      <c r="AL118" s="167"/>
      <c r="AM118" s="167"/>
      <c r="AN118" s="167"/>
      <c r="AO118" s="167"/>
      <c r="AP118" s="167"/>
      <c r="AQ118" s="167"/>
      <c r="AR118" s="167"/>
      <c r="AS118" s="167"/>
      <c r="AT118" s="167"/>
      <c r="AU118" s="167"/>
      <c r="AV118" s="116"/>
      <c r="AW118" s="116"/>
      <c r="AX118" s="116"/>
      <c r="AY118" s="116"/>
    </row>
    <row r="119" spans="1:51" s="115" customFormat="1" x14ac:dyDescent="0.2">
      <c r="A119" s="105"/>
      <c r="D119" s="136"/>
      <c r="G119" s="167"/>
      <c r="H119" s="112"/>
      <c r="I119" s="112"/>
      <c r="J119" s="112"/>
      <c r="K119" s="112"/>
      <c r="L119" s="112"/>
      <c r="M119" s="112"/>
      <c r="N119" s="112"/>
      <c r="O119" s="112"/>
      <c r="P119" s="112"/>
      <c r="Q119" s="112"/>
      <c r="R119" s="112"/>
      <c r="S119" s="167"/>
      <c r="T119" s="167"/>
      <c r="U119" s="167"/>
      <c r="V119" s="167"/>
      <c r="W119" s="167"/>
      <c r="X119" s="167"/>
      <c r="Y119" s="167"/>
      <c r="Z119" s="167"/>
      <c r="AA119" s="167"/>
      <c r="AB119" s="167"/>
      <c r="AC119" s="167"/>
      <c r="AD119" s="167"/>
      <c r="AE119" s="167"/>
      <c r="AF119" s="167"/>
      <c r="AG119" s="167"/>
      <c r="AH119" s="167"/>
      <c r="AI119" s="167"/>
      <c r="AJ119" s="167"/>
      <c r="AK119" s="167"/>
      <c r="AL119" s="167"/>
      <c r="AM119" s="167"/>
      <c r="AN119" s="167"/>
      <c r="AO119" s="167"/>
      <c r="AP119" s="167"/>
      <c r="AQ119" s="167"/>
      <c r="AR119" s="167"/>
      <c r="AS119" s="167"/>
      <c r="AT119" s="167"/>
      <c r="AU119" s="167"/>
      <c r="AV119" s="116"/>
      <c r="AW119" s="116"/>
      <c r="AX119" s="116"/>
      <c r="AY119" s="116"/>
    </row>
    <row r="120" spans="1:51" s="115" customFormat="1" x14ac:dyDescent="0.2">
      <c r="A120" s="105"/>
      <c r="D120" s="136"/>
      <c r="G120" s="167"/>
      <c r="H120" s="112"/>
      <c r="I120" s="112"/>
      <c r="J120" s="112"/>
      <c r="K120" s="112"/>
      <c r="L120" s="112"/>
      <c r="M120" s="112"/>
      <c r="N120" s="112"/>
      <c r="O120" s="112"/>
      <c r="P120" s="112"/>
      <c r="Q120" s="112"/>
      <c r="R120" s="112"/>
      <c r="S120" s="167"/>
      <c r="T120" s="167"/>
      <c r="U120" s="167"/>
      <c r="V120" s="167"/>
      <c r="W120" s="167"/>
      <c r="X120" s="167"/>
      <c r="Y120" s="167"/>
      <c r="Z120" s="167"/>
      <c r="AA120" s="167"/>
      <c r="AB120" s="167"/>
      <c r="AC120" s="167"/>
      <c r="AD120" s="167"/>
      <c r="AE120" s="167"/>
      <c r="AF120" s="167"/>
      <c r="AG120" s="167"/>
      <c r="AH120" s="167"/>
      <c r="AI120" s="167"/>
      <c r="AJ120" s="167"/>
      <c r="AK120" s="167"/>
      <c r="AL120" s="167"/>
      <c r="AM120" s="167"/>
      <c r="AN120" s="167"/>
      <c r="AO120" s="167"/>
      <c r="AP120" s="167"/>
      <c r="AQ120" s="167"/>
      <c r="AR120" s="167"/>
      <c r="AS120" s="167"/>
      <c r="AT120" s="167"/>
      <c r="AU120" s="167"/>
      <c r="AV120" s="116"/>
      <c r="AW120" s="116"/>
      <c r="AX120" s="116"/>
      <c r="AY120" s="116"/>
    </row>
    <row r="121" spans="1:51" s="115" customFormat="1" x14ac:dyDescent="0.2">
      <c r="A121" s="105"/>
      <c r="D121" s="136"/>
      <c r="G121" s="167"/>
      <c r="H121" s="112"/>
      <c r="I121" s="112"/>
      <c r="J121" s="112"/>
      <c r="K121" s="112"/>
      <c r="L121" s="112"/>
      <c r="M121" s="112"/>
      <c r="N121" s="112"/>
      <c r="O121" s="112"/>
      <c r="P121" s="112"/>
      <c r="Q121" s="112"/>
      <c r="R121" s="112"/>
      <c r="S121" s="167"/>
      <c r="T121" s="167"/>
      <c r="U121" s="167"/>
      <c r="V121" s="167"/>
      <c r="W121" s="167"/>
      <c r="X121" s="167"/>
      <c r="Y121" s="167"/>
      <c r="Z121" s="167"/>
      <c r="AA121" s="167"/>
      <c r="AB121" s="167"/>
      <c r="AC121" s="167"/>
      <c r="AD121" s="167"/>
      <c r="AE121" s="167"/>
      <c r="AF121" s="167"/>
      <c r="AG121" s="167"/>
      <c r="AH121" s="167"/>
      <c r="AI121" s="167"/>
      <c r="AJ121" s="167"/>
      <c r="AK121" s="167"/>
      <c r="AL121" s="167"/>
      <c r="AM121" s="167"/>
      <c r="AN121" s="167"/>
      <c r="AO121" s="167"/>
      <c r="AP121" s="167"/>
      <c r="AQ121" s="167"/>
      <c r="AR121" s="167"/>
      <c r="AS121" s="167"/>
      <c r="AT121" s="167"/>
      <c r="AU121" s="167"/>
      <c r="AV121" s="116"/>
      <c r="AW121" s="116"/>
      <c r="AX121" s="116"/>
      <c r="AY121" s="116"/>
    </row>
    <row r="122" spans="1:51" s="115" customFormat="1" x14ac:dyDescent="0.2">
      <c r="A122" s="105"/>
      <c r="D122" s="136"/>
      <c r="G122" s="167"/>
      <c r="H122" s="112"/>
      <c r="I122" s="112"/>
      <c r="J122" s="112"/>
      <c r="K122" s="112"/>
      <c r="L122" s="112"/>
      <c r="M122" s="112"/>
      <c r="N122" s="112"/>
      <c r="O122" s="112"/>
      <c r="P122" s="112"/>
      <c r="Q122" s="112"/>
      <c r="R122" s="112"/>
      <c r="S122" s="167"/>
      <c r="T122" s="167"/>
      <c r="U122" s="167"/>
      <c r="V122" s="167"/>
      <c r="W122" s="167"/>
      <c r="X122" s="167"/>
      <c r="Y122" s="167"/>
      <c r="Z122" s="167"/>
      <c r="AA122" s="167"/>
      <c r="AB122" s="167"/>
      <c r="AC122" s="167"/>
      <c r="AD122" s="167"/>
      <c r="AE122" s="167"/>
      <c r="AF122" s="167"/>
      <c r="AG122" s="167"/>
      <c r="AH122" s="167"/>
      <c r="AI122" s="167"/>
      <c r="AJ122" s="167"/>
      <c r="AK122" s="167"/>
      <c r="AL122" s="167"/>
      <c r="AM122" s="167"/>
      <c r="AN122" s="167"/>
      <c r="AO122" s="167"/>
      <c r="AP122" s="167"/>
      <c r="AQ122" s="167"/>
      <c r="AR122" s="167"/>
      <c r="AS122" s="167"/>
      <c r="AT122" s="167"/>
      <c r="AU122" s="167"/>
      <c r="AV122" s="116"/>
      <c r="AW122" s="116"/>
      <c r="AX122" s="116"/>
      <c r="AY122" s="116"/>
    </row>
    <row r="123" spans="1:51" s="115" customFormat="1" x14ac:dyDescent="0.2">
      <c r="A123" s="105"/>
      <c r="D123" s="136"/>
      <c r="G123" s="167"/>
      <c r="H123" s="112"/>
      <c r="I123" s="112"/>
      <c r="J123" s="112"/>
      <c r="K123" s="112"/>
      <c r="L123" s="112"/>
      <c r="M123" s="112"/>
      <c r="N123" s="112"/>
      <c r="O123" s="112"/>
      <c r="P123" s="112"/>
      <c r="Q123" s="112"/>
      <c r="R123" s="112"/>
      <c r="S123" s="167"/>
      <c r="T123" s="167"/>
      <c r="U123" s="167"/>
      <c r="V123" s="167"/>
      <c r="W123" s="167"/>
      <c r="X123" s="167"/>
      <c r="Y123" s="167"/>
      <c r="Z123" s="167"/>
      <c r="AA123" s="167"/>
      <c r="AB123" s="167"/>
      <c r="AC123" s="167"/>
      <c r="AD123" s="167"/>
      <c r="AE123" s="167"/>
      <c r="AF123" s="167"/>
      <c r="AG123" s="167"/>
      <c r="AH123" s="167"/>
      <c r="AI123" s="167"/>
      <c r="AJ123" s="167"/>
      <c r="AK123" s="167"/>
      <c r="AL123" s="167"/>
      <c r="AM123" s="167"/>
      <c r="AN123" s="167"/>
      <c r="AO123" s="167"/>
      <c r="AP123" s="167"/>
      <c r="AQ123" s="167"/>
      <c r="AR123" s="167"/>
      <c r="AS123" s="167"/>
      <c r="AT123" s="167"/>
      <c r="AU123" s="167"/>
      <c r="AV123" s="116"/>
      <c r="AW123" s="116"/>
      <c r="AX123" s="116"/>
      <c r="AY123" s="116"/>
    </row>
    <row r="124" spans="1:51" s="115" customFormat="1" x14ac:dyDescent="0.2">
      <c r="A124" s="105"/>
      <c r="D124" s="136"/>
      <c r="G124" s="167"/>
      <c r="H124" s="112"/>
      <c r="I124" s="112"/>
      <c r="J124" s="112"/>
      <c r="K124" s="112"/>
      <c r="L124" s="112"/>
      <c r="M124" s="112"/>
      <c r="N124" s="112"/>
      <c r="O124" s="112"/>
      <c r="P124" s="112"/>
      <c r="Q124" s="112"/>
      <c r="R124" s="112"/>
      <c r="S124" s="167"/>
      <c r="T124" s="167"/>
      <c r="U124" s="167"/>
      <c r="V124" s="167"/>
      <c r="W124" s="167"/>
      <c r="X124" s="167"/>
      <c r="Y124" s="167"/>
      <c r="Z124" s="167"/>
      <c r="AA124" s="167"/>
      <c r="AB124" s="167"/>
      <c r="AC124" s="167"/>
      <c r="AD124" s="167"/>
      <c r="AE124" s="167"/>
      <c r="AF124" s="167"/>
      <c r="AG124" s="167"/>
      <c r="AH124" s="167"/>
      <c r="AI124" s="167"/>
      <c r="AJ124" s="167"/>
      <c r="AK124" s="167"/>
      <c r="AL124" s="167"/>
      <c r="AM124" s="167"/>
      <c r="AN124" s="167"/>
      <c r="AO124" s="167"/>
      <c r="AP124" s="167"/>
      <c r="AQ124" s="167"/>
      <c r="AR124" s="167"/>
      <c r="AS124" s="167"/>
      <c r="AT124" s="167"/>
      <c r="AU124" s="167"/>
      <c r="AV124" s="116"/>
      <c r="AW124" s="116"/>
      <c r="AX124" s="116"/>
      <c r="AY124" s="116"/>
    </row>
    <row r="125" spans="1:51" s="115" customFormat="1" x14ac:dyDescent="0.2">
      <c r="A125" s="105"/>
      <c r="D125" s="136"/>
      <c r="G125" s="167"/>
      <c r="H125" s="112"/>
      <c r="I125" s="112"/>
      <c r="J125" s="112"/>
      <c r="K125" s="112"/>
      <c r="L125" s="112"/>
      <c r="M125" s="112"/>
      <c r="N125" s="112"/>
      <c r="O125" s="112"/>
      <c r="P125" s="112"/>
      <c r="Q125" s="112"/>
      <c r="R125" s="112"/>
      <c r="S125" s="167"/>
      <c r="T125" s="167"/>
      <c r="U125" s="167"/>
      <c r="V125" s="167"/>
      <c r="W125" s="167"/>
      <c r="X125" s="167"/>
      <c r="Y125" s="167"/>
      <c r="Z125" s="167"/>
      <c r="AA125" s="167"/>
      <c r="AB125" s="167"/>
      <c r="AC125" s="167"/>
      <c r="AD125" s="167"/>
      <c r="AE125" s="167"/>
      <c r="AF125" s="167"/>
      <c r="AG125" s="167"/>
      <c r="AH125" s="167"/>
      <c r="AI125" s="167"/>
      <c r="AJ125" s="167"/>
      <c r="AK125" s="167"/>
      <c r="AL125" s="167"/>
      <c r="AM125" s="167"/>
      <c r="AN125" s="167"/>
      <c r="AO125" s="167"/>
      <c r="AP125" s="167"/>
      <c r="AQ125" s="167"/>
      <c r="AR125" s="167"/>
      <c r="AS125" s="167"/>
      <c r="AT125" s="167"/>
      <c r="AU125" s="167"/>
      <c r="AV125" s="116"/>
      <c r="AW125" s="116"/>
      <c r="AX125" s="116"/>
      <c r="AY125" s="116"/>
    </row>
    <row r="126" spans="1:51" s="115" customFormat="1" x14ac:dyDescent="0.2">
      <c r="A126" s="105"/>
      <c r="D126" s="136"/>
      <c r="G126" s="167"/>
      <c r="H126" s="112"/>
      <c r="I126" s="112"/>
      <c r="J126" s="112"/>
      <c r="K126" s="112"/>
      <c r="L126" s="112"/>
      <c r="M126" s="112"/>
      <c r="N126" s="112"/>
      <c r="O126" s="112"/>
      <c r="P126" s="112"/>
      <c r="Q126" s="112"/>
      <c r="R126" s="112"/>
      <c r="S126" s="167"/>
      <c r="T126" s="167"/>
      <c r="U126" s="167"/>
      <c r="V126" s="167"/>
      <c r="W126" s="167"/>
      <c r="X126" s="167"/>
      <c r="Y126" s="167"/>
      <c r="Z126" s="167"/>
      <c r="AA126" s="167"/>
      <c r="AB126" s="167"/>
      <c r="AC126" s="167"/>
      <c r="AD126" s="167"/>
      <c r="AE126" s="167"/>
      <c r="AF126" s="167"/>
      <c r="AG126" s="167"/>
      <c r="AH126" s="167"/>
      <c r="AI126" s="167"/>
      <c r="AJ126" s="167"/>
      <c r="AK126" s="167"/>
      <c r="AL126" s="167"/>
      <c r="AM126" s="167"/>
      <c r="AN126" s="167"/>
      <c r="AO126" s="167"/>
      <c r="AP126" s="167"/>
      <c r="AQ126" s="167"/>
      <c r="AR126" s="167"/>
      <c r="AS126" s="167"/>
      <c r="AT126" s="167"/>
      <c r="AU126" s="167"/>
      <c r="AV126" s="116"/>
      <c r="AW126" s="116"/>
      <c r="AX126" s="116"/>
      <c r="AY126" s="116"/>
    </row>
    <row r="127" spans="1:51" s="115" customFormat="1" x14ac:dyDescent="0.2">
      <c r="A127" s="105"/>
      <c r="D127" s="136"/>
      <c r="G127" s="167"/>
      <c r="H127" s="112"/>
      <c r="I127" s="112"/>
      <c r="J127" s="112"/>
      <c r="K127" s="112"/>
      <c r="L127" s="112"/>
      <c r="M127" s="112"/>
      <c r="N127" s="112"/>
      <c r="O127" s="112"/>
      <c r="P127" s="112"/>
      <c r="Q127" s="112"/>
      <c r="R127" s="112"/>
      <c r="S127" s="167"/>
      <c r="T127" s="167"/>
      <c r="U127" s="167"/>
      <c r="V127" s="167"/>
      <c r="W127" s="167"/>
      <c r="X127" s="167"/>
      <c r="Y127" s="167"/>
      <c r="Z127" s="167"/>
      <c r="AA127" s="167"/>
      <c r="AB127" s="167"/>
      <c r="AC127" s="167"/>
      <c r="AD127" s="167"/>
      <c r="AE127" s="167"/>
      <c r="AF127" s="167"/>
      <c r="AG127" s="167"/>
      <c r="AH127" s="167"/>
      <c r="AI127" s="167"/>
      <c r="AJ127" s="167"/>
      <c r="AK127" s="167"/>
      <c r="AL127" s="167"/>
      <c r="AM127" s="167"/>
      <c r="AN127" s="167"/>
      <c r="AO127" s="167"/>
      <c r="AP127" s="167"/>
      <c r="AQ127" s="167"/>
      <c r="AR127" s="167"/>
      <c r="AS127" s="167"/>
      <c r="AT127" s="167"/>
      <c r="AU127" s="167"/>
      <c r="AV127" s="116"/>
      <c r="AW127" s="116"/>
      <c r="AX127" s="116"/>
      <c r="AY127" s="116"/>
    </row>
    <row r="128" spans="1:51" s="115" customFormat="1" x14ac:dyDescent="0.2">
      <c r="A128" s="105"/>
      <c r="D128" s="136"/>
      <c r="G128" s="167"/>
      <c r="H128" s="112"/>
      <c r="I128" s="112"/>
      <c r="J128" s="112"/>
      <c r="K128" s="112"/>
      <c r="L128" s="112"/>
      <c r="M128" s="112"/>
      <c r="N128" s="112"/>
      <c r="O128" s="112"/>
      <c r="P128" s="112"/>
      <c r="Q128" s="112"/>
      <c r="R128" s="112"/>
      <c r="S128" s="167"/>
      <c r="T128" s="167"/>
      <c r="U128" s="167"/>
      <c r="V128" s="167"/>
      <c r="W128" s="167"/>
      <c r="X128" s="167"/>
      <c r="Y128" s="167"/>
      <c r="Z128" s="167"/>
      <c r="AA128" s="167"/>
      <c r="AB128" s="167"/>
      <c r="AC128" s="167"/>
      <c r="AD128" s="167"/>
      <c r="AE128" s="167"/>
      <c r="AF128" s="167"/>
      <c r="AG128" s="167"/>
      <c r="AH128" s="167"/>
      <c r="AI128" s="167"/>
      <c r="AJ128" s="167"/>
      <c r="AK128" s="167"/>
      <c r="AL128" s="167"/>
      <c r="AM128" s="167"/>
      <c r="AN128" s="167"/>
      <c r="AO128" s="167"/>
      <c r="AP128" s="167"/>
      <c r="AQ128" s="167"/>
      <c r="AR128" s="167"/>
      <c r="AS128" s="167"/>
      <c r="AT128" s="167"/>
      <c r="AU128" s="167"/>
      <c r="AV128" s="116"/>
      <c r="AW128" s="116"/>
      <c r="AX128" s="116"/>
      <c r="AY128" s="116"/>
    </row>
    <row r="129" spans="1:51" s="115" customFormat="1" x14ac:dyDescent="0.2">
      <c r="A129" s="105"/>
      <c r="D129" s="136"/>
      <c r="G129" s="167"/>
      <c r="H129" s="112"/>
      <c r="I129" s="112"/>
      <c r="J129" s="112"/>
      <c r="K129" s="112"/>
      <c r="L129" s="112"/>
      <c r="M129" s="112"/>
      <c r="N129" s="112"/>
      <c r="O129" s="112"/>
      <c r="P129" s="112"/>
      <c r="Q129" s="112"/>
      <c r="R129" s="112"/>
      <c r="S129" s="167"/>
      <c r="T129" s="167"/>
      <c r="U129" s="167"/>
      <c r="V129" s="167"/>
      <c r="W129" s="167"/>
      <c r="X129" s="167"/>
      <c r="Y129" s="167"/>
      <c r="Z129" s="167"/>
      <c r="AA129" s="167"/>
      <c r="AB129" s="167"/>
      <c r="AC129" s="167"/>
      <c r="AD129" s="167"/>
      <c r="AE129" s="167"/>
      <c r="AF129" s="167"/>
      <c r="AG129" s="167"/>
      <c r="AH129" s="167"/>
      <c r="AI129" s="167"/>
      <c r="AJ129" s="167"/>
      <c r="AK129" s="167"/>
      <c r="AL129" s="167"/>
      <c r="AM129" s="167"/>
      <c r="AN129" s="167"/>
      <c r="AO129" s="167"/>
      <c r="AP129" s="167"/>
      <c r="AQ129" s="167"/>
      <c r="AR129" s="167"/>
      <c r="AS129" s="167"/>
      <c r="AT129" s="167"/>
      <c r="AU129" s="167"/>
      <c r="AV129" s="116"/>
      <c r="AW129" s="116"/>
      <c r="AX129" s="116"/>
      <c r="AY129" s="116"/>
    </row>
    <row r="130" spans="1:51" s="115" customFormat="1" x14ac:dyDescent="0.2">
      <c r="A130" s="105"/>
      <c r="D130" s="136"/>
      <c r="G130" s="167"/>
      <c r="H130" s="112"/>
      <c r="I130" s="112"/>
      <c r="J130" s="112"/>
      <c r="K130" s="112"/>
      <c r="L130" s="112"/>
      <c r="M130" s="112"/>
      <c r="N130" s="112"/>
      <c r="O130" s="112"/>
      <c r="P130" s="112"/>
      <c r="Q130" s="112"/>
      <c r="R130" s="112"/>
      <c r="S130" s="167"/>
      <c r="T130" s="167"/>
      <c r="U130" s="167"/>
      <c r="V130" s="167"/>
      <c r="W130" s="167"/>
      <c r="X130" s="167"/>
      <c r="Y130" s="167"/>
      <c r="Z130" s="167"/>
      <c r="AA130" s="167"/>
      <c r="AB130" s="167"/>
      <c r="AC130" s="167"/>
      <c r="AD130" s="167"/>
      <c r="AE130" s="167"/>
      <c r="AF130" s="167"/>
      <c r="AG130" s="167"/>
      <c r="AH130" s="167"/>
      <c r="AI130" s="167"/>
      <c r="AJ130" s="167"/>
      <c r="AK130" s="167"/>
      <c r="AL130" s="167"/>
      <c r="AM130" s="167"/>
      <c r="AN130" s="167"/>
      <c r="AO130" s="167"/>
      <c r="AP130" s="167"/>
      <c r="AQ130" s="167"/>
      <c r="AR130" s="167"/>
      <c r="AS130" s="167"/>
      <c r="AT130" s="167"/>
      <c r="AU130" s="167"/>
      <c r="AV130" s="116"/>
      <c r="AW130" s="116"/>
      <c r="AX130" s="116"/>
      <c r="AY130" s="116"/>
    </row>
    <row r="131" spans="1:51" s="115" customFormat="1" x14ac:dyDescent="0.2">
      <c r="A131" s="105"/>
      <c r="D131" s="136"/>
      <c r="G131" s="167"/>
      <c r="H131" s="112"/>
      <c r="I131" s="112"/>
      <c r="J131" s="112"/>
      <c r="K131" s="112"/>
      <c r="L131" s="112"/>
      <c r="M131" s="112"/>
      <c r="N131" s="112"/>
      <c r="O131" s="112"/>
      <c r="P131" s="112"/>
      <c r="Q131" s="112"/>
      <c r="R131" s="112"/>
      <c r="S131" s="167"/>
      <c r="T131" s="167"/>
      <c r="U131" s="167"/>
      <c r="V131" s="167"/>
      <c r="W131" s="167"/>
      <c r="X131" s="167"/>
      <c r="Y131" s="167"/>
      <c r="Z131" s="167"/>
      <c r="AA131" s="167"/>
      <c r="AB131" s="167"/>
      <c r="AC131" s="167"/>
      <c r="AD131" s="167"/>
      <c r="AE131" s="167"/>
      <c r="AF131" s="167"/>
      <c r="AG131" s="167"/>
      <c r="AH131" s="167"/>
      <c r="AI131" s="167"/>
      <c r="AJ131" s="167"/>
      <c r="AK131" s="167"/>
      <c r="AL131" s="167"/>
      <c r="AM131" s="167"/>
      <c r="AN131" s="167"/>
      <c r="AO131" s="167"/>
      <c r="AP131" s="167"/>
      <c r="AQ131" s="167"/>
      <c r="AR131" s="167"/>
      <c r="AS131" s="167"/>
      <c r="AT131" s="167"/>
      <c r="AU131" s="167"/>
      <c r="AV131" s="116"/>
      <c r="AW131" s="116"/>
      <c r="AX131" s="116"/>
      <c r="AY131" s="116"/>
    </row>
    <row r="132" spans="1:51" s="115" customFormat="1" x14ac:dyDescent="0.2">
      <c r="A132" s="105"/>
      <c r="D132" s="136"/>
      <c r="G132" s="167"/>
      <c r="H132" s="112"/>
      <c r="I132" s="112"/>
      <c r="J132" s="112"/>
      <c r="K132" s="112"/>
      <c r="L132" s="112"/>
      <c r="M132" s="112"/>
      <c r="N132" s="112"/>
      <c r="O132" s="112"/>
      <c r="P132" s="112"/>
      <c r="Q132" s="112"/>
      <c r="R132" s="112"/>
      <c r="S132" s="167"/>
      <c r="T132" s="167"/>
      <c r="U132" s="167"/>
      <c r="V132" s="167"/>
      <c r="W132" s="167"/>
      <c r="X132" s="167"/>
      <c r="Y132" s="167"/>
      <c r="Z132" s="167"/>
      <c r="AA132" s="167"/>
      <c r="AB132" s="167"/>
      <c r="AC132" s="167"/>
      <c r="AD132" s="167"/>
      <c r="AE132" s="167"/>
      <c r="AF132" s="167"/>
      <c r="AG132" s="167"/>
      <c r="AH132" s="167"/>
      <c r="AI132" s="167"/>
      <c r="AJ132" s="167"/>
      <c r="AK132" s="167"/>
      <c r="AL132" s="167"/>
      <c r="AM132" s="167"/>
      <c r="AN132" s="167"/>
      <c r="AO132" s="167"/>
      <c r="AP132" s="167"/>
      <c r="AQ132" s="167"/>
      <c r="AR132" s="167"/>
      <c r="AS132" s="167"/>
      <c r="AT132" s="167"/>
      <c r="AU132" s="167"/>
      <c r="AV132" s="116"/>
      <c r="AW132" s="116"/>
      <c r="AX132" s="116"/>
      <c r="AY132" s="116"/>
    </row>
    <row r="133" spans="1:51" s="115" customFormat="1" x14ac:dyDescent="0.2">
      <c r="A133" s="105"/>
      <c r="D133" s="136"/>
      <c r="G133" s="167"/>
      <c r="H133" s="112"/>
      <c r="I133" s="112"/>
      <c r="J133" s="112"/>
      <c r="K133" s="112"/>
      <c r="L133" s="112"/>
      <c r="M133" s="112"/>
      <c r="N133" s="112"/>
      <c r="O133" s="112"/>
      <c r="P133" s="112"/>
      <c r="Q133" s="112"/>
      <c r="R133" s="112"/>
      <c r="S133" s="167"/>
      <c r="T133" s="167"/>
      <c r="U133" s="167"/>
      <c r="V133" s="167"/>
      <c r="W133" s="167"/>
      <c r="X133" s="167"/>
      <c r="Y133" s="167"/>
      <c r="Z133" s="167"/>
      <c r="AA133" s="167"/>
      <c r="AB133" s="167"/>
      <c r="AC133" s="167"/>
      <c r="AD133" s="167"/>
      <c r="AE133" s="167"/>
      <c r="AF133" s="167"/>
      <c r="AG133" s="167"/>
      <c r="AH133" s="167"/>
      <c r="AI133" s="167"/>
      <c r="AJ133" s="167"/>
      <c r="AK133" s="167"/>
      <c r="AL133" s="167"/>
      <c r="AM133" s="167"/>
      <c r="AN133" s="167"/>
      <c r="AO133" s="167"/>
      <c r="AP133" s="167"/>
      <c r="AQ133" s="167"/>
      <c r="AR133" s="167"/>
      <c r="AS133" s="167"/>
      <c r="AT133" s="167"/>
      <c r="AU133" s="167"/>
      <c r="AV133" s="116"/>
      <c r="AW133" s="116"/>
      <c r="AX133" s="116"/>
      <c r="AY133" s="116"/>
    </row>
    <row r="134" spans="1:51" s="115" customFormat="1" x14ac:dyDescent="0.2">
      <c r="A134" s="105"/>
      <c r="D134" s="136"/>
      <c r="G134" s="167"/>
      <c r="H134" s="112"/>
      <c r="I134" s="112"/>
      <c r="J134" s="112"/>
      <c r="K134" s="112"/>
      <c r="L134" s="112"/>
      <c r="M134" s="112"/>
      <c r="N134" s="112"/>
      <c r="O134" s="112"/>
      <c r="P134" s="112"/>
      <c r="Q134" s="112"/>
      <c r="R134" s="112"/>
      <c r="S134" s="167"/>
      <c r="T134" s="167"/>
      <c r="U134" s="167"/>
      <c r="V134" s="167"/>
      <c r="W134" s="167"/>
      <c r="X134" s="167"/>
      <c r="Y134" s="167"/>
      <c r="Z134" s="167"/>
      <c r="AA134" s="167"/>
      <c r="AB134" s="167"/>
      <c r="AC134" s="167"/>
      <c r="AD134" s="167"/>
      <c r="AE134" s="167"/>
      <c r="AF134" s="167"/>
      <c r="AG134" s="167"/>
      <c r="AH134" s="167"/>
      <c r="AI134" s="167"/>
      <c r="AJ134" s="167"/>
      <c r="AK134" s="167"/>
      <c r="AL134" s="167"/>
      <c r="AM134" s="167"/>
      <c r="AN134" s="167"/>
      <c r="AO134" s="167"/>
      <c r="AP134" s="167"/>
      <c r="AQ134" s="167"/>
      <c r="AR134" s="167"/>
      <c r="AS134" s="167"/>
      <c r="AT134" s="167"/>
      <c r="AU134" s="167"/>
      <c r="AV134" s="116"/>
      <c r="AW134" s="116"/>
      <c r="AX134" s="116"/>
      <c r="AY134" s="116"/>
    </row>
    <row r="135" spans="1:51" s="115" customFormat="1" x14ac:dyDescent="0.2">
      <c r="A135" s="105"/>
      <c r="D135" s="136"/>
      <c r="G135" s="51"/>
      <c r="H135" s="112"/>
      <c r="I135" s="112"/>
      <c r="J135" s="112"/>
      <c r="K135" s="112"/>
      <c r="L135" s="112"/>
      <c r="M135" s="112"/>
      <c r="N135" s="112"/>
      <c r="O135" s="112"/>
      <c r="P135" s="112"/>
      <c r="Q135" s="112"/>
      <c r="R135" s="112"/>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116"/>
      <c r="AW135" s="116"/>
      <c r="AX135" s="116"/>
      <c r="AY135" s="116"/>
    </row>
    <row r="136" spans="1:51" s="115" customFormat="1" x14ac:dyDescent="0.2">
      <c r="A136" s="105"/>
      <c r="D136" s="136"/>
      <c r="G136" s="51"/>
      <c r="H136" s="112"/>
      <c r="I136" s="112"/>
      <c r="J136" s="112"/>
      <c r="K136" s="112"/>
      <c r="L136" s="112"/>
      <c r="M136" s="112"/>
      <c r="N136" s="112"/>
      <c r="O136" s="112"/>
      <c r="P136" s="112"/>
      <c r="Q136" s="112"/>
      <c r="R136" s="112"/>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116"/>
      <c r="AW136" s="116"/>
      <c r="AX136" s="116"/>
      <c r="AY136" s="116"/>
    </row>
    <row r="137" spans="1:51" s="115" customFormat="1" x14ac:dyDescent="0.2">
      <c r="A137" s="105"/>
      <c r="D137" s="136"/>
      <c r="G137" s="51"/>
      <c r="H137" s="112"/>
      <c r="I137" s="112"/>
      <c r="J137" s="112"/>
      <c r="K137" s="112"/>
      <c r="L137" s="112"/>
      <c r="M137" s="112"/>
      <c r="N137" s="112"/>
      <c r="O137" s="112"/>
      <c r="P137" s="112"/>
      <c r="Q137" s="112"/>
      <c r="R137" s="112"/>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116"/>
      <c r="AW137" s="116"/>
      <c r="AX137" s="116"/>
      <c r="AY137" s="116"/>
    </row>
    <row r="138" spans="1:51" s="115" customFormat="1" x14ac:dyDescent="0.2">
      <c r="A138" s="105"/>
      <c r="D138" s="136"/>
      <c r="G138" s="51"/>
      <c r="H138" s="112"/>
      <c r="I138" s="112"/>
      <c r="J138" s="112"/>
      <c r="K138" s="112"/>
      <c r="L138" s="112"/>
      <c r="M138" s="112"/>
      <c r="N138" s="112"/>
      <c r="O138" s="112"/>
      <c r="P138" s="112"/>
      <c r="Q138" s="112"/>
      <c r="R138" s="112"/>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116"/>
      <c r="AW138" s="116"/>
      <c r="AX138" s="116"/>
      <c r="AY138" s="116"/>
    </row>
    <row r="139" spans="1:51" s="115" customFormat="1" x14ac:dyDescent="0.2">
      <c r="A139" s="105"/>
      <c r="D139" s="136"/>
      <c r="G139" s="51"/>
      <c r="H139" s="112"/>
      <c r="I139" s="112"/>
      <c r="J139" s="112"/>
      <c r="K139" s="112"/>
      <c r="L139" s="112"/>
      <c r="M139" s="112"/>
      <c r="N139" s="112"/>
      <c r="O139" s="112"/>
      <c r="P139" s="112"/>
      <c r="Q139" s="112"/>
      <c r="R139" s="112"/>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116"/>
      <c r="AW139" s="116"/>
      <c r="AX139" s="116"/>
      <c r="AY139" s="116"/>
    </row>
    <row r="140" spans="1:51" s="115" customFormat="1" x14ac:dyDescent="0.2">
      <c r="A140" s="105"/>
      <c r="D140" s="136"/>
      <c r="G140" s="51"/>
      <c r="H140" s="112"/>
      <c r="I140" s="112"/>
      <c r="J140" s="112"/>
      <c r="K140" s="112"/>
      <c r="L140" s="112"/>
      <c r="M140" s="112"/>
      <c r="N140" s="112"/>
      <c r="O140" s="112"/>
      <c r="P140" s="112"/>
      <c r="Q140" s="112"/>
      <c r="R140" s="112"/>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116"/>
      <c r="AW140" s="116"/>
      <c r="AX140" s="116"/>
      <c r="AY140" s="116"/>
    </row>
    <row r="141" spans="1:51" s="115" customFormat="1" x14ac:dyDescent="0.2">
      <c r="A141" s="105"/>
      <c r="D141" s="136"/>
      <c r="G141" s="51"/>
      <c r="H141" s="112"/>
      <c r="I141" s="112"/>
      <c r="J141" s="112"/>
      <c r="K141" s="112"/>
      <c r="L141" s="112"/>
      <c r="M141" s="112"/>
      <c r="N141" s="112"/>
      <c r="O141" s="112"/>
      <c r="P141" s="112"/>
      <c r="Q141" s="112"/>
      <c r="R141" s="112"/>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116"/>
      <c r="AW141" s="116"/>
      <c r="AX141" s="116"/>
      <c r="AY141" s="116"/>
    </row>
    <row r="142" spans="1:51" s="115" customFormat="1" x14ac:dyDescent="0.2">
      <c r="A142" s="105"/>
      <c r="D142" s="136"/>
      <c r="G142" s="51"/>
      <c r="H142" s="112"/>
      <c r="I142" s="112"/>
      <c r="J142" s="112"/>
      <c r="K142" s="112"/>
      <c r="L142" s="112"/>
      <c r="M142" s="112"/>
      <c r="N142" s="112"/>
      <c r="O142" s="112"/>
      <c r="P142" s="112"/>
      <c r="Q142" s="112"/>
      <c r="R142" s="112"/>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116"/>
      <c r="AW142" s="116"/>
      <c r="AX142" s="116"/>
      <c r="AY142" s="116"/>
    </row>
    <row r="143" spans="1:51" s="115" customFormat="1" x14ac:dyDescent="0.2">
      <c r="A143" s="105"/>
      <c r="D143" s="136"/>
      <c r="G143" s="51"/>
      <c r="H143" s="112"/>
      <c r="I143" s="112"/>
      <c r="J143" s="112"/>
      <c r="K143" s="112"/>
      <c r="L143" s="112"/>
      <c r="M143" s="112"/>
      <c r="N143" s="112"/>
      <c r="O143" s="112"/>
      <c r="P143" s="112"/>
      <c r="Q143" s="112"/>
      <c r="R143" s="112"/>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116"/>
      <c r="AW143" s="116"/>
      <c r="AX143" s="116"/>
      <c r="AY143" s="116"/>
    </row>
    <row r="144" spans="1:51" s="115" customFormat="1" x14ac:dyDescent="0.2">
      <c r="A144" s="105"/>
      <c r="D144" s="136"/>
      <c r="G144" s="51"/>
      <c r="H144" s="112"/>
      <c r="I144" s="112"/>
      <c r="J144" s="112"/>
      <c r="K144" s="112"/>
      <c r="L144" s="112"/>
      <c r="M144" s="112"/>
      <c r="N144" s="112"/>
      <c r="O144" s="112"/>
      <c r="P144" s="112"/>
      <c r="Q144" s="112"/>
      <c r="R144" s="112"/>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116"/>
      <c r="AW144" s="116"/>
      <c r="AX144" s="116"/>
      <c r="AY144" s="116"/>
    </row>
    <row r="145" spans="1:51" s="115" customFormat="1" x14ac:dyDescent="0.2">
      <c r="A145" s="116"/>
      <c r="D145" s="136"/>
      <c r="G145" s="51"/>
      <c r="H145" s="112"/>
      <c r="I145" s="112"/>
      <c r="J145" s="112"/>
      <c r="K145" s="112"/>
      <c r="L145" s="112"/>
      <c r="M145" s="112"/>
      <c r="N145" s="112"/>
      <c r="O145" s="112"/>
      <c r="P145" s="112"/>
      <c r="Q145" s="112"/>
      <c r="R145" s="112"/>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116"/>
      <c r="AW145" s="116"/>
      <c r="AX145" s="116"/>
      <c r="AY145" s="116"/>
    </row>
    <row r="146" spans="1:51" s="115" customFormat="1" x14ac:dyDescent="0.2">
      <c r="A146" s="116"/>
      <c r="D146" s="136"/>
      <c r="G146" s="51"/>
      <c r="H146" s="112"/>
      <c r="I146" s="112"/>
      <c r="J146" s="112"/>
      <c r="K146" s="112"/>
      <c r="L146" s="112"/>
      <c r="M146" s="112"/>
      <c r="N146" s="112"/>
      <c r="O146" s="112"/>
      <c r="P146" s="112"/>
      <c r="Q146" s="112"/>
      <c r="R146" s="112"/>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116"/>
      <c r="AW146" s="116"/>
      <c r="AX146" s="116"/>
      <c r="AY146" s="116"/>
    </row>
    <row r="147" spans="1:51" s="115" customFormat="1" x14ac:dyDescent="0.2">
      <c r="A147" s="116"/>
      <c r="D147" s="136"/>
      <c r="G147" s="51"/>
      <c r="H147" s="112"/>
      <c r="I147" s="112"/>
      <c r="J147" s="112"/>
      <c r="K147" s="112"/>
      <c r="L147" s="112"/>
      <c r="M147" s="112"/>
      <c r="N147" s="112"/>
      <c r="O147" s="112"/>
      <c r="P147" s="112"/>
      <c r="Q147" s="112"/>
      <c r="R147" s="112"/>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116"/>
      <c r="AW147" s="116"/>
      <c r="AX147" s="116"/>
      <c r="AY147" s="116"/>
    </row>
    <row r="148" spans="1:51" s="115" customFormat="1" x14ac:dyDescent="0.2">
      <c r="A148" s="116"/>
      <c r="D148" s="136"/>
      <c r="G148" s="51"/>
      <c r="H148" s="112"/>
      <c r="I148" s="112"/>
      <c r="J148" s="112"/>
      <c r="K148" s="112"/>
      <c r="L148" s="112"/>
      <c r="M148" s="112"/>
      <c r="N148" s="112"/>
      <c r="O148" s="112"/>
      <c r="P148" s="112"/>
      <c r="Q148" s="112"/>
      <c r="R148" s="112"/>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116"/>
      <c r="AW148" s="116"/>
      <c r="AX148" s="116"/>
      <c r="AY148" s="116"/>
    </row>
    <row r="149" spans="1:51" s="115" customFormat="1" x14ac:dyDescent="0.2">
      <c r="A149" s="116"/>
      <c r="D149" s="136"/>
      <c r="G149" s="51"/>
      <c r="H149" s="112"/>
      <c r="I149" s="112"/>
      <c r="J149" s="112"/>
      <c r="K149" s="112"/>
      <c r="L149" s="112"/>
      <c r="M149" s="112"/>
      <c r="N149" s="112"/>
      <c r="O149" s="112"/>
      <c r="P149" s="112"/>
      <c r="Q149" s="112"/>
      <c r="R149" s="112"/>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116"/>
      <c r="AW149" s="116"/>
      <c r="AX149" s="116"/>
      <c r="AY149" s="116"/>
    </row>
    <row r="150" spans="1:51" s="115" customFormat="1" x14ac:dyDescent="0.2">
      <c r="A150" s="116"/>
      <c r="D150" s="136"/>
      <c r="G150" s="51"/>
      <c r="H150" s="112"/>
      <c r="I150" s="112"/>
      <c r="J150" s="112"/>
      <c r="K150" s="112"/>
      <c r="L150" s="112"/>
      <c r="M150" s="112"/>
      <c r="N150" s="112"/>
      <c r="O150" s="112"/>
      <c r="P150" s="112"/>
      <c r="Q150" s="112"/>
      <c r="R150" s="112"/>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116"/>
      <c r="AW150" s="116"/>
      <c r="AX150" s="116"/>
      <c r="AY150" s="116"/>
    </row>
    <row r="151" spans="1:51" s="115" customFormat="1" x14ac:dyDescent="0.2">
      <c r="A151" s="116"/>
      <c r="D151" s="136"/>
      <c r="G151" s="51"/>
      <c r="H151" s="112"/>
      <c r="I151" s="112"/>
      <c r="J151" s="112"/>
      <c r="K151" s="112"/>
      <c r="L151" s="112"/>
      <c r="M151" s="112"/>
      <c r="N151" s="112"/>
      <c r="O151" s="112"/>
      <c r="P151" s="112"/>
      <c r="Q151" s="112"/>
      <c r="R151" s="112"/>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116"/>
      <c r="AW151" s="116"/>
      <c r="AX151" s="116"/>
      <c r="AY151" s="116"/>
    </row>
    <row r="152" spans="1:51" s="115" customFormat="1" x14ac:dyDescent="0.2">
      <c r="A152" s="116"/>
      <c r="D152" s="136"/>
      <c r="G152" s="51"/>
      <c r="H152" s="112"/>
      <c r="I152" s="112"/>
      <c r="J152" s="112"/>
      <c r="K152" s="112"/>
      <c r="L152" s="112"/>
      <c r="M152" s="112"/>
      <c r="N152" s="112"/>
      <c r="O152" s="112"/>
      <c r="P152" s="112"/>
      <c r="Q152" s="112"/>
      <c r="R152" s="112"/>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116"/>
      <c r="AW152" s="116"/>
      <c r="AX152" s="116"/>
      <c r="AY152" s="116"/>
    </row>
    <row r="153" spans="1:51" s="115" customFormat="1" x14ac:dyDescent="0.2">
      <c r="A153" s="116"/>
      <c r="D153" s="136"/>
      <c r="G153" s="51"/>
      <c r="H153" s="112"/>
      <c r="I153" s="112"/>
      <c r="J153" s="112"/>
      <c r="K153" s="112"/>
      <c r="L153" s="112"/>
      <c r="M153" s="112"/>
      <c r="N153" s="112"/>
      <c r="O153" s="112"/>
      <c r="P153" s="112"/>
      <c r="Q153" s="112"/>
      <c r="R153" s="112"/>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116"/>
      <c r="AW153" s="116"/>
      <c r="AX153" s="116"/>
      <c r="AY153" s="116"/>
    </row>
    <row r="154" spans="1:51" s="115" customFormat="1" x14ac:dyDescent="0.2">
      <c r="A154" s="116"/>
      <c r="D154" s="136"/>
      <c r="G154" s="51"/>
      <c r="H154" s="112"/>
      <c r="I154" s="112"/>
      <c r="J154" s="112"/>
      <c r="K154" s="112"/>
      <c r="L154" s="112"/>
      <c r="M154" s="112"/>
      <c r="N154" s="112"/>
      <c r="O154" s="112"/>
      <c r="P154" s="112"/>
      <c r="Q154" s="112"/>
      <c r="R154" s="112"/>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116"/>
      <c r="AW154" s="116"/>
      <c r="AX154" s="116"/>
      <c r="AY154" s="116"/>
    </row>
    <row r="155" spans="1:51" s="115" customFormat="1" x14ac:dyDescent="0.2">
      <c r="A155" s="116"/>
      <c r="D155" s="136"/>
      <c r="G155" s="51"/>
      <c r="H155" s="112"/>
      <c r="I155" s="112"/>
      <c r="J155" s="112"/>
      <c r="K155" s="112"/>
      <c r="L155" s="112"/>
      <c r="M155" s="112"/>
      <c r="N155" s="112"/>
      <c r="O155" s="112"/>
      <c r="P155" s="112"/>
      <c r="Q155" s="112"/>
      <c r="R155" s="112"/>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116"/>
      <c r="AW155" s="116"/>
      <c r="AX155" s="116"/>
      <c r="AY155" s="116"/>
    </row>
    <row r="156" spans="1:51" s="115" customFormat="1" x14ac:dyDescent="0.2">
      <c r="A156" s="116"/>
      <c r="D156" s="136"/>
      <c r="G156" s="51"/>
      <c r="H156" s="112"/>
      <c r="I156" s="112"/>
      <c r="J156" s="112"/>
      <c r="K156" s="112"/>
      <c r="L156" s="112"/>
      <c r="M156" s="112"/>
      <c r="N156" s="112"/>
      <c r="O156" s="112"/>
      <c r="P156" s="112"/>
      <c r="Q156" s="112"/>
      <c r="R156" s="112"/>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116"/>
      <c r="AW156" s="116"/>
      <c r="AX156" s="116"/>
      <c r="AY156" s="116"/>
    </row>
    <row r="157" spans="1:51" s="115" customFormat="1" x14ac:dyDescent="0.2">
      <c r="A157" s="116"/>
      <c r="D157" s="136"/>
      <c r="G157" s="51"/>
      <c r="H157" s="112"/>
      <c r="I157" s="112"/>
      <c r="J157" s="112"/>
      <c r="K157" s="112"/>
      <c r="L157" s="112"/>
      <c r="M157" s="112"/>
      <c r="N157" s="112"/>
      <c r="O157" s="112"/>
      <c r="P157" s="112"/>
      <c r="Q157" s="112"/>
      <c r="R157" s="112"/>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116"/>
      <c r="AW157" s="116"/>
      <c r="AX157" s="116"/>
      <c r="AY157" s="116"/>
    </row>
    <row r="158" spans="1:51" s="115" customFormat="1" x14ac:dyDescent="0.2">
      <c r="A158" s="116"/>
      <c r="D158" s="136"/>
      <c r="G158" s="51"/>
      <c r="H158" s="112"/>
      <c r="I158" s="112"/>
      <c r="J158" s="112"/>
      <c r="K158" s="112"/>
      <c r="L158" s="112"/>
      <c r="M158" s="112"/>
      <c r="N158" s="112"/>
      <c r="O158" s="112"/>
      <c r="P158" s="112"/>
      <c r="Q158" s="112"/>
      <c r="R158" s="112"/>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116"/>
      <c r="AW158" s="116"/>
      <c r="AX158" s="116"/>
      <c r="AY158" s="116"/>
    </row>
    <row r="159" spans="1:51" s="115" customFormat="1" x14ac:dyDescent="0.2">
      <c r="A159" s="116"/>
      <c r="D159" s="136"/>
      <c r="G159" s="51"/>
      <c r="H159" s="112"/>
      <c r="I159" s="112"/>
      <c r="J159" s="112"/>
      <c r="K159" s="112"/>
      <c r="L159" s="112"/>
      <c r="M159" s="112"/>
      <c r="N159" s="112"/>
      <c r="O159" s="112"/>
      <c r="P159" s="112"/>
      <c r="Q159" s="112"/>
      <c r="R159" s="112"/>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116"/>
      <c r="AW159" s="116"/>
      <c r="AX159" s="116"/>
      <c r="AY159" s="116"/>
    </row>
    <row r="160" spans="1:51" s="115" customFormat="1" x14ac:dyDescent="0.2">
      <c r="A160" s="116"/>
      <c r="D160" s="136"/>
      <c r="G160" s="51"/>
      <c r="H160" s="112"/>
      <c r="I160" s="112"/>
      <c r="J160" s="112"/>
      <c r="K160" s="112"/>
      <c r="L160" s="112"/>
      <c r="M160" s="112"/>
      <c r="N160" s="112"/>
      <c r="O160" s="112"/>
      <c r="P160" s="112"/>
      <c r="Q160" s="112"/>
      <c r="R160" s="112"/>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116"/>
      <c r="AW160" s="116"/>
      <c r="AX160" s="116"/>
      <c r="AY160" s="116"/>
    </row>
    <row r="161" spans="1:51" s="115" customFormat="1" x14ac:dyDescent="0.2">
      <c r="A161" s="116"/>
      <c r="D161" s="136"/>
      <c r="G161" s="51"/>
      <c r="H161" s="112"/>
      <c r="I161" s="112"/>
      <c r="J161" s="112"/>
      <c r="K161" s="112"/>
      <c r="L161" s="112"/>
      <c r="M161" s="112"/>
      <c r="N161" s="112"/>
      <c r="O161" s="112"/>
      <c r="P161" s="112"/>
      <c r="Q161" s="112"/>
      <c r="R161" s="112"/>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116"/>
      <c r="AW161" s="116"/>
      <c r="AX161" s="116"/>
      <c r="AY161" s="116"/>
    </row>
    <row r="162" spans="1:51" s="115" customFormat="1" x14ac:dyDescent="0.2">
      <c r="A162" s="116"/>
      <c r="D162" s="136"/>
      <c r="G162" s="51"/>
      <c r="H162" s="112"/>
      <c r="I162" s="112"/>
      <c r="J162" s="112"/>
      <c r="K162" s="112"/>
      <c r="L162" s="112"/>
      <c r="M162" s="112"/>
      <c r="N162" s="112"/>
      <c r="O162" s="112"/>
      <c r="P162" s="112"/>
      <c r="Q162" s="112"/>
      <c r="R162" s="112"/>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116"/>
      <c r="AW162" s="116"/>
      <c r="AX162" s="116"/>
      <c r="AY162" s="116"/>
    </row>
    <row r="163" spans="1:51" s="115" customFormat="1" x14ac:dyDescent="0.2">
      <c r="A163" s="116"/>
      <c r="D163" s="136"/>
      <c r="G163" s="51"/>
      <c r="H163" s="112"/>
      <c r="I163" s="112"/>
      <c r="J163" s="112"/>
      <c r="K163" s="112"/>
      <c r="L163" s="112"/>
      <c r="M163" s="112"/>
      <c r="N163" s="112"/>
      <c r="O163" s="112"/>
      <c r="P163" s="112"/>
      <c r="Q163" s="112"/>
      <c r="R163" s="112"/>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116"/>
      <c r="AW163" s="116"/>
      <c r="AX163" s="116"/>
      <c r="AY163" s="116"/>
    </row>
    <row r="164" spans="1:51" s="115" customFormat="1" x14ac:dyDescent="0.2">
      <c r="A164" s="116"/>
      <c r="D164" s="136"/>
      <c r="G164" s="51"/>
      <c r="H164" s="112"/>
      <c r="I164" s="112"/>
      <c r="J164" s="112"/>
      <c r="K164" s="112"/>
      <c r="L164" s="112"/>
      <c r="M164" s="112"/>
      <c r="N164" s="112"/>
      <c r="O164" s="112"/>
      <c r="P164" s="112"/>
      <c r="Q164" s="112"/>
      <c r="R164" s="112"/>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116"/>
      <c r="AW164" s="116"/>
      <c r="AX164" s="116"/>
      <c r="AY164" s="116"/>
    </row>
    <row r="165" spans="1:51" s="115" customFormat="1" x14ac:dyDescent="0.2">
      <c r="A165" s="116"/>
      <c r="D165" s="136"/>
      <c r="G165" s="51"/>
      <c r="H165" s="112"/>
      <c r="I165" s="112"/>
      <c r="J165" s="112"/>
      <c r="K165" s="112"/>
      <c r="L165" s="112"/>
      <c r="M165" s="112"/>
      <c r="N165" s="112"/>
      <c r="O165" s="112"/>
      <c r="P165" s="112"/>
      <c r="Q165" s="112"/>
      <c r="R165" s="112"/>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116"/>
      <c r="AW165" s="116"/>
      <c r="AX165" s="116"/>
      <c r="AY165" s="116"/>
    </row>
    <row r="166" spans="1:51" s="115" customFormat="1" x14ac:dyDescent="0.2">
      <c r="A166" s="116"/>
      <c r="D166" s="136"/>
      <c r="G166" s="51"/>
      <c r="H166" s="112"/>
      <c r="I166" s="112"/>
      <c r="J166" s="112"/>
      <c r="K166" s="112"/>
      <c r="L166" s="112"/>
      <c r="M166" s="112"/>
      <c r="N166" s="112"/>
      <c r="O166" s="112"/>
      <c r="P166" s="112"/>
      <c r="Q166" s="112"/>
      <c r="R166" s="112"/>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116"/>
      <c r="AW166" s="116"/>
      <c r="AX166" s="116"/>
      <c r="AY166" s="116"/>
    </row>
    <row r="167" spans="1:51" s="115" customFormat="1" x14ac:dyDescent="0.2">
      <c r="A167" s="116"/>
      <c r="D167" s="136"/>
      <c r="G167" s="51"/>
      <c r="H167" s="112"/>
      <c r="I167" s="112"/>
      <c r="J167" s="112"/>
      <c r="K167" s="112"/>
      <c r="L167" s="112"/>
      <c r="M167" s="112"/>
      <c r="N167" s="112"/>
      <c r="O167" s="112"/>
      <c r="P167" s="112"/>
      <c r="Q167" s="112"/>
      <c r="R167" s="112"/>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116"/>
      <c r="AW167" s="116"/>
      <c r="AX167" s="116"/>
      <c r="AY167" s="116"/>
    </row>
    <row r="168" spans="1:51" s="115" customFormat="1" x14ac:dyDescent="0.2">
      <c r="A168" s="116"/>
      <c r="D168" s="136"/>
      <c r="G168" s="51"/>
      <c r="H168" s="112"/>
      <c r="I168" s="112"/>
      <c r="J168" s="112"/>
      <c r="K168" s="112"/>
      <c r="L168" s="112"/>
      <c r="M168" s="112"/>
      <c r="N168" s="112"/>
      <c r="O168" s="112"/>
      <c r="P168" s="112"/>
      <c r="Q168" s="112"/>
      <c r="R168" s="112"/>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116"/>
      <c r="AW168" s="116"/>
      <c r="AX168" s="116"/>
      <c r="AY168" s="116"/>
    </row>
    <row r="169" spans="1:51" s="115" customFormat="1" x14ac:dyDescent="0.2">
      <c r="A169" s="116"/>
      <c r="D169" s="136"/>
      <c r="G169" s="51"/>
      <c r="H169" s="112"/>
      <c r="I169" s="112"/>
      <c r="J169" s="112"/>
      <c r="K169" s="112"/>
      <c r="L169" s="112"/>
      <c r="M169" s="112"/>
      <c r="N169" s="112"/>
      <c r="O169" s="112"/>
      <c r="P169" s="112"/>
      <c r="Q169" s="112"/>
      <c r="R169" s="112"/>
      <c r="S169" s="112"/>
      <c r="T169" s="112"/>
      <c r="U169" s="112"/>
      <c r="V169" s="112"/>
      <c r="W169" s="112"/>
      <c r="X169" s="112"/>
      <c r="Y169" s="112"/>
      <c r="Z169" s="112"/>
      <c r="AA169" s="112"/>
      <c r="AB169" s="112"/>
      <c r="AC169" s="112"/>
      <c r="AD169" s="112"/>
      <c r="AE169" s="112"/>
      <c r="AF169" s="112"/>
      <c r="AG169" s="112"/>
      <c r="AH169" s="112"/>
      <c r="AI169" s="112"/>
      <c r="AJ169" s="112"/>
      <c r="AK169" s="112"/>
      <c r="AL169" s="112"/>
      <c r="AM169" s="112"/>
      <c r="AN169" s="112"/>
      <c r="AO169" s="112"/>
      <c r="AP169" s="112"/>
      <c r="AQ169" s="112"/>
      <c r="AR169" s="112"/>
      <c r="AS169" s="112"/>
      <c r="AT169" s="112"/>
      <c r="AU169" s="112"/>
    </row>
    <row r="170" spans="1:51" s="115" customFormat="1" x14ac:dyDescent="0.2">
      <c r="A170" s="116"/>
      <c r="D170" s="136"/>
      <c r="G170" s="51"/>
      <c r="H170" s="112"/>
      <c r="I170" s="112"/>
      <c r="J170" s="112"/>
      <c r="K170" s="112"/>
      <c r="L170" s="112"/>
      <c r="M170" s="112"/>
      <c r="N170" s="112"/>
      <c r="O170" s="112"/>
      <c r="P170" s="112"/>
      <c r="Q170" s="112"/>
      <c r="R170" s="112"/>
      <c r="S170" s="112"/>
      <c r="T170" s="112"/>
      <c r="U170" s="112"/>
      <c r="V170" s="112"/>
      <c r="W170" s="112"/>
      <c r="X170" s="112"/>
      <c r="Y170" s="112"/>
      <c r="Z170" s="112"/>
      <c r="AA170" s="112"/>
      <c r="AB170" s="112"/>
      <c r="AC170" s="112"/>
      <c r="AD170" s="112"/>
      <c r="AE170" s="112"/>
      <c r="AF170" s="112"/>
      <c r="AG170" s="112"/>
      <c r="AH170" s="112"/>
      <c r="AI170" s="112"/>
      <c r="AJ170" s="112"/>
      <c r="AK170" s="112"/>
      <c r="AL170" s="112"/>
      <c r="AM170" s="112"/>
      <c r="AN170" s="112"/>
      <c r="AO170" s="112"/>
      <c r="AP170" s="112"/>
      <c r="AQ170" s="112"/>
      <c r="AR170" s="112"/>
      <c r="AS170" s="112"/>
      <c r="AT170" s="112"/>
      <c r="AU170" s="112"/>
    </row>
    <row r="171" spans="1:51" s="115" customFormat="1" x14ac:dyDescent="0.2">
      <c r="A171" s="116"/>
      <c r="D171" s="136"/>
      <c r="G171" s="51"/>
      <c r="H171" s="112"/>
      <c r="I171" s="112"/>
      <c r="J171" s="112"/>
      <c r="K171" s="112"/>
      <c r="L171" s="112"/>
      <c r="M171" s="112"/>
      <c r="N171" s="112"/>
      <c r="O171" s="112"/>
      <c r="P171" s="112"/>
      <c r="Q171" s="112"/>
      <c r="R171" s="112"/>
      <c r="S171" s="112"/>
      <c r="T171" s="112"/>
      <c r="U171" s="112"/>
      <c r="V171" s="112"/>
      <c r="W171" s="112"/>
      <c r="X171" s="112"/>
      <c r="Y171" s="112"/>
      <c r="Z171" s="112"/>
      <c r="AA171" s="112"/>
      <c r="AB171" s="112"/>
      <c r="AC171" s="112"/>
      <c r="AD171" s="112"/>
      <c r="AE171" s="112"/>
      <c r="AF171" s="112"/>
      <c r="AG171" s="112"/>
      <c r="AH171" s="112"/>
      <c r="AI171" s="112"/>
      <c r="AJ171" s="112"/>
      <c r="AK171" s="112"/>
      <c r="AL171" s="112"/>
      <c r="AM171" s="112"/>
      <c r="AN171" s="112"/>
      <c r="AO171" s="112"/>
      <c r="AP171" s="112"/>
      <c r="AQ171" s="112"/>
      <c r="AR171" s="112"/>
      <c r="AS171" s="112"/>
      <c r="AT171" s="112"/>
      <c r="AU171" s="112"/>
    </row>
    <row r="172" spans="1:51" s="115" customFormat="1" x14ac:dyDescent="0.2">
      <c r="A172" s="116"/>
      <c r="D172" s="136"/>
      <c r="G172" s="51"/>
      <c r="H172" s="112"/>
      <c r="I172" s="112"/>
      <c r="J172" s="112"/>
      <c r="K172" s="112"/>
      <c r="L172" s="112"/>
      <c r="M172" s="112"/>
      <c r="N172" s="112"/>
      <c r="O172" s="112"/>
      <c r="P172" s="112"/>
      <c r="Q172" s="112"/>
      <c r="R172" s="112"/>
      <c r="S172" s="112"/>
      <c r="T172" s="112"/>
      <c r="U172" s="112"/>
      <c r="V172" s="112"/>
      <c r="W172" s="112"/>
      <c r="X172" s="112"/>
      <c r="Y172" s="112"/>
      <c r="Z172" s="112"/>
      <c r="AA172" s="112"/>
      <c r="AB172" s="112"/>
      <c r="AC172" s="112"/>
      <c r="AD172" s="112"/>
      <c r="AE172" s="112"/>
      <c r="AF172" s="112"/>
      <c r="AG172" s="112"/>
      <c r="AH172" s="112"/>
      <c r="AI172" s="112"/>
      <c r="AJ172" s="112"/>
      <c r="AK172" s="112"/>
      <c r="AL172" s="112"/>
      <c r="AM172" s="112"/>
      <c r="AN172" s="112"/>
      <c r="AO172" s="112"/>
      <c r="AP172" s="112"/>
      <c r="AQ172" s="112"/>
      <c r="AR172" s="112"/>
      <c r="AS172" s="112"/>
      <c r="AT172" s="112"/>
      <c r="AU172" s="112"/>
    </row>
    <row r="173" spans="1:51" s="115" customFormat="1" x14ac:dyDescent="0.2">
      <c r="A173" s="116"/>
      <c r="D173" s="136"/>
      <c r="G173" s="51"/>
      <c r="H173" s="112"/>
      <c r="I173" s="112"/>
      <c r="J173" s="112"/>
      <c r="K173" s="112"/>
      <c r="L173" s="112"/>
      <c r="M173" s="112"/>
      <c r="N173" s="112"/>
      <c r="O173" s="112"/>
      <c r="P173" s="112"/>
      <c r="Q173" s="112"/>
      <c r="R173" s="112"/>
      <c r="S173" s="112"/>
      <c r="T173" s="112"/>
      <c r="U173" s="112"/>
      <c r="V173" s="112"/>
      <c r="W173" s="112"/>
      <c r="X173" s="112"/>
      <c r="Y173" s="112"/>
      <c r="Z173" s="112"/>
      <c r="AA173" s="112"/>
      <c r="AB173" s="112"/>
      <c r="AC173" s="112"/>
      <c r="AD173" s="112"/>
      <c r="AE173" s="112"/>
      <c r="AF173" s="112"/>
      <c r="AG173" s="112"/>
      <c r="AH173" s="112"/>
      <c r="AI173" s="112"/>
      <c r="AJ173" s="112"/>
      <c r="AK173" s="112"/>
      <c r="AL173" s="112"/>
      <c r="AM173" s="112"/>
      <c r="AN173" s="112"/>
      <c r="AO173" s="112"/>
      <c r="AP173" s="112"/>
      <c r="AQ173" s="112"/>
      <c r="AR173" s="112"/>
      <c r="AS173" s="112"/>
      <c r="AT173" s="112"/>
      <c r="AU173" s="112"/>
    </row>
    <row r="174" spans="1:51" s="115" customFormat="1" x14ac:dyDescent="0.2">
      <c r="A174" s="116"/>
      <c r="D174" s="136"/>
      <c r="G174" s="51"/>
      <c r="H174" s="112"/>
      <c r="I174" s="112"/>
      <c r="J174" s="112"/>
      <c r="K174" s="112"/>
      <c r="L174" s="112"/>
      <c r="M174" s="112"/>
      <c r="N174" s="112"/>
      <c r="O174" s="112"/>
      <c r="P174" s="112"/>
      <c r="Q174" s="112"/>
      <c r="R174" s="112"/>
      <c r="S174" s="112"/>
      <c r="T174" s="112"/>
      <c r="U174" s="112"/>
      <c r="V174" s="112"/>
      <c r="W174" s="112"/>
      <c r="X174" s="112"/>
      <c r="Y174" s="112"/>
      <c r="Z174" s="112"/>
      <c r="AA174" s="112"/>
      <c r="AB174" s="112"/>
      <c r="AC174" s="112"/>
      <c r="AD174" s="112"/>
      <c r="AE174" s="112"/>
      <c r="AF174" s="112"/>
      <c r="AG174" s="112"/>
      <c r="AH174" s="112"/>
      <c r="AI174" s="112"/>
      <c r="AJ174" s="112"/>
      <c r="AK174" s="112"/>
      <c r="AL174" s="112"/>
      <c r="AM174" s="112"/>
      <c r="AN174" s="112"/>
      <c r="AO174" s="112"/>
      <c r="AP174" s="112"/>
      <c r="AQ174" s="112"/>
      <c r="AR174" s="112"/>
      <c r="AS174" s="112"/>
      <c r="AT174" s="112"/>
      <c r="AU174" s="112"/>
    </row>
    <row r="175" spans="1:51" s="115" customFormat="1" x14ac:dyDescent="0.2">
      <c r="A175" s="116"/>
      <c r="D175" s="136"/>
      <c r="G175" s="51"/>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c r="AD175" s="112"/>
      <c r="AE175" s="112"/>
      <c r="AF175" s="112"/>
      <c r="AG175" s="112"/>
      <c r="AH175" s="112"/>
      <c r="AI175" s="112"/>
      <c r="AJ175" s="112"/>
      <c r="AK175" s="112"/>
      <c r="AL175" s="112"/>
      <c r="AM175" s="112"/>
      <c r="AN175" s="112"/>
      <c r="AO175" s="112"/>
      <c r="AP175" s="112"/>
      <c r="AQ175" s="112"/>
      <c r="AR175" s="112"/>
      <c r="AS175" s="112"/>
      <c r="AT175" s="112"/>
      <c r="AU175" s="112"/>
    </row>
    <row r="176" spans="1:51" s="115" customFormat="1" x14ac:dyDescent="0.2">
      <c r="A176" s="116"/>
      <c r="D176" s="136"/>
      <c r="G176" s="51"/>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c r="AD176" s="112"/>
      <c r="AE176" s="112"/>
      <c r="AF176" s="112"/>
      <c r="AG176" s="112"/>
      <c r="AH176" s="112"/>
      <c r="AI176" s="112"/>
      <c r="AJ176" s="112"/>
      <c r="AK176" s="112"/>
      <c r="AL176" s="112"/>
      <c r="AM176" s="112"/>
      <c r="AN176" s="112"/>
      <c r="AO176" s="112"/>
      <c r="AP176" s="112"/>
      <c r="AQ176" s="112"/>
      <c r="AR176" s="112"/>
      <c r="AS176" s="112"/>
      <c r="AT176" s="112"/>
      <c r="AU176" s="112"/>
    </row>
    <row r="177" spans="1:47" s="115" customFormat="1" x14ac:dyDescent="0.2">
      <c r="A177" s="116"/>
      <c r="D177" s="136"/>
      <c r="G177" s="51"/>
      <c r="H177" s="112"/>
      <c r="I177" s="112"/>
      <c r="J177" s="112"/>
      <c r="K177" s="112"/>
      <c r="L177" s="112"/>
      <c r="M177" s="112"/>
      <c r="N177" s="112"/>
      <c r="O177" s="112"/>
      <c r="P177" s="112"/>
      <c r="Q177" s="112"/>
      <c r="R177" s="112"/>
      <c r="S177" s="112"/>
      <c r="T177" s="112"/>
      <c r="U177" s="112"/>
      <c r="V177" s="112"/>
      <c r="W177" s="112"/>
      <c r="X177" s="112"/>
      <c r="Y177" s="112"/>
      <c r="Z177" s="112"/>
      <c r="AA177" s="112"/>
      <c r="AB177" s="112"/>
      <c r="AC177" s="112"/>
      <c r="AD177" s="112"/>
      <c r="AE177" s="112"/>
      <c r="AF177" s="112"/>
      <c r="AG177" s="112"/>
      <c r="AH177" s="112"/>
      <c r="AI177" s="112"/>
      <c r="AJ177" s="112"/>
      <c r="AK177" s="112"/>
      <c r="AL177" s="112"/>
      <c r="AM177" s="112"/>
      <c r="AN177" s="112"/>
      <c r="AO177" s="112"/>
      <c r="AP177" s="112"/>
      <c r="AQ177" s="112"/>
      <c r="AR177" s="112"/>
      <c r="AS177" s="112"/>
      <c r="AT177" s="112"/>
      <c r="AU177" s="112"/>
    </row>
    <row r="178" spans="1:47" s="115" customFormat="1" x14ac:dyDescent="0.2">
      <c r="A178" s="116"/>
      <c r="D178" s="136"/>
      <c r="G178" s="51"/>
      <c r="H178" s="112"/>
      <c r="I178" s="112"/>
      <c r="J178" s="112"/>
      <c r="K178" s="112"/>
      <c r="L178" s="112"/>
      <c r="M178" s="112"/>
      <c r="N178" s="112"/>
      <c r="O178" s="112"/>
      <c r="P178" s="112"/>
      <c r="Q178" s="112"/>
      <c r="R178" s="112"/>
      <c r="S178" s="112"/>
      <c r="T178" s="112"/>
      <c r="U178" s="112"/>
      <c r="V178" s="112"/>
      <c r="W178" s="112"/>
      <c r="X178" s="112"/>
      <c r="Y178" s="112"/>
      <c r="Z178" s="112"/>
      <c r="AA178" s="112"/>
      <c r="AB178" s="112"/>
      <c r="AC178" s="112"/>
      <c r="AD178" s="112"/>
      <c r="AE178" s="112"/>
      <c r="AF178" s="112"/>
      <c r="AG178" s="112"/>
      <c r="AH178" s="112"/>
      <c r="AI178" s="112"/>
      <c r="AJ178" s="112"/>
      <c r="AK178" s="112"/>
      <c r="AL178" s="112"/>
      <c r="AM178" s="112"/>
      <c r="AN178" s="112"/>
      <c r="AO178" s="112"/>
      <c r="AP178" s="112"/>
      <c r="AQ178" s="112"/>
      <c r="AR178" s="112"/>
      <c r="AS178" s="112"/>
      <c r="AT178" s="112"/>
      <c r="AU178" s="112"/>
    </row>
    <row r="179" spans="1:47" s="115" customFormat="1" x14ac:dyDescent="0.2">
      <c r="A179" s="116"/>
      <c r="D179" s="136"/>
      <c r="G179" s="51"/>
      <c r="H179" s="112"/>
      <c r="I179" s="112"/>
      <c r="J179" s="112"/>
      <c r="K179" s="112"/>
      <c r="L179" s="112"/>
      <c r="M179" s="112"/>
      <c r="N179" s="112"/>
      <c r="O179" s="112"/>
      <c r="P179" s="112"/>
      <c r="Q179" s="112"/>
      <c r="R179" s="112"/>
      <c r="S179" s="112"/>
      <c r="T179" s="112"/>
      <c r="U179" s="112"/>
      <c r="V179" s="112"/>
      <c r="W179" s="112"/>
      <c r="X179" s="112"/>
      <c r="Y179" s="112"/>
      <c r="Z179" s="112"/>
      <c r="AA179" s="112"/>
      <c r="AB179" s="112"/>
      <c r="AC179" s="112"/>
      <c r="AD179" s="112"/>
      <c r="AE179" s="112"/>
      <c r="AF179" s="112"/>
      <c r="AG179" s="112"/>
      <c r="AH179" s="112"/>
      <c r="AI179" s="112"/>
      <c r="AJ179" s="112"/>
      <c r="AK179" s="112"/>
      <c r="AL179" s="112"/>
      <c r="AM179" s="112"/>
      <c r="AN179" s="112"/>
      <c r="AO179" s="112"/>
      <c r="AP179" s="112"/>
      <c r="AQ179" s="112"/>
      <c r="AR179" s="112"/>
      <c r="AS179" s="112"/>
      <c r="AT179" s="112"/>
      <c r="AU179" s="112"/>
    </row>
    <row r="180" spans="1:47" s="115" customFormat="1" x14ac:dyDescent="0.2">
      <c r="A180" s="116"/>
      <c r="D180" s="136"/>
      <c r="G180" s="51"/>
      <c r="H180" s="112"/>
      <c r="I180" s="112"/>
      <c r="J180" s="112"/>
      <c r="K180" s="112"/>
      <c r="L180" s="112"/>
      <c r="M180" s="112"/>
      <c r="N180" s="112"/>
      <c r="O180" s="112"/>
      <c r="P180" s="112"/>
      <c r="Q180" s="112"/>
      <c r="R180" s="112"/>
      <c r="S180" s="112"/>
      <c r="T180" s="112"/>
      <c r="U180" s="112"/>
      <c r="V180" s="112"/>
      <c r="W180" s="112"/>
      <c r="X180" s="112"/>
      <c r="Y180" s="112"/>
      <c r="Z180" s="112"/>
      <c r="AA180" s="112"/>
      <c r="AB180" s="112"/>
      <c r="AC180" s="112"/>
      <c r="AD180" s="112"/>
      <c r="AE180" s="112"/>
      <c r="AF180" s="112"/>
      <c r="AG180" s="112"/>
      <c r="AH180" s="112"/>
      <c r="AI180" s="112"/>
      <c r="AJ180" s="112"/>
      <c r="AK180" s="112"/>
      <c r="AL180" s="112"/>
      <c r="AM180" s="112"/>
      <c r="AN180" s="112"/>
      <c r="AO180" s="112"/>
      <c r="AP180" s="112"/>
      <c r="AQ180" s="112"/>
      <c r="AR180" s="112"/>
      <c r="AS180" s="112"/>
      <c r="AT180" s="112"/>
      <c r="AU180" s="112"/>
    </row>
    <row r="181" spans="1:47" s="115" customFormat="1" x14ac:dyDescent="0.2">
      <c r="A181" s="116"/>
      <c r="D181" s="136"/>
      <c r="G181" s="51"/>
      <c r="H181" s="112"/>
      <c r="I181" s="112"/>
      <c r="J181" s="112"/>
      <c r="K181" s="112"/>
      <c r="L181" s="112"/>
      <c r="M181" s="112"/>
      <c r="N181" s="112"/>
      <c r="O181" s="112"/>
      <c r="P181" s="112"/>
      <c r="Q181" s="112"/>
      <c r="R181" s="112"/>
      <c r="S181" s="112"/>
      <c r="T181" s="112"/>
      <c r="U181" s="112"/>
      <c r="V181" s="112"/>
      <c r="W181" s="112"/>
      <c r="X181" s="112"/>
      <c r="Y181" s="112"/>
      <c r="Z181" s="112"/>
      <c r="AA181" s="112"/>
      <c r="AB181" s="112"/>
      <c r="AC181" s="112"/>
      <c r="AD181" s="112"/>
      <c r="AE181" s="112"/>
      <c r="AF181" s="112"/>
      <c r="AG181" s="112"/>
      <c r="AH181" s="112"/>
      <c r="AI181" s="112"/>
      <c r="AJ181" s="112"/>
      <c r="AK181" s="112"/>
      <c r="AL181" s="112"/>
      <c r="AM181" s="112"/>
      <c r="AN181" s="112"/>
      <c r="AO181" s="112"/>
      <c r="AP181" s="112"/>
      <c r="AQ181" s="112"/>
      <c r="AR181" s="112"/>
      <c r="AS181" s="112"/>
      <c r="AT181" s="112"/>
      <c r="AU181" s="112"/>
    </row>
    <row r="182" spans="1:47" s="115" customFormat="1" x14ac:dyDescent="0.2">
      <c r="A182" s="116"/>
      <c r="D182" s="136"/>
      <c r="G182" s="51"/>
      <c r="H182" s="112"/>
      <c r="I182" s="112"/>
      <c r="J182" s="112"/>
      <c r="K182" s="112"/>
      <c r="L182" s="112"/>
      <c r="M182" s="112"/>
      <c r="N182" s="112"/>
      <c r="O182" s="112"/>
      <c r="P182" s="112"/>
      <c r="Q182" s="112"/>
      <c r="R182" s="112"/>
      <c r="S182" s="112"/>
      <c r="T182" s="112"/>
      <c r="U182" s="112"/>
      <c r="V182" s="112"/>
      <c r="W182" s="112"/>
      <c r="X182" s="112"/>
      <c r="Y182" s="112"/>
      <c r="Z182" s="112"/>
      <c r="AA182" s="112"/>
      <c r="AB182" s="112"/>
      <c r="AC182" s="112"/>
      <c r="AD182" s="112"/>
      <c r="AE182" s="112"/>
      <c r="AF182" s="112"/>
      <c r="AG182" s="112"/>
      <c r="AH182" s="112"/>
      <c r="AI182" s="112"/>
      <c r="AJ182" s="112"/>
      <c r="AK182" s="112"/>
      <c r="AL182" s="112"/>
      <c r="AM182" s="112"/>
      <c r="AN182" s="112"/>
      <c r="AO182" s="112"/>
      <c r="AP182" s="112"/>
      <c r="AQ182" s="112"/>
      <c r="AR182" s="112"/>
      <c r="AS182" s="112"/>
      <c r="AT182" s="112"/>
      <c r="AU182" s="112"/>
    </row>
    <row r="183" spans="1:47" s="115" customFormat="1" x14ac:dyDescent="0.2">
      <c r="A183" s="116"/>
      <c r="D183" s="136"/>
      <c r="G183" s="51"/>
      <c r="H183" s="112"/>
      <c r="I183" s="112"/>
      <c r="J183" s="112"/>
      <c r="K183" s="112"/>
      <c r="L183" s="112"/>
      <c r="M183" s="112"/>
      <c r="N183" s="112"/>
      <c r="O183" s="112"/>
      <c r="P183" s="112"/>
      <c r="Q183" s="112"/>
      <c r="R183" s="112"/>
      <c r="S183" s="112"/>
      <c r="T183" s="112"/>
      <c r="U183" s="112"/>
      <c r="V183" s="112"/>
      <c r="W183" s="112"/>
      <c r="X183" s="112"/>
      <c r="Y183" s="112"/>
      <c r="Z183" s="112"/>
      <c r="AA183" s="112"/>
      <c r="AB183" s="112"/>
      <c r="AC183" s="112"/>
      <c r="AD183" s="112"/>
      <c r="AE183" s="112"/>
      <c r="AF183" s="112"/>
      <c r="AG183" s="112"/>
      <c r="AH183" s="112"/>
      <c r="AI183" s="112"/>
      <c r="AJ183" s="112"/>
      <c r="AK183" s="112"/>
      <c r="AL183" s="112"/>
      <c r="AM183" s="112"/>
      <c r="AN183" s="112"/>
      <c r="AO183" s="112"/>
      <c r="AP183" s="112"/>
      <c r="AQ183" s="112"/>
      <c r="AR183" s="112"/>
      <c r="AS183" s="112"/>
      <c r="AT183" s="112"/>
      <c r="AU183" s="112"/>
    </row>
    <row r="184" spans="1:47" s="115" customFormat="1" x14ac:dyDescent="0.2">
      <c r="A184" s="116"/>
      <c r="D184" s="136"/>
      <c r="G184" s="51"/>
      <c r="H184" s="112"/>
      <c r="I184" s="112"/>
      <c r="J184" s="112"/>
      <c r="K184" s="112"/>
      <c r="L184" s="112"/>
      <c r="M184" s="112"/>
      <c r="N184" s="112"/>
      <c r="O184" s="112"/>
      <c r="P184" s="112"/>
      <c r="Q184" s="112"/>
      <c r="R184" s="112"/>
      <c r="S184" s="112"/>
      <c r="T184" s="112"/>
      <c r="U184" s="112"/>
      <c r="V184" s="112"/>
      <c r="W184" s="112"/>
      <c r="X184" s="112"/>
      <c r="Y184" s="112"/>
      <c r="Z184" s="112"/>
      <c r="AA184" s="112"/>
      <c r="AB184" s="112"/>
      <c r="AC184" s="112"/>
      <c r="AD184" s="112"/>
      <c r="AE184" s="112"/>
      <c r="AF184" s="112"/>
      <c r="AG184" s="112"/>
      <c r="AH184" s="112"/>
      <c r="AI184" s="112"/>
      <c r="AJ184" s="112"/>
      <c r="AK184" s="112"/>
      <c r="AL184" s="112"/>
      <c r="AM184" s="112"/>
      <c r="AN184" s="112"/>
      <c r="AO184" s="112"/>
      <c r="AP184" s="112"/>
      <c r="AQ184" s="112"/>
      <c r="AR184" s="112"/>
      <c r="AS184" s="112"/>
      <c r="AT184" s="112"/>
      <c r="AU184" s="112"/>
    </row>
    <row r="185" spans="1:47" s="115" customFormat="1" x14ac:dyDescent="0.2">
      <c r="A185" s="116"/>
      <c r="D185" s="136"/>
      <c r="G185" s="51"/>
      <c r="H185" s="112"/>
      <c r="I185" s="112"/>
      <c r="J185" s="112"/>
      <c r="K185" s="112"/>
      <c r="L185" s="112"/>
      <c r="M185" s="112"/>
      <c r="N185" s="112"/>
      <c r="O185" s="112"/>
      <c r="P185" s="112"/>
      <c r="Q185" s="112"/>
      <c r="R185" s="112"/>
      <c r="S185" s="112"/>
      <c r="T185" s="112"/>
      <c r="U185" s="112"/>
      <c r="V185" s="112"/>
      <c r="W185" s="112"/>
      <c r="X185" s="112"/>
      <c r="Y185" s="112"/>
      <c r="Z185" s="112"/>
      <c r="AA185" s="112"/>
      <c r="AB185" s="112"/>
      <c r="AC185" s="112"/>
      <c r="AD185" s="112"/>
      <c r="AE185" s="112"/>
      <c r="AF185" s="112"/>
      <c r="AG185" s="112"/>
      <c r="AH185" s="112"/>
      <c r="AI185" s="112"/>
      <c r="AJ185" s="112"/>
      <c r="AK185" s="112"/>
      <c r="AL185" s="112"/>
      <c r="AM185" s="112"/>
      <c r="AN185" s="112"/>
      <c r="AO185" s="112"/>
      <c r="AP185" s="112"/>
      <c r="AQ185" s="112"/>
      <c r="AR185" s="112"/>
      <c r="AS185" s="112"/>
      <c r="AT185" s="112"/>
      <c r="AU185" s="112"/>
    </row>
    <row r="186" spans="1:47" s="115" customFormat="1" x14ac:dyDescent="0.2">
      <c r="A186" s="116"/>
      <c r="D186" s="136"/>
      <c r="G186" s="51"/>
      <c r="H186" s="112"/>
      <c r="I186" s="112"/>
      <c r="J186" s="112"/>
      <c r="K186" s="112"/>
      <c r="L186" s="112"/>
      <c r="M186" s="112"/>
      <c r="N186" s="112"/>
      <c r="O186" s="112"/>
      <c r="P186" s="112"/>
      <c r="Q186" s="112"/>
      <c r="R186" s="112"/>
      <c r="S186" s="112"/>
      <c r="T186" s="112"/>
      <c r="U186" s="112"/>
      <c r="V186" s="112"/>
      <c r="W186" s="112"/>
      <c r="X186" s="112"/>
      <c r="Y186" s="112"/>
      <c r="Z186" s="112"/>
      <c r="AA186" s="112"/>
      <c r="AB186" s="112"/>
      <c r="AC186" s="112"/>
      <c r="AD186" s="112"/>
      <c r="AE186" s="112"/>
      <c r="AF186" s="112"/>
      <c r="AG186" s="112"/>
      <c r="AH186" s="112"/>
      <c r="AI186" s="112"/>
      <c r="AJ186" s="112"/>
      <c r="AK186" s="112"/>
      <c r="AL186" s="112"/>
      <c r="AM186" s="112"/>
      <c r="AN186" s="112"/>
      <c r="AO186" s="112"/>
      <c r="AP186" s="112"/>
      <c r="AQ186" s="112"/>
      <c r="AR186" s="112"/>
      <c r="AS186" s="112"/>
      <c r="AT186" s="112"/>
      <c r="AU186" s="112"/>
    </row>
    <row r="187" spans="1:47" s="115" customFormat="1" x14ac:dyDescent="0.2">
      <c r="A187" s="116"/>
      <c r="D187" s="136"/>
      <c r="G187" s="116"/>
      <c r="O187" s="145"/>
      <c r="P187" s="145"/>
    </row>
    <row r="188" spans="1:47" s="115" customFormat="1" x14ac:dyDescent="0.2">
      <c r="A188" s="116"/>
      <c r="D188" s="136"/>
      <c r="G188" s="116"/>
      <c r="O188" s="145"/>
      <c r="P188" s="145"/>
    </row>
    <row r="189" spans="1:47" s="115" customFormat="1" x14ac:dyDescent="0.2">
      <c r="A189" s="116"/>
      <c r="D189" s="136"/>
      <c r="G189" s="116"/>
      <c r="O189" s="145"/>
      <c r="P189" s="145"/>
    </row>
    <row r="190" spans="1:47" s="115" customFormat="1" x14ac:dyDescent="0.2">
      <c r="A190" s="116"/>
      <c r="D190" s="136"/>
      <c r="G190" s="116"/>
      <c r="O190" s="145"/>
      <c r="P190" s="145"/>
    </row>
    <row r="191" spans="1:47" s="115" customFormat="1" x14ac:dyDescent="0.2">
      <c r="A191" s="116"/>
      <c r="D191" s="136"/>
      <c r="G191" s="116"/>
      <c r="O191" s="145"/>
      <c r="P191" s="145"/>
    </row>
    <row r="192" spans="1:47" s="115" customFormat="1" x14ac:dyDescent="0.2">
      <c r="A192" s="116"/>
      <c r="D192" s="136"/>
      <c r="G192" s="116"/>
      <c r="O192" s="145"/>
      <c r="P192" s="145"/>
    </row>
    <row r="193" spans="1:16" s="115" customFormat="1" x14ac:dyDescent="0.2">
      <c r="A193" s="116"/>
      <c r="D193" s="136"/>
      <c r="G193" s="116"/>
      <c r="O193" s="145"/>
      <c r="P193" s="145"/>
    </row>
    <row r="194" spans="1:16" s="115" customFormat="1" x14ac:dyDescent="0.2">
      <c r="A194" s="116"/>
      <c r="D194" s="136"/>
      <c r="G194" s="116"/>
      <c r="O194" s="145"/>
      <c r="P194" s="145"/>
    </row>
    <row r="195" spans="1:16" s="115" customFormat="1" x14ac:dyDescent="0.2">
      <c r="A195" s="116"/>
      <c r="D195" s="136"/>
      <c r="G195" s="116"/>
      <c r="O195" s="145"/>
      <c r="P195" s="145"/>
    </row>
    <row r="196" spans="1:16" s="115" customFormat="1" x14ac:dyDescent="0.2">
      <c r="A196" s="116"/>
      <c r="D196" s="136"/>
      <c r="G196" s="116"/>
      <c r="O196" s="145"/>
      <c r="P196" s="145"/>
    </row>
    <row r="197" spans="1:16" s="115" customFormat="1" x14ac:dyDescent="0.2">
      <c r="A197" s="116"/>
      <c r="D197" s="136"/>
      <c r="G197" s="116"/>
      <c r="O197" s="145"/>
      <c r="P197" s="145"/>
    </row>
    <row r="198" spans="1:16" s="115" customFormat="1" x14ac:dyDescent="0.2">
      <c r="A198" s="116"/>
      <c r="D198" s="136"/>
      <c r="G198" s="116"/>
      <c r="O198" s="145"/>
      <c r="P198" s="145"/>
    </row>
    <row r="199" spans="1:16" s="115" customFormat="1" x14ac:dyDescent="0.2">
      <c r="A199" s="116"/>
      <c r="D199" s="136"/>
      <c r="G199" s="116"/>
      <c r="O199" s="145"/>
      <c r="P199" s="145"/>
    </row>
    <row r="200" spans="1:16" s="115" customFormat="1" x14ac:dyDescent="0.2">
      <c r="A200" s="116"/>
      <c r="D200" s="136"/>
      <c r="G200" s="116"/>
      <c r="O200" s="145"/>
      <c r="P200" s="145"/>
    </row>
    <row r="201" spans="1:16" s="115" customFormat="1" x14ac:dyDescent="0.2">
      <c r="A201" s="116"/>
      <c r="D201" s="136"/>
      <c r="G201" s="116"/>
      <c r="O201" s="145"/>
      <c r="P201" s="145"/>
    </row>
    <row r="202" spans="1:16" s="115" customFormat="1" x14ac:dyDescent="0.2">
      <c r="A202" s="116"/>
      <c r="D202" s="136"/>
      <c r="G202" s="116"/>
      <c r="O202" s="145"/>
      <c r="P202" s="145"/>
    </row>
    <row r="203" spans="1:16" s="115" customFormat="1" x14ac:dyDescent="0.2">
      <c r="A203" s="116"/>
      <c r="D203" s="136"/>
      <c r="G203" s="116"/>
      <c r="O203" s="145"/>
      <c r="P203" s="145"/>
    </row>
    <row r="204" spans="1:16" s="115" customFormat="1" x14ac:dyDescent="0.2">
      <c r="A204" s="116"/>
      <c r="D204" s="136"/>
      <c r="G204" s="116"/>
      <c r="O204" s="145"/>
      <c r="P204" s="145"/>
    </row>
    <row r="205" spans="1:16" s="115" customFormat="1" x14ac:dyDescent="0.2">
      <c r="A205" s="116"/>
      <c r="D205" s="136"/>
      <c r="G205" s="116"/>
      <c r="O205" s="145"/>
      <c r="P205" s="145"/>
    </row>
    <row r="206" spans="1:16" s="115" customFormat="1" x14ac:dyDescent="0.2">
      <c r="A206" s="116"/>
      <c r="D206" s="136"/>
      <c r="G206" s="116"/>
      <c r="O206" s="145"/>
      <c r="P206" s="145"/>
    </row>
    <row r="207" spans="1:16" s="115" customFormat="1" x14ac:dyDescent="0.2">
      <c r="A207" s="116"/>
      <c r="D207" s="136"/>
      <c r="G207" s="116"/>
      <c r="O207" s="145"/>
      <c r="P207" s="145"/>
    </row>
    <row r="208" spans="1:16" s="115" customFormat="1" x14ac:dyDescent="0.2">
      <c r="A208" s="116"/>
      <c r="D208" s="136"/>
      <c r="G208" s="116"/>
      <c r="O208" s="145"/>
      <c r="P208" s="145"/>
    </row>
    <row r="209" spans="1:16" s="115" customFormat="1" x14ac:dyDescent="0.2">
      <c r="A209" s="116"/>
      <c r="D209" s="136"/>
      <c r="G209" s="116"/>
      <c r="O209" s="145"/>
      <c r="P209" s="145"/>
    </row>
    <row r="210" spans="1:16" s="115" customFormat="1" x14ac:dyDescent="0.2">
      <c r="A210" s="116"/>
      <c r="D210" s="136"/>
      <c r="G210" s="116"/>
      <c r="O210" s="145"/>
      <c r="P210" s="145"/>
    </row>
    <row r="211" spans="1:16" s="115" customFormat="1" x14ac:dyDescent="0.2">
      <c r="A211" s="116"/>
      <c r="D211" s="136"/>
      <c r="G211" s="116"/>
      <c r="O211" s="145"/>
      <c r="P211" s="145"/>
    </row>
    <row r="212" spans="1:16" s="115" customFormat="1" x14ac:dyDescent="0.2">
      <c r="A212" s="116"/>
      <c r="D212" s="136"/>
      <c r="G212" s="116"/>
      <c r="O212" s="145"/>
      <c r="P212" s="145"/>
    </row>
    <row r="213" spans="1:16" s="115" customFormat="1" x14ac:dyDescent="0.2">
      <c r="A213" s="116"/>
      <c r="D213" s="136"/>
      <c r="G213" s="116"/>
      <c r="O213" s="145"/>
      <c r="P213" s="145"/>
    </row>
    <row r="214" spans="1:16" s="115" customFormat="1" x14ac:dyDescent="0.2">
      <c r="A214" s="116"/>
      <c r="D214" s="136"/>
      <c r="G214" s="116"/>
      <c r="O214" s="145"/>
      <c r="P214" s="145"/>
    </row>
    <row r="215" spans="1:16" s="115" customFormat="1" x14ac:dyDescent="0.2">
      <c r="A215" s="116"/>
      <c r="D215" s="136"/>
      <c r="G215" s="116"/>
      <c r="O215" s="145"/>
      <c r="P215" s="145"/>
    </row>
    <row r="216" spans="1:16" s="115" customFormat="1" x14ac:dyDescent="0.2">
      <c r="A216" s="116"/>
      <c r="D216" s="136"/>
      <c r="G216" s="116"/>
      <c r="O216" s="145"/>
      <c r="P216" s="145"/>
    </row>
    <row r="217" spans="1:16" s="115" customFormat="1" x14ac:dyDescent="0.2">
      <c r="A217" s="116"/>
      <c r="D217" s="136"/>
      <c r="G217" s="116"/>
      <c r="O217" s="145"/>
      <c r="P217" s="145"/>
    </row>
    <row r="218" spans="1:16" s="115" customFormat="1" x14ac:dyDescent="0.2">
      <c r="A218" s="116"/>
      <c r="D218" s="136"/>
      <c r="G218" s="116"/>
      <c r="O218" s="145"/>
      <c r="P218" s="145"/>
    </row>
    <row r="219" spans="1:16" s="115" customFormat="1" x14ac:dyDescent="0.2">
      <c r="A219" s="116"/>
      <c r="D219" s="136"/>
      <c r="G219" s="116"/>
      <c r="O219" s="145"/>
      <c r="P219" s="145"/>
    </row>
    <row r="220" spans="1:16" s="115" customFormat="1" x14ac:dyDescent="0.2">
      <c r="A220" s="116"/>
      <c r="D220" s="136"/>
      <c r="G220" s="116"/>
      <c r="O220" s="145"/>
      <c r="P220" s="145"/>
    </row>
    <row r="221" spans="1:16" s="115" customFormat="1" x14ac:dyDescent="0.2">
      <c r="A221" s="116"/>
      <c r="D221" s="136"/>
      <c r="G221" s="116"/>
      <c r="O221" s="145"/>
      <c r="P221" s="145"/>
    </row>
    <row r="222" spans="1:16" s="115" customFormat="1" x14ac:dyDescent="0.2">
      <c r="A222" s="116"/>
      <c r="D222" s="136"/>
      <c r="G222" s="116"/>
      <c r="O222" s="145"/>
      <c r="P222" s="145"/>
    </row>
    <row r="223" spans="1:16" s="115" customFormat="1" x14ac:dyDescent="0.2">
      <c r="A223" s="116"/>
      <c r="D223" s="136"/>
      <c r="G223" s="116"/>
      <c r="O223" s="145"/>
      <c r="P223" s="145"/>
    </row>
    <row r="224" spans="1:16" s="115" customFormat="1" x14ac:dyDescent="0.2">
      <c r="A224" s="116"/>
      <c r="D224" s="136"/>
      <c r="G224" s="116"/>
      <c r="O224" s="145"/>
      <c r="P224" s="145"/>
    </row>
    <row r="225" spans="1:16" s="115" customFormat="1" x14ac:dyDescent="0.2">
      <c r="A225" s="116"/>
      <c r="D225" s="136"/>
      <c r="G225" s="116"/>
      <c r="O225" s="145"/>
      <c r="P225" s="145"/>
    </row>
    <row r="226" spans="1:16" s="115" customFormat="1" x14ac:dyDescent="0.2">
      <c r="A226" s="116"/>
      <c r="D226" s="136"/>
      <c r="G226" s="116"/>
      <c r="O226" s="145"/>
      <c r="P226" s="145"/>
    </row>
    <row r="227" spans="1:16" s="115" customFormat="1" x14ac:dyDescent="0.2">
      <c r="A227" s="116"/>
      <c r="D227" s="136"/>
      <c r="G227" s="116"/>
      <c r="O227" s="145"/>
      <c r="P227" s="145"/>
    </row>
    <row r="228" spans="1:16" s="115" customFormat="1" x14ac:dyDescent="0.2">
      <c r="A228" s="116"/>
      <c r="D228" s="136"/>
      <c r="G228" s="116"/>
      <c r="O228" s="145"/>
      <c r="P228" s="145"/>
    </row>
    <row r="229" spans="1:16" s="115" customFormat="1" x14ac:dyDescent="0.2">
      <c r="A229" s="116"/>
      <c r="D229" s="136"/>
      <c r="G229" s="116"/>
      <c r="O229" s="145"/>
      <c r="P229" s="145"/>
    </row>
    <row r="230" spans="1:16" s="115" customFormat="1" x14ac:dyDescent="0.2">
      <c r="A230" s="116"/>
      <c r="D230" s="136"/>
      <c r="G230" s="116"/>
      <c r="O230" s="145"/>
      <c r="P230" s="145"/>
    </row>
    <row r="231" spans="1:16" s="115" customFormat="1" x14ac:dyDescent="0.2">
      <c r="A231" s="116"/>
      <c r="D231" s="136"/>
      <c r="G231" s="116"/>
      <c r="O231" s="145"/>
      <c r="P231" s="145"/>
    </row>
    <row r="232" spans="1:16" s="115" customFormat="1" x14ac:dyDescent="0.2">
      <c r="A232" s="116"/>
      <c r="D232" s="136"/>
      <c r="G232" s="116"/>
      <c r="O232" s="145"/>
      <c r="P232" s="145"/>
    </row>
    <row r="233" spans="1:16" s="115" customFormat="1" x14ac:dyDescent="0.2">
      <c r="A233" s="116"/>
      <c r="D233" s="136"/>
      <c r="G233" s="116"/>
      <c r="O233" s="145"/>
      <c r="P233" s="145"/>
    </row>
    <row r="234" spans="1:16" s="115" customFormat="1" x14ac:dyDescent="0.2">
      <c r="A234" s="116"/>
      <c r="D234" s="136"/>
      <c r="G234" s="116"/>
      <c r="O234" s="145"/>
      <c r="P234" s="145"/>
    </row>
    <row r="235" spans="1:16" s="115" customFormat="1" x14ac:dyDescent="0.2">
      <c r="A235" s="116"/>
      <c r="D235" s="136"/>
      <c r="G235" s="116"/>
      <c r="O235" s="145"/>
      <c r="P235" s="145"/>
    </row>
    <row r="236" spans="1:16" s="115" customFormat="1" x14ac:dyDescent="0.2">
      <c r="A236" s="116"/>
      <c r="D236" s="136"/>
      <c r="G236" s="116"/>
      <c r="O236" s="145"/>
      <c r="P236" s="145"/>
    </row>
  </sheetData>
  <mergeCells count="99">
    <mergeCell ref="Q28:Q33"/>
    <mergeCell ref="L28:L33"/>
    <mergeCell ref="M28:M33"/>
    <mergeCell ref="N28:N33"/>
    <mergeCell ref="O28:O33"/>
    <mergeCell ref="P28:P33"/>
    <mergeCell ref="F28:F33"/>
    <mergeCell ref="G28:G33"/>
    <mergeCell ref="H28:H33"/>
    <mergeCell ref="I28:I33"/>
    <mergeCell ref="K28:K33"/>
    <mergeCell ref="J28:J33"/>
    <mergeCell ref="B28:B33"/>
    <mergeCell ref="A28:A33"/>
    <mergeCell ref="C28:C33"/>
    <mergeCell ref="D28:D33"/>
    <mergeCell ref="E28:E33"/>
    <mergeCell ref="M17:M19"/>
    <mergeCell ref="N17:N19"/>
    <mergeCell ref="O17:O19"/>
    <mergeCell ref="P17:P19"/>
    <mergeCell ref="Q17:Q19"/>
    <mergeCell ref="L17:L19"/>
    <mergeCell ref="A17:A19"/>
    <mergeCell ref="B17:B19"/>
    <mergeCell ref="C17:C19"/>
    <mergeCell ref="D17:D19"/>
    <mergeCell ref="E17:E19"/>
    <mergeCell ref="F17:F19"/>
    <mergeCell ref="G17:G19"/>
    <mergeCell ref="H17:H19"/>
    <mergeCell ref="I17:I19"/>
    <mergeCell ref="J17:J19"/>
    <mergeCell ref="K17:K19"/>
    <mergeCell ref="Q7:Q9"/>
    <mergeCell ref="F7:F9"/>
    <mergeCell ref="G7:G9"/>
    <mergeCell ref="H7:H9"/>
    <mergeCell ref="I7:I9"/>
    <mergeCell ref="J7:J9"/>
    <mergeCell ref="K7:K9"/>
    <mergeCell ref="L7:L9"/>
    <mergeCell ref="M7:M9"/>
    <mergeCell ref="N7:N9"/>
    <mergeCell ref="O7:O9"/>
    <mergeCell ref="P7:P9"/>
    <mergeCell ref="B1:E1"/>
    <mergeCell ref="B2:E2"/>
    <mergeCell ref="A7:A9"/>
    <mergeCell ref="B7:B9"/>
    <mergeCell ref="C7:C9"/>
    <mergeCell ref="D7:D9"/>
    <mergeCell ref="E7:E9"/>
    <mergeCell ref="A65:A68"/>
    <mergeCell ref="B65:B68"/>
    <mergeCell ref="C65:C68"/>
    <mergeCell ref="D65:D68"/>
    <mergeCell ref="E65:E68"/>
    <mergeCell ref="M65:M68"/>
    <mergeCell ref="N65:N68"/>
    <mergeCell ref="O65:O68"/>
    <mergeCell ref="F65:F68"/>
    <mergeCell ref="G65:G68"/>
    <mergeCell ref="H65:H68"/>
    <mergeCell ref="I65:I68"/>
    <mergeCell ref="J65:J68"/>
    <mergeCell ref="P65:P68"/>
    <mergeCell ref="Q65:Q68"/>
    <mergeCell ref="A70:A71"/>
    <mergeCell ref="B70:B71"/>
    <mergeCell ref="C70:C71"/>
    <mergeCell ref="D70:D71"/>
    <mergeCell ref="E70:E71"/>
    <mergeCell ref="F70:F71"/>
    <mergeCell ref="G70:G71"/>
    <mergeCell ref="L70:L71"/>
    <mergeCell ref="M70:M71"/>
    <mergeCell ref="N70:N71"/>
    <mergeCell ref="O70:O71"/>
    <mergeCell ref="P70:P71"/>
    <mergeCell ref="K65:K68"/>
    <mergeCell ref="L65:L68"/>
    <mergeCell ref="A46:A47"/>
    <mergeCell ref="B46:B47"/>
    <mergeCell ref="C46:C47"/>
    <mergeCell ref="D46:D47"/>
    <mergeCell ref="E46:E47"/>
    <mergeCell ref="F46:F47"/>
    <mergeCell ref="G46:G47"/>
    <mergeCell ref="H46:H47"/>
    <mergeCell ref="I46:I47"/>
    <mergeCell ref="J46:J47"/>
    <mergeCell ref="P46:P47"/>
    <mergeCell ref="Q46:Q47"/>
    <mergeCell ref="K46:K47"/>
    <mergeCell ref="L46:L47"/>
    <mergeCell ref="M46:M47"/>
    <mergeCell ref="N46:N47"/>
    <mergeCell ref="O46:O47"/>
  </mergeCells>
  <pageMargins left="0.51181102362204722" right="0.51181102362204722" top="0.78740157480314965" bottom="0.78740157480314965" header="0.31496062992125984" footer="0.31496062992125984"/>
  <pageSetup paperSize="9" orientation="portrait"/>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500-000000000000}">
          <x14:formula1>
            <xm:f>Lists!$F$3:$F$7</xm:f>
          </x14:formula1>
          <xm:sqref>L69:L70 L10:L17 L4:L7 L44:L46 L72:L104 L20:L28 L34:L42 L48:L66</xm:sqref>
        </x14:dataValidation>
        <x14:dataValidation type="list" allowBlank="1" showInputMessage="1" showErrorMessage="1" xr:uid="{00000000-0002-0000-0500-000001000000}">
          <x14:formula1>
            <xm:f>Lists!$B$3:$B$21</xm:f>
          </x14:formula1>
          <xm:sqref>H61:H66 H10:H17 H4:H7 H45:H46 H69:H104 H20:H28 H34:H42 H48:H58</xm:sqref>
        </x14:dataValidation>
        <x14:dataValidation type="list" allowBlank="1" showInputMessage="1" showErrorMessage="1" xr:uid="{00000000-0002-0000-0500-000002000000}">
          <x14:formula1>
            <xm:f>Lists!$D$3:$D$15</xm:f>
          </x14:formula1>
          <xm:sqref>J10:J17 J4:J7 J44:J45 J69:J104 J20:J28 J34:J42 J48:J66</xm:sqref>
        </x14:dataValidation>
        <x14:dataValidation type="list" allowBlank="1" showInputMessage="1" showErrorMessage="1" xr:uid="{00000000-0002-0000-0500-000003000000}">
          <x14:formula1>
            <xm:f>Lists!$H$3:$H$21</xm:f>
          </x14:formula1>
          <xm:sqref>M98:M103 M94:M96 M92 M83:M90 M78:M80 M64 M75:M76 M59 M10:M11 M69:M70 M21:M24 M35 M40 M48 M51 M56:M57 M4:M6 M13:M17 M27:M28 M38 M53</xm:sqref>
        </x14:dataValidation>
        <x14:dataValidation type="list" allowBlank="1" showInputMessage="1" showErrorMessage="1" xr:uid="{00000000-0002-0000-0500-000004000000}">
          <x14:formula1>
            <xm:f>Lists!$H$4:$H$21</xm:f>
          </x14:formula1>
          <xm:sqref>M104 M97 M93 M91 M81:M82 M72:M74 M60:M63 M12 M65:M66 M77 M34 M36:M37 M39 M52 M58 M7 M25:M26 M20 M54:M55 M41:M42 M44:M46 M49:M50</xm:sqref>
        </x14:dataValidation>
        <x14:dataValidation type="list" allowBlank="1" showInputMessage="1" showErrorMessage="1" xr:uid="{00000000-0002-0000-0500-000005000000}">
          <x14:formula1>
            <xm:f>'/Users/julejule/Dropbox/JS-Thesis/01_Data extraction - SLR/[06dez2016-SLR-Data extraction form_JS_MS - for PAPER.xlsx]Lists'!#REF!</xm:f>
          </x14:formula1>
          <xm:sqref>L43:M43 H43 J43</xm:sqref>
        </x14:dataValidation>
      </x14:dataValidations>
    </ex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Q169"/>
  <sheetViews>
    <sheetView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83203125" defaultRowHeight="15" outlineLevelCol="1" x14ac:dyDescent="0.2"/>
  <cols>
    <col min="1" max="1" width="4.33203125" style="1" customWidth="1"/>
    <col min="2" max="2" width="25.5" customWidth="1"/>
    <col min="3" max="3" width="13.6640625" customWidth="1"/>
    <col min="4" max="4" width="16.83203125" style="52" customWidth="1"/>
    <col min="5" max="5" width="17.5" customWidth="1"/>
    <col min="6" max="6" width="19.33203125" customWidth="1"/>
    <col min="7" max="7" width="38.5" style="1" customWidth="1"/>
    <col min="8" max="8" width="15" customWidth="1"/>
    <col min="9" max="9" width="31.83203125" customWidth="1"/>
    <col min="10" max="10" width="6" customWidth="1"/>
    <col min="11" max="11" width="24.83203125" customWidth="1"/>
    <col min="12" max="12" width="10.5" customWidth="1"/>
    <col min="13" max="13" width="10.33203125" customWidth="1"/>
    <col min="14" max="14" width="27.33203125" customWidth="1"/>
    <col min="15" max="15" width="29" style="58" customWidth="1"/>
    <col min="16" max="16" width="22.33203125" style="58" customWidth="1"/>
    <col min="17" max="18" width="22.33203125" customWidth="1" outlineLevel="1"/>
    <col min="19" max="20" width="14.83203125" customWidth="1"/>
    <col min="21" max="21" width="14.5" customWidth="1"/>
    <col min="22" max="22" width="15.33203125" bestFit="1" customWidth="1"/>
    <col min="23" max="23" width="18.33203125" bestFit="1" customWidth="1"/>
    <col min="24" max="24" width="14.5" bestFit="1" customWidth="1"/>
    <col min="25" max="25" width="13.5" bestFit="1" customWidth="1"/>
    <col min="26" max="26" width="14.83203125" bestFit="1" customWidth="1"/>
    <col min="27" max="27" width="27" bestFit="1" customWidth="1"/>
    <col min="28" max="28" width="32.83203125" bestFit="1" customWidth="1"/>
  </cols>
  <sheetData>
    <row r="1" spans="1:28" x14ac:dyDescent="0.2">
      <c r="A1" s="12"/>
      <c r="B1" s="210" t="s">
        <v>0</v>
      </c>
      <c r="C1" s="210"/>
      <c r="D1" s="210"/>
      <c r="E1" s="210"/>
      <c r="G1"/>
      <c r="O1"/>
      <c r="P1"/>
    </row>
    <row r="2" spans="1:28" x14ac:dyDescent="0.2">
      <c r="A2" s="12"/>
      <c r="B2" s="211" t="s">
        <v>1</v>
      </c>
      <c r="C2" s="211"/>
      <c r="D2" s="211"/>
      <c r="E2" s="211"/>
      <c r="G2"/>
      <c r="O2"/>
      <c r="P2"/>
    </row>
    <row r="3" spans="1:28" s="3" customFormat="1" ht="14" x14ac:dyDescent="0.2">
      <c r="A3" s="26" t="s">
        <v>9</v>
      </c>
      <c r="B3" s="27" t="s">
        <v>2</v>
      </c>
      <c r="C3" s="27" t="s">
        <v>3</v>
      </c>
      <c r="D3" s="27" t="s">
        <v>4</v>
      </c>
      <c r="E3" s="27" t="s">
        <v>5</v>
      </c>
      <c r="F3" s="27" t="s">
        <v>7</v>
      </c>
      <c r="G3" s="27" t="s">
        <v>6</v>
      </c>
      <c r="H3" s="27" t="s">
        <v>32</v>
      </c>
      <c r="I3" s="27" t="s">
        <v>436</v>
      </c>
      <c r="J3" s="27" t="s">
        <v>450</v>
      </c>
      <c r="K3" s="27" t="s">
        <v>437</v>
      </c>
      <c r="L3" s="27" t="s">
        <v>16</v>
      </c>
      <c r="M3" s="27" t="s">
        <v>93</v>
      </c>
      <c r="N3" s="27" t="s">
        <v>2127</v>
      </c>
      <c r="O3" s="27" t="s">
        <v>35</v>
      </c>
      <c r="P3" s="27" t="s">
        <v>68</v>
      </c>
      <c r="Q3" s="27"/>
      <c r="R3" s="27"/>
      <c r="S3" s="27" t="s">
        <v>77</v>
      </c>
      <c r="T3" s="27" t="s">
        <v>19</v>
      </c>
      <c r="U3" s="28" t="s">
        <v>20</v>
      </c>
      <c r="V3" s="28" t="s">
        <v>21</v>
      </c>
      <c r="W3" s="28" t="s">
        <v>75</v>
      </c>
      <c r="X3" s="28" t="s">
        <v>22</v>
      </c>
      <c r="Y3" s="28" t="s">
        <v>23</v>
      </c>
      <c r="Z3" s="28" t="s">
        <v>24</v>
      </c>
      <c r="AA3" s="28" t="s">
        <v>37</v>
      </c>
      <c r="AB3" s="28" t="s">
        <v>406</v>
      </c>
    </row>
    <row r="4" spans="1:28" s="105" customFormat="1" ht="148" customHeight="1" x14ac:dyDescent="0.2">
      <c r="A4" s="105">
        <v>1</v>
      </c>
      <c r="B4" s="167" t="s">
        <v>2230</v>
      </c>
      <c r="C4" s="105" t="s">
        <v>8</v>
      </c>
      <c r="D4" s="166">
        <v>2015</v>
      </c>
      <c r="E4" s="167" t="s">
        <v>114</v>
      </c>
      <c r="F4" s="167" t="s">
        <v>2231</v>
      </c>
      <c r="G4" s="107" t="s">
        <v>2232</v>
      </c>
      <c r="H4" s="107" t="s">
        <v>100</v>
      </c>
      <c r="I4" s="107" t="s">
        <v>275</v>
      </c>
      <c r="J4" s="107" t="s">
        <v>444</v>
      </c>
      <c r="K4" s="107" t="s">
        <v>408</v>
      </c>
      <c r="L4" s="107"/>
      <c r="M4" s="107"/>
      <c r="N4" s="167"/>
      <c r="O4" s="167" t="s">
        <v>1925</v>
      </c>
      <c r="P4" s="107"/>
      <c r="Q4" s="107"/>
      <c r="R4" s="107"/>
      <c r="S4" s="107"/>
      <c r="T4" s="167"/>
      <c r="U4" s="105">
        <v>779</v>
      </c>
    </row>
    <row r="5" spans="1:28" s="105" customFormat="1" ht="148" customHeight="1" x14ac:dyDescent="0.2">
      <c r="A5" s="105">
        <v>2</v>
      </c>
      <c r="B5" s="167" t="s">
        <v>105</v>
      </c>
      <c r="C5" s="105" t="s">
        <v>106</v>
      </c>
      <c r="D5" s="166">
        <v>2015</v>
      </c>
      <c r="E5" s="167" t="s">
        <v>107</v>
      </c>
      <c r="F5" s="107" t="s">
        <v>108</v>
      </c>
      <c r="G5" s="107" t="s">
        <v>257</v>
      </c>
      <c r="H5" s="107" t="s">
        <v>103</v>
      </c>
      <c r="I5" s="107" t="s">
        <v>110</v>
      </c>
      <c r="J5" s="107" t="s">
        <v>445</v>
      </c>
      <c r="K5" s="107" t="s">
        <v>109</v>
      </c>
      <c r="L5" s="107" t="s">
        <v>441</v>
      </c>
      <c r="M5" s="107"/>
      <c r="N5" s="167" t="s">
        <v>492</v>
      </c>
      <c r="O5" s="167" t="s">
        <v>111</v>
      </c>
      <c r="P5" s="107" t="s">
        <v>112</v>
      </c>
      <c r="Q5" s="107"/>
      <c r="R5" s="107"/>
      <c r="S5" s="107"/>
      <c r="T5" s="167"/>
    </row>
    <row r="6" spans="1:28" s="105" customFormat="1" ht="148" customHeight="1" x14ac:dyDescent="0.2">
      <c r="A6" s="105">
        <v>3</v>
      </c>
      <c r="B6" s="167" t="s">
        <v>2233</v>
      </c>
      <c r="C6" s="105" t="s">
        <v>144</v>
      </c>
      <c r="D6" s="166">
        <v>2015</v>
      </c>
      <c r="E6" s="167" t="s">
        <v>2234</v>
      </c>
      <c r="F6" s="107" t="s">
        <v>2235</v>
      </c>
      <c r="G6" s="107" t="s">
        <v>2236</v>
      </c>
      <c r="H6" s="107"/>
      <c r="I6" s="107"/>
      <c r="J6" s="107" t="s">
        <v>444</v>
      </c>
      <c r="K6" s="107" t="s">
        <v>2237</v>
      </c>
      <c r="L6" s="107" t="s">
        <v>91</v>
      </c>
      <c r="M6" s="107" t="s">
        <v>448</v>
      </c>
      <c r="N6" s="167"/>
      <c r="O6" s="167"/>
      <c r="P6" s="107" t="s">
        <v>2238</v>
      </c>
      <c r="Q6" s="107"/>
      <c r="R6" s="107"/>
      <c r="S6" s="107"/>
      <c r="T6" s="167"/>
    </row>
    <row r="7" spans="1:28" s="108" customFormat="1" ht="105" x14ac:dyDescent="0.2">
      <c r="A7" s="105">
        <v>4</v>
      </c>
      <c r="B7" s="167" t="s">
        <v>132</v>
      </c>
      <c r="C7" s="105" t="s">
        <v>123</v>
      </c>
      <c r="D7" s="166">
        <v>2014</v>
      </c>
      <c r="E7" s="167" t="s">
        <v>114</v>
      </c>
      <c r="F7" s="107" t="s">
        <v>122</v>
      </c>
      <c r="G7" s="107" t="s">
        <v>261</v>
      </c>
      <c r="H7" s="107" t="s">
        <v>102</v>
      </c>
      <c r="I7" s="107" t="s">
        <v>110</v>
      </c>
      <c r="J7" s="107" t="s">
        <v>446</v>
      </c>
      <c r="K7" s="167" t="s">
        <v>262</v>
      </c>
      <c r="L7" s="167" t="s">
        <v>443</v>
      </c>
      <c r="M7" s="167"/>
      <c r="N7" s="167" t="s">
        <v>260</v>
      </c>
      <c r="O7" s="163" t="s">
        <v>18</v>
      </c>
      <c r="P7" s="164" t="s">
        <v>259</v>
      </c>
      <c r="Q7" s="167"/>
      <c r="R7" s="167"/>
      <c r="S7" s="107"/>
      <c r="T7" s="167"/>
    </row>
    <row r="8" spans="1:28" s="108" customFormat="1" ht="90" x14ac:dyDescent="0.2">
      <c r="A8" s="105">
        <v>5</v>
      </c>
      <c r="B8" s="167" t="s">
        <v>1344</v>
      </c>
      <c r="C8" s="105" t="s">
        <v>113</v>
      </c>
      <c r="D8" s="166">
        <v>2015</v>
      </c>
      <c r="E8" s="167" t="s">
        <v>660</v>
      </c>
      <c r="F8" s="107" t="s">
        <v>1343</v>
      </c>
      <c r="G8" s="107" t="s">
        <v>2239</v>
      </c>
      <c r="H8" s="107" t="s">
        <v>100</v>
      </c>
      <c r="I8" s="107" t="s">
        <v>275</v>
      </c>
      <c r="J8" s="107" t="s">
        <v>88</v>
      </c>
      <c r="K8" s="167"/>
      <c r="L8" s="167" t="s">
        <v>91</v>
      </c>
      <c r="M8" s="167" t="s">
        <v>94</v>
      </c>
      <c r="N8" s="167" t="s">
        <v>2240</v>
      </c>
      <c r="O8" s="163" t="s">
        <v>18</v>
      </c>
      <c r="P8" s="164" t="s">
        <v>606</v>
      </c>
      <c r="Q8" s="167"/>
      <c r="R8" s="167"/>
      <c r="S8" s="107"/>
      <c r="T8" s="167"/>
    </row>
    <row r="9" spans="1:28" s="105" customFormat="1" ht="180" x14ac:dyDescent="0.2">
      <c r="A9" s="105">
        <v>6</v>
      </c>
      <c r="B9" s="167" t="s">
        <v>133</v>
      </c>
      <c r="C9" s="105" t="s">
        <v>27</v>
      </c>
      <c r="D9" s="166">
        <v>2010</v>
      </c>
      <c r="E9" s="167" t="s">
        <v>107</v>
      </c>
      <c r="F9" s="167" t="s">
        <v>131</v>
      </c>
      <c r="G9" s="167" t="s">
        <v>279</v>
      </c>
      <c r="H9" s="167" t="s">
        <v>100</v>
      </c>
      <c r="I9" s="105" t="s">
        <v>275</v>
      </c>
      <c r="J9" s="105" t="s">
        <v>441</v>
      </c>
      <c r="K9" s="167" t="s">
        <v>276</v>
      </c>
      <c r="L9" s="167" t="s">
        <v>91</v>
      </c>
      <c r="M9" s="167" t="s">
        <v>94</v>
      </c>
      <c r="N9" s="167" t="s">
        <v>277</v>
      </c>
      <c r="O9" s="167" t="s">
        <v>274</v>
      </c>
      <c r="P9" s="167" t="s">
        <v>278</v>
      </c>
      <c r="S9" s="167"/>
    </row>
    <row r="10" spans="1:28" s="105" customFormat="1" ht="75" x14ac:dyDescent="0.2">
      <c r="A10" s="105">
        <v>7</v>
      </c>
      <c r="B10" s="167" t="s">
        <v>2241</v>
      </c>
      <c r="C10" s="105" t="s">
        <v>27</v>
      </c>
      <c r="D10" s="166">
        <v>2010</v>
      </c>
      <c r="E10" s="167" t="s">
        <v>114</v>
      </c>
      <c r="F10" s="112" t="s">
        <v>2242</v>
      </c>
      <c r="G10" s="167" t="s">
        <v>2243</v>
      </c>
      <c r="H10" s="167" t="s">
        <v>100</v>
      </c>
      <c r="I10" s="105" t="s">
        <v>275</v>
      </c>
      <c r="J10" s="105" t="s">
        <v>88</v>
      </c>
      <c r="K10" s="167" t="s">
        <v>2244</v>
      </c>
      <c r="L10" s="167" t="s">
        <v>91</v>
      </c>
      <c r="M10" s="167" t="s">
        <v>94</v>
      </c>
      <c r="N10" s="167" t="s">
        <v>2245</v>
      </c>
      <c r="O10" s="167" t="s">
        <v>18</v>
      </c>
      <c r="P10" s="167" t="s">
        <v>2165</v>
      </c>
      <c r="S10" s="167" t="s">
        <v>2246</v>
      </c>
      <c r="T10" s="105" t="s">
        <v>2247</v>
      </c>
      <c r="U10" s="105" t="s">
        <v>2248</v>
      </c>
      <c r="V10" s="105" t="s">
        <v>2249</v>
      </c>
      <c r="W10" s="105" t="s">
        <v>2250</v>
      </c>
      <c r="AA10" s="105" t="s">
        <v>2251</v>
      </c>
      <c r="AB10" s="105" t="s">
        <v>2252</v>
      </c>
    </row>
    <row r="11" spans="1:28" s="105" customFormat="1" ht="75" x14ac:dyDescent="0.2">
      <c r="A11" s="105">
        <v>8</v>
      </c>
      <c r="B11" s="167" t="s">
        <v>2132</v>
      </c>
      <c r="C11" s="105" t="s">
        <v>82</v>
      </c>
      <c r="D11" s="166">
        <v>2017</v>
      </c>
      <c r="E11" s="167" t="s">
        <v>114</v>
      </c>
      <c r="F11" s="112" t="s">
        <v>2133</v>
      </c>
      <c r="G11" s="167" t="s">
        <v>2134</v>
      </c>
      <c r="H11" s="167" t="s">
        <v>100</v>
      </c>
      <c r="I11" s="105" t="s">
        <v>275</v>
      </c>
      <c r="J11" s="105" t="s">
        <v>444</v>
      </c>
      <c r="K11" s="167" t="s">
        <v>2136</v>
      </c>
      <c r="L11" s="167" t="s">
        <v>91</v>
      </c>
      <c r="M11" s="167" t="s">
        <v>94</v>
      </c>
      <c r="N11" s="167" t="s">
        <v>2253</v>
      </c>
      <c r="O11" s="167" t="s">
        <v>1069</v>
      </c>
      <c r="P11" s="167" t="s">
        <v>18</v>
      </c>
      <c r="S11" s="167"/>
    </row>
    <row r="12" spans="1:28" s="105" customFormat="1" ht="75" x14ac:dyDescent="0.2">
      <c r="A12" s="105">
        <v>9</v>
      </c>
      <c r="B12" s="167" t="s">
        <v>140</v>
      </c>
      <c r="C12" s="105" t="s">
        <v>135</v>
      </c>
      <c r="D12" s="166">
        <v>2015</v>
      </c>
      <c r="E12" s="167" t="s">
        <v>114</v>
      </c>
      <c r="F12" s="167" t="s">
        <v>141</v>
      </c>
      <c r="G12" s="167" t="s">
        <v>290</v>
      </c>
      <c r="H12" s="167" t="s">
        <v>100</v>
      </c>
      <c r="I12" s="167" t="s">
        <v>275</v>
      </c>
      <c r="J12" s="167" t="s">
        <v>90</v>
      </c>
      <c r="K12" s="167" t="s">
        <v>288</v>
      </c>
      <c r="L12" s="167" t="s">
        <v>91</v>
      </c>
      <c r="M12" s="167" t="s">
        <v>443</v>
      </c>
      <c r="N12" s="167" t="s">
        <v>490</v>
      </c>
      <c r="O12" s="168" t="s">
        <v>18</v>
      </c>
      <c r="P12" s="168" t="s">
        <v>18</v>
      </c>
      <c r="S12" s="167"/>
      <c r="T12" s="167"/>
    </row>
    <row r="13" spans="1:28" s="105" customFormat="1" ht="90" x14ac:dyDescent="0.2">
      <c r="A13" s="105">
        <v>10</v>
      </c>
      <c r="B13" s="167" t="s">
        <v>2254</v>
      </c>
      <c r="C13" s="105" t="s">
        <v>82</v>
      </c>
      <c r="D13" s="166">
        <v>2015</v>
      </c>
      <c r="E13" s="167" t="s">
        <v>826</v>
      </c>
      <c r="F13" s="167" t="s">
        <v>2255</v>
      </c>
      <c r="G13" s="167" t="s">
        <v>2256</v>
      </c>
      <c r="H13" s="167" t="s">
        <v>100</v>
      </c>
      <c r="I13" s="167" t="s">
        <v>275</v>
      </c>
      <c r="J13" s="167" t="s">
        <v>444</v>
      </c>
      <c r="K13" s="167" t="s">
        <v>2257</v>
      </c>
      <c r="L13" s="167" t="s">
        <v>441</v>
      </c>
      <c r="M13" s="167" t="s">
        <v>443</v>
      </c>
      <c r="N13" s="167" t="s">
        <v>2258</v>
      </c>
      <c r="O13" s="168" t="s">
        <v>18</v>
      </c>
      <c r="P13" s="168" t="s">
        <v>2259</v>
      </c>
      <c r="S13" s="167"/>
      <c r="T13" s="167"/>
      <c r="U13" s="105">
        <v>799</v>
      </c>
    </row>
    <row r="14" spans="1:28" s="105" customFormat="1" ht="75" x14ac:dyDescent="0.2">
      <c r="A14" s="105">
        <v>11</v>
      </c>
      <c r="B14" s="167" t="s">
        <v>2260</v>
      </c>
      <c r="C14" s="105" t="s">
        <v>82</v>
      </c>
      <c r="D14" s="166">
        <v>2015</v>
      </c>
      <c r="E14" s="167" t="s">
        <v>114</v>
      </c>
      <c r="F14" s="167" t="s">
        <v>2261</v>
      </c>
      <c r="G14" s="167" t="s">
        <v>2262</v>
      </c>
      <c r="H14" s="167" t="s">
        <v>100</v>
      </c>
      <c r="I14" s="167" t="s">
        <v>275</v>
      </c>
      <c r="J14" s="167" t="s">
        <v>444</v>
      </c>
      <c r="K14" s="167" t="s">
        <v>2263</v>
      </c>
      <c r="L14" s="167" t="s">
        <v>91</v>
      </c>
      <c r="M14" s="167" t="s">
        <v>94</v>
      </c>
      <c r="N14" s="167"/>
      <c r="O14" s="163" t="s">
        <v>2264</v>
      </c>
      <c r="P14" s="168" t="s">
        <v>2265</v>
      </c>
      <c r="S14" s="164" t="s">
        <v>2266</v>
      </c>
      <c r="T14" s="164" t="s">
        <v>2267</v>
      </c>
      <c r="U14" s="166">
        <v>799</v>
      </c>
      <c r="V14" s="166" t="s">
        <v>2268</v>
      </c>
      <c r="W14" s="166" t="s">
        <v>2269</v>
      </c>
      <c r="X14" s="166"/>
      <c r="Y14" s="166"/>
      <c r="Z14" s="166"/>
      <c r="AA14" s="166" t="s">
        <v>2270</v>
      </c>
    </row>
    <row r="15" spans="1:28" s="105" customFormat="1" ht="75" x14ac:dyDescent="0.2">
      <c r="A15" s="105">
        <v>12</v>
      </c>
      <c r="B15" s="167" t="s">
        <v>719</v>
      </c>
      <c r="C15" s="105" t="s">
        <v>27</v>
      </c>
      <c r="D15" s="166">
        <v>2011</v>
      </c>
      <c r="E15" s="167" t="s">
        <v>114</v>
      </c>
      <c r="F15" s="112" t="s">
        <v>718</v>
      </c>
      <c r="G15" s="167" t="s">
        <v>2150</v>
      </c>
      <c r="H15" s="167" t="s">
        <v>100</v>
      </c>
      <c r="I15" s="167" t="s">
        <v>275</v>
      </c>
      <c r="J15" s="167" t="s">
        <v>90</v>
      </c>
      <c r="K15" s="167" t="s">
        <v>2271</v>
      </c>
      <c r="L15" s="167" t="s">
        <v>91</v>
      </c>
      <c r="M15" s="167" t="s">
        <v>94</v>
      </c>
      <c r="N15" s="167" t="s">
        <v>2272</v>
      </c>
      <c r="O15" s="167" t="s">
        <v>274</v>
      </c>
      <c r="P15" s="167" t="s">
        <v>2165</v>
      </c>
      <c r="S15" s="167" t="s">
        <v>2273</v>
      </c>
      <c r="T15" s="167" t="s">
        <v>2274</v>
      </c>
      <c r="U15" s="166" t="s">
        <v>2275</v>
      </c>
      <c r="V15" s="166" t="s">
        <v>2276</v>
      </c>
      <c r="W15" s="166" t="s">
        <v>2277</v>
      </c>
      <c r="X15" s="166"/>
      <c r="Y15" s="166"/>
      <c r="Z15" s="166"/>
      <c r="AA15" s="166" t="s">
        <v>2278</v>
      </c>
      <c r="AB15" s="105" t="s">
        <v>2279</v>
      </c>
    </row>
    <row r="16" spans="1:28" s="105" customFormat="1" ht="90" x14ac:dyDescent="0.2">
      <c r="A16" s="105">
        <v>13</v>
      </c>
      <c r="B16" s="167" t="s">
        <v>721</v>
      </c>
      <c r="C16" s="105" t="s">
        <v>27</v>
      </c>
      <c r="D16" s="166">
        <v>2012</v>
      </c>
      <c r="E16" s="167" t="s">
        <v>114</v>
      </c>
      <c r="F16" s="112" t="s">
        <v>720</v>
      </c>
      <c r="G16" s="167" t="s">
        <v>2280</v>
      </c>
      <c r="H16" s="167"/>
      <c r="I16" s="167" t="s">
        <v>2281</v>
      </c>
      <c r="J16" s="167" t="s">
        <v>441</v>
      </c>
      <c r="K16" s="167" t="s">
        <v>2282</v>
      </c>
      <c r="L16" s="167" t="s">
        <v>91</v>
      </c>
      <c r="M16" s="167" t="s">
        <v>94</v>
      </c>
      <c r="N16" s="167" t="s">
        <v>2245</v>
      </c>
      <c r="O16" s="167" t="s">
        <v>2149</v>
      </c>
      <c r="P16" s="167"/>
      <c r="S16" s="167"/>
      <c r="T16" s="167"/>
      <c r="U16" s="166"/>
      <c r="V16" s="166"/>
      <c r="W16" s="166"/>
      <c r="X16" s="166"/>
      <c r="Y16" s="166"/>
      <c r="Z16" s="166"/>
      <c r="AA16" s="166"/>
    </row>
    <row r="17" spans="1:43" s="115" customFormat="1" ht="90" x14ac:dyDescent="0.2">
      <c r="A17" s="105">
        <v>14</v>
      </c>
      <c r="B17" s="167" t="s">
        <v>160</v>
      </c>
      <c r="C17" s="167" t="s">
        <v>194</v>
      </c>
      <c r="D17" s="166">
        <v>2013</v>
      </c>
      <c r="E17" s="167" t="s">
        <v>116</v>
      </c>
      <c r="F17" s="167" t="s">
        <v>159</v>
      </c>
      <c r="G17" s="167" t="s">
        <v>319</v>
      </c>
      <c r="H17" s="167"/>
      <c r="I17" s="167" t="s">
        <v>321</v>
      </c>
      <c r="J17" s="167" t="s">
        <v>446</v>
      </c>
      <c r="K17" s="167" t="s">
        <v>320</v>
      </c>
      <c r="L17" s="167" t="s">
        <v>91</v>
      </c>
      <c r="M17" s="167" t="s">
        <v>94</v>
      </c>
      <c r="N17" s="105" t="s">
        <v>322</v>
      </c>
      <c r="O17" s="167" t="s">
        <v>568</v>
      </c>
      <c r="P17" s="105" t="s">
        <v>317</v>
      </c>
      <c r="Q17" s="105"/>
      <c r="R17" s="105"/>
      <c r="S17" s="167"/>
      <c r="T17" s="167"/>
    </row>
    <row r="18" spans="1:43" s="115" customFormat="1" ht="90" x14ac:dyDescent="0.2">
      <c r="A18" s="105">
        <v>15</v>
      </c>
      <c r="B18" s="167" t="s">
        <v>512</v>
      </c>
      <c r="C18" s="167" t="s">
        <v>581</v>
      </c>
      <c r="D18" s="166">
        <v>2013</v>
      </c>
      <c r="E18" s="167" t="s">
        <v>63</v>
      </c>
      <c r="F18" s="167" t="s">
        <v>513</v>
      </c>
      <c r="G18" s="167" t="s">
        <v>582</v>
      </c>
      <c r="H18" s="167" t="s">
        <v>100</v>
      </c>
      <c r="I18" s="167" t="s">
        <v>275</v>
      </c>
      <c r="J18" s="167" t="s">
        <v>88</v>
      </c>
      <c r="K18" s="167" t="s">
        <v>583</v>
      </c>
      <c r="L18" s="167" t="s">
        <v>91</v>
      </c>
      <c r="M18" s="167" t="s">
        <v>94</v>
      </c>
      <c r="N18" s="164" t="s">
        <v>584</v>
      </c>
      <c r="O18" s="167" t="s">
        <v>2283</v>
      </c>
      <c r="P18" s="167" t="s">
        <v>317</v>
      </c>
      <c r="Q18" s="112"/>
      <c r="R18" s="112"/>
      <c r="S18" s="167" t="s">
        <v>2273</v>
      </c>
      <c r="T18" s="167" t="s">
        <v>2274</v>
      </c>
      <c r="U18" s="167" t="s">
        <v>2284</v>
      </c>
      <c r="V18" s="167" t="s">
        <v>2285</v>
      </c>
      <c r="W18" s="167" t="s">
        <v>2286</v>
      </c>
      <c r="X18" s="167"/>
      <c r="Y18" s="167"/>
      <c r="Z18" s="167"/>
      <c r="AA18" s="167" t="s">
        <v>2287</v>
      </c>
      <c r="AB18" s="167" t="s">
        <v>2288</v>
      </c>
      <c r="AC18" s="112"/>
      <c r="AD18" s="112"/>
      <c r="AE18" s="112"/>
      <c r="AF18" s="112"/>
      <c r="AG18" s="112"/>
      <c r="AH18" s="112"/>
      <c r="AI18" s="112"/>
      <c r="AJ18" s="112"/>
      <c r="AK18" s="112"/>
      <c r="AL18" s="112"/>
      <c r="AM18" s="112"/>
      <c r="AN18" s="112"/>
      <c r="AO18" s="112"/>
      <c r="AP18" s="112"/>
      <c r="AQ18" s="112"/>
    </row>
    <row r="19" spans="1:43" s="108" customFormat="1" ht="75" x14ac:dyDescent="0.2">
      <c r="A19" s="105">
        <v>16</v>
      </c>
      <c r="B19" s="167" t="s">
        <v>1379</v>
      </c>
      <c r="C19" s="105" t="s">
        <v>126</v>
      </c>
      <c r="D19" s="166">
        <v>2014</v>
      </c>
      <c r="E19" s="167" t="s">
        <v>114</v>
      </c>
      <c r="F19" s="112" t="s">
        <v>1378</v>
      </c>
      <c r="G19" s="167" t="s">
        <v>2289</v>
      </c>
      <c r="H19" s="167"/>
      <c r="I19" s="167" t="s">
        <v>2290</v>
      </c>
      <c r="J19" s="167" t="s">
        <v>446</v>
      </c>
      <c r="K19" s="167" t="s">
        <v>2291</v>
      </c>
      <c r="L19" s="167" t="s">
        <v>91</v>
      </c>
      <c r="M19" s="167" t="s">
        <v>94</v>
      </c>
      <c r="N19" s="164"/>
      <c r="O19" s="167"/>
      <c r="P19" s="167" t="s">
        <v>18</v>
      </c>
      <c r="Q19" s="112"/>
      <c r="R19" s="112"/>
      <c r="S19" s="167"/>
      <c r="T19" s="167"/>
      <c r="U19" s="167"/>
      <c r="V19" s="167"/>
      <c r="W19" s="167"/>
      <c r="X19" s="167"/>
      <c r="Y19" s="167"/>
      <c r="Z19" s="167"/>
      <c r="AA19" s="167"/>
      <c r="AB19" s="167"/>
      <c r="AC19" s="112"/>
      <c r="AD19" s="112"/>
      <c r="AE19" s="112"/>
      <c r="AF19" s="112"/>
      <c r="AG19" s="112"/>
      <c r="AH19" s="112"/>
      <c r="AI19" s="112"/>
      <c r="AJ19" s="112"/>
      <c r="AK19" s="112"/>
      <c r="AL19" s="112"/>
      <c r="AM19" s="112"/>
      <c r="AN19" s="112"/>
      <c r="AO19" s="112"/>
      <c r="AP19" s="112"/>
      <c r="AQ19" s="112"/>
    </row>
    <row r="20" spans="1:43" s="115" customFormat="1" ht="120" x14ac:dyDescent="0.2">
      <c r="A20" s="105">
        <v>17</v>
      </c>
      <c r="B20" s="167" t="s">
        <v>167</v>
      </c>
      <c r="C20" s="105" t="s">
        <v>126</v>
      </c>
      <c r="D20" s="166">
        <v>2014</v>
      </c>
      <c r="E20" s="167" t="s">
        <v>114</v>
      </c>
      <c r="F20" s="167" t="s">
        <v>166</v>
      </c>
      <c r="G20" s="167" t="s">
        <v>333</v>
      </c>
      <c r="H20" s="167"/>
      <c r="I20" s="167" t="s">
        <v>2292</v>
      </c>
      <c r="J20" s="167" t="s">
        <v>90</v>
      </c>
      <c r="K20" s="105" t="s">
        <v>336</v>
      </c>
      <c r="L20" s="105" t="s">
        <v>91</v>
      </c>
      <c r="M20" s="105" t="s">
        <v>94</v>
      </c>
      <c r="N20" s="167" t="s">
        <v>334</v>
      </c>
      <c r="O20" s="167" t="s">
        <v>337</v>
      </c>
      <c r="P20" s="105" t="s">
        <v>335</v>
      </c>
      <c r="Q20" s="105"/>
      <c r="R20" s="105"/>
      <c r="S20" s="167"/>
      <c r="T20" s="167"/>
    </row>
    <row r="21" spans="1:43" s="105" customFormat="1" ht="90" x14ac:dyDescent="0.2">
      <c r="A21" s="105">
        <v>18</v>
      </c>
      <c r="B21" s="167" t="s">
        <v>1777</v>
      </c>
      <c r="C21" s="105" t="s">
        <v>82</v>
      </c>
      <c r="D21" s="166">
        <v>2015</v>
      </c>
      <c r="E21" s="167" t="s">
        <v>164</v>
      </c>
      <c r="F21" s="167" t="s">
        <v>1778</v>
      </c>
      <c r="G21" s="167" t="s">
        <v>2162</v>
      </c>
      <c r="H21" s="167" t="s">
        <v>100</v>
      </c>
      <c r="I21" s="167" t="s">
        <v>275</v>
      </c>
      <c r="J21" s="167" t="s">
        <v>90</v>
      </c>
      <c r="K21" s="167" t="s">
        <v>2163</v>
      </c>
      <c r="L21" s="105" t="s">
        <v>91</v>
      </c>
      <c r="M21" s="105" t="s">
        <v>97</v>
      </c>
      <c r="N21" s="167" t="s">
        <v>2293</v>
      </c>
      <c r="O21" s="167" t="s">
        <v>1069</v>
      </c>
      <c r="P21" s="105" t="s">
        <v>2165</v>
      </c>
      <c r="S21" s="167"/>
      <c r="T21" s="167"/>
    </row>
    <row r="22" spans="1:43" s="115" customFormat="1" ht="120" x14ac:dyDescent="0.2">
      <c r="A22" s="105">
        <v>19</v>
      </c>
      <c r="B22" s="167" t="s">
        <v>849</v>
      </c>
      <c r="C22" s="105" t="s">
        <v>581</v>
      </c>
      <c r="D22" s="166">
        <v>2013</v>
      </c>
      <c r="E22" s="167" t="s">
        <v>63</v>
      </c>
      <c r="F22" s="167" t="s">
        <v>848</v>
      </c>
      <c r="G22" s="167" t="s">
        <v>2294</v>
      </c>
      <c r="H22" s="167"/>
      <c r="I22" s="167" t="s">
        <v>2295</v>
      </c>
      <c r="J22" s="167" t="s">
        <v>90</v>
      </c>
      <c r="K22" s="167" t="s">
        <v>2296</v>
      </c>
      <c r="L22" s="105" t="s">
        <v>91</v>
      </c>
      <c r="M22" s="105" t="s">
        <v>94</v>
      </c>
      <c r="N22" s="167"/>
      <c r="O22" s="167" t="s">
        <v>1991</v>
      </c>
      <c r="P22" s="167" t="s">
        <v>2297</v>
      </c>
      <c r="Q22" s="105"/>
      <c r="R22" s="105"/>
      <c r="S22" s="167"/>
      <c r="T22" s="167"/>
    </row>
    <row r="23" spans="1:43" s="115" customFormat="1" ht="90" x14ac:dyDescent="0.2">
      <c r="A23" s="105">
        <v>20</v>
      </c>
      <c r="B23" s="167" t="s">
        <v>518</v>
      </c>
      <c r="C23" s="105" t="s">
        <v>138</v>
      </c>
      <c r="D23" s="166">
        <v>2015</v>
      </c>
      <c r="E23" s="167" t="s">
        <v>63</v>
      </c>
      <c r="F23" s="167" t="s">
        <v>519</v>
      </c>
      <c r="G23" s="167" t="s">
        <v>2298</v>
      </c>
      <c r="H23" s="167" t="s">
        <v>100</v>
      </c>
      <c r="I23" s="167" t="s">
        <v>275</v>
      </c>
      <c r="J23" s="167" t="s">
        <v>444</v>
      </c>
      <c r="K23" s="167" t="s">
        <v>2299</v>
      </c>
      <c r="L23" s="105" t="s">
        <v>441</v>
      </c>
      <c r="M23" s="105"/>
      <c r="N23" s="167" t="s">
        <v>2300</v>
      </c>
      <c r="O23" s="163" t="s">
        <v>18</v>
      </c>
      <c r="P23" s="167" t="s">
        <v>2165</v>
      </c>
      <c r="Q23" s="105"/>
      <c r="R23" s="105"/>
      <c r="S23" s="164" t="s">
        <v>2301</v>
      </c>
      <c r="T23" s="164" t="s">
        <v>2302</v>
      </c>
      <c r="U23" s="166">
        <v>750</v>
      </c>
      <c r="V23" s="187"/>
      <c r="W23" s="187" t="s">
        <v>2303</v>
      </c>
      <c r="X23" s="187"/>
      <c r="Y23" s="187"/>
      <c r="Z23" s="187"/>
      <c r="AA23" s="187"/>
      <c r="AB23" s="188">
        <v>19823</v>
      </c>
    </row>
    <row r="24" spans="1:43" s="115" customFormat="1" ht="75" x14ac:dyDescent="0.2">
      <c r="A24" s="105">
        <v>21</v>
      </c>
      <c r="B24" s="167" t="s">
        <v>184</v>
      </c>
      <c r="C24" s="105" t="s">
        <v>138</v>
      </c>
      <c r="D24" s="166">
        <v>2015</v>
      </c>
      <c r="E24" s="167" t="s">
        <v>164</v>
      </c>
      <c r="F24" s="167" t="s">
        <v>183</v>
      </c>
      <c r="G24" s="167" t="s">
        <v>358</v>
      </c>
      <c r="H24" s="167"/>
      <c r="I24" s="167" t="s">
        <v>360</v>
      </c>
      <c r="J24" s="167" t="s">
        <v>90</v>
      </c>
      <c r="K24" s="167" t="s">
        <v>359</v>
      </c>
      <c r="L24" s="167" t="s">
        <v>441</v>
      </c>
      <c r="M24" s="167"/>
      <c r="N24" s="105" t="s">
        <v>361</v>
      </c>
      <c r="O24" s="168" t="s">
        <v>18</v>
      </c>
      <c r="P24" s="168" t="s">
        <v>18</v>
      </c>
      <c r="Q24" s="105"/>
      <c r="R24" s="105"/>
      <c r="S24" s="167"/>
      <c r="T24" s="167"/>
    </row>
    <row r="25" spans="1:43" s="105" customFormat="1" ht="75" x14ac:dyDescent="0.2">
      <c r="A25" s="105">
        <v>22</v>
      </c>
      <c r="B25" s="167" t="s">
        <v>743</v>
      </c>
      <c r="C25" s="105" t="s">
        <v>82</v>
      </c>
      <c r="D25" s="166">
        <v>2016</v>
      </c>
      <c r="E25" s="167" t="s">
        <v>114</v>
      </c>
      <c r="F25" s="167" t="s">
        <v>742</v>
      </c>
      <c r="G25" s="167" t="s">
        <v>2304</v>
      </c>
      <c r="H25" s="167" t="s">
        <v>102</v>
      </c>
      <c r="I25" s="167" t="s">
        <v>110</v>
      </c>
      <c r="J25" s="167" t="s">
        <v>90</v>
      </c>
      <c r="K25" s="167" t="s">
        <v>314</v>
      </c>
      <c r="L25" s="167"/>
      <c r="M25" s="167"/>
      <c r="N25" s="167" t="s">
        <v>2305</v>
      </c>
      <c r="O25" s="168" t="s">
        <v>18</v>
      </c>
      <c r="P25" s="168" t="s">
        <v>2165</v>
      </c>
      <c r="S25" s="167"/>
      <c r="T25" s="167"/>
    </row>
    <row r="26" spans="1:43" s="105" customFormat="1" ht="135" x14ac:dyDescent="0.2">
      <c r="A26" s="105">
        <v>23</v>
      </c>
      <c r="B26" s="167" t="s">
        <v>747</v>
      </c>
      <c r="C26" s="105" t="s">
        <v>189</v>
      </c>
      <c r="D26" s="166">
        <v>2010</v>
      </c>
      <c r="E26" s="167" t="s">
        <v>118</v>
      </c>
      <c r="F26" s="167" t="s">
        <v>746</v>
      </c>
      <c r="G26" s="167" t="s">
        <v>2306</v>
      </c>
      <c r="H26" s="167" t="s">
        <v>100</v>
      </c>
      <c r="I26" s="167" t="s">
        <v>275</v>
      </c>
      <c r="J26" s="167" t="s">
        <v>90</v>
      </c>
      <c r="K26" s="167" t="s">
        <v>2307</v>
      </c>
      <c r="L26" s="167" t="s">
        <v>443</v>
      </c>
      <c r="M26" s="167" t="s">
        <v>443</v>
      </c>
      <c r="N26" s="167" t="s">
        <v>2308</v>
      </c>
      <c r="O26" s="168" t="s">
        <v>18</v>
      </c>
      <c r="P26" s="168" t="s">
        <v>2165</v>
      </c>
      <c r="S26" s="167"/>
      <c r="T26" s="167"/>
    </row>
    <row r="27" spans="1:43" s="115" customFormat="1" ht="75" x14ac:dyDescent="0.2">
      <c r="A27" s="105">
        <v>24</v>
      </c>
      <c r="B27" s="167" t="s">
        <v>2309</v>
      </c>
      <c r="C27" s="105" t="s">
        <v>2310</v>
      </c>
      <c r="D27" s="166">
        <v>2015</v>
      </c>
      <c r="E27" s="167" t="s">
        <v>63</v>
      </c>
      <c r="F27" s="164" t="s">
        <v>2311</v>
      </c>
      <c r="G27" s="167" t="s">
        <v>2312</v>
      </c>
      <c r="H27" s="167" t="s">
        <v>100</v>
      </c>
      <c r="I27" s="167" t="s">
        <v>275</v>
      </c>
      <c r="J27" s="167" t="s">
        <v>446</v>
      </c>
      <c r="K27" s="167"/>
      <c r="L27" s="167" t="s">
        <v>92</v>
      </c>
      <c r="M27" s="167"/>
      <c r="N27" s="105" t="s">
        <v>2313</v>
      </c>
      <c r="O27" s="168"/>
      <c r="P27" s="168" t="s">
        <v>2314</v>
      </c>
      <c r="Q27" s="105"/>
      <c r="R27" s="105"/>
      <c r="S27" s="167"/>
      <c r="T27" s="167"/>
    </row>
    <row r="28" spans="1:43" s="115" customFormat="1" ht="165" x14ac:dyDescent="0.2">
      <c r="A28" s="105">
        <v>25</v>
      </c>
      <c r="B28" s="167" t="s">
        <v>504</v>
      </c>
      <c r="C28" s="105" t="s">
        <v>82</v>
      </c>
      <c r="D28" s="166">
        <v>2012</v>
      </c>
      <c r="E28" s="167" t="s">
        <v>63</v>
      </c>
      <c r="F28" s="167" t="s">
        <v>505</v>
      </c>
      <c r="G28" s="167" t="s">
        <v>2315</v>
      </c>
      <c r="H28" s="167"/>
      <c r="I28" s="167" t="s">
        <v>2316</v>
      </c>
      <c r="J28" s="167" t="s">
        <v>89</v>
      </c>
      <c r="K28" s="167" t="s">
        <v>2317</v>
      </c>
      <c r="L28" s="158" t="s">
        <v>650</v>
      </c>
      <c r="M28" s="158"/>
      <c r="N28" s="158" t="s">
        <v>567</v>
      </c>
      <c r="O28" s="168" t="s">
        <v>18</v>
      </c>
      <c r="P28" s="168" t="s">
        <v>2165</v>
      </c>
      <c r="Q28" s="105"/>
      <c r="R28" s="105"/>
      <c r="S28" s="167"/>
      <c r="T28" s="167"/>
    </row>
    <row r="29" spans="1:43" s="115" customFormat="1" ht="105" x14ac:dyDescent="0.2">
      <c r="A29" s="105">
        <v>26</v>
      </c>
      <c r="B29" s="167" t="s">
        <v>523</v>
      </c>
      <c r="C29" s="105" t="s">
        <v>82</v>
      </c>
      <c r="D29" s="166">
        <v>2009</v>
      </c>
      <c r="E29" s="167" t="s">
        <v>63</v>
      </c>
      <c r="F29" s="167" t="s">
        <v>524</v>
      </c>
      <c r="G29" s="167" t="s">
        <v>2226</v>
      </c>
      <c r="H29" s="167"/>
      <c r="I29" s="167" t="s">
        <v>2227</v>
      </c>
      <c r="J29" s="167" t="s">
        <v>89</v>
      </c>
      <c r="K29" s="167" t="s">
        <v>2228</v>
      </c>
      <c r="L29" s="167" t="s">
        <v>441</v>
      </c>
      <c r="M29" s="167"/>
      <c r="N29" s="105" t="s">
        <v>2229</v>
      </c>
      <c r="O29" s="168" t="s">
        <v>18</v>
      </c>
      <c r="P29" s="168" t="s">
        <v>606</v>
      </c>
      <c r="Q29" s="105"/>
      <c r="R29" s="105"/>
      <c r="S29" s="167"/>
      <c r="T29" s="167"/>
    </row>
    <row r="30" spans="1:43" s="115" customFormat="1" x14ac:dyDescent="0.2">
      <c r="A30" s="217">
        <v>27</v>
      </c>
      <c r="B30" s="214" t="s">
        <v>200</v>
      </c>
      <c r="C30" s="105"/>
      <c r="D30" s="166"/>
      <c r="E30" s="167"/>
      <c r="F30" s="167"/>
      <c r="G30" s="167"/>
      <c r="H30" s="167"/>
      <c r="I30" s="167"/>
      <c r="J30" s="167"/>
      <c r="K30" s="167"/>
      <c r="L30" s="167"/>
      <c r="M30" s="167"/>
      <c r="N30" s="105"/>
      <c r="O30" s="168"/>
      <c r="P30" s="168"/>
      <c r="Q30" s="105"/>
      <c r="R30" s="105"/>
      <c r="S30" s="167"/>
      <c r="T30" s="167"/>
      <c r="U30" s="115" t="s">
        <v>2318</v>
      </c>
    </row>
    <row r="31" spans="1:43" s="115" customFormat="1" x14ac:dyDescent="0.2">
      <c r="A31" s="217"/>
      <c r="B31" s="214"/>
      <c r="C31" s="105"/>
      <c r="D31" s="166"/>
      <c r="E31" s="167"/>
      <c r="F31" s="167"/>
      <c r="G31" s="167"/>
      <c r="H31" s="167"/>
      <c r="I31" s="167"/>
      <c r="J31" s="167"/>
      <c r="K31" s="167"/>
      <c r="L31" s="167"/>
      <c r="M31" s="167"/>
      <c r="N31" s="105"/>
      <c r="O31" s="168"/>
      <c r="P31" s="168"/>
      <c r="Q31" s="105"/>
      <c r="R31" s="105"/>
      <c r="S31" s="167"/>
      <c r="T31" s="167"/>
      <c r="U31" s="115" t="s">
        <v>2319</v>
      </c>
    </row>
    <row r="32" spans="1:43" s="115" customFormat="1" ht="105" x14ac:dyDescent="0.2">
      <c r="A32" s="217"/>
      <c r="B32" s="214"/>
      <c r="C32" s="105" t="s">
        <v>197</v>
      </c>
      <c r="D32" s="166">
        <v>2016</v>
      </c>
      <c r="E32" s="167" t="s">
        <v>164</v>
      </c>
      <c r="F32" s="172" t="s">
        <v>199</v>
      </c>
      <c r="G32" s="107" t="s">
        <v>383</v>
      </c>
      <c r="H32" s="107"/>
      <c r="I32" s="167" t="s">
        <v>386</v>
      </c>
      <c r="J32" s="167" t="s">
        <v>88</v>
      </c>
      <c r="K32" s="105" t="s">
        <v>384</v>
      </c>
      <c r="L32" s="105" t="s">
        <v>92</v>
      </c>
      <c r="M32" s="105" t="s">
        <v>442</v>
      </c>
      <c r="N32" s="167" t="s">
        <v>2320</v>
      </c>
      <c r="O32" s="168" t="s">
        <v>18</v>
      </c>
      <c r="P32" s="168" t="s">
        <v>18</v>
      </c>
      <c r="Q32" s="105"/>
      <c r="R32" s="105"/>
      <c r="S32" s="119"/>
      <c r="T32" s="167"/>
      <c r="U32" s="116" t="s">
        <v>2321</v>
      </c>
    </row>
    <row r="33" spans="1:43" s="105" customFormat="1" ht="105" x14ac:dyDescent="0.2">
      <c r="A33" s="105">
        <v>28</v>
      </c>
      <c r="B33" s="167" t="s">
        <v>530</v>
      </c>
      <c r="C33" s="105" t="s">
        <v>616</v>
      </c>
      <c r="D33" s="166">
        <v>2016</v>
      </c>
      <c r="E33" s="167" t="s">
        <v>531</v>
      </c>
      <c r="F33" s="167" t="s">
        <v>532</v>
      </c>
      <c r="G33" s="167" t="s">
        <v>2322</v>
      </c>
      <c r="H33" s="167" t="s">
        <v>100</v>
      </c>
      <c r="I33" s="167" t="s">
        <v>275</v>
      </c>
      <c r="J33" s="167" t="s">
        <v>90</v>
      </c>
      <c r="K33" s="167" t="s">
        <v>2323</v>
      </c>
      <c r="L33" s="105" t="s">
        <v>91</v>
      </c>
      <c r="M33" s="167" t="s">
        <v>94</v>
      </c>
      <c r="N33" s="167" t="s">
        <v>2324</v>
      </c>
      <c r="O33" s="167" t="s">
        <v>2325</v>
      </c>
      <c r="P33" s="167" t="s">
        <v>2326</v>
      </c>
      <c r="Q33" s="167"/>
      <c r="R33" s="167"/>
      <c r="S33" s="167"/>
      <c r="T33" s="167"/>
      <c r="U33" s="167"/>
      <c r="V33" s="167"/>
      <c r="W33" s="167"/>
      <c r="X33" s="167"/>
      <c r="Y33" s="167"/>
      <c r="Z33" s="167"/>
      <c r="AA33" s="167"/>
      <c r="AB33" s="167"/>
      <c r="AC33" s="167"/>
      <c r="AD33" s="167"/>
      <c r="AE33" s="167"/>
      <c r="AF33" s="167"/>
      <c r="AG33" s="167"/>
      <c r="AH33" s="167"/>
      <c r="AI33" s="167"/>
      <c r="AJ33" s="167"/>
      <c r="AK33" s="167"/>
      <c r="AL33" s="167"/>
      <c r="AM33" s="167"/>
      <c r="AN33" s="167"/>
      <c r="AO33" s="167"/>
      <c r="AP33" s="167"/>
      <c r="AQ33" s="167"/>
    </row>
    <row r="34" spans="1:43" s="105" customFormat="1" ht="120" x14ac:dyDescent="0.2">
      <c r="A34" s="105">
        <v>29</v>
      </c>
      <c r="B34" s="167" t="s">
        <v>791</v>
      </c>
      <c r="C34" s="105" t="s">
        <v>27</v>
      </c>
      <c r="D34" s="166">
        <v>2016</v>
      </c>
      <c r="E34" s="167" t="s">
        <v>705</v>
      </c>
      <c r="F34" s="112" t="s">
        <v>790</v>
      </c>
      <c r="G34" s="167" t="s">
        <v>2173</v>
      </c>
      <c r="H34" s="167" t="s">
        <v>100</v>
      </c>
      <c r="I34" s="167" t="s">
        <v>275</v>
      </c>
      <c r="J34" s="167" t="s">
        <v>90</v>
      </c>
      <c r="K34" s="167" t="s">
        <v>2174</v>
      </c>
      <c r="L34" s="105" t="s">
        <v>91</v>
      </c>
      <c r="M34" s="167" t="s">
        <v>443</v>
      </c>
      <c r="N34" s="167" t="s">
        <v>2327</v>
      </c>
      <c r="O34" s="167" t="s">
        <v>2149</v>
      </c>
      <c r="P34" s="167" t="s">
        <v>2328</v>
      </c>
      <c r="Q34" s="167"/>
      <c r="R34" s="167"/>
      <c r="S34" s="167"/>
      <c r="T34" s="167"/>
      <c r="U34" s="167"/>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7"/>
    </row>
    <row r="35" spans="1:43" s="105" customFormat="1" ht="135" x14ac:dyDescent="0.2">
      <c r="A35" s="105">
        <v>30</v>
      </c>
      <c r="B35" s="167" t="s">
        <v>535</v>
      </c>
      <c r="C35" s="105" t="s">
        <v>126</v>
      </c>
      <c r="D35" s="166">
        <v>2010</v>
      </c>
      <c r="E35" s="167" t="s">
        <v>63</v>
      </c>
      <c r="F35" s="167" t="s">
        <v>536</v>
      </c>
      <c r="G35" s="167" t="s">
        <v>2329</v>
      </c>
      <c r="H35" s="167"/>
      <c r="I35" s="167" t="s">
        <v>2330</v>
      </c>
      <c r="J35" s="167" t="s">
        <v>444</v>
      </c>
      <c r="K35" s="167" t="s">
        <v>2331</v>
      </c>
      <c r="L35" s="167" t="s">
        <v>441</v>
      </c>
      <c r="M35" s="167" t="s">
        <v>443</v>
      </c>
      <c r="N35" s="167" t="s">
        <v>2305</v>
      </c>
      <c r="O35" s="167" t="s">
        <v>2332</v>
      </c>
      <c r="P35" s="167" t="s">
        <v>2333</v>
      </c>
      <c r="Q35" s="167"/>
      <c r="R35" s="167"/>
      <c r="S35" s="167" t="s">
        <v>2334</v>
      </c>
      <c r="T35" s="167" t="s">
        <v>2335</v>
      </c>
      <c r="U35" s="167" t="s">
        <v>2336</v>
      </c>
      <c r="V35" s="167" t="s">
        <v>2337</v>
      </c>
      <c r="W35" s="167" t="s">
        <v>2338</v>
      </c>
      <c r="X35" s="167" t="s">
        <v>2339</v>
      </c>
      <c r="Y35" s="167" t="s">
        <v>2340</v>
      </c>
      <c r="Z35" s="167"/>
      <c r="AA35" s="167"/>
      <c r="AB35" s="167"/>
      <c r="AC35" s="167"/>
      <c r="AD35" s="167"/>
      <c r="AE35" s="167"/>
      <c r="AF35" s="167"/>
      <c r="AG35" s="167"/>
      <c r="AH35" s="167"/>
      <c r="AI35" s="167"/>
      <c r="AJ35" s="167"/>
      <c r="AK35" s="167"/>
      <c r="AL35" s="167"/>
      <c r="AM35" s="167"/>
      <c r="AN35" s="167"/>
      <c r="AO35" s="167"/>
      <c r="AP35" s="167"/>
      <c r="AQ35" s="167"/>
    </row>
    <row r="36" spans="1:43" s="105" customFormat="1" ht="135" x14ac:dyDescent="0.2">
      <c r="A36" s="105">
        <v>31</v>
      </c>
      <c r="B36" s="167" t="s">
        <v>2341</v>
      </c>
      <c r="C36" s="105" t="s">
        <v>82</v>
      </c>
      <c r="D36" s="166">
        <v>2016</v>
      </c>
      <c r="E36" s="167" t="s">
        <v>114</v>
      </c>
      <c r="F36" s="167" t="s">
        <v>2342</v>
      </c>
      <c r="G36" s="167" t="s">
        <v>2343</v>
      </c>
      <c r="H36" s="167"/>
      <c r="I36" s="167" t="s">
        <v>2344</v>
      </c>
      <c r="J36" s="167" t="s">
        <v>88</v>
      </c>
      <c r="K36" s="167" t="s">
        <v>2345</v>
      </c>
      <c r="L36" s="167" t="s">
        <v>91</v>
      </c>
      <c r="M36" s="167" t="s">
        <v>448</v>
      </c>
      <c r="N36" s="167"/>
      <c r="O36" s="167" t="s">
        <v>18</v>
      </c>
      <c r="P36" s="167" t="s">
        <v>335</v>
      </c>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row>
    <row r="37" spans="1:43" s="105" customFormat="1" ht="60" x14ac:dyDescent="0.2">
      <c r="A37" s="105">
        <v>32</v>
      </c>
      <c r="B37" s="167" t="s">
        <v>540</v>
      </c>
      <c r="C37" s="105" t="s">
        <v>156</v>
      </c>
      <c r="D37" s="166">
        <v>2016</v>
      </c>
      <c r="E37" s="167" t="s">
        <v>63</v>
      </c>
      <c r="F37" s="167" t="s">
        <v>541</v>
      </c>
      <c r="G37" s="167" t="s">
        <v>2346</v>
      </c>
      <c r="H37" s="167" t="s">
        <v>100</v>
      </c>
      <c r="I37" s="167" t="s">
        <v>275</v>
      </c>
      <c r="J37" s="167" t="s">
        <v>90</v>
      </c>
      <c r="K37" s="167" t="s">
        <v>2347</v>
      </c>
      <c r="L37" s="167" t="s">
        <v>91</v>
      </c>
      <c r="M37" s="167" t="s">
        <v>94</v>
      </c>
      <c r="N37" s="167" t="s">
        <v>2348</v>
      </c>
      <c r="O37" s="167" t="s">
        <v>2149</v>
      </c>
      <c r="P37" s="167" t="s">
        <v>2349</v>
      </c>
      <c r="Q37" s="167"/>
      <c r="R37" s="167"/>
      <c r="S37" s="167"/>
      <c r="T37" s="167"/>
      <c r="U37" s="167"/>
      <c r="V37" s="167"/>
      <c r="W37" s="167"/>
      <c r="X37" s="167"/>
      <c r="Y37" s="167"/>
      <c r="Z37" s="167"/>
      <c r="AA37" s="167"/>
      <c r="AB37" s="167"/>
      <c r="AC37" s="167"/>
      <c r="AD37" s="167"/>
      <c r="AE37" s="167"/>
      <c r="AF37" s="167"/>
      <c r="AG37" s="167"/>
      <c r="AH37" s="167"/>
      <c r="AI37" s="167"/>
      <c r="AJ37" s="167"/>
      <c r="AK37" s="167"/>
      <c r="AL37" s="167"/>
      <c r="AM37" s="167"/>
      <c r="AN37" s="167"/>
      <c r="AO37" s="167"/>
      <c r="AP37" s="167"/>
      <c r="AQ37" s="167"/>
    </row>
    <row r="38" spans="1:43" s="105" customFormat="1" ht="150" x14ac:dyDescent="0.2">
      <c r="A38" s="105">
        <v>33</v>
      </c>
      <c r="B38" s="167" t="s">
        <v>803</v>
      </c>
      <c r="C38" s="105" t="s">
        <v>194</v>
      </c>
      <c r="D38" s="166">
        <v>2016</v>
      </c>
      <c r="E38" s="167" t="s">
        <v>114</v>
      </c>
      <c r="F38" s="112" t="s">
        <v>802</v>
      </c>
      <c r="G38" s="167" t="s">
        <v>2350</v>
      </c>
      <c r="H38" s="167"/>
      <c r="I38" s="167" t="s">
        <v>2351</v>
      </c>
      <c r="J38" s="167" t="s">
        <v>89</v>
      </c>
      <c r="K38" s="167" t="s">
        <v>2352</v>
      </c>
      <c r="L38" s="167" t="s">
        <v>92</v>
      </c>
      <c r="M38" s="167"/>
      <c r="N38" s="167" t="s">
        <v>2353</v>
      </c>
      <c r="O38" s="167" t="s">
        <v>18</v>
      </c>
      <c r="P38" s="167"/>
      <c r="Q38" s="167"/>
      <c r="R38" s="167"/>
      <c r="S38" s="167"/>
      <c r="T38" s="167"/>
      <c r="U38" s="167"/>
      <c r="V38" s="167"/>
      <c r="W38" s="167"/>
      <c r="X38" s="167"/>
      <c r="Y38" s="167"/>
      <c r="Z38" s="167"/>
      <c r="AA38" s="167"/>
      <c r="AB38" s="167"/>
      <c r="AC38" s="167"/>
      <c r="AD38" s="167"/>
      <c r="AE38" s="167"/>
      <c r="AF38" s="167"/>
      <c r="AG38" s="167"/>
      <c r="AH38" s="167"/>
      <c r="AI38" s="167"/>
      <c r="AJ38" s="167"/>
      <c r="AK38" s="167"/>
      <c r="AL38" s="167"/>
      <c r="AM38" s="167"/>
      <c r="AN38" s="167"/>
      <c r="AO38" s="167"/>
      <c r="AP38" s="167"/>
      <c r="AQ38" s="167"/>
    </row>
    <row r="39" spans="1:43" s="105" customFormat="1" ht="105" x14ac:dyDescent="0.2">
      <c r="A39" s="105">
        <v>34</v>
      </c>
      <c r="B39" s="167" t="s">
        <v>807</v>
      </c>
      <c r="C39" s="105" t="s">
        <v>144</v>
      </c>
      <c r="D39" s="166">
        <v>2014</v>
      </c>
      <c r="E39" s="167" t="s">
        <v>164</v>
      </c>
      <c r="F39" s="167" t="s">
        <v>806</v>
      </c>
      <c r="G39" s="167" t="s">
        <v>2183</v>
      </c>
      <c r="H39" s="167"/>
      <c r="I39" s="167" t="s">
        <v>2184</v>
      </c>
      <c r="J39" s="167"/>
      <c r="K39" s="167" t="s">
        <v>2185</v>
      </c>
      <c r="L39" s="167" t="s">
        <v>91</v>
      </c>
      <c r="M39" s="167" t="s">
        <v>94</v>
      </c>
      <c r="N39" s="167"/>
      <c r="O39" s="167" t="s">
        <v>1925</v>
      </c>
      <c r="P39" s="167" t="s">
        <v>2187</v>
      </c>
      <c r="Q39" s="167"/>
      <c r="R39" s="167"/>
      <c r="S39" s="167"/>
      <c r="T39" s="167"/>
      <c r="U39" s="167"/>
      <c r="V39" s="167"/>
      <c r="W39" s="167"/>
      <c r="X39" s="167"/>
      <c r="Y39" s="167"/>
      <c r="Z39" s="167"/>
      <c r="AA39" s="167"/>
      <c r="AB39" s="167"/>
      <c r="AC39" s="167"/>
      <c r="AD39" s="167"/>
      <c r="AE39" s="167"/>
      <c r="AF39" s="167"/>
      <c r="AG39" s="167"/>
      <c r="AH39" s="167"/>
      <c r="AI39" s="167"/>
      <c r="AJ39" s="167"/>
      <c r="AK39" s="167"/>
      <c r="AL39" s="167"/>
      <c r="AM39" s="167"/>
      <c r="AN39" s="167"/>
      <c r="AO39" s="167"/>
      <c r="AP39" s="167"/>
      <c r="AQ39" s="167"/>
    </row>
    <row r="40" spans="1:43" s="105" customFormat="1" ht="90" x14ac:dyDescent="0.2">
      <c r="A40" s="105">
        <v>35</v>
      </c>
      <c r="B40" s="167" t="s">
        <v>542</v>
      </c>
      <c r="C40" s="105" t="s">
        <v>135</v>
      </c>
      <c r="D40" s="166">
        <v>2014</v>
      </c>
      <c r="E40" s="167" t="s">
        <v>63</v>
      </c>
      <c r="F40" s="167" t="s">
        <v>543</v>
      </c>
      <c r="G40" s="167" t="s">
        <v>2354</v>
      </c>
      <c r="H40" s="167" t="s">
        <v>1095</v>
      </c>
      <c r="I40" s="167" t="s">
        <v>281</v>
      </c>
      <c r="J40" s="167" t="s">
        <v>88</v>
      </c>
      <c r="K40" s="167" t="s">
        <v>2355</v>
      </c>
      <c r="L40" s="167" t="s">
        <v>441</v>
      </c>
      <c r="M40" s="167"/>
      <c r="N40" s="167" t="s">
        <v>2356</v>
      </c>
      <c r="O40" s="163" t="s">
        <v>18</v>
      </c>
      <c r="P40" s="167" t="s">
        <v>2357</v>
      </c>
      <c r="Q40" s="167"/>
      <c r="R40" s="167"/>
      <c r="S40" s="167"/>
      <c r="T40" s="167"/>
      <c r="U40" s="189">
        <v>1008</v>
      </c>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row>
    <row r="41" spans="1:43" s="105" customFormat="1" ht="14" x14ac:dyDescent="0.2">
      <c r="B41" s="167"/>
      <c r="D41" s="166"/>
      <c r="G41" s="167"/>
      <c r="H41" s="167"/>
      <c r="I41" s="167"/>
      <c r="J41" s="167"/>
      <c r="K41" s="167"/>
      <c r="L41" s="167"/>
      <c r="M41" s="167"/>
      <c r="N41" s="167"/>
      <c r="O41" s="167"/>
      <c r="P41" s="167"/>
      <c r="Q41" s="167"/>
      <c r="R41" s="167"/>
      <c r="S41" s="167"/>
      <c r="T41" s="167"/>
      <c r="U41" s="167"/>
      <c r="V41" s="167"/>
      <c r="W41" s="167"/>
      <c r="X41" s="167"/>
      <c r="Y41" s="167"/>
      <c r="Z41" s="167"/>
      <c r="AA41" s="167"/>
      <c r="AB41" s="167"/>
      <c r="AC41" s="167"/>
      <c r="AD41" s="167"/>
      <c r="AE41" s="167"/>
      <c r="AF41" s="167"/>
      <c r="AG41" s="167"/>
      <c r="AH41" s="167"/>
      <c r="AI41" s="167"/>
      <c r="AJ41" s="167"/>
      <c r="AK41" s="167"/>
      <c r="AL41" s="167"/>
      <c r="AM41" s="167"/>
      <c r="AN41" s="167"/>
      <c r="AO41" s="167"/>
      <c r="AP41" s="167"/>
      <c r="AQ41" s="167"/>
    </row>
    <row r="42" spans="1:43" s="105" customFormat="1" ht="14" x14ac:dyDescent="0.2">
      <c r="B42" s="167"/>
      <c r="D42" s="166"/>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7"/>
      <c r="AP42" s="167"/>
      <c r="AQ42" s="167"/>
    </row>
    <row r="43" spans="1:43" s="105" customFormat="1" ht="14" x14ac:dyDescent="0.2">
      <c r="B43" s="167"/>
      <c r="D43" s="166"/>
      <c r="G43" s="167"/>
      <c r="H43" s="167"/>
      <c r="I43" s="167"/>
      <c r="J43" s="167"/>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7"/>
      <c r="AP43" s="167"/>
      <c r="AQ43" s="167"/>
    </row>
    <row r="44" spans="1:43" s="105" customFormat="1" ht="14" x14ac:dyDescent="0.2">
      <c r="B44" s="167"/>
      <c r="D44" s="166"/>
      <c r="G44" s="167"/>
      <c r="H44" s="167"/>
      <c r="I44" s="167"/>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row>
    <row r="45" spans="1:43" s="115" customFormat="1" x14ac:dyDescent="0.2">
      <c r="A45" s="116"/>
      <c r="D45" s="136"/>
      <c r="F45" s="116"/>
      <c r="G45" s="167"/>
      <c r="H45" s="167"/>
      <c r="I45" s="167"/>
      <c r="J45" s="167"/>
      <c r="K45" s="167"/>
      <c r="L45" s="167"/>
      <c r="M45" s="167"/>
      <c r="N45" s="167"/>
      <c r="O45" s="167"/>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row>
    <row r="46" spans="1:43" s="115" customFormat="1" x14ac:dyDescent="0.2">
      <c r="A46" s="116"/>
      <c r="D46" s="136"/>
      <c r="F46" s="116"/>
      <c r="G46" s="167"/>
      <c r="H46" s="167"/>
      <c r="I46" s="167"/>
      <c r="J46" s="167"/>
      <c r="K46" s="167"/>
      <c r="L46" s="167"/>
      <c r="M46" s="167"/>
      <c r="N46" s="167"/>
      <c r="O46" s="167"/>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row>
    <row r="47" spans="1:43" s="115" customFormat="1" x14ac:dyDescent="0.2">
      <c r="A47" s="116"/>
      <c r="D47" s="136"/>
      <c r="F47" s="116"/>
      <c r="G47" s="167"/>
      <c r="H47" s="167"/>
      <c r="I47" s="167"/>
      <c r="J47" s="167"/>
      <c r="K47" s="167"/>
      <c r="L47" s="167"/>
      <c r="M47" s="167"/>
      <c r="N47" s="167"/>
      <c r="O47" s="167"/>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row>
    <row r="48" spans="1:43" s="115" customFormat="1" x14ac:dyDescent="0.2">
      <c r="A48" s="116"/>
      <c r="D48" s="136"/>
      <c r="F48" s="116"/>
      <c r="G48" s="167"/>
      <c r="H48" s="167"/>
      <c r="I48" s="167"/>
      <c r="J48" s="167"/>
      <c r="K48" s="167"/>
      <c r="L48" s="167"/>
      <c r="M48" s="167"/>
      <c r="N48" s="167"/>
      <c r="O48" s="167"/>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row>
    <row r="49" spans="1:43" s="115" customFormat="1" x14ac:dyDescent="0.2">
      <c r="A49" s="116"/>
      <c r="D49" s="136"/>
      <c r="F49" s="116"/>
      <c r="G49" s="167"/>
      <c r="H49" s="167"/>
      <c r="I49" s="167"/>
      <c r="J49" s="167"/>
      <c r="K49" s="167"/>
      <c r="L49" s="167"/>
      <c r="M49" s="167"/>
      <c r="N49" s="167"/>
      <c r="O49" s="167"/>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row>
    <row r="50" spans="1:43" s="115" customFormat="1" x14ac:dyDescent="0.2">
      <c r="A50" s="116"/>
      <c r="D50" s="136"/>
      <c r="F50" s="116"/>
      <c r="G50" s="167"/>
      <c r="H50" s="167"/>
      <c r="I50" s="167"/>
      <c r="J50" s="167"/>
      <c r="K50" s="167"/>
      <c r="L50" s="167"/>
      <c r="M50" s="167"/>
      <c r="N50" s="167"/>
      <c r="O50" s="167"/>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row>
    <row r="51" spans="1:43" s="115" customFormat="1" x14ac:dyDescent="0.2">
      <c r="A51" s="116"/>
      <c r="D51" s="136"/>
      <c r="F51" s="116"/>
      <c r="G51" s="167"/>
      <c r="H51" s="167"/>
      <c r="I51" s="167"/>
      <c r="J51" s="167"/>
      <c r="K51" s="167"/>
      <c r="L51" s="167"/>
      <c r="M51" s="167"/>
      <c r="N51" s="167"/>
      <c r="O51" s="167"/>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row>
    <row r="52" spans="1:43" s="115" customFormat="1" x14ac:dyDescent="0.2">
      <c r="A52" s="116"/>
      <c r="D52" s="136"/>
      <c r="F52" s="116"/>
      <c r="G52" s="167"/>
      <c r="H52" s="167"/>
      <c r="I52" s="167"/>
      <c r="J52" s="167"/>
      <c r="K52" s="167"/>
      <c r="L52" s="167"/>
      <c r="M52" s="167"/>
      <c r="N52" s="167"/>
      <c r="O52" s="167"/>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row>
    <row r="53" spans="1:43" s="115" customFormat="1" x14ac:dyDescent="0.2">
      <c r="A53" s="116"/>
      <c r="D53" s="136"/>
      <c r="F53" s="116"/>
      <c r="G53" s="167"/>
      <c r="H53" s="167"/>
      <c r="I53" s="167"/>
      <c r="J53" s="167"/>
      <c r="K53" s="167"/>
      <c r="L53" s="167"/>
      <c r="M53" s="167"/>
      <c r="N53" s="167"/>
      <c r="O53" s="167"/>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row>
    <row r="54" spans="1:43" s="115" customFormat="1" x14ac:dyDescent="0.2">
      <c r="A54" s="116"/>
      <c r="D54" s="136"/>
      <c r="F54" s="116"/>
      <c r="G54" s="167"/>
      <c r="H54" s="167"/>
      <c r="I54" s="167"/>
      <c r="J54" s="167"/>
      <c r="K54" s="167"/>
      <c r="L54" s="167"/>
      <c r="M54" s="167"/>
      <c r="N54" s="167"/>
      <c r="O54" s="167"/>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2"/>
      <c r="AQ54" s="112"/>
    </row>
    <row r="55" spans="1:43" s="115" customFormat="1" x14ac:dyDescent="0.2">
      <c r="A55" s="116"/>
      <c r="D55" s="136"/>
      <c r="F55" s="116"/>
      <c r="G55" s="167"/>
      <c r="H55" s="167"/>
      <c r="I55" s="167"/>
      <c r="J55" s="167"/>
      <c r="K55" s="167"/>
      <c r="L55" s="167"/>
      <c r="M55" s="167"/>
      <c r="N55" s="167"/>
      <c r="O55" s="167"/>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2"/>
      <c r="AP55" s="112"/>
      <c r="AQ55" s="112"/>
    </row>
    <row r="56" spans="1:43" s="115" customFormat="1" x14ac:dyDescent="0.2">
      <c r="A56" s="116"/>
      <c r="D56" s="136"/>
      <c r="F56" s="116"/>
      <c r="G56" s="167"/>
      <c r="H56" s="167"/>
      <c r="I56" s="167"/>
      <c r="J56" s="167"/>
      <c r="K56" s="167"/>
      <c r="L56" s="167"/>
      <c r="M56" s="167"/>
      <c r="N56" s="167"/>
      <c r="O56" s="167"/>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c r="AQ56" s="112"/>
    </row>
    <row r="57" spans="1:43" s="115" customFormat="1" x14ac:dyDescent="0.2">
      <c r="A57" s="116"/>
      <c r="D57" s="136"/>
      <c r="F57" s="116"/>
      <c r="G57" s="167"/>
      <c r="H57" s="167"/>
      <c r="I57" s="167"/>
      <c r="J57" s="167"/>
      <c r="K57" s="167"/>
      <c r="L57" s="167"/>
      <c r="M57" s="167"/>
      <c r="N57" s="167"/>
      <c r="O57" s="167"/>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row>
    <row r="58" spans="1:43" s="115" customFormat="1" x14ac:dyDescent="0.2">
      <c r="A58" s="116"/>
      <c r="D58" s="136"/>
      <c r="F58" s="116"/>
      <c r="G58" s="167"/>
      <c r="H58" s="167"/>
      <c r="I58" s="167"/>
      <c r="J58" s="167"/>
      <c r="K58" s="167"/>
      <c r="L58" s="167"/>
      <c r="M58" s="167"/>
      <c r="N58" s="167"/>
      <c r="O58" s="167"/>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row>
    <row r="59" spans="1:43" s="115" customFormat="1" x14ac:dyDescent="0.2">
      <c r="A59" s="116"/>
      <c r="D59" s="136"/>
      <c r="F59" s="116"/>
      <c r="G59" s="167"/>
      <c r="H59" s="167"/>
      <c r="I59" s="167"/>
      <c r="J59" s="167"/>
      <c r="K59" s="167"/>
      <c r="L59" s="167"/>
      <c r="M59" s="167"/>
      <c r="N59" s="167"/>
      <c r="O59" s="167"/>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c r="AP59" s="112"/>
      <c r="AQ59" s="112"/>
    </row>
    <row r="60" spans="1:43" s="115" customFormat="1" x14ac:dyDescent="0.2">
      <c r="A60" s="116"/>
      <c r="D60" s="136"/>
      <c r="F60" s="116"/>
      <c r="G60" s="167"/>
      <c r="H60" s="167"/>
      <c r="I60" s="167"/>
      <c r="J60" s="167"/>
      <c r="K60" s="167"/>
      <c r="L60" s="167"/>
      <c r="M60" s="167"/>
      <c r="N60" s="167"/>
      <c r="O60" s="167"/>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row>
    <row r="61" spans="1:43" s="115" customFormat="1" x14ac:dyDescent="0.2">
      <c r="A61" s="116"/>
      <c r="D61" s="136"/>
      <c r="F61" s="116"/>
      <c r="G61" s="167"/>
      <c r="H61" s="167"/>
      <c r="I61" s="167"/>
      <c r="J61" s="167"/>
      <c r="K61" s="167"/>
      <c r="L61" s="167"/>
      <c r="M61" s="167"/>
      <c r="N61" s="167"/>
      <c r="O61" s="167"/>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row>
    <row r="62" spans="1:43" s="115" customFormat="1" x14ac:dyDescent="0.2">
      <c r="A62" s="116"/>
      <c r="D62" s="136"/>
      <c r="F62" s="116"/>
      <c r="G62" s="167"/>
      <c r="H62" s="167"/>
      <c r="I62" s="167"/>
      <c r="J62" s="167"/>
      <c r="K62" s="167"/>
      <c r="L62" s="167"/>
      <c r="M62" s="167"/>
      <c r="N62" s="167"/>
      <c r="O62" s="167"/>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2"/>
    </row>
    <row r="63" spans="1:43" s="115" customFormat="1" x14ac:dyDescent="0.2">
      <c r="A63" s="116"/>
      <c r="D63" s="136"/>
      <c r="F63" s="116"/>
      <c r="G63" s="167"/>
      <c r="H63" s="167"/>
      <c r="I63" s="167"/>
      <c r="J63" s="167"/>
      <c r="K63" s="167"/>
      <c r="L63" s="167"/>
      <c r="M63" s="167"/>
      <c r="N63" s="167"/>
      <c r="O63" s="167"/>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row>
    <row r="64" spans="1:43" s="115" customFormat="1" x14ac:dyDescent="0.2">
      <c r="A64" s="116"/>
      <c r="D64" s="136"/>
      <c r="F64" s="116"/>
      <c r="G64" s="167"/>
      <c r="H64" s="167"/>
      <c r="I64" s="167"/>
      <c r="J64" s="167"/>
      <c r="K64" s="167"/>
      <c r="L64" s="167"/>
      <c r="M64" s="167"/>
      <c r="N64" s="167"/>
      <c r="O64" s="167"/>
      <c r="P64" s="112"/>
      <c r="Q64" s="112"/>
      <c r="R64" s="112"/>
      <c r="S64" s="112"/>
      <c r="T64" s="112"/>
      <c r="U64" s="112"/>
      <c r="V64" s="112"/>
      <c r="W64" s="112"/>
      <c r="X64" s="112"/>
      <c r="Y64" s="112"/>
      <c r="Z64" s="112"/>
      <c r="AA64" s="112"/>
      <c r="AB64" s="112"/>
      <c r="AC64" s="112"/>
      <c r="AD64" s="112"/>
      <c r="AE64" s="112"/>
      <c r="AF64" s="112"/>
      <c r="AG64" s="112"/>
      <c r="AH64" s="112"/>
      <c r="AI64" s="112"/>
      <c r="AJ64" s="112"/>
      <c r="AK64" s="112"/>
      <c r="AL64" s="112"/>
      <c r="AM64" s="112"/>
      <c r="AN64" s="112"/>
      <c r="AO64" s="112"/>
      <c r="AP64" s="112"/>
      <c r="AQ64" s="112"/>
    </row>
    <row r="65" spans="1:43" s="115" customFormat="1" x14ac:dyDescent="0.2">
      <c r="A65" s="116"/>
      <c r="D65" s="136"/>
      <c r="F65" s="116"/>
      <c r="G65" s="167"/>
      <c r="H65" s="167"/>
      <c r="I65" s="167"/>
      <c r="J65" s="167"/>
      <c r="K65" s="167"/>
      <c r="L65" s="167"/>
      <c r="M65" s="167"/>
      <c r="N65" s="167"/>
      <c r="O65" s="167"/>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c r="AO65" s="112"/>
      <c r="AP65" s="112"/>
      <c r="AQ65" s="112"/>
    </row>
    <row r="66" spans="1:43" s="115" customFormat="1" x14ac:dyDescent="0.2">
      <c r="A66" s="116"/>
      <c r="D66" s="136"/>
      <c r="F66" s="116"/>
      <c r="G66" s="167"/>
      <c r="H66" s="167"/>
      <c r="I66" s="167"/>
      <c r="J66" s="167"/>
      <c r="K66" s="167"/>
      <c r="L66" s="167"/>
      <c r="M66" s="167"/>
      <c r="N66" s="167"/>
      <c r="O66" s="167"/>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c r="AO66" s="112"/>
      <c r="AP66" s="112"/>
      <c r="AQ66" s="112"/>
    </row>
    <row r="67" spans="1:43" s="115" customFormat="1" x14ac:dyDescent="0.2">
      <c r="A67" s="116"/>
      <c r="D67" s="136"/>
      <c r="F67" s="116"/>
      <c r="G67" s="167"/>
      <c r="H67" s="167"/>
      <c r="I67" s="167"/>
      <c r="J67" s="167"/>
      <c r="K67" s="167"/>
      <c r="L67" s="167"/>
      <c r="M67" s="167"/>
      <c r="N67" s="167"/>
      <c r="O67" s="167"/>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112"/>
      <c r="AQ67" s="112"/>
    </row>
    <row r="68" spans="1:43" s="115" customFormat="1" x14ac:dyDescent="0.2">
      <c r="A68" s="116"/>
      <c r="D68" s="136"/>
      <c r="F68" s="116"/>
      <c r="G68" s="167"/>
      <c r="H68" s="167"/>
      <c r="I68" s="167"/>
      <c r="J68" s="167"/>
      <c r="K68" s="167"/>
      <c r="L68" s="167"/>
      <c r="M68" s="167"/>
      <c r="N68" s="167"/>
      <c r="O68" s="167"/>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c r="AQ68" s="112"/>
    </row>
    <row r="69" spans="1:43" s="115" customFormat="1" x14ac:dyDescent="0.2">
      <c r="A69" s="116"/>
      <c r="D69" s="136"/>
      <c r="F69" s="116"/>
      <c r="G69" s="167"/>
      <c r="H69" s="167"/>
      <c r="I69" s="167"/>
      <c r="J69" s="167"/>
      <c r="K69" s="167"/>
      <c r="L69" s="167"/>
      <c r="M69" s="167"/>
      <c r="N69" s="167"/>
      <c r="O69" s="167"/>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c r="AO69" s="112"/>
      <c r="AP69" s="112"/>
      <c r="AQ69" s="112"/>
    </row>
    <row r="70" spans="1:43" s="115" customFormat="1" x14ac:dyDescent="0.2">
      <c r="A70" s="116"/>
      <c r="D70" s="136"/>
      <c r="F70" s="116"/>
      <c r="G70" s="167"/>
      <c r="H70" s="167"/>
      <c r="I70" s="167"/>
      <c r="J70" s="167"/>
      <c r="K70" s="167"/>
      <c r="L70" s="167"/>
      <c r="M70" s="167"/>
      <c r="N70" s="167"/>
      <c r="O70" s="167"/>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2"/>
      <c r="AN70" s="112"/>
      <c r="AO70" s="112"/>
      <c r="AP70" s="112"/>
      <c r="AQ70" s="112"/>
    </row>
    <row r="71" spans="1:43" s="115" customFormat="1" x14ac:dyDescent="0.2">
      <c r="A71" s="116"/>
      <c r="D71" s="136"/>
      <c r="F71" s="116"/>
      <c r="G71" s="167"/>
      <c r="H71" s="167"/>
      <c r="I71" s="167"/>
      <c r="J71" s="167"/>
      <c r="K71" s="167"/>
      <c r="L71" s="167"/>
      <c r="M71" s="167"/>
      <c r="N71" s="167"/>
      <c r="O71" s="167"/>
      <c r="P71" s="112"/>
      <c r="Q71" s="112"/>
      <c r="R71" s="112"/>
      <c r="S71" s="112"/>
      <c r="T71" s="112"/>
      <c r="U71" s="112"/>
      <c r="V71" s="112"/>
      <c r="W71" s="112"/>
      <c r="X71" s="112"/>
      <c r="Y71" s="112"/>
      <c r="Z71" s="112"/>
      <c r="AA71" s="112"/>
      <c r="AB71" s="112"/>
      <c r="AC71" s="112"/>
      <c r="AD71" s="112"/>
      <c r="AE71" s="112"/>
      <c r="AF71" s="112"/>
      <c r="AG71" s="112"/>
      <c r="AH71" s="112"/>
      <c r="AI71" s="112"/>
      <c r="AJ71" s="112"/>
      <c r="AK71" s="112"/>
      <c r="AL71" s="112"/>
      <c r="AM71" s="112"/>
      <c r="AN71" s="112"/>
      <c r="AO71" s="112"/>
      <c r="AP71" s="112"/>
      <c r="AQ71" s="112"/>
    </row>
    <row r="72" spans="1:43" s="115" customFormat="1" x14ac:dyDescent="0.2">
      <c r="A72" s="116"/>
      <c r="D72" s="136"/>
      <c r="F72" s="116"/>
      <c r="G72" s="167"/>
      <c r="H72" s="167"/>
      <c r="I72" s="167"/>
      <c r="J72" s="167"/>
      <c r="K72" s="167"/>
      <c r="L72" s="167"/>
      <c r="M72" s="167"/>
      <c r="N72" s="167"/>
      <c r="O72" s="167"/>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2"/>
      <c r="AO72" s="112"/>
      <c r="AP72" s="112"/>
      <c r="AQ72" s="112"/>
    </row>
    <row r="73" spans="1:43" s="115" customFormat="1" x14ac:dyDescent="0.2">
      <c r="A73" s="116"/>
      <c r="D73" s="136"/>
      <c r="F73" s="116"/>
      <c r="G73" s="167"/>
      <c r="H73" s="167"/>
      <c r="I73" s="167"/>
      <c r="J73" s="167"/>
      <c r="K73" s="167"/>
      <c r="L73" s="167"/>
      <c r="M73" s="167"/>
      <c r="N73" s="167"/>
      <c r="O73" s="167"/>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row>
    <row r="74" spans="1:43" s="115" customFormat="1" x14ac:dyDescent="0.2">
      <c r="A74" s="116"/>
      <c r="D74" s="136"/>
      <c r="F74" s="116"/>
      <c r="G74" s="167"/>
      <c r="H74" s="112"/>
      <c r="I74" s="112"/>
      <c r="J74" s="112"/>
      <c r="K74" s="112"/>
      <c r="L74" s="112"/>
      <c r="M74" s="112"/>
      <c r="N74" s="112"/>
      <c r="O74" s="112"/>
      <c r="P74" s="112"/>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2"/>
      <c r="AP74" s="112"/>
      <c r="AQ74" s="112"/>
    </row>
    <row r="75" spans="1:43" s="115" customFormat="1" x14ac:dyDescent="0.2">
      <c r="A75" s="116"/>
      <c r="D75" s="136"/>
      <c r="F75" s="116"/>
      <c r="G75" s="167"/>
      <c r="H75" s="112"/>
      <c r="I75" s="112"/>
      <c r="J75" s="112"/>
      <c r="K75" s="112"/>
      <c r="L75" s="112"/>
      <c r="M75" s="112"/>
      <c r="N75" s="112"/>
      <c r="O75" s="112"/>
      <c r="P75" s="112"/>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2"/>
      <c r="AP75" s="112"/>
      <c r="AQ75" s="112"/>
    </row>
    <row r="76" spans="1:43" s="115" customFormat="1" x14ac:dyDescent="0.2">
      <c r="A76" s="116"/>
      <c r="D76" s="136"/>
      <c r="E76" s="116"/>
      <c r="F76" s="167"/>
      <c r="G76" s="112"/>
      <c r="H76" s="112"/>
      <c r="I76" s="112"/>
      <c r="J76" s="112"/>
      <c r="K76" s="112"/>
      <c r="L76" s="112"/>
      <c r="M76" s="112"/>
      <c r="N76" s="112"/>
      <c r="O76" s="112"/>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row>
    <row r="77" spans="1:43" s="115" customFormat="1" x14ac:dyDescent="0.2">
      <c r="A77" s="116"/>
      <c r="D77" s="136"/>
      <c r="F77" s="116"/>
      <c r="G77" s="167"/>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c r="AQ77" s="112"/>
    </row>
    <row r="78" spans="1:43" s="115" customFormat="1" x14ac:dyDescent="0.2">
      <c r="A78" s="116"/>
      <c r="D78" s="136"/>
      <c r="F78" s="116"/>
      <c r="G78" s="167"/>
      <c r="H78" s="112"/>
      <c r="I78" s="112"/>
      <c r="J78" s="112"/>
      <c r="K78" s="112"/>
      <c r="L78" s="112"/>
      <c r="M78" s="112"/>
      <c r="N78" s="112"/>
      <c r="O78" s="112"/>
      <c r="P78" s="112"/>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c r="AO78" s="112"/>
      <c r="AP78" s="112"/>
      <c r="AQ78" s="112"/>
    </row>
    <row r="79" spans="1:43" s="115" customFormat="1" x14ac:dyDescent="0.2">
      <c r="A79" s="116"/>
      <c r="D79" s="136"/>
      <c r="F79" s="116"/>
      <c r="G79" s="167"/>
      <c r="H79" s="112"/>
      <c r="I79" s="112"/>
      <c r="J79" s="112"/>
      <c r="K79" s="112"/>
      <c r="L79" s="112"/>
      <c r="M79" s="112"/>
      <c r="N79" s="112"/>
      <c r="O79" s="112"/>
      <c r="P79" s="112"/>
      <c r="Q79" s="112"/>
      <c r="R79" s="112"/>
      <c r="S79" s="112"/>
      <c r="T79" s="112"/>
      <c r="U79" s="112"/>
      <c r="V79" s="112"/>
      <c r="W79" s="112"/>
      <c r="X79" s="112"/>
      <c r="Y79" s="112"/>
      <c r="Z79" s="112"/>
      <c r="AA79" s="112"/>
      <c r="AB79" s="112"/>
      <c r="AC79" s="112"/>
      <c r="AD79" s="112"/>
      <c r="AE79" s="112"/>
      <c r="AF79" s="112"/>
      <c r="AG79" s="112"/>
      <c r="AH79" s="112"/>
      <c r="AI79" s="112"/>
      <c r="AJ79" s="112"/>
      <c r="AK79" s="112"/>
      <c r="AL79" s="112"/>
      <c r="AM79" s="112"/>
      <c r="AN79" s="112"/>
      <c r="AO79" s="112"/>
      <c r="AP79" s="112"/>
      <c r="AQ79" s="112"/>
    </row>
    <row r="80" spans="1:43" s="115" customFormat="1" x14ac:dyDescent="0.2">
      <c r="A80" s="116"/>
      <c r="D80" s="136"/>
      <c r="F80" s="116"/>
      <c r="G80" s="167"/>
      <c r="H80" s="112"/>
      <c r="I80" s="112"/>
      <c r="J80" s="112"/>
      <c r="K80" s="112"/>
      <c r="L80" s="112"/>
      <c r="M80" s="112"/>
      <c r="N80" s="112"/>
      <c r="O80" s="112"/>
      <c r="P80" s="112"/>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2"/>
      <c r="AN80" s="112"/>
      <c r="AO80" s="112"/>
      <c r="AP80" s="112"/>
      <c r="AQ80" s="112"/>
    </row>
    <row r="81" spans="1:43" s="115" customFormat="1" x14ac:dyDescent="0.2">
      <c r="A81" s="116"/>
      <c r="D81" s="136"/>
      <c r="G81" s="167"/>
      <c r="H81" s="112"/>
      <c r="I81" s="112"/>
      <c r="J81" s="112"/>
      <c r="K81" s="112"/>
      <c r="L81" s="112"/>
      <c r="M81" s="112"/>
      <c r="N81" s="112"/>
      <c r="O81" s="112"/>
      <c r="P81" s="112"/>
      <c r="Q81" s="112"/>
      <c r="R81" s="112"/>
      <c r="S81" s="112"/>
      <c r="T81" s="112"/>
      <c r="U81" s="112"/>
      <c r="V81" s="112"/>
      <c r="W81" s="112"/>
      <c r="X81" s="112"/>
      <c r="Y81" s="112"/>
      <c r="Z81" s="112"/>
      <c r="AA81" s="112"/>
      <c r="AB81" s="112"/>
      <c r="AC81" s="112"/>
      <c r="AD81" s="112"/>
      <c r="AE81" s="112"/>
      <c r="AF81" s="112"/>
      <c r="AG81" s="112"/>
      <c r="AH81" s="112"/>
      <c r="AI81" s="112"/>
      <c r="AJ81" s="112"/>
      <c r="AK81" s="112"/>
      <c r="AL81" s="112"/>
      <c r="AM81" s="112"/>
      <c r="AN81" s="112"/>
      <c r="AO81" s="112"/>
      <c r="AP81" s="112"/>
      <c r="AQ81" s="112"/>
    </row>
    <row r="82" spans="1:43" s="115" customFormat="1" x14ac:dyDescent="0.2">
      <c r="A82" s="116"/>
      <c r="D82" s="136"/>
      <c r="G82" s="167"/>
      <c r="H82" s="112"/>
      <c r="I82" s="112"/>
      <c r="J82" s="112"/>
      <c r="K82" s="112"/>
      <c r="L82" s="112"/>
      <c r="M82" s="112"/>
      <c r="N82" s="112"/>
      <c r="O82" s="112"/>
      <c r="P82" s="112"/>
      <c r="Q82" s="112"/>
      <c r="R82" s="112"/>
      <c r="S82" s="112"/>
      <c r="T82" s="112"/>
      <c r="U82" s="112"/>
      <c r="V82" s="112"/>
      <c r="W82" s="112"/>
      <c r="X82" s="112"/>
      <c r="Y82" s="112"/>
      <c r="Z82" s="112"/>
      <c r="AA82" s="112"/>
      <c r="AB82" s="112"/>
      <c r="AC82" s="112"/>
      <c r="AD82" s="112"/>
      <c r="AE82" s="112"/>
      <c r="AF82" s="112"/>
      <c r="AG82" s="112"/>
      <c r="AH82" s="112"/>
      <c r="AI82" s="112"/>
      <c r="AJ82" s="112"/>
      <c r="AK82" s="112"/>
      <c r="AL82" s="112"/>
      <c r="AM82" s="112"/>
      <c r="AN82" s="112"/>
      <c r="AO82" s="112"/>
      <c r="AP82" s="112"/>
      <c r="AQ82" s="112"/>
    </row>
    <row r="83" spans="1:43" s="115" customFormat="1" x14ac:dyDescent="0.2">
      <c r="A83" s="116"/>
      <c r="D83" s="136"/>
      <c r="G83" s="167"/>
      <c r="H83" s="112"/>
      <c r="I83" s="112"/>
      <c r="J83" s="112"/>
      <c r="K83" s="112"/>
      <c r="L83" s="112"/>
      <c r="M83" s="112"/>
      <c r="N83" s="112"/>
      <c r="O83" s="112"/>
      <c r="P83" s="112"/>
      <c r="Q83" s="112"/>
      <c r="R83" s="112"/>
      <c r="S83" s="112"/>
      <c r="T83" s="112"/>
      <c r="U83" s="112"/>
      <c r="V83" s="112"/>
      <c r="W83" s="112"/>
      <c r="X83" s="112"/>
      <c r="Y83" s="112"/>
      <c r="Z83" s="112"/>
      <c r="AA83" s="112"/>
      <c r="AB83" s="112"/>
      <c r="AC83" s="112"/>
      <c r="AD83" s="112"/>
      <c r="AE83" s="112"/>
      <c r="AF83" s="112"/>
      <c r="AG83" s="112"/>
      <c r="AH83" s="112"/>
      <c r="AI83" s="112"/>
      <c r="AJ83" s="112"/>
      <c r="AK83" s="112"/>
      <c r="AL83" s="112"/>
      <c r="AM83" s="112"/>
      <c r="AN83" s="112"/>
      <c r="AO83" s="112"/>
      <c r="AP83" s="112"/>
      <c r="AQ83" s="112"/>
    </row>
    <row r="84" spans="1:43" s="115" customFormat="1" x14ac:dyDescent="0.2">
      <c r="A84" s="116"/>
      <c r="D84" s="136"/>
      <c r="G84" s="167"/>
      <c r="H84" s="112"/>
      <c r="I84" s="112"/>
      <c r="J84" s="112"/>
      <c r="K84" s="112"/>
      <c r="L84" s="112"/>
      <c r="M84" s="112"/>
      <c r="N84" s="112"/>
      <c r="O84" s="112"/>
      <c r="P84" s="112"/>
      <c r="Q84" s="112"/>
      <c r="R84" s="112"/>
      <c r="S84" s="112"/>
      <c r="T84" s="112"/>
      <c r="U84" s="112"/>
      <c r="V84" s="112"/>
      <c r="W84" s="112"/>
      <c r="X84" s="112"/>
      <c r="Y84" s="112"/>
      <c r="Z84" s="112"/>
      <c r="AA84" s="112"/>
      <c r="AB84" s="112"/>
      <c r="AC84" s="112"/>
      <c r="AD84" s="112"/>
      <c r="AE84" s="112"/>
      <c r="AF84" s="112"/>
      <c r="AG84" s="112"/>
      <c r="AH84" s="112"/>
      <c r="AI84" s="112"/>
      <c r="AJ84" s="112"/>
      <c r="AK84" s="112"/>
      <c r="AL84" s="112"/>
      <c r="AM84" s="112"/>
      <c r="AN84" s="112"/>
      <c r="AO84" s="112"/>
      <c r="AP84" s="112"/>
      <c r="AQ84" s="112"/>
    </row>
    <row r="85" spans="1:43" s="115" customFormat="1" x14ac:dyDescent="0.2">
      <c r="A85" s="116"/>
      <c r="D85" s="136"/>
      <c r="G85" s="167"/>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12"/>
      <c r="AG85" s="112"/>
      <c r="AH85" s="112"/>
      <c r="AI85" s="112"/>
      <c r="AJ85" s="112"/>
      <c r="AK85" s="112"/>
      <c r="AL85" s="112"/>
      <c r="AM85" s="112"/>
      <c r="AN85" s="112"/>
      <c r="AO85" s="112"/>
      <c r="AP85" s="112"/>
      <c r="AQ85" s="112"/>
    </row>
    <row r="86" spans="1:43" s="115" customFormat="1" x14ac:dyDescent="0.2">
      <c r="A86" s="116"/>
      <c r="D86" s="136"/>
      <c r="G86" s="167"/>
      <c r="H86" s="112"/>
      <c r="I86" s="112"/>
      <c r="J86" s="112"/>
      <c r="K86" s="112"/>
      <c r="L86" s="112"/>
      <c r="M86" s="112"/>
      <c r="N86" s="112"/>
      <c r="O86" s="112"/>
      <c r="P86" s="112"/>
      <c r="Q86" s="112"/>
      <c r="R86" s="112"/>
      <c r="S86" s="112"/>
      <c r="T86" s="112"/>
      <c r="U86" s="112"/>
      <c r="V86" s="112"/>
      <c r="W86" s="112"/>
      <c r="X86" s="112"/>
      <c r="Y86" s="112"/>
      <c r="Z86" s="112"/>
      <c r="AA86" s="112"/>
      <c r="AB86" s="112"/>
      <c r="AC86" s="112"/>
      <c r="AD86" s="112"/>
      <c r="AE86" s="112"/>
      <c r="AF86" s="112"/>
      <c r="AG86" s="112"/>
      <c r="AH86" s="112"/>
      <c r="AI86" s="112"/>
      <c r="AJ86" s="112"/>
      <c r="AK86" s="112"/>
      <c r="AL86" s="112"/>
      <c r="AM86" s="112"/>
      <c r="AN86" s="112"/>
      <c r="AO86" s="112"/>
      <c r="AP86" s="112"/>
      <c r="AQ86" s="112"/>
    </row>
    <row r="87" spans="1:43" s="115" customFormat="1" x14ac:dyDescent="0.2">
      <c r="A87" s="116"/>
      <c r="D87" s="136"/>
      <c r="G87" s="167"/>
      <c r="H87" s="112"/>
      <c r="I87" s="112"/>
      <c r="J87" s="112"/>
      <c r="K87" s="112"/>
      <c r="L87" s="112"/>
      <c r="M87" s="112"/>
      <c r="N87" s="112"/>
      <c r="O87" s="112"/>
      <c r="P87" s="112"/>
      <c r="Q87" s="112"/>
      <c r="R87" s="112"/>
      <c r="S87" s="112"/>
      <c r="T87" s="112"/>
      <c r="U87" s="112"/>
      <c r="V87" s="112"/>
      <c r="W87" s="112"/>
      <c r="X87" s="112"/>
      <c r="Y87" s="112"/>
      <c r="Z87" s="112"/>
      <c r="AA87" s="112"/>
      <c r="AB87" s="112"/>
      <c r="AC87" s="112"/>
      <c r="AD87" s="112"/>
      <c r="AE87" s="112"/>
      <c r="AF87" s="112"/>
      <c r="AG87" s="112"/>
      <c r="AH87" s="112"/>
      <c r="AI87" s="112"/>
      <c r="AJ87" s="112"/>
      <c r="AK87" s="112"/>
      <c r="AL87" s="112"/>
      <c r="AM87" s="112"/>
      <c r="AN87" s="112"/>
      <c r="AO87" s="112"/>
      <c r="AP87" s="112"/>
      <c r="AQ87" s="112"/>
    </row>
    <row r="88" spans="1:43" s="115" customFormat="1" x14ac:dyDescent="0.2">
      <c r="A88" s="116"/>
      <c r="D88" s="136"/>
      <c r="G88" s="167"/>
      <c r="H88" s="112"/>
      <c r="I88" s="112"/>
      <c r="J88" s="112"/>
      <c r="K88" s="112"/>
      <c r="L88" s="112"/>
      <c r="M88" s="112"/>
      <c r="N88" s="112"/>
      <c r="O88" s="112"/>
      <c r="P88" s="112"/>
      <c r="Q88" s="112"/>
      <c r="R88" s="112"/>
      <c r="S88" s="112"/>
      <c r="T88" s="112"/>
      <c r="U88" s="112"/>
      <c r="V88" s="112"/>
      <c r="W88" s="112"/>
      <c r="X88" s="112"/>
      <c r="Y88" s="112"/>
      <c r="Z88" s="112"/>
      <c r="AA88" s="112"/>
      <c r="AB88" s="112"/>
      <c r="AC88" s="112"/>
      <c r="AD88" s="112"/>
      <c r="AE88" s="112"/>
      <c r="AF88" s="112"/>
      <c r="AG88" s="112"/>
      <c r="AH88" s="112"/>
      <c r="AI88" s="112"/>
      <c r="AJ88" s="112"/>
      <c r="AK88" s="112"/>
      <c r="AL88" s="112"/>
      <c r="AM88" s="112"/>
      <c r="AN88" s="112"/>
      <c r="AO88" s="112"/>
      <c r="AP88" s="112"/>
      <c r="AQ88" s="112"/>
    </row>
    <row r="89" spans="1:43" s="115" customFormat="1" x14ac:dyDescent="0.2">
      <c r="A89" s="116"/>
      <c r="D89" s="136"/>
      <c r="E89" s="169"/>
      <c r="G89" s="167"/>
      <c r="H89" s="112"/>
      <c r="I89" s="112"/>
      <c r="J89" s="112"/>
      <c r="K89" s="112"/>
      <c r="L89" s="112"/>
      <c r="M89" s="112"/>
      <c r="N89" s="112"/>
      <c r="O89" s="112"/>
      <c r="P89" s="112"/>
      <c r="Q89" s="112"/>
      <c r="R89" s="112"/>
      <c r="S89" s="112"/>
      <c r="T89" s="112"/>
      <c r="U89" s="112"/>
      <c r="V89" s="112"/>
      <c r="W89" s="112"/>
      <c r="X89" s="112"/>
      <c r="Y89" s="112"/>
      <c r="Z89" s="112"/>
      <c r="AA89" s="112"/>
      <c r="AB89" s="112"/>
      <c r="AC89" s="112"/>
      <c r="AD89" s="112"/>
      <c r="AE89" s="112"/>
      <c r="AF89" s="112"/>
      <c r="AG89" s="112"/>
      <c r="AH89" s="112"/>
      <c r="AI89" s="112"/>
      <c r="AJ89" s="112"/>
      <c r="AK89" s="112"/>
      <c r="AL89" s="112"/>
      <c r="AM89" s="112"/>
      <c r="AN89" s="112"/>
      <c r="AO89" s="112"/>
      <c r="AP89" s="112"/>
      <c r="AQ89" s="112"/>
    </row>
    <row r="90" spans="1:43" s="115" customFormat="1" x14ac:dyDescent="0.2">
      <c r="A90" s="116"/>
      <c r="D90" s="136"/>
      <c r="G90" s="167"/>
      <c r="H90" s="112"/>
      <c r="I90" s="112"/>
      <c r="J90" s="112"/>
      <c r="K90" s="112"/>
      <c r="L90" s="112"/>
      <c r="M90" s="112"/>
      <c r="N90" s="112"/>
      <c r="O90" s="112"/>
      <c r="P90" s="112"/>
      <c r="Q90" s="112"/>
      <c r="R90" s="112"/>
      <c r="S90" s="112"/>
      <c r="T90" s="112"/>
      <c r="U90" s="112"/>
      <c r="V90" s="112"/>
      <c r="W90" s="112"/>
      <c r="X90" s="112"/>
      <c r="Y90" s="112"/>
      <c r="Z90" s="112"/>
      <c r="AA90" s="112"/>
      <c r="AB90" s="112"/>
      <c r="AC90" s="112"/>
      <c r="AD90" s="112"/>
      <c r="AE90" s="112"/>
      <c r="AF90" s="112"/>
      <c r="AG90" s="112"/>
      <c r="AH90" s="112"/>
      <c r="AI90" s="112"/>
      <c r="AJ90" s="112"/>
      <c r="AK90" s="112"/>
      <c r="AL90" s="112"/>
      <c r="AM90" s="112"/>
      <c r="AN90" s="112"/>
      <c r="AO90" s="112"/>
      <c r="AP90" s="112"/>
      <c r="AQ90" s="112"/>
    </row>
    <row r="91" spans="1:43" x14ac:dyDescent="0.2">
      <c r="E91" s="115"/>
      <c r="G91" s="148"/>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row>
    <row r="92" spans="1:43" x14ac:dyDescent="0.2">
      <c r="D92" s="153"/>
      <c r="E92" s="115"/>
      <c r="G92" s="148"/>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row>
    <row r="93" spans="1:43" x14ac:dyDescent="0.2">
      <c r="D93" s="153"/>
      <c r="E93" s="115"/>
      <c r="G93" s="148"/>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row>
    <row r="94" spans="1:43" x14ac:dyDescent="0.2">
      <c r="E94" s="115"/>
      <c r="G94" s="148"/>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row>
    <row r="95" spans="1:43" x14ac:dyDescent="0.2">
      <c r="E95" s="115"/>
      <c r="G95" s="148"/>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row>
    <row r="96" spans="1:43" x14ac:dyDescent="0.2">
      <c r="E96" s="115"/>
      <c r="G96" s="148"/>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row>
    <row r="97" spans="4:43" x14ac:dyDescent="0.2">
      <c r="D97" s="57"/>
      <c r="E97" s="151"/>
      <c r="G97" s="148"/>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row>
    <row r="98" spans="4:43" x14ac:dyDescent="0.2">
      <c r="D98" s="57"/>
      <c r="E98" s="151"/>
      <c r="G98" s="148"/>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row>
    <row r="99" spans="4:43" x14ac:dyDescent="0.2">
      <c r="D99" s="153"/>
      <c r="E99" s="151"/>
      <c r="F99" s="152"/>
      <c r="G99" s="148"/>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row>
    <row r="100" spans="4:43" x14ac:dyDescent="0.2">
      <c r="E100" s="151"/>
      <c r="G100" s="148"/>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row>
    <row r="101" spans="4:43" x14ac:dyDescent="0.2">
      <c r="E101" s="190"/>
      <c r="F101" s="154"/>
      <c r="G101" s="148"/>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row>
    <row r="102" spans="4:43" x14ac:dyDescent="0.2">
      <c r="E102" s="115"/>
      <c r="G102" s="148"/>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row>
    <row r="103" spans="4:43" x14ac:dyDescent="0.2">
      <c r="E103" s="115"/>
      <c r="G103" s="148"/>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row>
    <row r="104" spans="4:43" x14ac:dyDescent="0.2">
      <c r="E104" s="115"/>
      <c r="G104" s="148"/>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row>
    <row r="105" spans="4:43" x14ac:dyDescent="0.2">
      <c r="E105" s="115"/>
      <c r="G105" s="148"/>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row>
    <row r="106" spans="4:43" x14ac:dyDescent="0.2">
      <c r="E106" s="115"/>
      <c r="G106" s="148"/>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row>
    <row r="107" spans="4:43" x14ac:dyDescent="0.2">
      <c r="G107" s="148"/>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row>
    <row r="108" spans="4:43" x14ac:dyDescent="0.2">
      <c r="G108" s="148"/>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row>
    <row r="109" spans="4:43" x14ac:dyDescent="0.2">
      <c r="G109" s="148"/>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row>
    <row r="110" spans="4:43" x14ac:dyDescent="0.2">
      <c r="G110" s="148"/>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row>
    <row r="111" spans="4:43" x14ac:dyDescent="0.2">
      <c r="G111" s="148"/>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row>
    <row r="112" spans="4:43" x14ac:dyDescent="0.2">
      <c r="G112" s="148"/>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row>
    <row r="113" spans="7:43" x14ac:dyDescent="0.2">
      <c r="G113" s="148"/>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row>
    <row r="114" spans="7:43" x14ac:dyDescent="0.2">
      <c r="G114" s="148"/>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row>
    <row r="115" spans="7:43" x14ac:dyDescent="0.2">
      <c r="G115" s="148"/>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row>
    <row r="116" spans="7:43" x14ac:dyDescent="0.2">
      <c r="G116" s="148"/>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row>
    <row r="117" spans="7:43" x14ac:dyDescent="0.2">
      <c r="G117" s="148"/>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row>
    <row r="118" spans="7:43" x14ac:dyDescent="0.2">
      <c r="G118" s="148"/>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row>
    <row r="119" spans="7:43" x14ac:dyDescent="0.2">
      <c r="G119" s="148"/>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row>
    <row r="120" spans="7:43" x14ac:dyDescent="0.2">
      <c r="G120" s="148"/>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row>
    <row r="121" spans="7:43" x14ac:dyDescent="0.2">
      <c r="G121" s="148"/>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row>
    <row r="122" spans="7:43" x14ac:dyDescent="0.2">
      <c r="G122" s="148"/>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row>
    <row r="123" spans="7:43" x14ac:dyDescent="0.2">
      <c r="G123" s="148"/>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row>
    <row r="124" spans="7:43" x14ac:dyDescent="0.2">
      <c r="G124" s="148"/>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row>
    <row r="125" spans="7:43" x14ac:dyDescent="0.2">
      <c r="G125" s="148"/>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row>
    <row r="126" spans="7:43" x14ac:dyDescent="0.2">
      <c r="G126" s="148"/>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row>
    <row r="127" spans="7:43" x14ac:dyDescent="0.2">
      <c r="G127" s="148"/>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row>
    <row r="128" spans="7:43" x14ac:dyDescent="0.2">
      <c r="G128" s="148"/>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row>
    <row r="129" spans="7:43" x14ac:dyDescent="0.2">
      <c r="G129" s="148"/>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row>
    <row r="130" spans="7:43" x14ac:dyDescent="0.2">
      <c r="G130" s="148"/>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row>
    <row r="131" spans="7:43" x14ac:dyDescent="0.2">
      <c r="G131" s="148"/>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row>
    <row r="132" spans="7:43" x14ac:dyDescent="0.2">
      <c r="G132" s="148"/>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row>
    <row r="133" spans="7:43" x14ac:dyDescent="0.2">
      <c r="G133" s="148"/>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row>
    <row r="134" spans="7:43" x14ac:dyDescent="0.2">
      <c r="G134" s="148"/>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row>
    <row r="135" spans="7:43" x14ac:dyDescent="0.2">
      <c r="G135" s="148"/>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row>
    <row r="136" spans="7:43" x14ac:dyDescent="0.2">
      <c r="G136" s="148"/>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row>
    <row r="137" spans="7:43" x14ac:dyDescent="0.2">
      <c r="G137" s="148"/>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row>
    <row r="138" spans="7:43" x14ac:dyDescent="0.2">
      <c r="G138" s="148"/>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row>
    <row r="139" spans="7:43" x14ac:dyDescent="0.2">
      <c r="G139" s="148"/>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row>
    <row r="140" spans="7:43" x14ac:dyDescent="0.2">
      <c r="G140" s="148"/>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row>
    <row r="141" spans="7:43" x14ac:dyDescent="0.2">
      <c r="G141" s="148"/>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row>
    <row r="142" spans="7:43" x14ac:dyDescent="0.2">
      <c r="G142" s="148"/>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row>
    <row r="143" spans="7:43" x14ac:dyDescent="0.2">
      <c r="G143" s="148"/>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row>
    <row r="144" spans="7:43" x14ac:dyDescent="0.2">
      <c r="G144" s="148"/>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row>
    <row r="145" spans="7:43" x14ac:dyDescent="0.2">
      <c r="G145" s="148"/>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row>
    <row r="146" spans="7:43" x14ac:dyDescent="0.2">
      <c r="G146" s="148"/>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row>
    <row r="147" spans="7:43" x14ac:dyDescent="0.2">
      <c r="G147" s="148"/>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row>
    <row r="148" spans="7:43" x14ac:dyDescent="0.2">
      <c r="G148" s="148"/>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row>
    <row r="149" spans="7:43" x14ac:dyDescent="0.2">
      <c r="G149" s="148"/>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row>
    <row r="150" spans="7:43" x14ac:dyDescent="0.2">
      <c r="G150" s="148"/>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row>
    <row r="151" spans="7:43" x14ac:dyDescent="0.2">
      <c r="G151" s="148"/>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row>
    <row r="152" spans="7:43" x14ac:dyDescent="0.2">
      <c r="G152" s="148"/>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row>
    <row r="153" spans="7:43" x14ac:dyDescent="0.2">
      <c r="G153" s="148"/>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row>
    <row r="154" spans="7:43" x14ac:dyDescent="0.2">
      <c r="G154" s="148"/>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row>
    <row r="155" spans="7:43" x14ac:dyDescent="0.2">
      <c r="G155" s="148"/>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row>
    <row r="156" spans="7:43" x14ac:dyDescent="0.2">
      <c r="G156" s="148"/>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row>
    <row r="157" spans="7:43" x14ac:dyDescent="0.2">
      <c r="G157" s="148"/>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row>
    <row r="158" spans="7:43" x14ac:dyDescent="0.2">
      <c r="G158" s="148"/>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row>
    <row r="159" spans="7:43" x14ac:dyDescent="0.2">
      <c r="G159" s="148"/>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row>
    <row r="160" spans="7:43" x14ac:dyDescent="0.2">
      <c r="G160" s="148"/>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row>
    <row r="161" spans="7:43" x14ac:dyDescent="0.2">
      <c r="G161" s="148"/>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row>
    <row r="162" spans="7:43" x14ac:dyDescent="0.2">
      <c r="G162" s="148"/>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row>
    <row r="163" spans="7:43" x14ac:dyDescent="0.2">
      <c r="G163" s="148"/>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row>
    <row r="164" spans="7:43" x14ac:dyDescent="0.2">
      <c r="G164" s="148"/>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row>
    <row r="165" spans="7:43" x14ac:dyDescent="0.2">
      <c r="G165" s="148"/>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row>
    <row r="166" spans="7:43" x14ac:dyDescent="0.2">
      <c r="G166" s="148"/>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row>
    <row r="167" spans="7:43" x14ac:dyDescent="0.2">
      <c r="G167" s="148"/>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row>
    <row r="168" spans="7:43" x14ac:dyDescent="0.2">
      <c r="G168" s="148"/>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row>
    <row r="169" spans="7:43" x14ac:dyDescent="0.2">
      <c r="G169" s="148"/>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row>
  </sheetData>
  <mergeCells count="4">
    <mergeCell ref="B1:E1"/>
    <mergeCell ref="B2:E2"/>
    <mergeCell ref="A30:A32"/>
    <mergeCell ref="B30:B32"/>
  </mergeCells>
  <pageMargins left="0.51181102362204722" right="0.51181102362204722" top="0.78740157480314965" bottom="0.78740157480314965" header="0.31496062992125984" footer="0.31496062992125984"/>
  <pageSetup paperSize="9" orientation="portrait"/>
  <legacyDrawing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600-000000000000}">
          <x14:formula1>
            <xm:f>'/Users/julejule/Dropbox/JS-Thesis/01_Data extraction - SLR/[06dez2016-SLR-Data extraction form_JS_MS - for PAPER.xlsx]Lists'!#REF!</xm:f>
          </x14:formula1>
          <xm:sqref>J4:J47 M37:M39 M29:M34 H4 H6 H8:H32 L4:M27 L29:L40</xm:sqref>
        </x14:dataValidation>
        <x14:dataValidation type="list" allowBlank="1" showInputMessage="1" showErrorMessage="1" xr:uid="{00000000-0002-0000-0600-000004000000}">
          <x14:formula1>
            <xm:f>Lists!$B$3:$B$21</xm:f>
          </x14:formula1>
          <xm:sqref>H5 H7</xm:sqref>
        </x14:dataValidation>
        <x14:dataValidation type="list" allowBlank="1" showInputMessage="1" showErrorMessage="1" xr:uid="{00000000-0002-0000-0600-000005000000}">
          <x14:formula1>
            <xm:f>Lists!$F$3:$F$7</xm:f>
          </x14:formula1>
          <xm:sqref>L28</xm:sqref>
        </x14:dataValidation>
        <x14:dataValidation type="list" allowBlank="1" showInputMessage="1" showErrorMessage="1" xr:uid="{00000000-0002-0000-0600-000006000000}">
          <x14:formula1>
            <xm:f>Lists!$H$3:$H$21</xm:f>
          </x14:formula1>
          <xm:sqref>M28</xm:sqref>
        </x14:dataValidation>
      </x14:dataValidations>
    </ex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Q177"/>
  <sheetViews>
    <sheetView zoomScale="90" zoomScaleNormal="90" zoomScalePageLayoutView="90" workbookViewId="0">
      <pane xSplit="2" ySplit="3" topLeftCell="C4" activePane="bottomRight" state="frozen"/>
      <selection pane="topRight" activeCell="C1" sqref="C1"/>
      <selection pane="bottomLeft" activeCell="A4" sqref="A4"/>
      <selection pane="bottomRight" activeCell="C4" sqref="C4"/>
    </sheetView>
  </sheetViews>
  <sheetFormatPr baseColWidth="10" defaultColWidth="8.83203125" defaultRowHeight="15" outlineLevelCol="1" x14ac:dyDescent="0.2"/>
  <cols>
    <col min="1" max="1" width="4.33203125" style="1" customWidth="1"/>
    <col min="2" max="2" width="25.5" customWidth="1"/>
    <col min="3" max="3" width="13.6640625" customWidth="1"/>
    <col min="4" max="4" width="21.5" style="52" customWidth="1"/>
    <col min="5" max="5" width="17.5" customWidth="1"/>
    <col min="6" max="6" width="19.33203125" customWidth="1"/>
    <col min="7" max="7" width="38.5" style="1" customWidth="1"/>
    <col min="8" max="8" width="15" customWidth="1"/>
    <col min="9" max="9" width="31.83203125" customWidth="1"/>
    <col min="10" max="10" width="6" customWidth="1"/>
    <col min="11" max="11" width="24.83203125" customWidth="1"/>
    <col min="12" max="12" width="10.5" customWidth="1"/>
    <col min="13" max="13" width="10.33203125" customWidth="1"/>
    <col min="14" max="14" width="27.33203125" customWidth="1"/>
    <col min="15" max="15" width="29" style="58" customWidth="1"/>
    <col min="16" max="16" width="22.33203125" style="58" customWidth="1"/>
    <col min="17" max="18" width="22.33203125" customWidth="1" outlineLevel="1"/>
    <col min="19" max="20" width="14.83203125" customWidth="1"/>
    <col min="21" max="21" width="14.5" customWidth="1"/>
    <col min="22" max="22" width="15.33203125" bestFit="1" customWidth="1"/>
    <col min="23" max="23" width="18.33203125" bestFit="1" customWidth="1"/>
    <col min="24" max="24" width="14.5" bestFit="1" customWidth="1"/>
    <col min="25" max="25" width="13.5" bestFit="1" customWidth="1"/>
    <col min="26" max="26" width="14.83203125" bestFit="1" customWidth="1"/>
    <col min="27" max="27" width="27" bestFit="1" customWidth="1"/>
    <col min="28" max="28" width="32.83203125" bestFit="1" customWidth="1"/>
  </cols>
  <sheetData>
    <row r="1" spans="1:28" x14ac:dyDescent="0.2">
      <c r="A1" s="12"/>
      <c r="B1" s="210" t="s">
        <v>0</v>
      </c>
      <c r="C1" s="210"/>
      <c r="D1" s="210"/>
      <c r="E1" s="210"/>
      <c r="G1"/>
      <c r="O1"/>
      <c r="P1"/>
    </row>
    <row r="2" spans="1:28" x14ac:dyDescent="0.2">
      <c r="A2" s="12"/>
      <c r="B2" s="211" t="s">
        <v>1</v>
      </c>
      <c r="C2" s="211"/>
      <c r="D2" s="211"/>
      <c r="E2" s="211"/>
      <c r="G2"/>
      <c r="O2"/>
      <c r="P2"/>
    </row>
    <row r="3" spans="1:28" s="3" customFormat="1" ht="14" x14ac:dyDescent="0.2">
      <c r="A3" s="26" t="s">
        <v>9</v>
      </c>
      <c r="B3" s="27" t="s">
        <v>2</v>
      </c>
      <c r="C3" s="27" t="s">
        <v>3</v>
      </c>
      <c r="D3" s="27" t="s">
        <v>4</v>
      </c>
      <c r="E3" s="27" t="s">
        <v>5</v>
      </c>
      <c r="F3" s="27" t="s">
        <v>7</v>
      </c>
      <c r="G3" s="27" t="s">
        <v>6</v>
      </c>
      <c r="H3" s="27" t="s">
        <v>32</v>
      </c>
      <c r="I3" s="27" t="s">
        <v>436</v>
      </c>
      <c r="J3" s="27" t="s">
        <v>450</v>
      </c>
      <c r="K3" s="27" t="s">
        <v>437</v>
      </c>
      <c r="L3" s="27" t="s">
        <v>16</v>
      </c>
      <c r="M3" s="27" t="s">
        <v>93</v>
      </c>
      <c r="N3" s="27" t="s">
        <v>2127</v>
      </c>
      <c r="O3" s="27" t="s">
        <v>35</v>
      </c>
      <c r="P3" s="27" t="s">
        <v>68</v>
      </c>
      <c r="Q3" s="27"/>
      <c r="R3" s="27"/>
      <c r="S3" s="27" t="s">
        <v>77</v>
      </c>
      <c r="T3" s="27" t="s">
        <v>19</v>
      </c>
      <c r="U3" s="28" t="s">
        <v>20</v>
      </c>
      <c r="V3" s="28" t="s">
        <v>21</v>
      </c>
      <c r="W3" s="28" t="s">
        <v>75</v>
      </c>
      <c r="X3" s="28" t="s">
        <v>22</v>
      </c>
      <c r="Y3" s="28" t="s">
        <v>23</v>
      </c>
      <c r="Z3" s="28" t="s">
        <v>24</v>
      </c>
      <c r="AA3" s="28" t="s">
        <v>37</v>
      </c>
      <c r="AB3" s="28" t="s">
        <v>406</v>
      </c>
    </row>
    <row r="4" spans="1:28" s="105" customFormat="1" ht="148" customHeight="1" x14ac:dyDescent="0.2">
      <c r="A4" s="105">
        <v>1</v>
      </c>
      <c r="B4" s="167" t="s">
        <v>2128</v>
      </c>
      <c r="C4" s="105" t="s">
        <v>121</v>
      </c>
      <c r="D4" s="166">
        <v>2015</v>
      </c>
      <c r="E4" s="167" t="s">
        <v>116</v>
      </c>
      <c r="F4" s="167" t="s">
        <v>127</v>
      </c>
      <c r="G4" s="107" t="s">
        <v>2129</v>
      </c>
      <c r="H4" s="107" t="s">
        <v>100</v>
      </c>
      <c r="I4" s="107" t="s">
        <v>275</v>
      </c>
      <c r="J4" s="107" t="s">
        <v>90</v>
      </c>
      <c r="K4" s="107" t="s">
        <v>314</v>
      </c>
      <c r="L4" s="107" t="s">
        <v>441</v>
      </c>
      <c r="M4" s="107" t="s">
        <v>443</v>
      </c>
      <c r="N4" s="167" t="s">
        <v>2130</v>
      </c>
      <c r="O4" s="167" t="s">
        <v>1925</v>
      </c>
      <c r="P4" s="167" t="s">
        <v>2131</v>
      </c>
      <c r="Q4" s="107"/>
      <c r="R4" s="107"/>
      <c r="S4" s="107"/>
      <c r="T4" s="167"/>
    </row>
    <row r="5" spans="1:28" s="105" customFormat="1" ht="148" customHeight="1" x14ac:dyDescent="0.2">
      <c r="A5" s="105">
        <v>2</v>
      </c>
      <c r="B5" s="167" t="s">
        <v>2132</v>
      </c>
      <c r="C5" s="105" t="s">
        <v>82</v>
      </c>
      <c r="D5" s="166">
        <v>2017</v>
      </c>
      <c r="E5" s="167" t="s">
        <v>114</v>
      </c>
      <c r="F5" s="107" t="s">
        <v>2133</v>
      </c>
      <c r="G5" s="107" t="s">
        <v>2134</v>
      </c>
      <c r="H5" s="107" t="s">
        <v>100</v>
      </c>
      <c r="I5" s="107" t="s">
        <v>2135</v>
      </c>
      <c r="J5" s="107" t="s">
        <v>444</v>
      </c>
      <c r="K5" s="107" t="s">
        <v>2136</v>
      </c>
      <c r="L5" s="107" t="s">
        <v>91</v>
      </c>
      <c r="M5" s="107" t="s">
        <v>94</v>
      </c>
      <c r="N5" s="167" t="s">
        <v>2137</v>
      </c>
      <c r="O5" s="167" t="s">
        <v>2138</v>
      </c>
      <c r="P5" s="107" t="s">
        <v>18</v>
      </c>
      <c r="Q5" s="107"/>
      <c r="R5" s="107"/>
      <c r="S5" s="107"/>
      <c r="T5" s="167"/>
    </row>
    <row r="6" spans="1:28" s="105" customFormat="1" ht="148" customHeight="1" x14ac:dyDescent="0.2">
      <c r="A6" s="105">
        <v>3</v>
      </c>
      <c r="B6" s="167" t="s">
        <v>1368</v>
      </c>
      <c r="C6" s="105" t="s">
        <v>82</v>
      </c>
      <c r="D6" s="166">
        <v>2015</v>
      </c>
      <c r="E6" s="167" t="s">
        <v>660</v>
      </c>
      <c r="F6" s="107" t="s">
        <v>1369</v>
      </c>
      <c r="G6" s="107" t="s">
        <v>2139</v>
      </c>
      <c r="H6" s="107" t="s">
        <v>102</v>
      </c>
      <c r="I6" s="107" t="s">
        <v>110</v>
      </c>
      <c r="J6" s="107" t="s">
        <v>441</v>
      </c>
      <c r="K6" s="107" t="s">
        <v>2140</v>
      </c>
      <c r="L6" s="107" t="s">
        <v>91</v>
      </c>
      <c r="M6" s="107" t="s">
        <v>448</v>
      </c>
      <c r="N6" s="167" t="s">
        <v>2141</v>
      </c>
      <c r="O6" s="167" t="s">
        <v>18</v>
      </c>
      <c r="P6" s="107" t="s">
        <v>2142</v>
      </c>
      <c r="Q6" s="107"/>
      <c r="R6" s="107"/>
      <c r="S6" s="107"/>
      <c r="T6" s="167"/>
      <c r="U6" s="105">
        <v>1.53</v>
      </c>
      <c r="X6" s="168"/>
      <c r="Y6" s="168"/>
      <c r="Z6" s="105">
        <v>59.97</v>
      </c>
    </row>
    <row r="7" spans="1:28" s="108" customFormat="1" ht="75" x14ac:dyDescent="0.2">
      <c r="A7" s="105">
        <v>4</v>
      </c>
      <c r="B7" s="167" t="s">
        <v>2143</v>
      </c>
      <c r="C7" s="105" t="s">
        <v>156</v>
      </c>
      <c r="D7" s="166">
        <v>2015</v>
      </c>
      <c r="E7" s="167" t="s">
        <v>114</v>
      </c>
      <c r="F7" s="107" t="s">
        <v>154</v>
      </c>
      <c r="G7" s="107" t="s">
        <v>2144</v>
      </c>
      <c r="H7" s="107" t="s">
        <v>100</v>
      </c>
      <c r="I7" s="107" t="s">
        <v>2145</v>
      </c>
      <c r="J7" s="107" t="s">
        <v>90</v>
      </c>
      <c r="K7" s="167" t="s">
        <v>314</v>
      </c>
      <c r="L7" s="167" t="s">
        <v>441</v>
      </c>
      <c r="M7" s="167" t="s">
        <v>443</v>
      </c>
      <c r="N7" s="167" t="s">
        <v>2146</v>
      </c>
      <c r="O7" s="163" t="s">
        <v>2147</v>
      </c>
      <c r="P7" s="164" t="s">
        <v>18</v>
      </c>
      <c r="Q7" s="167"/>
      <c r="R7" s="167"/>
      <c r="S7" s="107"/>
      <c r="T7" s="167"/>
      <c r="U7" s="108">
        <v>0.22</v>
      </c>
      <c r="X7" s="191"/>
      <c r="Y7" s="191"/>
      <c r="Z7" s="108">
        <v>18.3</v>
      </c>
    </row>
    <row r="8" spans="1:28" s="108" customFormat="1" ht="90" x14ac:dyDescent="0.2">
      <c r="A8" s="105">
        <v>5</v>
      </c>
      <c r="B8" s="167" t="s">
        <v>716</v>
      </c>
      <c r="C8" s="105" t="s">
        <v>121</v>
      </c>
      <c r="D8" s="166">
        <v>2016</v>
      </c>
      <c r="E8" s="167" t="s">
        <v>114</v>
      </c>
      <c r="F8" s="107" t="s">
        <v>715</v>
      </c>
      <c r="G8" s="107" t="s">
        <v>2148</v>
      </c>
      <c r="H8" s="107" t="s">
        <v>100</v>
      </c>
      <c r="I8" s="107" t="s">
        <v>275</v>
      </c>
      <c r="J8" s="107" t="s">
        <v>90</v>
      </c>
      <c r="K8" s="167"/>
      <c r="L8" s="167" t="s">
        <v>441</v>
      </c>
      <c r="M8" s="167" t="s">
        <v>443</v>
      </c>
      <c r="N8" s="167" t="s">
        <v>2130</v>
      </c>
      <c r="O8" s="163" t="s">
        <v>2149</v>
      </c>
      <c r="P8" s="164" t="s">
        <v>2131</v>
      </c>
      <c r="Q8" s="167"/>
      <c r="R8" s="167"/>
      <c r="S8" s="107"/>
      <c r="T8" s="167"/>
    </row>
    <row r="9" spans="1:28" s="105" customFormat="1" ht="75" x14ac:dyDescent="0.2">
      <c r="A9" s="105">
        <v>6</v>
      </c>
      <c r="B9" s="167" t="s">
        <v>719</v>
      </c>
      <c r="C9" s="105" t="s">
        <v>27</v>
      </c>
      <c r="D9" s="166">
        <v>2011</v>
      </c>
      <c r="E9" s="167" t="s">
        <v>114</v>
      </c>
      <c r="F9" s="167" t="s">
        <v>718</v>
      </c>
      <c r="G9" s="167" t="s">
        <v>2150</v>
      </c>
      <c r="H9" s="167" t="s">
        <v>100</v>
      </c>
      <c r="I9" s="105" t="s">
        <v>275</v>
      </c>
      <c r="J9" s="105" t="s">
        <v>90</v>
      </c>
      <c r="K9" s="167" t="s">
        <v>1101</v>
      </c>
      <c r="L9" s="167" t="s">
        <v>91</v>
      </c>
      <c r="M9" s="167" t="s">
        <v>443</v>
      </c>
      <c r="N9" s="167" t="s">
        <v>2151</v>
      </c>
      <c r="O9" s="167" t="s">
        <v>2152</v>
      </c>
      <c r="P9" s="167" t="s">
        <v>317</v>
      </c>
      <c r="S9" s="192">
        <v>8.5800000000000008E-3</v>
      </c>
      <c r="T9" s="193">
        <v>1.0300000000000001E-3</v>
      </c>
      <c r="U9" s="193">
        <v>0.749</v>
      </c>
      <c r="V9" s="193">
        <v>8.4800000000000005E-8</v>
      </c>
      <c r="W9" s="193">
        <v>2.2900000000000001E-4</v>
      </c>
      <c r="AA9" s="193">
        <v>8.5599999999999999E-3</v>
      </c>
      <c r="AB9" s="193">
        <v>0.25900000000000001</v>
      </c>
    </row>
    <row r="10" spans="1:28" s="105" customFormat="1" ht="75" x14ac:dyDescent="0.2">
      <c r="A10" s="105">
        <v>7</v>
      </c>
      <c r="B10" s="167" t="s">
        <v>160</v>
      </c>
      <c r="C10" s="105" t="s">
        <v>194</v>
      </c>
      <c r="D10" s="166">
        <v>2013</v>
      </c>
      <c r="E10" s="167" t="s">
        <v>116</v>
      </c>
      <c r="F10" s="167" t="s">
        <v>159</v>
      </c>
      <c r="G10" s="167" t="s">
        <v>2153</v>
      </c>
      <c r="H10" s="167" t="s">
        <v>443</v>
      </c>
      <c r="I10" s="105" t="s">
        <v>2154</v>
      </c>
      <c r="J10" s="105" t="s">
        <v>441</v>
      </c>
      <c r="K10" s="167" t="s">
        <v>2155</v>
      </c>
      <c r="L10" s="167" t="s">
        <v>91</v>
      </c>
      <c r="M10" s="167" t="s">
        <v>443</v>
      </c>
      <c r="N10" s="167" t="s">
        <v>2151</v>
      </c>
      <c r="O10" s="167" t="s">
        <v>2156</v>
      </c>
      <c r="P10" s="167" t="s">
        <v>317</v>
      </c>
      <c r="S10" s="167"/>
      <c r="U10" s="193">
        <v>0.75</v>
      </c>
    </row>
    <row r="11" spans="1:28" s="105" customFormat="1" ht="90" x14ac:dyDescent="0.2">
      <c r="A11" s="165" t="s">
        <v>2157</v>
      </c>
      <c r="B11" s="167" t="s">
        <v>2158</v>
      </c>
      <c r="C11" s="105" t="s">
        <v>27</v>
      </c>
      <c r="D11" s="166">
        <v>2010</v>
      </c>
      <c r="E11" s="167" t="s">
        <v>2159</v>
      </c>
      <c r="F11" s="167" t="s">
        <v>2160</v>
      </c>
      <c r="G11" s="167" t="s">
        <v>2161</v>
      </c>
      <c r="H11" s="167"/>
      <c r="K11" s="167"/>
      <c r="L11" s="167"/>
      <c r="M11" s="167"/>
      <c r="N11" s="167"/>
      <c r="O11" s="167"/>
      <c r="P11" s="167"/>
      <c r="S11" s="167"/>
      <c r="U11" s="193"/>
    </row>
    <row r="12" spans="1:28" s="105" customFormat="1" ht="90" x14ac:dyDescent="0.2">
      <c r="A12" s="105">
        <v>8</v>
      </c>
      <c r="B12" s="167" t="s">
        <v>1777</v>
      </c>
      <c r="C12" s="105" t="s">
        <v>82</v>
      </c>
      <c r="D12" s="166">
        <v>2015</v>
      </c>
      <c r="E12" s="167" t="s">
        <v>164</v>
      </c>
      <c r="F12" s="167" t="s">
        <v>1778</v>
      </c>
      <c r="G12" s="167" t="s">
        <v>2162</v>
      </c>
      <c r="H12" s="167" t="s">
        <v>100</v>
      </c>
      <c r="I12" s="167" t="s">
        <v>275</v>
      </c>
      <c r="J12" s="167" t="s">
        <v>90</v>
      </c>
      <c r="K12" s="167" t="s">
        <v>2163</v>
      </c>
      <c r="L12" s="105" t="s">
        <v>91</v>
      </c>
      <c r="M12" s="105" t="s">
        <v>97</v>
      </c>
      <c r="N12" s="167" t="s">
        <v>2164</v>
      </c>
      <c r="O12" s="167" t="s">
        <v>1069</v>
      </c>
      <c r="P12" s="105" t="s">
        <v>2165</v>
      </c>
      <c r="S12" s="167"/>
      <c r="T12" s="167"/>
    </row>
    <row r="13" spans="1:28" s="105" customFormat="1" ht="135" x14ac:dyDescent="0.2">
      <c r="A13" s="105">
        <v>9</v>
      </c>
      <c r="B13" s="167" t="s">
        <v>2166</v>
      </c>
      <c r="C13" s="105" t="s">
        <v>174</v>
      </c>
      <c r="D13" s="166">
        <v>2016</v>
      </c>
      <c r="E13" s="167" t="s">
        <v>164</v>
      </c>
      <c r="F13" s="167" t="s">
        <v>172</v>
      </c>
      <c r="G13" s="167" t="s">
        <v>2167</v>
      </c>
      <c r="H13" s="167" t="s">
        <v>100</v>
      </c>
      <c r="I13" s="167" t="s">
        <v>275</v>
      </c>
      <c r="J13" s="167" t="s">
        <v>90</v>
      </c>
      <c r="K13" s="167" t="s">
        <v>288</v>
      </c>
      <c r="L13" s="167" t="s">
        <v>441</v>
      </c>
      <c r="M13" s="167" t="s">
        <v>443</v>
      </c>
      <c r="N13" s="167" t="s">
        <v>2168</v>
      </c>
      <c r="O13" s="168" t="s">
        <v>18</v>
      </c>
      <c r="P13" s="168" t="s">
        <v>18</v>
      </c>
      <c r="S13" s="167"/>
      <c r="T13" s="167"/>
    </row>
    <row r="14" spans="1:28" s="105" customFormat="1" ht="75" x14ac:dyDescent="0.2">
      <c r="A14" s="224">
        <v>10</v>
      </c>
      <c r="B14" s="225" t="s">
        <v>184</v>
      </c>
      <c r="C14" s="105" t="s">
        <v>138</v>
      </c>
      <c r="D14" s="166">
        <v>2015</v>
      </c>
      <c r="E14" s="167" t="s">
        <v>164</v>
      </c>
      <c r="F14" s="167" t="s">
        <v>183</v>
      </c>
      <c r="G14" s="167" t="s">
        <v>358</v>
      </c>
      <c r="H14" s="167"/>
      <c r="I14" s="167" t="s">
        <v>360</v>
      </c>
      <c r="J14" s="167" t="s">
        <v>90</v>
      </c>
      <c r="K14" s="167" t="s">
        <v>359</v>
      </c>
      <c r="L14" s="167" t="s">
        <v>441</v>
      </c>
      <c r="M14" s="167"/>
      <c r="N14" s="167" t="s">
        <v>2169</v>
      </c>
      <c r="O14" s="168" t="s">
        <v>18</v>
      </c>
      <c r="P14" s="168" t="s">
        <v>18</v>
      </c>
      <c r="S14" s="167"/>
      <c r="T14" s="167"/>
      <c r="U14" s="105">
        <v>0.72</v>
      </c>
      <c r="X14" s="168"/>
      <c r="Y14" s="168"/>
      <c r="Z14" s="105">
        <v>18.3</v>
      </c>
    </row>
    <row r="15" spans="1:28" s="105" customFormat="1" ht="14" x14ac:dyDescent="0.2">
      <c r="A15" s="224"/>
      <c r="B15" s="225"/>
      <c r="D15" s="166"/>
      <c r="E15" s="167"/>
      <c r="F15" s="167"/>
      <c r="G15" s="167"/>
      <c r="H15" s="167"/>
      <c r="I15" s="167"/>
      <c r="J15" s="167"/>
      <c r="K15" s="167"/>
      <c r="L15" s="167"/>
      <c r="M15" s="167"/>
      <c r="N15" s="167"/>
      <c r="O15" s="168"/>
      <c r="P15" s="168"/>
      <c r="S15" s="167"/>
      <c r="T15" s="167"/>
      <c r="U15" s="105">
        <v>8.5999999999999993E-2</v>
      </c>
      <c r="X15" s="168"/>
      <c r="Y15" s="168"/>
      <c r="Z15" s="105">
        <v>2.1</v>
      </c>
    </row>
    <row r="16" spans="1:28" s="105" customFormat="1" ht="75" x14ac:dyDescent="0.2">
      <c r="A16" s="105">
        <v>11</v>
      </c>
      <c r="B16" s="167" t="s">
        <v>1789</v>
      </c>
      <c r="C16" s="105" t="s">
        <v>121</v>
      </c>
      <c r="D16" s="166">
        <v>2016</v>
      </c>
      <c r="E16" s="167" t="s">
        <v>114</v>
      </c>
      <c r="F16" s="167" t="s">
        <v>191</v>
      </c>
      <c r="G16" s="167" t="s">
        <v>2170</v>
      </c>
      <c r="H16" s="167" t="s">
        <v>100</v>
      </c>
      <c r="I16" s="167" t="s">
        <v>275</v>
      </c>
      <c r="J16" s="167" t="s">
        <v>90</v>
      </c>
      <c r="K16" s="167" t="s">
        <v>288</v>
      </c>
      <c r="L16" s="167" t="s">
        <v>441</v>
      </c>
      <c r="M16" s="167" t="s">
        <v>443</v>
      </c>
      <c r="N16" s="167" t="s">
        <v>2130</v>
      </c>
      <c r="O16" s="163" t="s">
        <v>2171</v>
      </c>
      <c r="P16" s="168" t="s">
        <v>2131</v>
      </c>
      <c r="S16" s="164"/>
      <c r="T16" s="164"/>
      <c r="U16" s="166"/>
      <c r="V16" s="166"/>
      <c r="W16" s="166"/>
      <c r="X16" s="166"/>
      <c r="Y16" s="166"/>
      <c r="Z16" s="166"/>
      <c r="AA16" s="166"/>
    </row>
    <row r="17" spans="1:43" s="105" customFormat="1" ht="60" x14ac:dyDescent="0.2">
      <c r="A17" s="105">
        <v>12</v>
      </c>
      <c r="B17" s="167" t="s">
        <v>1811</v>
      </c>
      <c r="C17" s="105" t="s">
        <v>2172</v>
      </c>
      <c r="D17" s="166">
        <v>2012</v>
      </c>
      <c r="E17" s="167" t="s">
        <v>222</v>
      </c>
      <c r="F17" s="167" t="s">
        <v>1812</v>
      </c>
      <c r="G17" s="167" t="s">
        <v>1813</v>
      </c>
      <c r="H17" s="167" t="s">
        <v>100</v>
      </c>
      <c r="I17" s="167" t="s">
        <v>275</v>
      </c>
      <c r="J17" s="167" t="s">
        <v>90</v>
      </c>
      <c r="K17" s="167" t="s">
        <v>288</v>
      </c>
      <c r="L17" s="167" t="s">
        <v>441</v>
      </c>
      <c r="M17" s="167" t="s">
        <v>443</v>
      </c>
      <c r="N17" s="167" t="s">
        <v>1814</v>
      </c>
      <c r="O17" s="167" t="s">
        <v>18</v>
      </c>
      <c r="P17" s="167" t="s">
        <v>18</v>
      </c>
      <c r="S17" s="167"/>
      <c r="T17" s="167"/>
      <c r="U17" s="115">
        <v>0.25</v>
      </c>
      <c r="V17" s="166"/>
      <c r="W17" s="166"/>
      <c r="X17" s="166"/>
      <c r="Y17" s="166"/>
      <c r="Z17" s="166"/>
      <c r="AA17" s="166"/>
    </row>
    <row r="18" spans="1:43" s="115" customFormat="1" ht="120" x14ac:dyDescent="0.2">
      <c r="A18" s="105">
        <v>13</v>
      </c>
      <c r="B18" s="167" t="s">
        <v>791</v>
      </c>
      <c r="C18" s="105" t="s">
        <v>27</v>
      </c>
      <c r="D18" s="166">
        <v>2016</v>
      </c>
      <c r="E18" s="167" t="s">
        <v>705</v>
      </c>
      <c r="F18" s="167" t="s">
        <v>790</v>
      </c>
      <c r="G18" s="167" t="s">
        <v>2173</v>
      </c>
      <c r="H18" s="167" t="s">
        <v>100</v>
      </c>
      <c r="I18" s="167" t="s">
        <v>275</v>
      </c>
      <c r="J18" s="167" t="s">
        <v>90</v>
      </c>
      <c r="K18" s="167" t="s">
        <v>2174</v>
      </c>
      <c r="L18" s="105" t="s">
        <v>91</v>
      </c>
      <c r="M18" s="167" t="s">
        <v>443</v>
      </c>
      <c r="N18" s="167" t="s">
        <v>2175</v>
      </c>
      <c r="O18" s="167" t="s">
        <v>2149</v>
      </c>
      <c r="P18" s="167" t="s">
        <v>18</v>
      </c>
      <c r="Q18" s="105"/>
      <c r="R18" s="105"/>
      <c r="S18" s="167"/>
      <c r="T18" s="167"/>
    </row>
    <row r="19" spans="1:43" s="115" customFormat="1" ht="75" x14ac:dyDescent="0.2">
      <c r="A19" s="105">
        <v>14</v>
      </c>
      <c r="B19" s="167" t="s">
        <v>2039</v>
      </c>
      <c r="C19" s="167" t="s">
        <v>2172</v>
      </c>
      <c r="D19" s="166">
        <v>2016</v>
      </c>
      <c r="E19" s="167" t="s">
        <v>116</v>
      </c>
      <c r="F19" s="167" t="s">
        <v>2038</v>
      </c>
      <c r="G19" s="167" t="s">
        <v>2176</v>
      </c>
      <c r="H19" s="167" t="s">
        <v>100</v>
      </c>
      <c r="I19" s="167" t="s">
        <v>275</v>
      </c>
      <c r="J19" s="167" t="s">
        <v>90</v>
      </c>
      <c r="K19" s="167" t="s">
        <v>288</v>
      </c>
      <c r="L19" s="167" t="s">
        <v>441</v>
      </c>
      <c r="M19" s="167" t="s">
        <v>443</v>
      </c>
      <c r="N19" s="164" t="s">
        <v>2177</v>
      </c>
      <c r="O19" s="167" t="s">
        <v>18</v>
      </c>
      <c r="P19" s="167" t="s">
        <v>18</v>
      </c>
      <c r="Q19" s="112"/>
      <c r="R19" s="112"/>
      <c r="S19" s="167"/>
      <c r="T19" s="167"/>
      <c r="U19" s="167">
        <v>0.25</v>
      </c>
      <c r="V19" s="167"/>
      <c r="W19" s="167"/>
      <c r="X19" s="167"/>
      <c r="Y19" s="167"/>
      <c r="Z19" s="167"/>
      <c r="AA19" s="167"/>
      <c r="AB19" s="167"/>
      <c r="AC19" s="112"/>
      <c r="AD19" s="112"/>
      <c r="AE19" s="112"/>
      <c r="AF19" s="112"/>
      <c r="AG19" s="112"/>
      <c r="AH19" s="112"/>
      <c r="AI19" s="112"/>
      <c r="AJ19" s="112"/>
      <c r="AK19" s="112"/>
      <c r="AL19" s="112"/>
      <c r="AM19" s="112"/>
      <c r="AN19" s="112"/>
      <c r="AO19" s="112"/>
      <c r="AP19" s="112"/>
      <c r="AQ19" s="112"/>
    </row>
    <row r="20" spans="1:43" s="108" customFormat="1" ht="90" x14ac:dyDescent="0.2">
      <c r="A20" s="105">
        <v>15</v>
      </c>
      <c r="B20" s="167" t="s">
        <v>2178</v>
      </c>
      <c r="C20" s="105" t="s">
        <v>113</v>
      </c>
      <c r="D20" s="166">
        <v>2016</v>
      </c>
      <c r="E20" s="167" t="s">
        <v>114</v>
      </c>
      <c r="F20" s="112" t="s">
        <v>234</v>
      </c>
      <c r="G20" s="167" t="s">
        <v>2179</v>
      </c>
      <c r="H20" s="167" t="s">
        <v>100</v>
      </c>
      <c r="I20" s="167" t="s">
        <v>275</v>
      </c>
      <c r="J20" s="167" t="s">
        <v>90</v>
      </c>
      <c r="K20" s="167" t="s">
        <v>2180</v>
      </c>
      <c r="L20" s="167" t="s">
        <v>91</v>
      </c>
      <c r="M20" s="167" t="s">
        <v>94</v>
      </c>
      <c r="N20" s="164" t="s">
        <v>2181</v>
      </c>
      <c r="O20" s="167" t="s">
        <v>1925</v>
      </c>
      <c r="P20" s="167" t="s">
        <v>2182</v>
      </c>
      <c r="Q20" s="112"/>
      <c r="R20" s="112"/>
      <c r="S20" s="167"/>
      <c r="T20" s="167"/>
      <c r="U20" s="167"/>
      <c r="V20" s="167"/>
      <c r="W20" s="167"/>
      <c r="X20" s="167"/>
      <c r="Y20" s="167"/>
      <c r="Z20" s="167"/>
      <c r="AA20" s="167"/>
      <c r="AB20" s="167"/>
      <c r="AC20" s="112"/>
      <c r="AD20" s="112"/>
      <c r="AE20" s="112"/>
      <c r="AF20" s="112"/>
      <c r="AG20" s="112"/>
      <c r="AH20" s="112"/>
      <c r="AI20" s="112"/>
      <c r="AJ20" s="112"/>
      <c r="AK20" s="112"/>
      <c r="AL20" s="112"/>
      <c r="AM20" s="112"/>
      <c r="AN20" s="112"/>
      <c r="AO20" s="112"/>
      <c r="AP20" s="112"/>
      <c r="AQ20" s="112"/>
    </row>
    <row r="21" spans="1:43" s="115" customFormat="1" ht="105" x14ac:dyDescent="0.2">
      <c r="A21" s="105">
        <v>16</v>
      </c>
      <c r="B21" s="167" t="s">
        <v>807</v>
      </c>
      <c r="C21" s="105" t="s">
        <v>144</v>
      </c>
      <c r="D21" s="166">
        <v>2014</v>
      </c>
      <c r="E21" s="167" t="s">
        <v>164</v>
      </c>
      <c r="F21" s="167" t="s">
        <v>806</v>
      </c>
      <c r="G21" s="167" t="s">
        <v>2183</v>
      </c>
      <c r="H21" s="167"/>
      <c r="I21" s="167" t="s">
        <v>2184</v>
      </c>
      <c r="J21" s="167"/>
      <c r="K21" s="167" t="s">
        <v>2185</v>
      </c>
      <c r="L21" s="167" t="s">
        <v>91</v>
      </c>
      <c r="M21" s="167" t="s">
        <v>94</v>
      </c>
      <c r="N21" s="167" t="s">
        <v>2186</v>
      </c>
      <c r="O21" s="167" t="s">
        <v>1925</v>
      </c>
      <c r="P21" s="167" t="s">
        <v>2187</v>
      </c>
      <c r="Q21" s="105"/>
      <c r="R21" s="105"/>
      <c r="S21" s="167"/>
      <c r="T21" s="167"/>
    </row>
    <row r="22" spans="1:43" s="105" customFormat="1" ht="105" x14ac:dyDescent="0.2">
      <c r="A22" s="105">
        <v>17</v>
      </c>
      <c r="B22" s="167" t="s">
        <v>1416</v>
      </c>
      <c r="C22" s="105" t="s">
        <v>144</v>
      </c>
      <c r="D22" s="166">
        <v>2014</v>
      </c>
      <c r="E22" s="167" t="s">
        <v>164</v>
      </c>
      <c r="F22" s="167" t="s">
        <v>1415</v>
      </c>
      <c r="G22" s="167" t="s">
        <v>2188</v>
      </c>
      <c r="H22" s="167" t="s">
        <v>100</v>
      </c>
      <c r="I22" s="167" t="s">
        <v>275</v>
      </c>
      <c r="J22" s="167" t="s">
        <v>90</v>
      </c>
      <c r="K22" s="167" t="s">
        <v>2163</v>
      </c>
      <c r="L22" s="105" t="s">
        <v>91</v>
      </c>
      <c r="M22" s="105" t="s">
        <v>94</v>
      </c>
      <c r="N22" s="167" t="s">
        <v>2186</v>
      </c>
      <c r="O22" s="167" t="s">
        <v>1925</v>
      </c>
      <c r="P22" s="167" t="s">
        <v>2187</v>
      </c>
      <c r="S22" s="167"/>
      <c r="T22" s="167"/>
    </row>
    <row r="23" spans="1:43" s="115" customFormat="1" ht="90" x14ac:dyDescent="0.2">
      <c r="A23" s="105">
        <v>18</v>
      </c>
      <c r="B23" s="167" t="s">
        <v>2189</v>
      </c>
      <c r="C23" s="105" t="s">
        <v>121</v>
      </c>
      <c r="D23" s="166">
        <v>2012</v>
      </c>
      <c r="E23" s="167" t="s">
        <v>114</v>
      </c>
      <c r="F23" s="167" t="s">
        <v>2190</v>
      </c>
      <c r="G23" s="167" t="s">
        <v>2191</v>
      </c>
      <c r="H23" s="167"/>
      <c r="I23" s="167" t="s">
        <v>2192</v>
      </c>
      <c r="J23" s="167" t="s">
        <v>441</v>
      </c>
      <c r="K23" s="167" t="s">
        <v>2193</v>
      </c>
      <c r="L23" s="105" t="s">
        <v>441</v>
      </c>
      <c r="M23" s="105" t="s">
        <v>443</v>
      </c>
      <c r="N23" s="167" t="s">
        <v>2194</v>
      </c>
      <c r="O23" s="167" t="s">
        <v>2195</v>
      </c>
      <c r="P23" s="167" t="s">
        <v>2196</v>
      </c>
      <c r="Q23" s="105"/>
      <c r="R23" s="105"/>
      <c r="S23" s="167"/>
      <c r="T23" s="167"/>
    </row>
    <row r="24" spans="1:43" s="115" customFormat="1" ht="90" x14ac:dyDescent="0.2">
      <c r="A24" s="105">
        <v>19</v>
      </c>
      <c r="B24" s="167" t="s">
        <v>2197</v>
      </c>
      <c r="C24" s="105" t="s">
        <v>174</v>
      </c>
      <c r="D24" s="166">
        <v>2015</v>
      </c>
      <c r="E24" s="167" t="s">
        <v>114</v>
      </c>
      <c r="F24" s="167" t="s">
        <v>249</v>
      </c>
      <c r="G24" s="167" t="s">
        <v>2198</v>
      </c>
      <c r="H24" s="167" t="s">
        <v>443</v>
      </c>
      <c r="I24" s="167" t="s">
        <v>2199</v>
      </c>
      <c r="J24" s="167" t="s">
        <v>90</v>
      </c>
      <c r="K24" s="167" t="s">
        <v>2180</v>
      </c>
      <c r="L24" s="105" t="s">
        <v>441</v>
      </c>
      <c r="M24" s="105" t="s">
        <v>443</v>
      </c>
      <c r="N24" s="167" t="s">
        <v>2200</v>
      </c>
      <c r="O24" s="163" t="s">
        <v>18</v>
      </c>
      <c r="P24" s="167" t="s">
        <v>18</v>
      </c>
      <c r="Q24" s="105"/>
      <c r="R24" s="105"/>
      <c r="S24" s="164"/>
      <c r="T24" s="164"/>
      <c r="U24" s="165">
        <v>0.25</v>
      </c>
      <c r="V24" s="187"/>
      <c r="W24" s="187"/>
      <c r="X24" s="187"/>
      <c r="Y24" s="187"/>
      <c r="Z24" s="187"/>
      <c r="AA24" s="187"/>
      <c r="AB24" s="188"/>
    </row>
    <row r="25" spans="1:43" s="115" customFormat="1" ht="105" x14ac:dyDescent="0.2">
      <c r="A25" s="224">
        <v>20</v>
      </c>
      <c r="B25" s="225" t="s">
        <v>2201</v>
      </c>
      <c r="C25" s="105" t="s">
        <v>197</v>
      </c>
      <c r="D25" s="166">
        <v>2014</v>
      </c>
      <c r="E25" s="167" t="s">
        <v>164</v>
      </c>
      <c r="F25" s="167" t="s">
        <v>196</v>
      </c>
      <c r="G25" s="167" t="s">
        <v>2202</v>
      </c>
      <c r="H25" s="167"/>
      <c r="I25" s="167" t="s">
        <v>360</v>
      </c>
      <c r="J25" s="167" t="s">
        <v>90</v>
      </c>
      <c r="K25" s="167" t="s">
        <v>359</v>
      </c>
      <c r="L25" s="167" t="s">
        <v>441</v>
      </c>
      <c r="M25" s="167" t="s">
        <v>443</v>
      </c>
      <c r="N25" s="167" t="s">
        <v>2203</v>
      </c>
      <c r="O25" s="168" t="s">
        <v>18</v>
      </c>
      <c r="P25" s="168" t="s">
        <v>18</v>
      </c>
      <c r="Q25" s="105"/>
      <c r="R25" s="105"/>
      <c r="S25" s="192">
        <v>1.1900000000000001E-2</v>
      </c>
      <c r="T25" s="192">
        <v>5.9699999999999996E-3</v>
      </c>
      <c r="U25" s="116">
        <v>0.94399999999999995</v>
      </c>
      <c r="V25" s="195">
        <v>3.2899999999999997E-8</v>
      </c>
      <c r="W25" s="196">
        <v>5.8500000000000002E-4</v>
      </c>
      <c r="X25" s="116">
        <v>27.95</v>
      </c>
      <c r="Y25" s="116">
        <v>1.2</v>
      </c>
      <c r="Z25" s="116">
        <f>27.95+1.2</f>
        <v>29.15</v>
      </c>
    </row>
    <row r="26" spans="1:43" s="115" customFormat="1" x14ac:dyDescent="0.2">
      <c r="A26" s="224"/>
      <c r="B26" s="225"/>
      <c r="C26" s="105"/>
      <c r="D26" s="166"/>
      <c r="E26" s="167"/>
      <c r="F26" s="167"/>
      <c r="G26" s="167"/>
      <c r="H26" s="167"/>
      <c r="I26" s="167"/>
      <c r="J26" s="167"/>
      <c r="K26" s="167"/>
      <c r="L26" s="167"/>
      <c r="M26" s="167"/>
      <c r="N26" s="167"/>
      <c r="O26" s="168"/>
      <c r="P26" s="168"/>
      <c r="Q26" s="105"/>
      <c r="R26" s="105"/>
      <c r="S26" s="192">
        <v>9.0399999999999994E-3</v>
      </c>
      <c r="T26" s="192">
        <v>4.55E-4</v>
      </c>
      <c r="U26" s="116">
        <v>0.73899999999999999</v>
      </c>
      <c r="V26" s="197" t="s">
        <v>2204</v>
      </c>
      <c r="W26" s="196">
        <v>9.9099999999999991E-4</v>
      </c>
      <c r="X26" s="116">
        <v>14.3</v>
      </c>
      <c r="Y26" s="116">
        <v>1.7</v>
      </c>
      <c r="Z26" s="116">
        <f>14.3+1.7</f>
        <v>16</v>
      </c>
    </row>
    <row r="27" spans="1:43" s="105" customFormat="1" ht="90" x14ac:dyDescent="0.2">
      <c r="A27" s="105">
        <v>21</v>
      </c>
      <c r="B27" s="167" t="s">
        <v>841</v>
      </c>
      <c r="C27" s="105" t="s">
        <v>8</v>
      </c>
      <c r="D27" s="166">
        <v>2014</v>
      </c>
      <c r="E27" s="167" t="s">
        <v>63</v>
      </c>
      <c r="F27" s="167" t="s">
        <v>837</v>
      </c>
      <c r="G27" s="167" t="s">
        <v>2205</v>
      </c>
      <c r="H27" s="167" t="s">
        <v>2359</v>
      </c>
      <c r="I27" s="167" t="s">
        <v>2206</v>
      </c>
      <c r="J27" s="167" t="s">
        <v>441</v>
      </c>
      <c r="K27" s="167" t="s">
        <v>2207</v>
      </c>
      <c r="L27" s="167" t="s">
        <v>91</v>
      </c>
      <c r="M27" s="167" t="s">
        <v>94</v>
      </c>
      <c r="N27" s="167" t="s">
        <v>2208</v>
      </c>
      <c r="O27" s="168" t="s">
        <v>2171</v>
      </c>
      <c r="P27" s="168" t="s">
        <v>2209</v>
      </c>
      <c r="S27" s="167"/>
      <c r="T27" s="167"/>
    </row>
    <row r="28" spans="1:43" s="105" customFormat="1" ht="75" x14ac:dyDescent="0.2">
      <c r="A28" s="224">
        <v>22</v>
      </c>
      <c r="B28" s="225" t="s">
        <v>2210</v>
      </c>
      <c r="C28" s="105" t="s">
        <v>147</v>
      </c>
      <c r="D28" s="166">
        <v>2007</v>
      </c>
      <c r="E28" s="167" t="s">
        <v>63</v>
      </c>
      <c r="F28" s="167" t="s">
        <v>507</v>
      </c>
      <c r="G28" s="167" t="s">
        <v>2211</v>
      </c>
      <c r="H28" s="167" t="s">
        <v>100</v>
      </c>
      <c r="I28" s="167" t="s">
        <v>275</v>
      </c>
      <c r="J28" s="167" t="s">
        <v>90</v>
      </c>
      <c r="K28" s="167" t="s">
        <v>2212</v>
      </c>
      <c r="L28" s="167" t="s">
        <v>441</v>
      </c>
      <c r="M28" s="167" t="s">
        <v>443</v>
      </c>
      <c r="N28" s="167" t="s">
        <v>2213</v>
      </c>
      <c r="O28" s="168" t="s">
        <v>2171</v>
      </c>
      <c r="P28" s="168" t="s">
        <v>18</v>
      </c>
      <c r="S28" s="167"/>
      <c r="T28" s="167"/>
      <c r="U28" s="193">
        <v>5.1999999999999998E-3</v>
      </c>
    </row>
    <row r="29" spans="1:43" s="105" customFormat="1" ht="14" x14ac:dyDescent="0.2">
      <c r="A29" s="224"/>
      <c r="B29" s="225"/>
      <c r="D29" s="166"/>
      <c r="E29" s="167"/>
      <c r="F29" s="167"/>
      <c r="G29" s="167"/>
      <c r="H29" s="167"/>
      <c r="I29" s="167"/>
      <c r="J29" s="167"/>
      <c r="K29" s="167"/>
      <c r="L29" s="167"/>
      <c r="M29" s="167"/>
      <c r="N29" s="167"/>
      <c r="O29" s="168"/>
      <c r="P29" s="168"/>
      <c r="S29" s="167"/>
      <c r="T29" s="167"/>
      <c r="U29" s="193">
        <v>5.2999999999999999E-2</v>
      </c>
    </row>
    <row r="30" spans="1:43" s="105" customFormat="1" ht="14" x14ac:dyDescent="0.2">
      <c r="A30" s="224"/>
      <c r="B30" s="225"/>
      <c r="D30" s="166"/>
      <c r="E30" s="167"/>
      <c r="F30" s="167"/>
      <c r="G30" s="167"/>
      <c r="H30" s="167"/>
      <c r="I30" s="167"/>
      <c r="J30" s="167"/>
      <c r="K30" s="167"/>
      <c r="L30" s="167"/>
      <c r="M30" s="167"/>
      <c r="N30" s="167"/>
      <c r="O30" s="168"/>
      <c r="P30" s="168"/>
      <c r="S30" s="167"/>
      <c r="T30" s="167"/>
      <c r="U30" s="193">
        <v>0.04</v>
      </c>
    </row>
    <row r="31" spans="1:43" s="105" customFormat="1" ht="14" x14ac:dyDescent="0.2">
      <c r="A31" s="224"/>
      <c r="B31" s="225"/>
      <c r="D31" s="166"/>
      <c r="E31" s="167"/>
      <c r="F31" s="167"/>
      <c r="G31" s="167"/>
      <c r="H31" s="167"/>
      <c r="I31" s="167"/>
      <c r="J31" s="167"/>
      <c r="K31" s="167"/>
      <c r="L31" s="167"/>
      <c r="M31" s="167"/>
      <c r="N31" s="167"/>
      <c r="O31" s="168"/>
      <c r="P31" s="168"/>
      <c r="S31" s="167"/>
      <c r="T31" s="167"/>
      <c r="U31" s="193">
        <v>2.2000000000000001E-3</v>
      </c>
    </row>
    <row r="32" spans="1:43" s="115" customFormat="1" ht="60" x14ac:dyDescent="0.2">
      <c r="A32" s="105">
        <v>23</v>
      </c>
      <c r="B32" s="167" t="s">
        <v>508</v>
      </c>
      <c r="C32" s="105" t="s">
        <v>82</v>
      </c>
      <c r="D32" s="166">
        <v>2014</v>
      </c>
      <c r="E32" s="167" t="s">
        <v>63</v>
      </c>
      <c r="F32" s="164" t="s">
        <v>509</v>
      </c>
      <c r="G32" s="167" t="s">
        <v>2214</v>
      </c>
      <c r="H32" s="167" t="s">
        <v>102</v>
      </c>
      <c r="I32" s="167" t="s">
        <v>341</v>
      </c>
      <c r="J32" s="167" t="s">
        <v>441</v>
      </c>
      <c r="K32" s="167" t="s">
        <v>2215</v>
      </c>
      <c r="L32" s="167" t="s">
        <v>441</v>
      </c>
      <c r="M32" s="167" t="s">
        <v>443</v>
      </c>
      <c r="N32" s="167" t="s">
        <v>2216</v>
      </c>
      <c r="O32" s="168"/>
      <c r="P32" s="168" t="s">
        <v>18</v>
      </c>
      <c r="Q32" s="105"/>
      <c r="R32" s="105"/>
      <c r="S32" s="167"/>
      <c r="T32" s="167"/>
      <c r="U32" s="198">
        <v>0.22</v>
      </c>
    </row>
    <row r="33" spans="1:43" s="115" customFormat="1" ht="90" x14ac:dyDescent="0.2">
      <c r="A33" s="105">
        <v>24</v>
      </c>
      <c r="B33" s="167" t="s">
        <v>1597</v>
      </c>
      <c r="C33" s="105" t="s">
        <v>135</v>
      </c>
      <c r="D33" s="166">
        <v>2016</v>
      </c>
      <c r="E33" s="167" t="s">
        <v>63</v>
      </c>
      <c r="F33" s="167" t="s">
        <v>1631</v>
      </c>
      <c r="G33" s="167" t="s">
        <v>2217</v>
      </c>
      <c r="H33" s="167" t="s">
        <v>443</v>
      </c>
      <c r="I33" s="167" t="s">
        <v>2218</v>
      </c>
      <c r="J33" s="167" t="s">
        <v>444</v>
      </c>
      <c r="K33" s="167" t="s">
        <v>2219</v>
      </c>
      <c r="L33" s="167" t="s">
        <v>441</v>
      </c>
      <c r="M33" s="167" t="s">
        <v>443</v>
      </c>
      <c r="N33" s="167" t="s">
        <v>2220</v>
      </c>
      <c r="O33" s="163" t="s">
        <v>2221</v>
      </c>
      <c r="P33" s="168" t="s">
        <v>335</v>
      </c>
      <c r="Q33" s="105"/>
      <c r="R33" s="105"/>
      <c r="S33" s="167"/>
      <c r="T33" s="167"/>
    </row>
    <row r="34" spans="1:43" s="115" customFormat="1" ht="135" x14ac:dyDescent="0.2">
      <c r="A34" s="105">
        <v>25</v>
      </c>
      <c r="B34" s="167" t="s">
        <v>1599</v>
      </c>
      <c r="C34" s="105" t="s">
        <v>121</v>
      </c>
      <c r="D34" s="166">
        <v>2008</v>
      </c>
      <c r="E34" s="167" t="s">
        <v>531</v>
      </c>
      <c r="F34" s="167" t="s">
        <v>1634</v>
      </c>
      <c r="G34" s="167" t="s">
        <v>2222</v>
      </c>
      <c r="H34" s="167" t="s">
        <v>102</v>
      </c>
      <c r="I34" s="167" t="s">
        <v>110</v>
      </c>
      <c r="J34" s="167" t="s">
        <v>441</v>
      </c>
      <c r="K34" s="167" t="s">
        <v>2223</v>
      </c>
      <c r="L34" s="167" t="s">
        <v>441</v>
      </c>
      <c r="M34" s="167" t="s">
        <v>443</v>
      </c>
      <c r="N34" s="167" t="s">
        <v>2224</v>
      </c>
      <c r="O34" s="168" t="s">
        <v>18</v>
      </c>
      <c r="P34" s="163" t="s">
        <v>2225</v>
      </c>
      <c r="Q34" s="105"/>
      <c r="R34" s="105"/>
      <c r="S34" s="167"/>
      <c r="T34" s="167"/>
    </row>
    <row r="35" spans="1:43" s="115" customFormat="1" ht="105" x14ac:dyDescent="0.2">
      <c r="A35" s="105">
        <v>26</v>
      </c>
      <c r="B35" s="167" t="s">
        <v>523</v>
      </c>
      <c r="C35" s="105" t="s">
        <v>82</v>
      </c>
      <c r="D35" s="166">
        <v>2009</v>
      </c>
      <c r="E35" s="167" t="s">
        <v>63</v>
      </c>
      <c r="F35" s="167" t="s">
        <v>524</v>
      </c>
      <c r="G35" s="167" t="s">
        <v>2226</v>
      </c>
      <c r="H35" s="167" t="s">
        <v>443</v>
      </c>
      <c r="I35" s="167" t="s">
        <v>2227</v>
      </c>
      <c r="J35" s="167" t="s">
        <v>89</v>
      </c>
      <c r="K35" s="167" t="s">
        <v>2228</v>
      </c>
      <c r="L35" s="167" t="s">
        <v>441</v>
      </c>
      <c r="M35" s="167"/>
      <c r="N35" s="105" t="s">
        <v>2229</v>
      </c>
      <c r="O35" s="168" t="s">
        <v>18</v>
      </c>
      <c r="P35" s="168" t="s">
        <v>606</v>
      </c>
      <c r="Q35" s="105"/>
      <c r="R35" s="105"/>
      <c r="S35" s="167"/>
      <c r="T35" s="167"/>
    </row>
    <row r="36" spans="1:43" s="115" customFormat="1" x14ac:dyDescent="0.2">
      <c r="A36" s="105"/>
      <c r="B36" s="167"/>
      <c r="C36" s="105"/>
      <c r="D36" s="166"/>
      <c r="E36" s="167"/>
      <c r="F36" s="167"/>
      <c r="G36" s="167"/>
      <c r="H36" s="167"/>
      <c r="I36" s="167"/>
      <c r="J36" s="167"/>
      <c r="K36" s="167"/>
      <c r="L36" s="167"/>
      <c r="M36" s="167"/>
      <c r="N36" s="167"/>
      <c r="O36" s="168"/>
      <c r="P36" s="163"/>
      <c r="Q36" s="105"/>
      <c r="R36" s="105"/>
      <c r="S36" s="167"/>
      <c r="T36" s="167"/>
    </row>
    <row r="37" spans="1:43" s="115" customFormat="1" x14ac:dyDescent="0.2">
      <c r="A37" s="168"/>
      <c r="B37" s="164"/>
      <c r="C37" s="105"/>
      <c r="D37" s="166"/>
      <c r="E37" s="167"/>
      <c r="F37" s="167"/>
      <c r="G37" s="167"/>
      <c r="H37" s="167"/>
      <c r="I37" s="167"/>
      <c r="J37" s="167"/>
      <c r="K37" s="167"/>
      <c r="L37" s="167"/>
      <c r="M37" s="167"/>
      <c r="N37" s="105"/>
      <c r="O37" s="168"/>
      <c r="P37" s="168"/>
      <c r="Q37" s="105"/>
      <c r="R37" s="105"/>
      <c r="S37" s="167"/>
      <c r="T37" s="167"/>
    </row>
    <row r="38" spans="1:43" s="115" customFormat="1" x14ac:dyDescent="0.2">
      <c r="A38" s="168"/>
      <c r="B38" s="164"/>
      <c r="C38" s="105"/>
      <c r="D38" s="166"/>
      <c r="E38" s="167"/>
      <c r="F38" s="167"/>
      <c r="G38" s="167"/>
      <c r="H38" s="167"/>
      <c r="I38" s="167"/>
      <c r="J38" s="167"/>
      <c r="K38" s="167"/>
      <c r="L38" s="167"/>
      <c r="M38" s="167"/>
      <c r="N38" s="105"/>
      <c r="O38" s="168"/>
      <c r="P38" s="168"/>
      <c r="Q38" s="105"/>
      <c r="R38" s="105"/>
      <c r="S38" s="167"/>
      <c r="T38" s="167"/>
    </row>
    <row r="39" spans="1:43" s="115" customFormat="1" x14ac:dyDescent="0.2">
      <c r="A39" s="168"/>
      <c r="B39" s="164"/>
      <c r="C39" s="105"/>
      <c r="D39" s="166"/>
      <c r="E39" s="167"/>
      <c r="F39" s="172"/>
      <c r="G39" s="107"/>
      <c r="H39" s="107"/>
      <c r="I39" s="167"/>
      <c r="J39" s="167"/>
      <c r="K39" s="105"/>
      <c r="L39" s="105"/>
      <c r="M39" s="105"/>
      <c r="N39" s="167"/>
      <c r="O39" s="168"/>
      <c r="P39" s="168"/>
      <c r="Q39" s="105"/>
      <c r="R39" s="105"/>
      <c r="S39" s="119"/>
      <c r="T39" s="167"/>
      <c r="U39" s="116"/>
    </row>
    <row r="40" spans="1:43" s="105" customFormat="1" ht="14" x14ac:dyDescent="0.2">
      <c r="B40" s="167"/>
      <c r="D40" s="166"/>
      <c r="E40" s="167"/>
      <c r="F40" s="167"/>
      <c r="G40" s="167"/>
      <c r="H40" s="167"/>
      <c r="I40" s="167"/>
      <c r="J40" s="167"/>
      <c r="K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row>
    <row r="41" spans="1:43" s="105" customFormat="1" ht="14" x14ac:dyDescent="0.2">
      <c r="B41" s="167"/>
      <c r="D41" s="166"/>
      <c r="E41" s="167"/>
      <c r="F41" s="112"/>
      <c r="G41" s="167"/>
      <c r="H41" s="167"/>
      <c r="I41" s="167"/>
      <c r="J41" s="167"/>
      <c r="K41" s="167"/>
      <c r="M41" s="167"/>
      <c r="N41" s="167"/>
      <c r="O41" s="167"/>
      <c r="P41" s="167"/>
      <c r="Q41" s="167"/>
      <c r="R41" s="167"/>
      <c r="S41" s="167"/>
      <c r="T41" s="167"/>
      <c r="U41" s="167"/>
      <c r="V41" s="167"/>
      <c r="W41" s="167"/>
      <c r="X41" s="167"/>
      <c r="Y41" s="167"/>
      <c r="Z41" s="167"/>
      <c r="AA41" s="167"/>
      <c r="AB41" s="167"/>
      <c r="AC41" s="167"/>
      <c r="AD41" s="167"/>
      <c r="AE41" s="167"/>
      <c r="AF41" s="167"/>
      <c r="AG41" s="167"/>
      <c r="AH41" s="167"/>
      <c r="AI41" s="167"/>
      <c r="AJ41" s="167"/>
      <c r="AK41" s="167"/>
      <c r="AL41" s="167"/>
      <c r="AM41" s="167"/>
      <c r="AN41" s="167"/>
      <c r="AO41" s="167"/>
      <c r="AP41" s="167"/>
      <c r="AQ41" s="167"/>
    </row>
    <row r="42" spans="1:43" s="105" customFormat="1" ht="14" x14ac:dyDescent="0.2">
      <c r="B42" s="167"/>
      <c r="D42" s="166"/>
      <c r="E42" s="167"/>
      <c r="F42" s="167"/>
      <c r="G42" s="167"/>
      <c r="H42" s="167"/>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7"/>
      <c r="AP42" s="167"/>
      <c r="AQ42" s="167"/>
    </row>
    <row r="43" spans="1:43" s="105" customFormat="1" ht="14" x14ac:dyDescent="0.2">
      <c r="B43" s="167"/>
      <c r="D43" s="166"/>
      <c r="E43" s="167"/>
      <c r="F43" s="167"/>
      <c r="G43" s="167"/>
      <c r="H43" s="167"/>
      <c r="I43" s="167"/>
      <c r="J43" s="167"/>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7"/>
      <c r="AP43" s="167"/>
      <c r="AQ43" s="167"/>
    </row>
    <row r="44" spans="1:43" s="105" customFormat="1" ht="14" x14ac:dyDescent="0.2">
      <c r="B44" s="167"/>
      <c r="D44" s="166"/>
      <c r="E44" s="167"/>
      <c r="F44" s="167"/>
      <c r="G44" s="167"/>
      <c r="H44" s="167"/>
      <c r="I44" s="167"/>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c r="AQ44" s="167"/>
    </row>
    <row r="45" spans="1:43" s="105" customFormat="1" ht="14" x14ac:dyDescent="0.2">
      <c r="B45" s="167"/>
      <c r="D45" s="166"/>
      <c r="E45" s="167"/>
      <c r="F45" s="112"/>
      <c r="G45" s="167"/>
      <c r="H45" s="167"/>
      <c r="I45" s="167"/>
      <c r="J45" s="167"/>
      <c r="K45" s="167"/>
      <c r="L45" s="167"/>
      <c r="M45" s="167"/>
      <c r="N45" s="167"/>
      <c r="O45" s="167"/>
      <c r="P45" s="167"/>
      <c r="Q45" s="167"/>
      <c r="R45" s="167"/>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c r="AQ45" s="167"/>
    </row>
    <row r="46" spans="1:43" s="105" customFormat="1" ht="14" x14ac:dyDescent="0.2">
      <c r="B46" s="167"/>
      <c r="D46" s="166"/>
      <c r="E46" s="167"/>
      <c r="F46" s="167"/>
      <c r="G46" s="167"/>
      <c r="H46" s="167"/>
      <c r="I46" s="167"/>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7"/>
      <c r="AG46" s="167"/>
      <c r="AH46" s="167"/>
      <c r="AI46" s="167"/>
      <c r="AJ46" s="167"/>
      <c r="AK46" s="167"/>
      <c r="AL46" s="167"/>
      <c r="AM46" s="167"/>
      <c r="AN46" s="167"/>
      <c r="AO46" s="167"/>
      <c r="AP46" s="167"/>
      <c r="AQ46" s="167"/>
    </row>
    <row r="47" spans="1:43" s="105" customFormat="1" ht="14" x14ac:dyDescent="0.2">
      <c r="B47" s="167"/>
      <c r="D47" s="166"/>
      <c r="E47" s="167"/>
      <c r="F47" s="167"/>
      <c r="G47" s="167"/>
      <c r="H47" s="167"/>
      <c r="I47" s="167"/>
      <c r="J47" s="167"/>
      <c r="K47" s="167"/>
      <c r="L47" s="167"/>
      <c r="M47" s="167"/>
      <c r="N47" s="167"/>
      <c r="O47" s="163"/>
      <c r="P47" s="167"/>
      <c r="Q47" s="167"/>
      <c r="R47" s="167"/>
      <c r="S47" s="167"/>
      <c r="T47" s="167"/>
      <c r="U47" s="189"/>
      <c r="V47" s="167"/>
      <c r="W47" s="167"/>
      <c r="X47" s="167"/>
      <c r="Y47" s="167"/>
      <c r="Z47" s="167"/>
      <c r="AA47" s="167"/>
      <c r="AB47" s="167"/>
      <c r="AC47" s="167"/>
      <c r="AD47" s="167"/>
      <c r="AE47" s="167"/>
      <c r="AF47" s="167"/>
      <c r="AG47" s="167"/>
      <c r="AH47" s="167"/>
      <c r="AI47" s="167"/>
      <c r="AJ47" s="167"/>
      <c r="AK47" s="167"/>
      <c r="AL47" s="167"/>
      <c r="AM47" s="167"/>
      <c r="AN47" s="167"/>
      <c r="AO47" s="167"/>
      <c r="AP47" s="167"/>
      <c r="AQ47" s="167"/>
    </row>
    <row r="48" spans="1:43" s="105" customFormat="1" ht="14" x14ac:dyDescent="0.2">
      <c r="B48" s="167"/>
      <c r="D48" s="166"/>
      <c r="G48" s="167"/>
      <c r="H48" s="167"/>
      <c r="I48" s="167"/>
      <c r="J48" s="167"/>
      <c r="K48" s="167"/>
      <c r="L48" s="167"/>
      <c r="M48" s="167"/>
      <c r="N48" s="167"/>
      <c r="O48" s="167"/>
      <c r="P48" s="167"/>
      <c r="Q48" s="167"/>
      <c r="R48" s="167"/>
      <c r="S48" s="167"/>
      <c r="T48" s="167"/>
      <c r="U48" s="167"/>
      <c r="V48" s="167"/>
      <c r="W48" s="167"/>
      <c r="X48" s="167"/>
      <c r="Y48" s="167"/>
      <c r="Z48" s="167"/>
      <c r="AA48" s="167"/>
      <c r="AB48" s="167"/>
      <c r="AC48" s="167"/>
      <c r="AD48" s="167"/>
      <c r="AE48" s="167"/>
      <c r="AF48" s="167"/>
      <c r="AG48" s="167"/>
      <c r="AH48" s="167"/>
      <c r="AI48" s="167"/>
      <c r="AJ48" s="167"/>
      <c r="AK48" s="167"/>
      <c r="AL48" s="167"/>
      <c r="AM48" s="167"/>
      <c r="AN48" s="167"/>
      <c r="AO48" s="167"/>
      <c r="AP48" s="167"/>
      <c r="AQ48" s="167"/>
    </row>
    <row r="49" spans="1:43" s="105" customFormat="1" ht="14" x14ac:dyDescent="0.2">
      <c r="B49" s="167"/>
      <c r="D49" s="166"/>
      <c r="G49" s="167"/>
      <c r="H49" s="167"/>
      <c r="I49" s="167"/>
      <c r="J49" s="167"/>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row>
    <row r="50" spans="1:43" s="105" customFormat="1" ht="14" x14ac:dyDescent="0.2">
      <c r="B50" s="167"/>
      <c r="D50" s="166"/>
      <c r="G50" s="167"/>
      <c r="H50" s="167"/>
      <c r="I50" s="167"/>
      <c r="J50" s="167"/>
      <c r="K50" s="167"/>
      <c r="L50" s="167"/>
      <c r="M50" s="167"/>
      <c r="N50" s="167"/>
      <c r="O50" s="167"/>
      <c r="P50" s="167"/>
      <c r="Q50" s="167"/>
      <c r="R50" s="167"/>
      <c r="S50" s="167"/>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c r="AQ50" s="167"/>
    </row>
    <row r="51" spans="1:43" s="105" customFormat="1" ht="14" x14ac:dyDescent="0.2">
      <c r="B51" s="167"/>
      <c r="D51" s="226"/>
      <c r="E51" s="226"/>
      <c r="G51" s="167"/>
      <c r="H51" s="167"/>
      <c r="I51" s="167"/>
      <c r="J51" s="167"/>
      <c r="K51" s="167"/>
      <c r="L51" s="167"/>
      <c r="M51" s="167"/>
      <c r="N51" s="167"/>
      <c r="O51" s="167"/>
      <c r="P51" s="167"/>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c r="AQ51" s="167"/>
    </row>
    <row r="52" spans="1:43" s="115" customFormat="1" x14ac:dyDescent="0.2">
      <c r="A52" s="116"/>
      <c r="D52" s="136"/>
      <c r="F52" s="116"/>
      <c r="G52" s="167"/>
      <c r="H52" s="167"/>
      <c r="I52" s="167"/>
      <c r="J52" s="167"/>
      <c r="K52" s="167"/>
      <c r="L52" s="167"/>
      <c r="M52" s="167"/>
      <c r="N52" s="167"/>
      <c r="O52" s="167"/>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row>
    <row r="53" spans="1:43" s="115" customFormat="1" x14ac:dyDescent="0.2">
      <c r="A53" s="116"/>
      <c r="D53" s="136"/>
      <c r="F53" s="116"/>
      <c r="G53" s="167"/>
      <c r="H53" s="167"/>
      <c r="I53" s="167"/>
      <c r="J53" s="167"/>
      <c r="K53" s="167"/>
      <c r="L53" s="167"/>
      <c r="M53" s="167"/>
      <c r="N53" s="167"/>
      <c r="O53" s="167"/>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row>
    <row r="54" spans="1:43" s="115" customFormat="1" x14ac:dyDescent="0.2">
      <c r="A54" s="116"/>
      <c r="D54" s="136"/>
      <c r="F54" s="116"/>
      <c r="G54" s="167"/>
      <c r="H54" s="167"/>
      <c r="I54" s="167"/>
      <c r="J54" s="167"/>
      <c r="K54" s="167"/>
      <c r="L54" s="167"/>
      <c r="M54" s="167"/>
      <c r="N54" s="167"/>
      <c r="O54" s="167"/>
      <c r="P54" s="112"/>
      <c r="Q54" s="112"/>
      <c r="R54" s="112"/>
      <c r="S54" s="112"/>
      <c r="T54" s="112"/>
      <c r="U54" s="112"/>
      <c r="V54" s="112"/>
      <c r="W54" s="112"/>
      <c r="X54" s="112"/>
      <c r="Y54" s="112"/>
      <c r="Z54" s="112"/>
      <c r="AA54" s="112"/>
      <c r="AB54" s="112"/>
      <c r="AC54" s="112"/>
      <c r="AD54" s="112"/>
      <c r="AE54" s="112"/>
      <c r="AF54" s="112"/>
      <c r="AG54" s="112"/>
      <c r="AH54" s="112"/>
      <c r="AI54" s="112"/>
      <c r="AJ54" s="112"/>
      <c r="AK54" s="112"/>
      <c r="AL54" s="112"/>
      <c r="AM54" s="112"/>
      <c r="AN54" s="112"/>
      <c r="AO54" s="112"/>
      <c r="AP54" s="112"/>
      <c r="AQ54" s="112"/>
    </row>
    <row r="55" spans="1:43" s="115" customFormat="1" x14ac:dyDescent="0.2">
      <c r="A55" s="116"/>
      <c r="D55" s="136"/>
      <c r="F55" s="116"/>
      <c r="G55" s="167"/>
      <c r="H55" s="167"/>
      <c r="I55" s="167"/>
      <c r="J55" s="167"/>
      <c r="K55" s="167"/>
      <c r="L55" s="167"/>
      <c r="M55" s="167"/>
      <c r="N55" s="167"/>
      <c r="O55" s="167"/>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2"/>
      <c r="AP55" s="112"/>
      <c r="AQ55" s="112"/>
    </row>
    <row r="56" spans="1:43" s="115" customFormat="1" x14ac:dyDescent="0.2">
      <c r="A56" s="116"/>
      <c r="D56" s="136"/>
      <c r="F56" s="116"/>
      <c r="G56" s="167"/>
      <c r="H56" s="167"/>
      <c r="I56" s="167"/>
      <c r="J56" s="167"/>
      <c r="K56" s="167"/>
      <c r="L56" s="167"/>
      <c r="M56" s="167"/>
      <c r="N56" s="167"/>
      <c r="O56" s="167"/>
      <c r="P56" s="112"/>
      <c r="Q56" s="112"/>
      <c r="R56" s="112"/>
      <c r="S56" s="112"/>
      <c r="T56" s="112"/>
      <c r="U56" s="112"/>
      <c r="V56" s="112"/>
      <c r="W56" s="112"/>
      <c r="X56" s="112"/>
      <c r="Y56" s="112"/>
      <c r="Z56" s="112"/>
      <c r="AA56" s="112"/>
      <c r="AB56" s="112"/>
      <c r="AC56" s="112"/>
      <c r="AD56" s="112"/>
      <c r="AE56" s="112"/>
      <c r="AF56" s="112"/>
      <c r="AG56" s="112"/>
      <c r="AH56" s="112"/>
      <c r="AI56" s="112"/>
      <c r="AJ56" s="112"/>
      <c r="AK56" s="112"/>
      <c r="AL56" s="112"/>
      <c r="AM56" s="112"/>
      <c r="AN56" s="112"/>
      <c r="AO56" s="112"/>
      <c r="AP56" s="112"/>
      <c r="AQ56" s="112"/>
    </row>
    <row r="57" spans="1:43" s="115" customFormat="1" x14ac:dyDescent="0.2">
      <c r="A57" s="116"/>
      <c r="D57" s="136"/>
      <c r="F57" s="116"/>
      <c r="G57" s="167"/>
      <c r="H57" s="167"/>
      <c r="I57" s="167"/>
      <c r="J57" s="167"/>
      <c r="K57" s="167"/>
      <c r="L57" s="167"/>
      <c r="M57" s="167"/>
      <c r="N57" s="167"/>
      <c r="O57" s="167"/>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c r="AO57" s="112"/>
      <c r="AP57" s="112"/>
      <c r="AQ57" s="112"/>
    </row>
    <row r="58" spans="1:43" s="115" customFormat="1" x14ac:dyDescent="0.2">
      <c r="A58" s="116"/>
      <c r="D58" s="136"/>
      <c r="F58" s="116"/>
      <c r="G58" s="167"/>
      <c r="H58" s="167"/>
      <c r="I58" s="167"/>
      <c r="J58" s="167"/>
      <c r="K58" s="167"/>
      <c r="L58" s="167"/>
      <c r="M58" s="167"/>
      <c r="N58" s="167"/>
      <c r="O58" s="167"/>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c r="AO58" s="112"/>
      <c r="AP58" s="112"/>
      <c r="AQ58" s="112"/>
    </row>
    <row r="59" spans="1:43" s="115" customFormat="1" x14ac:dyDescent="0.2">
      <c r="A59" s="116"/>
      <c r="D59" s="136"/>
      <c r="F59" s="116"/>
      <c r="G59" s="167"/>
      <c r="H59" s="167"/>
      <c r="I59" s="167"/>
      <c r="J59" s="167"/>
      <c r="K59" s="167"/>
      <c r="L59" s="167"/>
      <c r="M59" s="167"/>
      <c r="N59" s="167"/>
      <c r="O59" s="167"/>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c r="AP59" s="112"/>
      <c r="AQ59" s="112"/>
    </row>
    <row r="60" spans="1:43" s="115" customFormat="1" x14ac:dyDescent="0.2">
      <c r="A60" s="116"/>
      <c r="D60" s="136"/>
      <c r="F60" s="116"/>
      <c r="G60" s="167"/>
      <c r="H60" s="167"/>
      <c r="I60" s="167"/>
      <c r="J60" s="167"/>
      <c r="K60" s="167"/>
      <c r="L60" s="167"/>
      <c r="M60" s="167"/>
      <c r="N60" s="167"/>
      <c r="O60" s="167"/>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row>
    <row r="61" spans="1:43" s="115" customFormat="1" x14ac:dyDescent="0.2">
      <c r="A61" s="116"/>
      <c r="D61" s="136"/>
      <c r="F61" s="116"/>
      <c r="G61" s="167"/>
      <c r="H61" s="167"/>
      <c r="I61" s="167"/>
      <c r="J61" s="167"/>
      <c r="K61" s="167"/>
      <c r="L61" s="167"/>
      <c r="M61" s="167"/>
      <c r="N61" s="167"/>
      <c r="O61" s="167"/>
      <c r="P61" s="112"/>
      <c r="Q61" s="112"/>
      <c r="R61" s="112"/>
      <c r="S61" s="112"/>
      <c r="T61" s="112"/>
      <c r="U61" s="112"/>
      <c r="V61" s="112"/>
      <c r="W61" s="112"/>
      <c r="X61" s="112"/>
      <c r="Y61" s="112"/>
      <c r="Z61" s="112"/>
      <c r="AA61" s="112"/>
      <c r="AB61" s="112"/>
      <c r="AC61" s="112"/>
      <c r="AD61" s="112"/>
      <c r="AE61" s="112"/>
      <c r="AF61" s="112"/>
      <c r="AG61" s="112"/>
      <c r="AH61" s="112"/>
      <c r="AI61" s="112"/>
      <c r="AJ61" s="112"/>
      <c r="AK61" s="112"/>
      <c r="AL61" s="112"/>
      <c r="AM61" s="112"/>
      <c r="AN61" s="112"/>
      <c r="AO61" s="112"/>
      <c r="AP61" s="112"/>
      <c r="AQ61" s="112"/>
    </row>
    <row r="62" spans="1:43" s="115" customFormat="1" x14ac:dyDescent="0.2">
      <c r="A62" s="116"/>
      <c r="D62" s="136"/>
      <c r="F62" s="116"/>
      <c r="G62" s="167"/>
      <c r="H62" s="167"/>
      <c r="I62" s="167"/>
      <c r="J62" s="167"/>
      <c r="K62" s="167"/>
      <c r="L62" s="167"/>
      <c r="M62" s="167"/>
      <c r="N62" s="167"/>
      <c r="O62" s="167"/>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2"/>
    </row>
    <row r="63" spans="1:43" s="115" customFormat="1" x14ac:dyDescent="0.2">
      <c r="A63" s="116"/>
      <c r="D63" s="136"/>
      <c r="F63" s="116"/>
      <c r="G63" s="167"/>
      <c r="H63" s="167"/>
      <c r="I63" s="167"/>
      <c r="J63" s="167"/>
      <c r="K63" s="167"/>
      <c r="L63" s="167"/>
      <c r="M63" s="167"/>
      <c r="N63" s="167"/>
      <c r="O63" s="167"/>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row>
    <row r="64" spans="1:43" s="115" customFormat="1" x14ac:dyDescent="0.2">
      <c r="A64" s="116"/>
      <c r="D64" s="136"/>
      <c r="F64" s="116"/>
      <c r="G64" s="167"/>
      <c r="H64" s="167"/>
      <c r="I64" s="167"/>
      <c r="J64" s="167"/>
      <c r="K64" s="167"/>
      <c r="L64" s="167"/>
      <c r="M64" s="167"/>
      <c r="N64" s="167"/>
      <c r="O64" s="167"/>
      <c r="P64" s="112"/>
      <c r="Q64" s="112"/>
      <c r="R64" s="112"/>
      <c r="S64" s="112"/>
      <c r="T64" s="112"/>
      <c r="U64" s="112"/>
      <c r="V64" s="112"/>
      <c r="W64" s="112"/>
      <c r="X64" s="112"/>
      <c r="Y64" s="112"/>
      <c r="Z64" s="112"/>
      <c r="AA64" s="112"/>
      <c r="AB64" s="112"/>
      <c r="AC64" s="112"/>
      <c r="AD64" s="112"/>
      <c r="AE64" s="112"/>
      <c r="AF64" s="112"/>
      <c r="AG64" s="112"/>
      <c r="AH64" s="112"/>
      <c r="AI64" s="112"/>
      <c r="AJ64" s="112"/>
      <c r="AK64" s="112"/>
      <c r="AL64" s="112"/>
      <c r="AM64" s="112"/>
      <c r="AN64" s="112"/>
      <c r="AO64" s="112"/>
      <c r="AP64" s="112"/>
      <c r="AQ64" s="112"/>
    </row>
    <row r="65" spans="1:43" s="115" customFormat="1" x14ac:dyDescent="0.2">
      <c r="A65" s="116"/>
      <c r="D65" s="136"/>
      <c r="F65" s="116"/>
      <c r="G65" s="167"/>
      <c r="H65" s="167"/>
      <c r="I65" s="167"/>
      <c r="J65" s="167"/>
      <c r="K65" s="167"/>
      <c r="L65" s="167"/>
      <c r="M65" s="167"/>
      <c r="N65" s="167"/>
      <c r="O65" s="167"/>
      <c r="P65" s="112"/>
      <c r="Q65" s="112"/>
      <c r="R65" s="112"/>
      <c r="S65" s="112"/>
      <c r="T65" s="112"/>
      <c r="U65" s="112"/>
      <c r="V65" s="112"/>
      <c r="W65" s="112"/>
      <c r="X65" s="112"/>
      <c r="Y65" s="112"/>
      <c r="Z65" s="112"/>
      <c r="AA65" s="112"/>
      <c r="AB65" s="112"/>
      <c r="AC65" s="112"/>
      <c r="AD65" s="112"/>
      <c r="AE65" s="112"/>
      <c r="AF65" s="112"/>
      <c r="AG65" s="112"/>
      <c r="AH65" s="112"/>
      <c r="AI65" s="112"/>
      <c r="AJ65" s="112"/>
      <c r="AK65" s="112"/>
      <c r="AL65" s="112"/>
      <c r="AM65" s="112"/>
      <c r="AN65" s="112"/>
      <c r="AO65" s="112"/>
      <c r="AP65" s="112"/>
      <c r="AQ65" s="112"/>
    </row>
    <row r="66" spans="1:43" s="115" customFormat="1" x14ac:dyDescent="0.2">
      <c r="A66" s="116"/>
      <c r="D66" s="136"/>
      <c r="F66" s="116"/>
      <c r="G66" s="167"/>
      <c r="H66" s="167"/>
      <c r="I66" s="167"/>
      <c r="J66" s="167"/>
      <c r="K66" s="167"/>
      <c r="L66" s="167"/>
      <c r="M66" s="167"/>
      <c r="N66" s="167"/>
      <c r="O66" s="167"/>
      <c r="P66" s="112"/>
      <c r="Q66" s="112"/>
      <c r="R66" s="112"/>
      <c r="S66" s="112"/>
      <c r="T66" s="112"/>
      <c r="U66" s="112"/>
      <c r="V66" s="112"/>
      <c r="W66" s="112"/>
      <c r="X66" s="112"/>
      <c r="Y66" s="112"/>
      <c r="Z66" s="112"/>
      <c r="AA66" s="112"/>
      <c r="AB66" s="112"/>
      <c r="AC66" s="112"/>
      <c r="AD66" s="112"/>
      <c r="AE66" s="112"/>
      <c r="AF66" s="112"/>
      <c r="AG66" s="112"/>
      <c r="AH66" s="112"/>
      <c r="AI66" s="112"/>
      <c r="AJ66" s="112"/>
      <c r="AK66" s="112"/>
      <c r="AL66" s="112"/>
      <c r="AM66" s="112"/>
      <c r="AN66" s="112"/>
      <c r="AO66" s="112"/>
      <c r="AP66" s="112"/>
      <c r="AQ66" s="112"/>
    </row>
    <row r="67" spans="1:43" s="115" customFormat="1" x14ac:dyDescent="0.2">
      <c r="A67" s="116"/>
      <c r="D67" s="136"/>
      <c r="F67" s="116"/>
      <c r="G67" s="167"/>
      <c r="H67" s="167"/>
      <c r="I67" s="167"/>
      <c r="J67" s="167"/>
      <c r="K67" s="167"/>
      <c r="L67" s="167"/>
      <c r="M67" s="167"/>
      <c r="N67" s="167"/>
      <c r="O67" s="167"/>
      <c r="P67" s="112"/>
      <c r="Q67" s="112"/>
      <c r="R67" s="112"/>
      <c r="S67" s="112"/>
      <c r="T67" s="112"/>
      <c r="U67" s="112"/>
      <c r="V67" s="112"/>
      <c r="W67" s="112"/>
      <c r="X67" s="112"/>
      <c r="Y67" s="112"/>
      <c r="Z67" s="112"/>
      <c r="AA67" s="112"/>
      <c r="AB67" s="112"/>
      <c r="AC67" s="112"/>
      <c r="AD67" s="112"/>
      <c r="AE67" s="112"/>
      <c r="AF67" s="112"/>
      <c r="AG67" s="112"/>
      <c r="AH67" s="112"/>
      <c r="AI67" s="112"/>
      <c r="AJ67" s="112"/>
      <c r="AK67" s="112"/>
      <c r="AL67" s="112"/>
      <c r="AM67" s="112"/>
      <c r="AN67" s="112"/>
      <c r="AO67" s="112"/>
      <c r="AP67" s="112"/>
      <c r="AQ67" s="112"/>
    </row>
    <row r="68" spans="1:43" s="115" customFormat="1" x14ac:dyDescent="0.2">
      <c r="A68" s="116"/>
      <c r="D68" s="136"/>
      <c r="F68" s="116"/>
      <c r="G68" s="167"/>
      <c r="H68" s="167"/>
      <c r="I68" s="167"/>
      <c r="J68" s="167"/>
      <c r="K68" s="167"/>
      <c r="L68" s="167"/>
      <c r="M68" s="167"/>
      <c r="N68" s="167"/>
      <c r="O68" s="167"/>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c r="AQ68" s="112"/>
    </row>
    <row r="69" spans="1:43" s="115" customFormat="1" x14ac:dyDescent="0.2">
      <c r="A69" s="116"/>
      <c r="D69" s="136"/>
      <c r="F69" s="116"/>
      <c r="G69" s="167"/>
      <c r="H69" s="167"/>
      <c r="I69" s="167"/>
      <c r="J69" s="167"/>
      <c r="K69" s="167"/>
      <c r="L69" s="167"/>
      <c r="M69" s="167"/>
      <c r="N69" s="167"/>
      <c r="O69" s="167"/>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c r="AN69" s="112"/>
      <c r="AO69" s="112"/>
      <c r="AP69" s="112"/>
      <c r="AQ69" s="112"/>
    </row>
    <row r="70" spans="1:43" s="115" customFormat="1" x14ac:dyDescent="0.2">
      <c r="A70" s="116"/>
      <c r="D70" s="136"/>
      <c r="F70" s="116"/>
      <c r="G70" s="167"/>
      <c r="H70" s="167"/>
      <c r="I70" s="167"/>
      <c r="J70" s="167"/>
      <c r="K70" s="167"/>
      <c r="L70" s="167"/>
      <c r="M70" s="167"/>
      <c r="N70" s="167"/>
      <c r="O70" s="167"/>
      <c r="P70" s="112"/>
      <c r="Q70" s="112"/>
      <c r="R70" s="112"/>
      <c r="S70" s="112"/>
      <c r="T70" s="112"/>
      <c r="U70" s="112"/>
      <c r="V70" s="112"/>
      <c r="W70" s="112"/>
      <c r="X70" s="112"/>
      <c r="Y70" s="112"/>
      <c r="Z70" s="112"/>
      <c r="AA70" s="112"/>
      <c r="AB70" s="112"/>
      <c r="AC70" s="112"/>
      <c r="AD70" s="112"/>
      <c r="AE70" s="112"/>
      <c r="AF70" s="112"/>
      <c r="AG70" s="112"/>
      <c r="AH70" s="112"/>
      <c r="AI70" s="112"/>
      <c r="AJ70" s="112"/>
      <c r="AK70" s="112"/>
      <c r="AL70" s="112"/>
      <c r="AM70" s="112"/>
      <c r="AN70" s="112"/>
      <c r="AO70" s="112"/>
      <c r="AP70" s="112"/>
      <c r="AQ70" s="112"/>
    </row>
    <row r="71" spans="1:43" s="115" customFormat="1" x14ac:dyDescent="0.2">
      <c r="A71" s="116"/>
      <c r="D71" s="136"/>
      <c r="F71" s="116"/>
      <c r="G71" s="167"/>
      <c r="H71" s="167"/>
      <c r="I71" s="167"/>
      <c r="J71" s="167"/>
      <c r="K71" s="167"/>
      <c r="L71" s="167"/>
      <c r="M71" s="167"/>
      <c r="N71" s="167"/>
      <c r="O71" s="167"/>
      <c r="P71" s="112"/>
      <c r="Q71" s="112"/>
      <c r="R71" s="112"/>
      <c r="S71" s="112"/>
      <c r="T71" s="112"/>
      <c r="U71" s="112"/>
      <c r="V71" s="112"/>
      <c r="W71" s="112"/>
      <c r="X71" s="112"/>
      <c r="Y71" s="112"/>
      <c r="Z71" s="112"/>
      <c r="AA71" s="112"/>
      <c r="AB71" s="112"/>
      <c r="AC71" s="112"/>
      <c r="AD71" s="112"/>
      <c r="AE71" s="112"/>
      <c r="AF71" s="112"/>
      <c r="AG71" s="112"/>
      <c r="AH71" s="112"/>
      <c r="AI71" s="112"/>
      <c r="AJ71" s="112"/>
      <c r="AK71" s="112"/>
      <c r="AL71" s="112"/>
      <c r="AM71" s="112"/>
      <c r="AN71" s="112"/>
      <c r="AO71" s="112"/>
      <c r="AP71" s="112"/>
      <c r="AQ71" s="112"/>
    </row>
    <row r="72" spans="1:43" s="115" customFormat="1" x14ac:dyDescent="0.2">
      <c r="A72" s="116"/>
      <c r="D72" s="136"/>
      <c r="F72" s="116"/>
      <c r="G72" s="167"/>
      <c r="H72" s="167"/>
      <c r="I72" s="167"/>
      <c r="J72" s="167"/>
      <c r="K72" s="167"/>
      <c r="L72" s="167"/>
      <c r="M72" s="167"/>
      <c r="N72" s="167"/>
      <c r="O72" s="167"/>
      <c r="P72" s="112"/>
      <c r="Q72" s="112"/>
      <c r="R72" s="112"/>
      <c r="S72" s="112"/>
      <c r="T72" s="112"/>
      <c r="U72" s="112"/>
      <c r="V72" s="112"/>
      <c r="W72" s="112"/>
      <c r="X72" s="112"/>
      <c r="Y72" s="112"/>
      <c r="Z72" s="112"/>
      <c r="AA72" s="112"/>
      <c r="AB72" s="112"/>
      <c r="AC72" s="112"/>
      <c r="AD72" s="112"/>
      <c r="AE72" s="112"/>
      <c r="AF72" s="112"/>
      <c r="AG72" s="112"/>
      <c r="AH72" s="112"/>
      <c r="AI72" s="112"/>
      <c r="AJ72" s="112"/>
      <c r="AK72" s="112"/>
      <c r="AL72" s="112"/>
      <c r="AM72" s="112"/>
      <c r="AN72" s="112"/>
      <c r="AO72" s="112"/>
      <c r="AP72" s="112"/>
      <c r="AQ72" s="112"/>
    </row>
    <row r="73" spans="1:43" s="115" customFormat="1" x14ac:dyDescent="0.2">
      <c r="A73" s="116"/>
      <c r="D73" s="136"/>
      <c r="F73" s="116"/>
      <c r="G73" s="167"/>
      <c r="H73" s="167"/>
      <c r="I73" s="167"/>
      <c r="J73" s="167"/>
      <c r="K73" s="167"/>
      <c r="L73" s="167"/>
      <c r="M73" s="167"/>
      <c r="N73" s="167"/>
      <c r="O73" s="167"/>
      <c r="P73" s="112"/>
      <c r="Q73" s="112"/>
      <c r="R73" s="112"/>
      <c r="S73" s="112"/>
      <c r="T73" s="112"/>
      <c r="U73" s="112"/>
      <c r="V73" s="112"/>
      <c r="W73" s="112"/>
      <c r="X73" s="112"/>
      <c r="Y73" s="112"/>
      <c r="Z73" s="112"/>
      <c r="AA73" s="112"/>
      <c r="AB73" s="112"/>
      <c r="AC73" s="112"/>
      <c r="AD73" s="112"/>
      <c r="AE73" s="112"/>
      <c r="AF73" s="112"/>
      <c r="AG73" s="112"/>
      <c r="AH73" s="112"/>
      <c r="AI73" s="112"/>
      <c r="AJ73" s="112"/>
      <c r="AK73" s="112"/>
      <c r="AL73" s="112"/>
      <c r="AM73" s="112"/>
      <c r="AN73" s="112"/>
      <c r="AO73" s="112"/>
      <c r="AP73" s="112"/>
      <c r="AQ73" s="112"/>
    </row>
    <row r="74" spans="1:43" s="115" customFormat="1" x14ac:dyDescent="0.2">
      <c r="A74" s="116"/>
      <c r="D74" s="227"/>
      <c r="E74" s="227"/>
      <c r="F74" s="116"/>
      <c r="G74" s="167"/>
      <c r="H74" s="167"/>
      <c r="I74" s="167"/>
      <c r="J74" s="167"/>
      <c r="K74" s="167"/>
      <c r="L74" s="167"/>
      <c r="M74" s="167"/>
      <c r="N74" s="167"/>
      <c r="O74" s="167"/>
      <c r="P74" s="112"/>
      <c r="Q74" s="112"/>
      <c r="R74" s="112"/>
      <c r="S74" s="112"/>
      <c r="T74" s="112"/>
      <c r="U74" s="112"/>
      <c r="V74" s="112"/>
      <c r="W74" s="112"/>
      <c r="X74" s="112"/>
      <c r="Y74" s="112"/>
      <c r="Z74" s="112"/>
      <c r="AA74" s="112"/>
      <c r="AB74" s="112"/>
      <c r="AC74" s="112"/>
      <c r="AD74" s="112"/>
      <c r="AE74" s="112"/>
      <c r="AF74" s="112"/>
      <c r="AG74" s="112"/>
      <c r="AH74" s="112"/>
      <c r="AI74" s="112"/>
      <c r="AJ74" s="112"/>
      <c r="AK74" s="112"/>
      <c r="AL74" s="112"/>
      <c r="AM74" s="112"/>
      <c r="AN74" s="112"/>
      <c r="AO74" s="112"/>
      <c r="AP74" s="112"/>
      <c r="AQ74" s="112"/>
    </row>
    <row r="75" spans="1:43" s="115" customFormat="1" x14ac:dyDescent="0.2">
      <c r="A75" s="116"/>
      <c r="D75" s="136"/>
      <c r="F75" s="116"/>
      <c r="G75" s="167"/>
      <c r="H75" s="167"/>
      <c r="I75" s="167"/>
      <c r="J75" s="167"/>
      <c r="K75" s="167"/>
      <c r="L75" s="167"/>
      <c r="M75" s="167"/>
      <c r="N75" s="167"/>
      <c r="O75" s="167"/>
      <c r="P75" s="112"/>
      <c r="Q75" s="112"/>
      <c r="R75" s="112"/>
      <c r="S75" s="112"/>
      <c r="T75" s="112"/>
      <c r="U75" s="112"/>
      <c r="V75" s="112"/>
      <c r="W75" s="112"/>
      <c r="X75" s="112"/>
      <c r="Y75" s="112"/>
      <c r="Z75" s="112"/>
      <c r="AA75" s="112"/>
      <c r="AB75" s="112"/>
      <c r="AC75" s="112"/>
      <c r="AD75" s="112"/>
      <c r="AE75" s="112"/>
      <c r="AF75" s="112"/>
      <c r="AG75" s="112"/>
      <c r="AH75" s="112"/>
      <c r="AI75" s="112"/>
      <c r="AJ75" s="112"/>
      <c r="AK75" s="112"/>
      <c r="AL75" s="112"/>
      <c r="AM75" s="112"/>
      <c r="AN75" s="112"/>
      <c r="AO75" s="112"/>
      <c r="AP75" s="112"/>
      <c r="AQ75" s="112"/>
    </row>
    <row r="76" spans="1:43" s="115" customFormat="1" x14ac:dyDescent="0.2">
      <c r="A76" s="116"/>
      <c r="D76" s="136"/>
      <c r="F76" s="116"/>
      <c r="G76" s="167"/>
      <c r="H76" s="167"/>
      <c r="I76" s="167"/>
      <c r="J76" s="167"/>
      <c r="K76" s="167"/>
      <c r="L76" s="167"/>
      <c r="M76" s="167"/>
      <c r="N76" s="167"/>
      <c r="O76" s="167"/>
      <c r="P76" s="112"/>
      <c r="Q76" s="112"/>
      <c r="R76" s="112"/>
      <c r="S76" s="112"/>
      <c r="T76" s="112"/>
      <c r="U76" s="112"/>
      <c r="V76" s="112"/>
      <c r="W76" s="112"/>
      <c r="X76" s="112"/>
      <c r="Y76" s="112"/>
      <c r="Z76" s="112"/>
      <c r="AA76" s="112"/>
      <c r="AB76" s="112"/>
      <c r="AC76" s="112"/>
      <c r="AD76" s="112"/>
      <c r="AE76" s="112"/>
      <c r="AF76" s="112"/>
      <c r="AG76" s="112"/>
      <c r="AH76" s="112"/>
      <c r="AI76" s="112"/>
      <c r="AJ76" s="112"/>
      <c r="AK76" s="112"/>
      <c r="AL76" s="112"/>
      <c r="AM76" s="112"/>
      <c r="AN76" s="112"/>
      <c r="AO76" s="112"/>
      <c r="AP76" s="112"/>
      <c r="AQ76" s="112"/>
    </row>
    <row r="77" spans="1:43" s="115" customFormat="1" x14ac:dyDescent="0.2">
      <c r="A77" s="116"/>
      <c r="D77" s="136"/>
      <c r="F77" s="116"/>
      <c r="G77" s="167"/>
      <c r="H77" s="167"/>
      <c r="I77" s="167"/>
      <c r="J77" s="167"/>
      <c r="K77" s="167"/>
      <c r="L77" s="167"/>
      <c r="M77" s="167"/>
      <c r="N77" s="167"/>
      <c r="O77" s="167"/>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c r="AN77" s="112"/>
      <c r="AO77" s="112"/>
      <c r="AP77" s="112"/>
      <c r="AQ77" s="112"/>
    </row>
    <row r="78" spans="1:43" s="115" customFormat="1" x14ac:dyDescent="0.2">
      <c r="A78" s="116"/>
      <c r="D78" s="136"/>
      <c r="F78" s="116"/>
      <c r="G78" s="167"/>
      <c r="H78" s="167"/>
      <c r="I78" s="167"/>
      <c r="J78" s="167"/>
      <c r="K78" s="167"/>
      <c r="L78" s="167"/>
      <c r="M78" s="167"/>
      <c r="N78" s="167"/>
      <c r="O78" s="167"/>
      <c r="P78" s="112"/>
      <c r="Q78" s="112"/>
      <c r="R78" s="112"/>
      <c r="S78" s="112"/>
      <c r="T78" s="112"/>
      <c r="U78" s="112"/>
      <c r="V78" s="112"/>
      <c r="W78" s="112"/>
      <c r="X78" s="112"/>
      <c r="Y78" s="112"/>
      <c r="Z78" s="112"/>
      <c r="AA78" s="112"/>
      <c r="AB78" s="112"/>
      <c r="AC78" s="112"/>
      <c r="AD78" s="112"/>
      <c r="AE78" s="112"/>
      <c r="AF78" s="112"/>
      <c r="AG78" s="112"/>
      <c r="AH78" s="112"/>
      <c r="AI78" s="112"/>
      <c r="AJ78" s="112"/>
      <c r="AK78" s="112"/>
      <c r="AL78" s="112"/>
      <c r="AM78" s="112"/>
      <c r="AN78" s="112"/>
      <c r="AO78" s="112"/>
      <c r="AP78" s="112"/>
      <c r="AQ78" s="112"/>
    </row>
    <row r="79" spans="1:43" s="115" customFormat="1" x14ac:dyDescent="0.2">
      <c r="A79" s="116"/>
      <c r="D79" s="136"/>
      <c r="F79" s="116"/>
      <c r="G79" s="167"/>
      <c r="H79" s="167"/>
      <c r="I79" s="167"/>
      <c r="J79" s="167"/>
      <c r="K79" s="167"/>
      <c r="L79" s="167"/>
      <c r="M79" s="167"/>
      <c r="N79" s="167"/>
      <c r="O79" s="167"/>
      <c r="P79" s="112"/>
      <c r="Q79" s="112"/>
      <c r="R79" s="112"/>
      <c r="S79" s="112"/>
      <c r="T79" s="112"/>
      <c r="U79" s="112"/>
      <c r="V79" s="112"/>
      <c r="W79" s="112"/>
      <c r="X79" s="112"/>
      <c r="Y79" s="112"/>
      <c r="Z79" s="112"/>
      <c r="AA79" s="112"/>
      <c r="AB79" s="112"/>
      <c r="AC79" s="112"/>
      <c r="AD79" s="112"/>
      <c r="AE79" s="112"/>
      <c r="AF79" s="112"/>
      <c r="AG79" s="112"/>
      <c r="AH79" s="112"/>
      <c r="AI79" s="112"/>
      <c r="AJ79" s="112"/>
      <c r="AK79" s="112"/>
      <c r="AL79" s="112"/>
      <c r="AM79" s="112"/>
      <c r="AN79" s="112"/>
      <c r="AO79" s="112"/>
      <c r="AP79" s="112"/>
      <c r="AQ79" s="112"/>
    </row>
    <row r="80" spans="1:43" s="115" customFormat="1" x14ac:dyDescent="0.2">
      <c r="A80" s="116"/>
      <c r="D80" s="136"/>
      <c r="F80" s="116"/>
      <c r="G80" s="167"/>
      <c r="H80" s="167"/>
      <c r="I80" s="167"/>
      <c r="J80" s="167"/>
      <c r="K80" s="167"/>
      <c r="L80" s="167"/>
      <c r="M80" s="167"/>
      <c r="N80" s="167"/>
      <c r="O80" s="167"/>
      <c r="P80" s="112"/>
      <c r="Q80" s="112"/>
      <c r="R80" s="112"/>
      <c r="S80" s="112"/>
      <c r="T80" s="112"/>
      <c r="U80" s="112"/>
      <c r="V80" s="112"/>
      <c r="W80" s="112"/>
      <c r="X80" s="112"/>
      <c r="Y80" s="112"/>
      <c r="Z80" s="112"/>
      <c r="AA80" s="112"/>
      <c r="AB80" s="112"/>
      <c r="AC80" s="112"/>
      <c r="AD80" s="112"/>
      <c r="AE80" s="112"/>
      <c r="AF80" s="112"/>
      <c r="AG80" s="112"/>
      <c r="AH80" s="112"/>
      <c r="AI80" s="112"/>
      <c r="AJ80" s="112"/>
      <c r="AK80" s="112"/>
      <c r="AL80" s="112"/>
      <c r="AM80" s="112"/>
      <c r="AN80" s="112"/>
      <c r="AO80" s="112"/>
      <c r="AP80" s="112"/>
      <c r="AQ80" s="112"/>
    </row>
    <row r="81" spans="5:43" x14ac:dyDescent="0.2">
      <c r="F81" s="1"/>
      <c r="G81" s="148"/>
      <c r="H81" s="148"/>
      <c r="I81" s="148"/>
      <c r="J81" s="148"/>
      <c r="K81" s="148"/>
      <c r="L81" s="148"/>
      <c r="M81" s="148"/>
      <c r="N81" s="148"/>
      <c r="O81" s="148"/>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row>
    <row r="82" spans="5:43" x14ac:dyDescent="0.2">
      <c r="F82" s="1"/>
      <c r="G82" s="148"/>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row>
    <row r="83" spans="5:43" x14ac:dyDescent="0.2">
      <c r="F83" s="1"/>
      <c r="G83" s="148"/>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row>
    <row r="84" spans="5:43" x14ac:dyDescent="0.2">
      <c r="E84" s="1"/>
      <c r="F84" s="148"/>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row>
    <row r="85" spans="5:43" x14ac:dyDescent="0.2">
      <c r="F85" s="1"/>
      <c r="G85" s="148"/>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row>
    <row r="86" spans="5:43" x14ac:dyDescent="0.2">
      <c r="F86" s="1"/>
      <c r="G86" s="148"/>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row>
    <row r="87" spans="5:43" x14ac:dyDescent="0.2">
      <c r="F87" s="1"/>
      <c r="G87" s="148"/>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row>
    <row r="88" spans="5:43" x14ac:dyDescent="0.2">
      <c r="F88" s="1"/>
      <c r="G88" s="148"/>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row>
    <row r="89" spans="5:43" x14ac:dyDescent="0.2">
      <c r="G89" s="148"/>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row>
    <row r="90" spans="5:43" x14ac:dyDescent="0.2">
      <c r="G90" s="148"/>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row>
    <row r="91" spans="5:43" x14ac:dyDescent="0.2">
      <c r="G91" s="148"/>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row>
    <row r="92" spans="5:43" x14ac:dyDescent="0.2">
      <c r="G92" s="148"/>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row>
    <row r="93" spans="5:43" x14ac:dyDescent="0.2">
      <c r="G93" s="148"/>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row>
    <row r="94" spans="5:43" x14ac:dyDescent="0.2">
      <c r="G94" s="148"/>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row>
    <row r="95" spans="5:43" x14ac:dyDescent="0.2">
      <c r="G95" s="148"/>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row>
    <row r="96" spans="5:43" x14ac:dyDescent="0.2">
      <c r="G96" s="148"/>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row>
    <row r="97" spans="4:43" x14ac:dyDescent="0.2">
      <c r="E97" s="149"/>
      <c r="G97" s="148"/>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row>
    <row r="98" spans="4:43" x14ac:dyDescent="0.2">
      <c r="E98" s="115"/>
      <c r="G98" s="148"/>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row>
    <row r="99" spans="4:43" x14ac:dyDescent="0.2">
      <c r="E99" s="115"/>
      <c r="G99" s="148"/>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row>
    <row r="100" spans="4:43" x14ac:dyDescent="0.2">
      <c r="D100" s="150"/>
      <c r="E100" s="115"/>
      <c r="G100" s="148"/>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row>
    <row r="101" spans="4:43" x14ac:dyDescent="0.2">
      <c r="D101" s="150"/>
      <c r="E101" s="115"/>
      <c r="G101" s="148"/>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row>
    <row r="102" spans="4:43" x14ac:dyDescent="0.2">
      <c r="E102" s="115"/>
      <c r="G102" s="148"/>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row>
    <row r="103" spans="4:43" x14ac:dyDescent="0.2">
      <c r="E103" s="115"/>
      <c r="G103" s="148"/>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row>
    <row r="104" spans="4:43" x14ac:dyDescent="0.2">
      <c r="E104" s="115"/>
      <c r="G104" s="148"/>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row>
    <row r="105" spans="4:43" x14ac:dyDescent="0.2">
      <c r="D105" s="57"/>
      <c r="E105" s="151"/>
      <c r="G105" s="148"/>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row>
    <row r="106" spans="4:43" x14ac:dyDescent="0.2">
      <c r="E106" s="115"/>
      <c r="G106" s="148"/>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row>
    <row r="107" spans="4:43" x14ac:dyDescent="0.2">
      <c r="D107" s="150"/>
      <c r="E107" s="151"/>
      <c r="F107" s="152"/>
      <c r="G107" s="148"/>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row>
    <row r="108" spans="4:43" x14ac:dyDescent="0.2">
      <c r="E108" s="151"/>
      <c r="G108" s="148"/>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row>
    <row r="109" spans="4:43" x14ac:dyDescent="0.2">
      <c r="G109" s="148"/>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row>
    <row r="110" spans="4:43" x14ac:dyDescent="0.2">
      <c r="E110" s="115"/>
      <c r="G110" s="148"/>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row>
    <row r="111" spans="4:43" x14ac:dyDescent="0.2">
      <c r="E111" s="115"/>
      <c r="G111" s="148"/>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row>
    <row r="112" spans="4:43" x14ac:dyDescent="0.2">
      <c r="E112" s="115"/>
      <c r="G112" s="148"/>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row>
    <row r="113" spans="4:43" x14ac:dyDescent="0.2">
      <c r="D113" s="150"/>
      <c r="E113" s="115"/>
      <c r="G113" s="148"/>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row>
    <row r="114" spans="4:43" x14ac:dyDescent="0.2">
      <c r="D114" s="150"/>
      <c r="E114" s="115"/>
      <c r="G114" s="148"/>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row>
    <row r="115" spans="4:43" x14ac:dyDescent="0.2">
      <c r="E115" s="115"/>
      <c r="G115" s="148"/>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row>
    <row r="116" spans="4:43" x14ac:dyDescent="0.2">
      <c r="D116" s="57"/>
      <c r="E116" s="151"/>
      <c r="G116" s="148"/>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row>
    <row r="117" spans="4:43" x14ac:dyDescent="0.2">
      <c r="G117" s="148"/>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row>
    <row r="118" spans="4:43" x14ac:dyDescent="0.2">
      <c r="G118" s="148"/>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row>
    <row r="119" spans="4:43" x14ac:dyDescent="0.2">
      <c r="G119" s="148"/>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row>
    <row r="120" spans="4:43" x14ac:dyDescent="0.2">
      <c r="G120" s="148"/>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row>
    <row r="121" spans="4:43" x14ac:dyDescent="0.2">
      <c r="G121" s="148"/>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row>
    <row r="122" spans="4:43" x14ac:dyDescent="0.2">
      <c r="G122" s="148"/>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row>
    <row r="123" spans="4:43" x14ac:dyDescent="0.2">
      <c r="G123" s="148"/>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row>
    <row r="124" spans="4:43" x14ac:dyDescent="0.2">
      <c r="G124" s="148"/>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row>
    <row r="125" spans="4:43" x14ac:dyDescent="0.2">
      <c r="G125" s="148"/>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row>
    <row r="126" spans="4:43" x14ac:dyDescent="0.2">
      <c r="G126" s="148"/>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row>
    <row r="127" spans="4:43" x14ac:dyDescent="0.2">
      <c r="G127" s="148"/>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row>
    <row r="128" spans="4:43" x14ac:dyDescent="0.2">
      <c r="G128" s="148"/>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row>
    <row r="129" spans="7:43" x14ac:dyDescent="0.2">
      <c r="G129" s="148"/>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row>
    <row r="130" spans="7:43" x14ac:dyDescent="0.2">
      <c r="G130" s="148"/>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row>
    <row r="131" spans="7:43" x14ac:dyDescent="0.2">
      <c r="G131" s="148"/>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row>
    <row r="132" spans="7:43" x14ac:dyDescent="0.2">
      <c r="G132" s="148"/>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row>
    <row r="133" spans="7:43" x14ac:dyDescent="0.2">
      <c r="G133" s="148"/>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row>
    <row r="134" spans="7:43" x14ac:dyDescent="0.2">
      <c r="G134" s="148"/>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row>
    <row r="135" spans="7:43" x14ac:dyDescent="0.2">
      <c r="G135" s="148"/>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row>
    <row r="136" spans="7:43" x14ac:dyDescent="0.2">
      <c r="G136" s="148"/>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row>
    <row r="137" spans="7:43" x14ac:dyDescent="0.2">
      <c r="G137" s="148"/>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row>
    <row r="138" spans="7:43" x14ac:dyDescent="0.2">
      <c r="G138" s="148"/>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row>
    <row r="139" spans="7:43" x14ac:dyDescent="0.2">
      <c r="G139" s="148"/>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row>
    <row r="140" spans="7:43" x14ac:dyDescent="0.2">
      <c r="G140" s="148"/>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row>
    <row r="141" spans="7:43" x14ac:dyDescent="0.2">
      <c r="G141" s="148"/>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row>
    <row r="142" spans="7:43" x14ac:dyDescent="0.2">
      <c r="G142" s="148"/>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row>
    <row r="143" spans="7:43" x14ac:dyDescent="0.2">
      <c r="G143" s="148"/>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row>
    <row r="144" spans="7:43" x14ac:dyDescent="0.2">
      <c r="G144" s="148"/>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row>
    <row r="145" spans="7:43" x14ac:dyDescent="0.2">
      <c r="G145" s="148"/>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row>
    <row r="146" spans="7:43" x14ac:dyDescent="0.2">
      <c r="G146" s="148"/>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row>
    <row r="147" spans="7:43" x14ac:dyDescent="0.2">
      <c r="G147" s="148"/>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row>
    <row r="148" spans="7:43" x14ac:dyDescent="0.2">
      <c r="G148" s="148"/>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row>
    <row r="149" spans="7:43" x14ac:dyDescent="0.2">
      <c r="G149" s="148"/>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row>
    <row r="150" spans="7:43" x14ac:dyDescent="0.2">
      <c r="G150" s="148"/>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row>
    <row r="151" spans="7:43" x14ac:dyDescent="0.2">
      <c r="G151" s="148"/>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row>
    <row r="152" spans="7:43" x14ac:dyDescent="0.2">
      <c r="G152" s="148"/>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row>
    <row r="153" spans="7:43" x14ac:dyDescent="0.2">
      <c r="G153" s="148"/>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row>
    <row r="154" spans="7:43" x14ac:dyDescent="0.2">
      <c r="G154" s="148"/>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row>
    <row r="155" spans="7:43" x14ac:dyDescent="0.2">
      <c r="G155" s="148"/>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row>
    <row r="156" spans="7:43" x14ac:dyDescent="0.2">
      <c r="G156" s="148"/>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row>
    <row r="157" spans="7:43" x14ac:dyDescent="0.2">
      <c r="G157" s="148"/>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row>
    <row r="158" spans="7:43" x14ac:dyDescent="0.2">
      <c r="G158" s="148"/>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row>
    <row r="159" spans="7:43" x14ac:dyDescent="0.2">
      <c r="G159" s="148"/>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row>
    <row r="160" spans="7:43" x14ac:dyDescent="0.2">
      <c r="G160" s="148"/>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row>
    <row r="161" spans="7:43" x14ac:dyDescent="0.2">
      <c r="G161" s="148"/>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row>
    <row r="162" spans="7:43" x14ac:dyDescent="0.2">
      <c r="G162" s="148"/>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row>
    <row r="163" spans="7:43" x14ac:dyDescent="0.2">
      <c r="G163" s="148"/>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row>
    <row r="164" spans="7:43" x14ac:dyDescent="0.2">
      <c r="G164" s="148"/>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row>
    <row r="165" spans="7:43" x14ac:dyDescent="0.2">
      <c r="G165" s="148"/>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row>
    <row r="166" spans="7:43" x14ac:dyDescent="0.2">
      <c r="G166" s="148"/>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row>
    <row r="167" spans="7:43" x14ac:dyDescent="0.2">
      <c r="G167" s="148"/>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row>
    <row r="168" spans="7:43" x14ac:dyDescent="0.2">
      <c r="G168" s="148"/>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row>
    <row r="169" spans="7:43" x14ac:dyDescent="0.2">
      <c r="G169" s="148"/>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row>
    <row r="170" spans="7:43" x14ac:dyDescent="0.2">
      <c r="G170" s="148"/>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row>
    <row r="171" spans="7:43" x14ac:dyDescent="0.2">
      <c r="G171" s="148"/>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row>
    <row r="172" spans="7:43" x14ac:dyDescent="0.2">
      <c r="G172" s="148"/>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row>
    <row r="173" spans="7:43" x14ac:dyDescent="0.2">
      <c r="G173" s="148"/>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row>
    <row r="174" spans="7:43" x14ac:dyDescent="0.2">
      <c r="G174" s="148"/>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row>
    <row r="175" spans="7:43" x14ac:dyDescent="0.2">
      <c r="G175" s="148"/>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row>
    <row r="176" spans="7:43" x14ac:dyDescent="0.2">
      <c r="G176" s="148"/>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row>
    <row r="177" spans="7:43" x14ac:dyDescent="0.2">
      <c r="G177" s="148"/>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row>
  </sheetData>
  <mergeCells count="10">
    <mergeCell ref="A28:A31"/>
    <mergeCell ref="B28:B31"/>
    <mergeCell ref="D51:E51"/>
    <mergeCell ref="D74:E74"/>
    <mergeCell ref="B1:E1"/>
    <mergeCell ref="B2:E2"/>
    <mergeCell ref="A14:A15"/>
    <mergeCell ref="B14:B15"/>
    <mergeCell ref="A25:A26"/>
    <mergeCell ref="B25:B26"/>
  </mergeCells>
  <pageMargins left="0.51181102362204722" right="0.51181102362204722" top="0.78740157480314965" bottom="0.78740157480314965" header="0.31496062992125984" footer="0.31496062992125984"/>
  <pageSetup paperSize="9" orientation="portrait"/>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'/Users/julejule/Dropbox/JS-Thesis/01_Data extraction - SLR/[06dez2016-SLR-Data extraction form_JS_MS - for PAPER.xlsx]Lists'!#REF!</xm:f>
          </x14:formula1>
          <xm:sqref>L4:L47</xm:sqref>
        </x14:dataValidation>
        <x14:dataValidation type="list" allowBlank="1" showInputMessage="1" showErrorMessage="1" xr:uid="{00000000-0002-0000-0700-000001000000}">
          <x14:formula1>
            <xm:f>'/Users/julejule/Dropbox/JS-Thesis/01_Data extraction - SLR/[06dez2016-SLR-Data extraction form_JS_MS - for PAPER.xlsx]Lists'!#REF!</xm:f>
          </x14:formula1>
          <xm:sqref>J4:J54 M44:M46 M4:M41 H4:H17 H19:H20 H22:H26 H28:H39</xm:sqref>
        </x14:dataValidation>
      </x14:dataValidations>
    </ex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H21"/>
  <sheetViews>
    <sheetView workbookViewId="0">
      <selection activeCell="B3" sqref="B3:B21"/>
    </sheetView>
  </sheetViews>
  <sheetFormatPr baseColWidth="10" defaultRowHeight="15" x14ac:dyDescent="0.2"/>
  <cols>
    <col min="2" max="2" width="13.83203125" bestFit="1" customWidth="1"/>
    <col min="4" max="4" width="12.5" bestFit="1" customWidth="1"/>
    <col min="6" max="6" width="12" bestFit="1" customWidth="1"/>
    <col min="7" max="10" width="10.83203125" customWidth="1"/>
  </cols>
  <sheetData>
    <row r="1" spans="2:8" x14ac:dyDescent="0.2">
      <c r="B1" s="84" t="s">
        <v>439</v>
      </c>
      <c r="C1" s="84"/>
      <c r="D1" s="84" t="s">
        <v>440</v>
      </c>
      <c r="E1" s="84"/>
      <c r="F1" s="84" t="s">
        <v>16</v>
      </c>
      <c r="G1" s="84"/>
      <c r="H1" s="84" t="s">
        <v>93</v>
      </c>
    </row>
    <row r="3" spans="2:8" x14ac:dyDescent="0.2">
      <c r="B3" s="27" t="s">
        <v>98</v>
      </c>
      <c r="C3" s="83"/>
      <c r="D3" s="27" t="s">
        <v>88</v>
      </c>
      <c r="E3" s="83"/>
      <c r="F3" s="27" t="s">
        <v>91</v>
      </c>
      <c r="G3" s="83"/>
      <c r="H3" s="91" t="s">
        <v>1047</v>
      </c>
    </row>
    <row r="4" spans="2:8" x14ac:dyDescent="0.2">
      <c r="B4" s="27" t="s">
        <v>99</v>
      </c>
      <c r="C4" s="83"/>
      <c r="D4" s="85" t="s">
        <v>444</v>
      </c>
      <c r="E4" s="83"/>
      <c r="F4" s="27" t="s">
        <v>92</v>
      </c>
      <c r="G4" s="83"/>
      <c r="H4" s="91" t="s">
        <v>605</v>
      </c>
    </row>
    <row r="5" spans="2:8" x14ac:dyDescent="0.2">
      <c r="B5" s="27" t="s">
        <v>1177</v>
      </c>
      <c r="C5" s="83"/>
      <c r="D5" s="27" t="s">
        <v>89</v>
      </c>
      <c r="E5" s="83"/>
      <c r="F5" s="27" t="s">
        <v>650</v>
      </c>
      <c r="G5" s="83"/>
      <c r="H5" s="91" t="s">
        <v>1211</v>
      </c>
    </row>
    <row r="6" spans="2:8" x14ac:dyDescent="0.2">
      <c r="B6" s="27" t="s">
        <v>1658</v>
      </c>
      <c r="C6" s="83"/>
      <c r="D6" s="27" t="s">
        <v>90</v>
      </c>
      <c r="E6" s="83"/>
      <c r="F6" s="85" t="s">
        <v>441</v>
      </c>
      <c r="G6" s="83"/>
      <c r="H6" s="85" t="s">
        <v>448</v>
      </c>
    </row>
    <row r="7" spans="2:8" x14ac:dyDescent="0.2">
      <c r="B7" s="27" t="s">
        <v>1150</v>
      </c>
      <c r="C7" s="83"/>
      <c r="D7" s="27" t="s">
        <v>651</v>
      </c>
      <c r="E7" s="83"/>
      <c r="F7" s="85" t="s">
        <v>443</v>
      </c>
      <c r="G7" s="83"/>
      <c r="H7" s="91" t="s">
        <v>931</v>
      </c>
    </row>
    <row r="8" spans="2:8" x14ac:dyDescent="0.2">
      <c r="B8" s="27" t="s">
        <v>1328</v>
      </c>
      <c r="C8" s="83"/>
      <c r="D8" s="27" t="s">
        <v>1489</v>
      </c>
      <c r="E8" s="83"/>
      <c r="F8" s="83"/>
      <c r="G8" s="83"/>
      <c r="H8" s="82" t="s">
        <v>465</v>
      </c>
    </row>
    <row r="9" spans="2:8" x14ac:dyDescent="0.2">
      <c r="B9" s="27" t="s">
        <v>100</v>
      </c>
      <c r="C9" s="83"/>
      <c r="D9" s="27" t="s">
        <v>1757</v>
      </c>
      <c r="E9" s="83"/>
      <c r="F9" s="83"/>
      <c r="G9" s="83"/>
      <c r="H9" s="27" t="s">
        <v>94</v>
      </c>
    </row>
    <row r="10" spans="2:8" x14ac:dyDescent="0.2">
      <c r="B10" s="27" t="s">
        <v>1095</v>
      </c>
      <c r="D10" s="27" t="s">
        <v>447</v>
      </c>
      <c r="F10" s="83"/>
      <c r="H10" s="27" t="s">
        <v>923</v>
      </c>
    </row>
    <row r="11" spans="2:8" x14ac:dyDescent="0.2">
      <c r="B11" s="27" t="s">
        <v>101</v>
      </c>
      <c r="D11" s="85" t="s">
        <v>445</v>
      </c>
      <c r="H11" s="82" t="s">
        <v>1269</v>
      </c>
    </row>
    <row r="12" spans="2:8" x14ac:dyDescent="0.2">
      <c r="B12" s="27" t="s">
        <v>102</v>
      </c>
      <c r="D12" s="85" t="s">
        <v>1013</v>
      </c>
      <c r="H12" s="27" t="s">
        <v>95</v>
      </c>
    </row>
    <row r="13" spans="2:8" x14ac:dyDescent="0.2">
      <c r="B13" s="27" t="s">
        <v>103</v>
      </c>
      <c r="D13" s="85" t="s">
        <v>446</v>
      </c>
      <c r="H13" s="27" t="s">
        <v>96</v>
      </c>
    </row>
    <row r="14" spans="2:8" x14ac:dyDescent="0.2">
      <c r="B14" s="27" t="s">
        <v>1292</v>
      </c>
      <c r="D14" s="85" t="s">
        <v>441</v>
      </c>
      <c r="H14" s="81" t="s">
        <v>97</v>
      </c>
    </row>
    <row r="15" spans="2:8" x14ac:dyDescent="0.2">
      <c r="B15" s="27" t="s">
        <v>1194</v>
      </c>
      <c r="D15" s="85" t="s">
        <v>443</v>
      </c>
      <c r="H15" s="81" t="s">
        <v>1682</v>
      </c>
    </row>
    <row r="16" spans="2:8" x14ac:dyDescent="0.2">
      <c r="B16" s="27" t="s">
        <v>1712</v>
      </c>
      <c r="H16" s="81" t="s">
        <v>1037</v>
      </c>
    </row>
    <row r="17" spans="2:8" x14ac:dyDescent="0.2">
      <c r="B17" s="27" t="s">
        <v>1305</v>
      </c>
      <c r="H17" s="82" t="s">
        <v>1224</v>
      </c>
    </row>
    <row r="18" spans="2:8" x14ac:dyDescent="0.2">
      <c r="B18" s="27" t="s">
        <v>1482</v>
      </c>
      <c r="H18" s="82" t="s">
        <v>1281</v>
      </c>
    </row>
    <row r="19" spans="2:8" x14ac:dyDescent="0.2">
      <c r="B19" s="27" t="s">
        <v>1704</v>
      </c>
      <c r="H19" s="82" t="s">
        <v>442</v>
      </c>
    </row>
    <row r="20" spans="2:8" x14ac:dyDescent="0.2">
      <c r="B20" s="27" t="s">
        <v>104</v>
      </c>
      <c r="H20" s="82" t="s">
        <v>1163</v>
      </c>
    </row>
    <row r="21" spans="2:8" x14ac:dyDescent="0.2">
      <c r="B21" s="27" t="s">
        <v>443</v>
      </c>
      <c r="H21" s="85" t="s">
        <v>443</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2</DocSecurity>
  <ScaleCrop>false</ScaleCrop>
  <HeadingPairs>
    <vt:vector size="2" baseType="variant">
      <vt:variant>
        <vt:lpstr>Worksheets</vt:lpstr>
      </vt:variant>
      <vt:variant>
        <vt:i4>10</vt:i4>
      </vt:variant>
    </vt:vector>
  </HeadingPairs>
  <TitlesOfParts>
    <vt:vector size="10" baseType="lpstr">
      <vt:lpstr>author info</vt:lpstr>
      <vt:lpstr>sprayed concrete</vt:lpstr>
      <vt:lpstr>limestone</vt:lpstr>
      <vt:lpstr>gravel</vt:lpstr>
      <vt:lpstr>sand</vt:lpstr>
      <vt:lpstr>fly ash</vt:lpstr>
      <vt:lpstr>BFS</vt:lpstr>
      <vt:lpstr>CEM I_II</vt:lpstr>
      <vt:lpstr>admixtures</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lastPrinted>2016-11-25T12:46:29Z</cp:lastPrinted>
  <dcterms:created xsi:type="dcterms:W3CDTF">2014-04-16T21:43:55Z</dcterms:created>
  <dcterms:modified xsi:type="dcterms:W3CDTF">2019-03-05T14:24:16Z</dcterms:modified>
  <cp:category/>
</cp:coreProperties>
</file>