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90" tabRatio="767" firstSheet="1"/>
  </bookViews>
  <sheets>
    <sheet name="LCI" sheetId="1" r:id="rId1"/>
    <sheet name="w(WTP factor)" sheetId="4" r:id="rId2"/>
    <sheet name="Energy consumption of Som" sheetId="7" r:id="rId3"/>
    <sheet name="LCCE&amp;EC" sheetId="5" r:id="rId4"/>
    <sheet name="LCC" sheetId="10" r:id="rId5"/>
    <sheet name="D-ELCC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<sst xmlns="http://schemas.openxmlformats.org/spreadsheetml/2006/main" count="301" uniqueCount="227">
  <si>
    <t>LCI:</t>
  </si>
  <si>
    <t>Categories</t>
  </si>
  <si>
    <t>Projects</t>
  </si>
  <si>
    <t>Materials</t>
  </si>
  <si>
    <t>Usage</t>
  </si>
  <si>
    <t>CE</t>
  </si>
  <si>
    <t>Costs</t>
  </si>
  <si>
    <t>CE factors of material production</t>
  </si>
  <si>
    <t>CE factors of material transportation</t>
  </si>
  <si>
    <t>CE factors of construction &amp; demolition</t>
  </si>
  <si>
    <t>Consumption quotas for demolition</t>
  </si>
  <si>
    <t>Recycled materials and recycling ratio</t>
  </si>
  <si>
    <t>Material production</t>
  </si>
  <si>
    <t>Material transportation</t>
  </si>
  <si>
    <t>Construction</t>
  </si>
  <si>
    <t>demolition</t>
  </si>
  <si>
    <t>Recycle</t>
  </si>
  <si>
    <t>Consumption quotas for dismantling</t>
  </si>
  <si>
    <t>Consumption quotas for floor waste removal</t>
  </si>
  <si>
    <t>Main works</t>
  </si>
  <si>
    <t>Masonry works</t>
  </si>
  <si>
    <t>Solid bricks</t>
  </si>
  <si>
    <r>
      <rPr>
        <sz val="10"/>
        <color theme="1"/>
        <rFont val="Times New Roman"/>
        <charset val="134"/>
      </rPr>
      <t>128.42m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</si>
  <si>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336.00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</si>
  <si>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0.01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 (Electric truck)
Distance: 500 km</t>
    </r>
  </si>
  <si>
    <r>
      <rPr>
        <sz val="10"/>
        <color theme="1"/>
        <rFont val="Calibri"/>
        <charset val="134"/>
      </rPr>
      <t>①</t>
    </r>
    <r>
      <rPr>
        <sz val="10"/>
        <color theme="1"/>
        <rFont val="Times New Roman"/>
        <charset val="134"/>
      </rPr>
      <t>Labor:19.76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-eq/day
</t>
    </r>
    <r>
      <rPr>
        <sz val="10"/>
        <color theme="1"/>
        <rFont val="Calibri"/>
        <charset val="134"/>
      </rPr>
      <t>②</t>
    </r>
    <r>
      <rPr>
        <sz val="10"/>
        <color theme="1"/>
        <rFont val="Times New Roman"/>
        <charset val="134"/>
      </rPr>
      <t>Energy consumption of machinery:
2.925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-eq/kg (gasoline)
0.5271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-eq/kwh (electricity)</t>
    </r>
  </si>
  <si>
    <r>
      <rPr>
        <sz val="10"/>
        <color theme="1"/>
        <rFont val="Times New Roman"/>
        <charset val="134"/>
      </rPr>
      <t>Labor: 0.766 man-day/m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</si>
  <si>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宋体"/>
        <charset val="134"/>
      </rPr>
      <t>①</t>
    </r>
    <r>
      <rPr>
        <sz val="10"/>
        <color theme="1"/>
        <rFont val="Times New Roman"/>
        <charset val="134"/>
      </rPr>
      <t>Vertical distance within 15m: 
0.433 man-day/m</t>
    </r>
    <r>
      <rPr>
        <vertAlign val="superscript"/>
        <sz val="10"/>
        <color theme="1"/>
        <rFont val="Times New Roman"/>
        <charset val="134"/>
      </rPr>
      <t xml:space="preserve">3
</t>
    </r>
    <r>
      <rPr>
        <sz val="10"/>
        <color theme="1"/>
        <rFont val="Times New Roman"/>
        <charset val="134"/>
      </rPr>
      <t>0.080 mechine-shift/m</t>
    </r>
    <r>
      <rPr>
        <vertAlign val="superscript"/>
        <sz val="10"/>
        <color theme="1"/>
        <rFont val="Times New Roman"/>
        <charset val="134"/>
      </rPr>
      <t xml:space="preserve">3
</t>
    </r>
    <r>
      <rPr>
        <sz val="10"/>
        <color theme="1"/>
        <rFont val="宋体"/>
        <charset val="134"/>
      </rPr>
      <t>②V</t>
    </r>
    <r>
      <rPr>
        <sz val="10"/>
        <color theme="1"/>
        <rFont val="Times New Roman"/>
        <charset val="134"/>
      </rPr>
      <t>ertical transport distance per 1m increase:  0.0053 mechine-shift/m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</si>
  <si>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Concrete: 950 kg/m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,  70%
Brick and block: 125 kg/m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, 30%
Metal: 90 kg/m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,  90%
Glass: 2 kg/m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,  45%</t>
    </r>
  </si>
  <si>
    <r>
      <rPr>
        <sz val="10"/>
        <color theme="1"/>
        <rFont val="Times New Roman"/>
        <charset val="134"/>
      </rPr>
      <t>1270.31 yuan/m</t>
    </r>
    <r>
      <rPr>
        <vertAlign val="superscript"/>
        <sz val="10"/>
        <color theme="1"/>
        <rFont val="Times New Roman"/>
        <charset val="134"/>
      </rPr>
      <t>3</t>
    </r>
  </si>
  <si>
    <t>0.45 yuan/t·km</t>
  </si>
  <si>
    <r>
      <rPr>
        <sz val="10"/>
        <color theme="1"/>
        <rFont val="Times New Roman"/>
        <charset val="134"/>
      </rPr>
      <t>386.08 yuan/m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</si>
  <si>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86.94 yuan/m</t>
    </r>
    <r>
      <rPr>
        <vertAlign val="superscript"/>
        <sz val="10"/>
        <color theme="1"/>
        <rFont val="Times New Roman"/>
        <charset val="134"/>
      </rPr>
      <t>3</t>
    </r>
  </si>
  <si>
    <t>Concrete, brick and block: 80 yuan/t
Steel: 3100 yuan/t
Glass:300 yuan/t</t>
  </si>
  <si>
    <t>Concrete works</t>
  </si>
  <si>
    <t>Concrete</t>
  </si>
  <si>
    <r>
      <rPr>
        <sz val="10"/>
        <color theme="1"/>
        <rFont val="Times New Roman"/>
        <charset val="134"/>
      </rPr>
      <t>2641.87 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</si>
  <si>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295.00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</si>
  <si>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0.01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 (Electric truck)
Distance: 40 km</t>
    </r>
  </si>
  <si>
    <r>
      <rPr>
        <sz val="10"/>
        <color theme="1"/>
        <rFont val="Times New Roman"/>
        <charset val="134"/>
      </rPr>
      <t>Laber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6.587 man-day/m</t>
    </r>
    <r>
      <rPr>
        <vertAlign val="superscript"/>
        <sz val="10"/>
        <color theme="1"/>
        <rFont val="Times New Roman"/>
        <charset val="134"/>
      </rPr>
      <t xml:space="preserve">3
</t>
    </r>
    <r>
      <rPr>
        <sz val="10"/>
        <color theme="1"/>
        <rFont val="Times New Roman"/>
        <charset val="134"/>
      </rPr>
      <t>Electricity: 5.430 kwh/m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</si>
  <si>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924.71 yuan/m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</si>
  <si>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169.96 yuan/m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</si>
  <si>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1177.48 yuan/m</t>
    </r>
    <r>
      <rPr>
        <vertAlign val="superscript"/>
        <sz val="10"/>
        <color theme="1"/>
        <rFont val="Times New Roman"/>
        <charset val="134"/>
      </rPr>
      <t>3</t>
    </r>
  </si>
  <si>
    <t>Reinforcing Steel</t>
  </si>
  <si>
    <t>Reinforced steel</t>
  </si>
  <si>
    <t>9284.90 t</t>
  </si>
  <si>
    <r>
      <rPr>
        <sz val="10"/>
        <color theme="1"/>
        <rFont val="Times New Roman"/>
        <charset val="134"/>
      </rPr>
      <t>2340.00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3</t>
    </r>
  </si>
  <si>
    <t>-</t>
  </si>
  <si>
    <t>380.67 yuan/t</t>
  </si>
  <si>
    <t>4488.31yuan/t</t>
  </si>
  <si>
    <t>Roofing and waterproofing works</t>
  </si>
  <si>
    <t>Rigid Roofing</t>
  </si>
  <si>
    <r>
      <rPr>
        <sz val="10"/>
        <color theme="1"/>
        <rFont val="Times New Roman"/>
        <charset val="134"/>
      </rPr>
      <t>1500.01 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</si>
  <si>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Laber</t>
    </r>
    <r>
      <rPr>
        <sz val="10"/>
        <color theme="1"/>
        <rFont val="宋体"/>
        <charset val="134"/>
      </rPr>
      <t xml:space="preserve">: </t>
    </r>
    <r>
      <rPr>
        <sz val="10"/>
        <color theme="1"/>
        <rFont val="Times New Roman"/>
        <charset val="134"/>
      </rPr>
      <t>6.256 man-day/m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</si>
  <si>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291.47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</si>
  <si>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44.88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</si>
  <si>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34.88 yuan/m</t>
    </r>
    <r>
      <rPr>
        <vertAlign val="superscript"/>
        <sz val="10"/>
        <color theme="1"/>
        <rFont val="Times New Roman"/>
        <charset val="134"/>
      </rPr>
      <t>2</t>
    </r>
  </si>
  <si>
    <t>Waterproof membrane</t>
  </si>
  <si>
    <r>
      <rPr>
        <sz val="10"/>
        <color theme="1"/>
        <rFont val="Times New Roman"/>
        <charset val="134"/>
      </rPr>
      <t>5488.13 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</si>
  <si>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2.37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</si>
  <si>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Laber: 0.0618 man-day/m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</si>
  <si>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63.75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</si>
  <si>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10.54 yuan/m</t>
    </r>
    <r>
      <rPr>
        <vertAlign val="superscript"/>
        <sz val="10"/>
        <color theme="1"/>
        <rFont val="Times New Roman"/>
        <charset val="134"/>
      </rPr>
      <t>2</t>
    </r>
  </si>
  <si>
    <t>Waterproof coating</t>
  </si>
  <si>
    <r>
      <rPr>
        <sz val="10"/>
        <color theme="1"/>
        <rFont val="Times New Roman"/>
        <charset val="134"/>
      </rPr>
      <t>4148.66 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</si>
  <si>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734.00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</si>
  <si>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r>
      <rPr>
        <sz val="10"/>
        <color theme="1"/>
        <rFont val="Times New Roman"/>
        <charset val="134"/>
      </rPr>
      <t>Laber: 0.0708 man-day/m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</si>
  <si>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60.26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</si>
  <si>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22.98 yuan/m</t>
    </r>
    <r>
      <rPr>
        <vertAlign val="superscript"/>
        <sz val="10"/>
        <color theme="1"/>
        <rFont val="Times New Roman"/>
        <charset val="134"/>
      </rPr>
      <t>2</t>
    </r>
  </si>
  <si>
    <t>Heat preservation, insulation, and anti-corrosion works</t>
  </si>
  <si>
    <t>Polystyrene foam board insulation</t>
  </si>
  <si>
    <r>
      <rPr>
        <sz val="10"/>
        <color theme="1"/>
        <rFont val="Times New Roman"/>
        <charset val="134"/>
      </rPr>
      <t>1474.80 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</si>
  <si>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127.00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</si>
  <si>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188.09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</si>
  <si>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27.68 yuan/m</t>
    </r>
    <r>
      <rPr>
        <vertAlign val="superscript"/>
        <sz val="10"/>
        <color theme="1"/>
        <rFont val="Times New Roman"/>
        <charset val="134"/>
      </rPr>
      <t>2</t>
    </r>
  </si>
  <si>
    <t>Thermal insulation mortar</t>
  </si>
  <si>
    <r>
      <rPr>
        <sz val="10"/>
        <color theme="1"/>
        <rFont val="Times New Roman"/>
        <charset val="134"/>
      </rPr>
      <t>4668.27 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</si>
  <si>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315.39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</si>
  <si>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Laber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0.1327 man-day/m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</si>
  <si>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16.75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</si>
  <si>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8.14 yuan/m</t>
    </r>
    <r>
      <rPr>
        <vertAlign val="superscript"/>
        <sz val="10"/>
        <color theme="1"/>
        <rFont val="Times New Roman"/>
        <charset val="134"/>
      </rPr>
      <t>2</t>
    </r>
  </si>
  <si>
    <t>Windows</t>
  </si>
  <si>
    <t>Metal shutters</t>
  </si>
  <si>
    <r>
      <rPr>
        <sz val="10"/>
        <color theme="1"/>
        <rFont val="Times New Roman"/>
        <charset val="134"/>
      </rPr>
      <t>23.50 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</si>
  <si>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46.30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</si>
  <si>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Laber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0.1945 man-day/piece</t>
    </r>
  </si>
  <si>
    <r>
      <rPr>
        <sz val="10"/>
        <color theme="1"/>
        <rFont val="Times New Roman"/>
        <charset val="134"/>
      </rPr>
      <t>66.47 yuan/m</t>
    </r>
    <r>
      <rPr>
        <vertAlign val="superscript"/>
        <sz val="10"/>
        <color theme="1"/>
        <rFont val="Times New Roman"/>
        <charset val="134"/>
      </rPr>
      <t>2</t>
    </r>
  </si>
  <si>
    <t>48.43 yuan/piece</t>
  </si>
  <si>
    <t>TID part</t>
  </si>
  <si>
    <t>Floors</t>
  </si>
  <si>
    <t>Rubber floor</t>
  </si>
  <si>
    <r>
      <rPr>
        <sz val="10"/>
        <color rgb="FF000000"/>
        <rFont val="Times New Roman"/>
        <charset val="134"/>
      </rPr>
      <t>18.46 m</t>
    </r>
    <r>
      <rPr>
        <vertAlign val="superscript"/>
        <sz val="10"/>
        <color rgb="FF000000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</si>
  <si>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280.00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</si>
  <si>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Laber: 0.364 man-day/m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</si>
  <si>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①</t>
    </r>
    <r>
      <rPr>
        <sz val="10"/>
        <color theme="1"/>
        <rFont val="Times New Roman"/>
        <charset val="134"/>
      </rPr>
      <t>Vertical distance within 15m: 
0.433 man-day/m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
0.080 mechine-shift/m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</t>
    </r>
    <r>
      <rPr>
        <sz val="10"/>
        <color theme="1"/>
        <rFont val="Times New Roman"/>
        <charset val="134"/>
      </rPr>
      <t>Vertical transport distance per 1m increase: 0.0053 mechine-shift/m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</si>
  <si>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Brick and block: 125 kg/m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,  30%
Metal: 90 kg/m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,  90%</t>
    </r>
  </si>
  <si>
    <r>
      <rPr>
        <sz val="10"/>
        <color theme="1"/>
        <rFont val="Times New Roman"/>
        <charset val="134"/>
      </rPr>
      <t>82.57 yuan/m</t>
    </r>
    <r>
      <rPr>
        <vertAlign val="superscript"/>
        <sz val="10"/>
        <color theme="1"/>
        <rFont val="Times New Roman"/>
        <charset val="134"/>
      </rPr>
      <t>2</t>
    </r>
  </si>
  <si>
    <t>0.45yuan/t·km</t>
  </si>
  <si>
    <r>
      <rPr>
        <sz val="10"/>
        <color theme="1"/>
        <rFont val="Times New Roman"/>
        <charset val="134"/>
      </rPr>
      <t>76.31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</si>
  <si>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9.89 yuan/m</t>
    </r>
    <r>
      <rPr>
        <vertAlign val="superscript"/>
        <sz val="10"/>
        <color theme="1"/>
        <rFont val="Times New Roman"/>
        <charset val="134"/>
      </rPr>
      <t>2</t>
    </r>
  </si>
  <si>
    <t>Concrete, brick and block: 80 yuan/t
Steel: 3100 yuan/t</t>
  </si>
  <si>
    <t>Cement mortar</t>
  </si>
  <si>
    <t>245.21 t</t>
  </si>
  <si>
    <r>
      <rPr>
        <sz val="10"/>
        <color theme="1"/>
        <rFont val="Times New Roman"/>
        <charset val="134"/>
      </rPr>
      <t>197.00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</si>
  <si>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t>Interior walls</t>
  </si>
  <si>
    <t>Aerated concrete block</t>
  </si>
  <si>
    <r>
      <rPr>
        <sz val="10"/>
        <color rgb="FF000000"/>
        <rFont val="Times New Roman"/>
        <charset val="134"/>
      </rPr>
      <t>2755.90 m</t>
    </r>
    <r>
      <rPr>
        <vertAlign val="superscript"/>
        <sz val="10"/>
        <color rgb="FF000000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</si>
  <si>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291.00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</si>
  <si>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Labor: 0.485 man-day/m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</si>
  <si>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908.50 yuan/m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</si>
  <si>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402.11 yuan/m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</si>
  <si>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58.91yuan/m</t>
    </r>
    <r>
      <rPr>
        <vertAlign val="superscript"/>
        <sz val="10"/>
        <color theme="1"/>
        <rFont val="Times New Roman"/>
        <charset val="134"/>
      </rPr>
      <t>3</t>
    </r>
  </si>
  <si>
    <t>Wet-mix masonry mortar</t>
  </si>
  <si>
    <r>
      <rPr>
        <sz val="10"/>
        <color theme="1"/>
        <rFont val="Times New Roman"/>
        <charset val="134"/>
      </rPr>
      <t xml:space="preserve">978.39 </t>
    </r>
    <r>
      <rPr>
        <sz val="10"/>
        <color rgb="FF000000"/>
        <rFont val="Times New Roman"/>
        <charset val="134"/>
      </rPr>
      <t>m</t>
    </r>
    <r>
      <rPr>
        <vertAlign val="superscript"/>
        <sz val="10"/>
        <color rgb="FF000000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</si>
  <si>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228.03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</si>
  <si>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Labor: 0.0364 man-day/m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</si>
  <si>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88.80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</si>
  <si>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25.40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</si>
  <si>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14.34 yuan/m</t>
    </r>
    <r>
      <rPr>
        <vertAlign val="superscript"/>
        <sz val="10"/>
        <color theme="1"/>
        <rFont val="Times New Roman"/>
        <charset val="134"/>
      </rPr>
      <t>2</t>
    </r>
  </si>
  <si>
    <t>1:3 cement mortar</t>
  </si>
  <si>
    <t>275.63 t</t>
  </si>
  <si>
    <t>Putty</t>
  </si>
  <si>
    <t>59.22 t</t>
  </si>
  <si>
    <r>
      <rPr>
        <sz val="10"/>
        <color theme="1"/>
        <rFont val="Times New Roman"/>
        <charset val="134"/>
      </rPr>
      <t>210.00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</si>
  <si>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t>Latex paint</t>
  </si>
  <si>
    <t>89.65 t</t>
  </si>
  <si>
    <r>
      <rPr>
        <sz val="10"/>
        <color theme="1"/>
        <rFont val="Times New Roman"/>
        <charset val="134"/>
      </rPr>
      <t>4120.00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</si>
  <si>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t>Ceilings</t>
  </si>
  <si>
    <t>26.37 t</t>
  </si>
  <si>
    <r>
      <rPr>
        <sz val="10"/>
        <color theme="1"/>
        <rFont val="Times New Roman"/>
        <charset val="134"/>
      </rPr>
      <t>Laber: 0.1855 man-day/m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</si>
  <si>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76.97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</si>
  <si>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28.81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</si>
  <si>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15.13 yuan/m</t>
    </r>
    <r>
      <rPr>
        <vertAlign val="superscript"/>
        <sz val="10"/>
        <color theme="1"/>
        <rFont val="Times New Roman"/>
        <charset val="134"/>
      </rPr>
      <t>2</t>
    </r>
  </si>
  <si>
    <t>39.75 t</t>
  </si>
  <si>
    <t>Doors</t>
  </si>
  <si>
    <t>Stainless steel ward door</t>
  </si>
  <si>
    <r>
      <rPr>
        <sz val="10"/>
        <color rgb="FF000000"/>
        <rFont val="Times New Roman"/>
        <charset val="134"/>
      </rPr>
      <t>194.45</t>
    </r>
    <r>
      <rPr>
        <sz val="10"/>
        <color theme="1"/>
        <rFont val="Times New Roman"/>
        <charset val="134"/>
      </rPr>
      <t xml:space="preserve"> 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</si>
  <si>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2190.00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</si>
  <si>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r>
      <rPr>
        <sz val="10"/>
        <color theme="1"/>
        <rFont val="Times New Roman"/>
        <charset val="134"/>
      </rPr>
      <t>Laber: 0.0294 man-day/m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</si>
  <si>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2500.00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</si>
  <si>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56.54 yuan/m</t>
    </r>
    <r>
      <rPr>
        <vertAlign val="superscript"/>
        <sz val="10"/>
        <color theme="1"/>
        <rFont val="Times New Roman"/>
        <charset val="134"/>
      </rPr>
      <t>2</t>
    </r>
  </si>
  <si>
    <t>AID part</t>
  </si>
  <si>
    <r>
      <rPr>
        <sz val="10"/>
        <color theme="1"/>
        <rFont val="宋体"/>
        <charset val="134"/>
      </rPr>
      <t>①</t>
    </r>
    <r>
      <rPr>
        <sz val="10"/>
        <color theme="1"/>
        <rFont val="Times New Roman"/>
        <charset val="134"/>
      </rPr>
      <t>Vertical distance within 15m: 
0.433 man-day/m</t>
    </r>
    <r>
      <rPr>
        <vertAlign val="superscript"/>
        <sz val="10"/>
        <color theme="1"/>
        <rFont val="Times New Roman"/>
        <charset val="134"/>
      </rPr>
      <t xml:space="preserve">3
</t>
    </r>
    <r>
      <rPr>
        <sz val="10"/>
        <color theme="1"/>
        <rFont val="Times New Roman"/>
        <charset val="134"/>
      </rPr>
      <t>0.080 mechine-shift/m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②</t>
    </r>
    <r>
      <rPr>
        <sz val="10"/>
        <color theme="1"/>
        <rFont val="Times New Roman"/>
        <charset val="134"/>
      </rPr>
      <t>Vertical transport distance per 1m increase: 0.0053 mechine-shift/m</t>
    </r>
    <r>
      <rPr>
        <vertAlign val="superscript"/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</si>
  <si>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Metal: 90 kg/m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,  90%</t>
    </r>
  </si>
  <si>
    <t>Steel: 3100 yuan/t
Aluminium: 6500 yuan/t</t>
  </si>
  <si>
    <r>
      <rPr>
        <sz val="10"/>
        <color theme="1"/>
        <rFont val="Times New Roman"/>
        <charset val="134"/>
      </rPr>
      <t>197.00kg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</si>
  <si>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t>Light steel keel</t>
  </si>
  <si>
    <t>140.76 t</t>
  </si>
  <si>
    <r>
      <rPr>
        <sz val="10"/>
        <color theme="1"/>
        <rFont val="Times New Roman"/>
        <charset val="134"/>
      </rPr>
      <t>5000.00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</si>
  <si>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r>
      <rPr>
        <sz val="10"/>
        <color theme="1"/>
        <rFont val="Times New Roman"/>
        <charset val="134"/>
      </rPr>
      <t>Labor: 0.072 man-day/m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</si>
  <si>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1360.00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</si>
  <si>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198.58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</si>
  <si>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17.03 yuan/m</t>
    </r>
    <r>
      <rPr>
        <vertAlign val="superscript"/>
        <sz val="10"/>
        <color theme="1"/>
        <rFont val="Times New Roman"/>
        <charset val="134"/>
      </rPr>
      <t>2</t>
    </r>
  </si>
  <si>
    <t>Aluminium alloy keel</t>
  </si>
  <si>
    <t>9.33 t</t>
  </si>
  <si>
    <r>
      <rPr>
        <sz val="10"/>
        <color theme="1"/>
        <rFont val="Times New Roman"/>
        <charset val="134"/>
      </rPr>
      <t>2450.00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</si>
  <si>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t>Aluminium</t>
  </si>
  <si>
    <t>31.03 t</t>
  </si>
  <si>
    <r>
      <rPr>
        <sz val="10"/>
        <color theme="1"/>
        <rFont val="Times New Roman"/>
        <charset val="134"/>
      </rPr>
      <t>1123.00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</si>
  <si>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t>Hot-dip galvanized steel</t>
  </si>
  <si>
    <t>29.00 t</t>
  </si>
  <si>
    <r>
      <rPr>
        <sz val="10"/>
        <color theme="1"/>
        <rFont val="Times New Roman"/>
        <charset val="134"/>
      </rPr>
      <t>2760.00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</si>
  <si>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t>Calcium silicate board</t>
  </si>
  <si>
    <r>
      <rPr>
        <sz val="10"/>
        <color rgb="FF000000"/>
        <rFont val="Times New Roman"/>
        <charset val="134"/>
      </rPr>
      <t>96.54 m</t>
    </r>
    <r>
      <rPr>
        <vertAlign val="superscript"/>
        <sz val="10"/>
        <color rgb="FF000000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</si>
  <si>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234.00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</si>
  <si>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t>Rock wool</t>
  </si>
  <si>
    <r>
      <rPr>
        <sz val="10"/>
        <color rgb="FF000000"/>
        <rFont val="Times New Roman"/>
        <charset val="134"/>
      </rPr>
      <t>551.26 m</t>
    </r>
    <r>
      <rPr>
        <vertAlign val="superscript"/>
        <sz val="10"/>
        <color rgb="FF000000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</si>
  <si>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306.90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</si>
  <si>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t>Silicone adhesive</t>
  </si>
  <si>
    <r>
      <rPr>
        <sz val="10"/>
        <color theme="1"/>
        <rFont val="Times New Roman"/>
        <charset val="134"/>
      </rPr>
      <t>1830.00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-eq/t</t>
    </r>
  </si>
  <si>
    <t>5.07 t</t>
  </si>
  <si>
    <r>
      <rPr>
        <sz val="10"/>
        <color theme="1"/>
        <rFont val="Times New Roman"/>
        <charset val="134"/>
      </rPr>
      <t>Labor: 0.0516 man-day/m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</si>
  <si>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120.00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</si>
  <si>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67.29 yuan/m</t>
    </r>
    <r>
      <rPr>
        <vertAlign val="superscript"/>
        <sz val="10"/>
        <color theme="1"/>
        <rFont val="Times New Roman"/>
        <charset val="134"/>
      </rPr>
      <t>2</t>
    </r>
  </si>
  <si>
    <r>
      <rPr>
        <sz val="10"/>
        <color theme="1"/>
        <rFont val="Times New Roman"/>
        <charset val="134"/>
      </rPr>
      <t>7.47yuan/m</t>
    </r>
    <r>
      <rPr>
        <vertAlign val="superscript"/>
        <sz val="10"/>
        <color theme="1"/>
        <rFont val="Times New Roman"/>
        <charset val="134"/>
      </rPr>
      <t>2</t>
    </r>
  </si>
  <si>
    <t>High crystal plate</t>
  </si>
  <si>
    <r>
      <rPr>
        <sz val="10"/>
        <color rgb="FF000000"/>
        <rFont val="Times New Roman"/>
        <charset val="134"/>
      </rPr>
      <t>98.16 m</t>
    </r>
    <r>
      <rPr>
        <vertAlign val="superscript"/>
        <sz val="10"/>
        <color rgb="FF000000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</si>
  <si>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802.20 kg CO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-eq/m</t>
    </r>
    <r>
      <rPr>
        <vertAlign val="superscript"/>
        <sz val="10"/>
        <color theme="1"/>
        <rFont val="Times New Roman"/>
        <charset val="134"/>
      </rPr>
      <t>3</t>
    </r>
  </si>
  <si>
    <t>Description of data source</t>
  </si>
  <si>
    <t>Bill of Quantities statistics</t>
  </si>
  <si>
    <t>GB/T 51366-2019
T/SZZS 01 001-2021</t>
  </si>
  <si>
    <t>GB/T 51366-2019</t>
  </si>
  <si>
    <t>TY01-31-2015</t>
  </si>
  <si>
    <t>SJG21-2011; Xiao G (2010) Research on building dismantling and material reuse technology. Dissertation, Tianjin University; Su X, Zhang X, Sun Y (2011) A Life Cycle Inventory Analysis Model for Materials Considering Recyclability. Journal of Tongji University (Natural Science Edition) 39(10): 1528-30, 1547. https://doi.org/10.3969/j.issn.0253-374x.2011.10.021</t>
  </si>
  <si>
    <t>Average market price</t>
  </si>
  <si>
    <t>Comprehensive Quota of Housing Construction and Decoration Engineering in Guangdong Province (2018)</t>
  </si>
  <si>
    <t>w (WTP factor):</t>
  </si>
  <si>
    <t>Year</t>
  </si>
  <si>
    <t>Global GDP(trillion yuan)</t>
  </si>
  <si>
    <t>Global damage(%)</t>
  </si>
  <si>
    <t>GL (trillion yuan)</t>
  </si>
  <si>
    <r>
      <rPr>
        <b/>
        <sz val="10"/>
        <color theme="1"/>
        <rFont val="Times New Roman"/>
        <charset val="134"/>
      </rPr>
      <t>GC</t>
    </r>
    <r>
      <rPr>
        <b/>
        <sz val="10"/>
        <color theme="1"/>
        <rFont val="等线"/>
        <charset val="134"/>
      </rPr>
      <t>（</t>
    </r>
    <r>
      <rPr>
        <b/>
        <sz val="10"/>
        <color theme="1"/>
        <rFont val="Times New Roman"/>
        <charset val="134"/>
      </rPr>
      <t>Billion t CO2</t>
    </r>
    <r>
      <rPr>
        <b/>
        <sz val="10"/>
        <color theme="1"/>
        <rFont val="等线"/>
        <charset val="134"/>
      </rPr>
      <t>）</t>
    </r>
  </si>
  <si>
    <r>
      <rPr>
        <b/>
        <sz val="10"/>
        <color theme="1"/>
        <rFont val="Times New Roman"/>
        <charset val="134"/>
      </rPr>
      <t>w (yuan/ kg CO</t>
    </r>
    <r>
      <rPr>
        <b/>
        <vertAlign val="subscript"/>
        <sz val="10"/>
        <color theme="1"/>
        <rFont val="Times New Roman"/>
        <charset val="134"/>
      </rPr>
      <t>2</t>
    </r>
    <r>
      <rPr>
        <b/>
        <sz val="10"/>
        <color theme="1"/>
        <rFont val="Times New Roman"/>
        <charset val="134"/>
      </rPr>
      <t>-eq)</t>
    </r>
  </si>
  <si>
    <r>
      <rPr>
        <b/>
        <sz val="12"/>
        <color theme="1"/>
        <rFont val="Times New Roman"/>
        <charset val="134"/>
      </rPr>
      <t>Energy consumption of S</t>
    </r>
    <r>
      <rPr>
        <b/>
        <sz val="8"/>
        <color theme="1"/>
        <rFont val="Times New Roman"/>
        <charset val="134"/>
      </rPr>
      <t>om</t>
    </r>
    <r>
      <rPr>
        <b/>
        <sz val="11"/>
        <color theme="1"/>
        <rFont val="Times New Roman"/>
        <charset val="134"/>
      </rPr>
      <t>:</t>
    </r>
  </si>
  <si>
    <t xml:space="preserve">Adjustment factor for Energy consumption of HVAC </t>
  </si>
  <si>
    <t>Energy consumption of HVAC (kwh)</t>
  </si>
  <si>
    <t>Adjustment factor for energy consumption of lighting systems</t>
  </si>
  <si>
    <t>Energy consumption of lighting system (kwh)</t>
  </si>
  <si>
    <t>Adjustment factor for Energy consumption of hospital equipment system</t>
  </si>
  <si>
    <t>Energy consumption of hospital equipment system (kwh)</t>
  </si>
  <si>
    <t>Energy consumption (kwh)</t>
  </si>
  <si>
    <r>
      <rPr>
        <b/>
        <sz val="10"/>
        <color theme="1"/>
        <rFont val="Times New Roman"/>
        <charset val="134"/>
      </rPr>
      <t>Costs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Times New Roman"/>
        <charset val="134"/>
      </rPr>
      <t>price of electricity</t>
    </r>
    <r>
      <rPr>
        <b/>
        <sz val="10"/>
        <color theme="1"/>
        <rFont val="宋体"/>
        <charset val="134"/>
      </rPr>
      <t>：</t>
    </r>
    <r>
      <rPr>
        <b/>
        <sz val="10"/>
        <color theme="1"/>
        <rFont val="Times New Roman"/>
        <charset val="134"/>
      </rPr>
      <t>0.688 yuan/kwh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</si>
  <si>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Times New Roman"/>
        <charset val="134"/>
      </rPr>
      <t>CE (kg CO</t>
    </r>
    <r>
      <rPr>
        <b/>
        <vertAlign val="subscript"/>
        <sz val="10"/>
        <color theme="1"/>
        <rFont val="Times New Roman"/>
        <charset val="134"/>
      </rPr>
      <t>2</t>
    </r>
    <r>
      <rPr>
        <b/>
        <sz val="10"/>
        <color theme="1"/>
        <rFont val="Times New Roman"/>
        <charset val="134"/>
      </rPr>
      <t xml:space="preserve">-eq)
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Times New Roman"/>
        <charset val="134"/>
      </rPr>
      <t>CE factors for electricity:0.5271kg CO</t>
    </r>
    <r>
      <rPr>
        <b/>
        <vertAlign val="subscript"/>
        <sz val="10"/>
        <color theme="1"/>
        <rFont val="Times New Roman"/>
        <charset val="134"/>
      </rPr>
      <t>2</t>
    </r>
    <r>
      <rPr>
        <b/>
        <sz val="10"/>
        <color theme="1"/>
        <rFont val="Times New Roman"/>
        <charset val="134"/>
      </rPr>
      <t>-eq/kwh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</si>
  <si>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Times New Roman"/>
        <charset val="134"/>
      </rPr>
      <t>CE per unit area (kg CO</t>
    </r>
    <r>
      <rPr>
        <b/>
        <vertAlign val="subscript"/>
        <sz val="10"/>
        <color theme="1"/>
        <rFont val="Times New Roman"/>
        <charset val="134"/>
      </rPr>
      <t>2</t>
    </r>
    <r>
      <rPr>
        <b/>
        <sz val="10"/>
        <color theme="1"/>
        <rFont val="Times New Roman"/>
        <charset val="134"/>
      </rPr>
      <t>-eq/m</t>
    </r>
    <r>
      <rPr>
        <b/>
        <vertAlign val="superscript"/>
        <sz val="10"/>
        <color theme="1"/>
        <rFont val="Times New Roman"/>
        <charset val="134"/>
      </rPr>
      <t>2</t>
    </r>
    <r>
      <rPr>
        <b/>
        <sz val="10"/>
        <color theme="1"/>
        <rFont val="宋体"/>
        <charset val="134"/>
      </rPr>
      <t>)</t>
    </r>
  </si>
  <si>
    <t>LCCE&amp;EC:</t>
  </si>
  <si>
    <t>Stage</t>
  </si>
  <si>
    <t>TID</t>
  </si>
  <si>
    <t>AID</t>
  </si>
  <si>
    <r>
      <rPr>
        <b/>
        <sz val="10"/>
        <color theme="1"/>
        <rFont val="Times New Roman"/>
        <charset val="134"/>
      </rPr>
      <t>CE (kg CO</t>
    </r>
    <r>
      <rPr>
        <b/>
        <vertAlign val="subscript"/>
        <sz val="10"/>
        <color theme="1"/>
        <rFont val="Times New Roman"/>
        <charset val="134"/>
      </rPr>
      <t>2</t>
    </r>
    <r>
      <rPr>
        <b/>
        <sz val="10"/>
        <color theme="1"/>
        <rFont val="Times New Roman"/>
        <charset val="134"/>
      </rPr>
      <t>-eq)</t>
    </r>
  </si>
  <si>
    <t>EC (yuan)</t>
  </si>
  <si>
    <t>Present value of EC (yuan)</t>
  </si>
  <si>
    <r>
      <rPr>
        <b/>
        <sz val="10"/>
        <color theme="1"/>
        <rFont val="Times New Roman"/>
        <charset val="134"/>
      </rPr>
      <t>S</t>
    </r>
    <r>
      <rPr>
        <b/>
        <sz val="6"/>
        <color theme="1"/>
        <rFont val="Times New Roman"/>
        <charset val="134"/>
      </rPr>
      <t>pt</t>
    </r>
  </si>
  <si>
    <r>
      <rPr>
        <b/>
        <sz val="10"/>
        <color theme="1"/>
        <rFont val="Times New Roman"/>
        <charset val="134"/>
      </rPr>
      <t>S</t>
    </r>
    <r>
      <rPr>
        <b/>
        <sz val="6"/>
        <color theme="1"/>
        <rFont val="Times New Roman"/>
        <charset val="134"/>
      </rPr>
      <t>cd</t>
    </r>
  </si>
  <si>
    <r>
      <rPr>
        <b/>
        <sz val="10"/>
        <color theme="1"/>
        <rFont val="Times New Roman"/>
        <charset val="134"/>
      </rPr>
      <t>S</t>
    </r>
    <r>
      <rPr>
        <b/>
        <sz val="6"/>
        <color theme="1"/>
        <rFont val="Times New Roman"/>
        <charset val="134"/>
      </rPr>
      <t>om</t>
    </r>
  </si>
  <si>
    <r>
      <rPr>
        <b/>
        <sz val="10"/>
        <color theme="1"/>
        <rFont val="Times New Roman"/>
        <charset val="134"/>
      </rPr>
      <t>S</t>
    </r>
    <r>
      <rPr>
        <b/>
        <sz val="6"/>
        <color theme="1"/>
        <rFont val="Times New Roman"/>
        <charset val="134"/>
      </rPr>
      <t>dr</t>
    </r>
  </si>
  <si>
    <t>Total</t>
  </si>
  <si>
    <t>Per unit area</t>
  </si>
  <si>
    <t>LCC:</t>
  </si>
  <si>
    <t>Costs (yuan)</t>
  </si>
  <si>
    <t>Present value of costs (yuan)</t>
  </si>
  <si>
    <t>D-ELCC:</t>
  </si>
  <si>
    <t>ELCC (yuan)</t>
  </si>
  <si>
    <r>
      <rPr>
        <b/>
        <sz val="11"/>
        <rFont val="Times New Roman"/>
        <charset val="134"/>
      </rPr>
      <t>ELCC per unit area (yuan/m</t>
    </r>
    <r>
      <rPr>
        <b/>
        <vertAlign val="superscript"/>
        <sz val="11"/>
        <rFont val="Times New Roman"/>
        <charset val="134"/>
      </rPr>
      <t>2</t>
    </r>
    <r>
      <rPr>
        <b/>
        <sz val="1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</si>
  <si>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S</t>
    </r>
    <r>
      <rPr>
        <sz val="6"/>
        <color theme="1"/>
        <rFont val="Times New Roman"/>
        <charset val="134"/>
      </rPr>
      <t>pt</t>
    </r>
  </si>
  <si>
    <r>
      <rPr>
        <sz val="11"/>
        <color theme="1"/>
        <rFont val="Times New Roman"/>
        <charset val="134"/>
      </rPr>
      <t>S</t>
    </r>
    <r>
      <rPr>
        <sz val="6"/>
        <color theme="1"/>
        <rFont val="Times New Roman"/>
        <charset val="134"/>
      </rPr>
      <t>cd</t>
    </r>
  </si>
  <si>
    <r>
      <rPr>
        <sz val="11"/>
        <color theme="1"/>
        <rFont val="Times New Roman"/>
        <charset val="134"/>
      </rPr>
      <t>S</t>
    </r>
    <r>
      <rPr>
        <sz val="6"/>
        <color theme="1"/>
        <rFont val="Times New Roman"/>
        <charset val="134"/>
      </rPr>
      <t>om</t>
    </r>
  </si>
  <si>
    <r>
      <rPr>
        <sz val="11"/>
        <color theme="1"/>
        <rFont val="Times New Roman"/>
        <charset val="134"/>
      </rPr>
      <t>S</t>
    </r>
    <r>
      <rPr>
        <sz val="6"/>
        <color theme="1"/>
        <rFont val="Times New Roman"/>
        <charset val="134"/>
      </rPr>
      <t>dr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</si>
</sst>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0000_ "/>
    <numFmt numFmtId="179" formatCode="0.000"/>
    <numFmt numFmtId="180" formatCode="0.000_ "/>
  </numFmts>
  <fonts count="5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0"/>
      <color theme="1"/>
      <name val="等线"/>
      <charset val="134"/>
    </font>
    <font>
      <b/>
      <sz val="10"/>
      <name val="Times New Roman"/>
      <charset val="134"/>
    </font>
    <font>
      <b/>
      <sz val="10"/>
      <name val="等线"/>
      <charset val="134"/>
    </font>
    <font>
      <sz val="10"/>
      <color rgb="FFFF0000"/>
      <name val="等线"/>
      <charset val="134"/>
    </font>
    <font>
      <sz val="10"/>
      <name val="等线"/>
      <charset val="134"/>
    </font>
    <font>
      <sz val="10"/>
      <color theme="1"/>
      <name val="等线"/>
      <charset val="134"/>
    </font>
    <font>
      <sz val="11"/>
      <color theme="1"/>
      <name val="等线"/>
      <charset val="134"/>
    </font>
    <font>
      <sz val="11"/>
      <color rgb="FFFF000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Calibri"/>
      <charset val="134"/>
    </font>
    <font>
      <sz val="10"/>
      <color rgb="FF000000"/>
      <name val="Times New Roman"/>
      <charset val="134"/>
    </font>
    <font>
      <b/>
      <sz val="10"/>
      <color rgb="FFFF0000"/>
      <name val="Times New Roman"/>
      <charset val="134"/>
    </font>
    <font>
      <sz val="10"/>
      <color rgb="FFFF0000"/>
      <name val="Times New Roman"/>
      <charset val="134"/>
    </font>
    <font>
      <sz val="10"/>
      <color theme="1"/>
      <name val="宋体"/>
      <charset val="134"/>
    </font>
    <font>
      <sz val="11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0"/>
      <color theme="1"/>
      <name val="Times New Roman"/>
      <charset val="134"/>
    </font>
    <font>
      <vertAlign val="superscript"/>
      <sz val="10"/>
      <color theme="1"/>
      <name val="Times New Roman"/>
      <charset val="134"/>
    </font>
    <font>
      <b/>
      <sz val="6"/>
      <color theme="1"/>
      <name val="Times New Roman"/>
      <charset val="134"/>
    </font>
    <font>
      <b/>
      <vertAlign val="subscript"/>
      <sz val="10"/>
      <color theme="1"/>
      <name val="Times New Roman"/>
      <charset val="134"/>
    </font>
    <font>
      <b/>
      <sz val="10"/>
      <color theme="1"/>
      <name val="宋体"/>
      <charset val="134"/>
    </font>
    <font>
      <b/>
      <vertAlign val="superscript"/>
      <sz val="10"/>
      <color theme="1"/>
      <name val="Times New Roman"/>
      <charset val="134"/>
    </font>
    <font>
      <vertAlign val="superscript"/>
      <sz val="10"/>
      <color rgb="FF000000"/>
      <name val="Times New Roman"/>
      <charset val="134"/>
    </font>
    <font>
      <sz val="6"/>
      <color theme="1"/>
      <name val="Times New Roman"/>
      <charset val="134"/>
    </font>
    <font>
      <b/>
      <vertAlign val="superscript"/>
      <sz val="11"/>
      <name val="Times New Roman"/>
      <charset val="134"/>
    </font>
    <font>
      <b/>
      <sz val="8"/>
      <color theme="1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27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3" fillId="0" borderId="2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5" fillId="10" borderId="31" applyNumberFormat="0" applyAlignment="0" applyProtection="0">
      <alignment vertical="center"/>
    </xf>
    <xf numFmtId="0" fontId="36" fillId="10" borderId="30" applyNumberFormat="0" applyAlignment="0" applyProtection="0">
      <alignment vertical="center"/>
    </xf>
    <xf numFmtId="0" fontId="37" fillId="11" borderId="32" applyNumberFormat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9" fillId="0" borderId="34" applyNumberFormat="0" applyFill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</cellStyleXfs>
  <cellXfs count="24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2" xfId="0" applyFont="1" applyFill="1" applyBorder="1" applyAlignment="1"/>
    <xf numFmtId="176" fontId="8" fillId="3" borderId="2" xfId="0" applyNumberFormat="1" applyFont="1" applyFill="1" applyBorder="1" applyAlignment="1"/>
    <xf numFmtId="176" fontId="7" fillId="4" borderId="2" xfId="0" applyNumberFormat="1" applyFont="1" applyFill="1" applyBorder="1" applyAlignment="1"/>
    <xf numFmtId="0" fontId="7" fillId="0" borderId="7" xfId="0" applyFont="1" applyBorder="1" applyAlignment="1">
      <alignment horizontal="center" vertical="center"/>
    </xf>
    <xf numFmtId="0" fontId="7" fillId="2" borderId="8" xfId="0" applyFont="1" applyFill="1" applyBorder="1" applyAlignment="1"/>
    <xf numFmtId="176" fontId="8" fillId="3" borderId="8" xfId="0" applyNumberFormat="1" applyFont="1" applyFill="1" applyBorder="1" applyAlignment="1"/>
    <xf numFmtId="176" fontId="7" fillId="4" borderId="8" xfId="0" applyNumberFormat="1" applyFont="1" applyFill="1" applyBorder="1" applyAlignment="1"/>
    <xf numFmtId="0" fontId="0" fillId="0" borderId="5" xfId="0" applyBorder="1"/>
    <xf numFmtId="0" fontId="7" fillId="2" borderId="6" xfId="0" applyFont="1" applyFill="1" applyBorder="1" applyAlignment="1">
      <alignment horizontal="right"/>
    </xf>
    <xf numFmtId="176" fontId="8" fillId="3" borderId="6" xfId="0" applyNumberFormat="1" applyFont="1" applyFill="1" applyBorder="1" applyAlignment="1"/>
    <xf numFmtId="176" fontId="7" fillId="4" borderId="6" xfId="0" applyNumberFormat="1" applyFont="1" applyFill="1" applyBorder="1" applyAlignment="1"/>
    <xf numFmtId="0" fontId="7" fillId="0" borderId="0" xfId="0" applyFont="1" applyFill="1" applyAlignment="1"/>
    <xf numFmtId="0" fontId="8" fillId="0" borderId="0" xfId="0" applyFont="1" applyFill="1" applyAlignment="1"/>
    <xf numFmtId="177" fontId="8" fillId="0" borderId="0" xfId="0" applyNumberFormat="1" applyFont="1" applyFill="1" applyAlignment="1"/>
    <xf numFmtId="176" fontId="8" fillId="0" borderId="0" xfId="0" applyNumberFormat="1" applyFont="1" applyFill="1" applyAlignment="1"/>
    <xf numFmtId="0" fontId="6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176" fontId="7" fillId="4" borderId="11" xfId="0" applyNumberFormat="1" applyFont="1" applyFill="1" applyBorder="1" applyAlignment="1"/>
    <xf numFmtId="176" fontId="7" fillId="4" borderId="12" xfId="0" applyNumberFormat="1" applyFont="1" applyFill="1" applyBorder="1" applyAlignment="1"/>
    <xf numFmtId="176" fontId="7" fillId="4" borderId="10" xfId="0" applyNumberFormat="1" applyFont="1" applyFill="1" applyBorder="1" applyAlignment="1"/>
    <xf numFmtId="177" fontId="7" fillId="0" borderId="0" xfId="0" applyNumberFormat="1" applyFont="1" applyFill="1" applyAlignment="1"/>
    <xf numFmtId="176" fontId="7" fillId="0" borderId="0" xfId="0" applyNumberFormat="1" applyFont="1" applyFill="1" applyAlignment="1"/>
    <xf numFmtId="0" fontId="9" fillId="0" borderId="0" xfId="0" applyFont="1"/>
    <xf numFmtId="0" fontId="9" fillId="0" borderId="0" xfId="0" applyFont="1" applyFill="1"/>
    <xf numFmtId="2" fontId="9" fillId="0" borderId="0" xfId="0" applyNumberFormat="1" applyFont="1"/>
    <xf numFmtId="177" fontId="10" fillId="0" borderId="0" xfId="0" applyNumberFormat="1" applyFont="1"/>
    <xf numFmtId="176" fontId="9" fillId="0" borderId="0" xfId="0" applyNumberFormat="1" applyFont="1"/>
    <xf numFmtId="0" fontId="4" fillId="0" borderId="0" xfId="0" applyFont="1" applyAlignment="1">
      <alignment horizontal="left"/>
    </xf>
    <xf numFmtId="0" fontId="9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wrapText="1"/>
    </xf>
    <xf numFmtId="2" fontId="12" fillId="3" borderId="2" xfId="0" applyNumberFormat="1" applyFont="1" applyFill="1" applyBorder="1" applyAlignment="1">
      <alignment horizontal="center" wrapText="1"/>
    </xf>
    <xf numFmtId="176" fontId="4" fillId="4" borderId="2" xfId="0" applyNumberFormat="1" applyFont="1" applyFill="1" applyBorder="1" applyAlignment="1">
      <alignment horizontal="center" wrapText="1"/>
    </xf>
    <xf numFmtId="177" fontId="12" fillId="4" borderId="11" xfId="0" applyNumberFormat="1" applyFont="1" applyFill="1" applyBorder="1" applyAlignment="1">
      <alignment horizont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2" fontId="11" fillId="3" borderId="6" xfId="0" applyNumberFormat="1" applyFont="1" applyFill="1" applyBorder="1" applyAlignment="1">
      <alignment horizontal="center" vertical="center" wrapText="1"/>
    </xf>
    <xf numFmtId="177" fontId="13" fillId="3" borderId="6" xfId="0" applyNumberFormat="1" applyFont="1" applyFill="1" applyBorder="1" applyAlignment="1">
      <alignment horizontal="center" vertical="center" wrapText="1"/>
    </xf>
    <xf numFmtId="176" fontId="11" fillId="4" borderId="6" xfId="0" applyNumberFormat="1" applyFont="1" applyFill="1" applyBorder="1" applyAlignment="1">
      <alignment horizontal="center" vertical="center" wrapText="1"/>
    </xf>
    <xf numFmtId="177" fontId="13" fillId="4" borderId="10" xfId="0" applyNumberFormat="1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/>
    </xf>
    <xf numFmtId="2" fontId="9" fillId="3" borderId="18" xfId="0" applyNumberFormat="1" applyFont="1" applyFill="1" applyBorder="1" applyAlignment="1">
      <alignment wrapText="1"/>
    </xf>
    <xf numFmtId="177" fontId="10" fillId="3" borderId="18" xfId="0" applyNumberFormat="1" applyFont="1" applyFill="1" applyBorder="1" applyAlignment="1">
      <alignment wrapText="1"/>
    </xf>
    <xf numFmtId="176" fontId="9" fillId="4" borderId="18" xfId="0" applyNumberFormat="1" applyFont="1" applyFill="1" applyBorder="1" applyAlignment="1">
      <alignment wrapText="1"/>
    </xf>
    <xf numFmtId="177" fontId="10" fillId="4" borderId="19" xfId="0" applyNumberFormat="1" applyFont="1" applyFill="1" applyBorder="1" applyAlignment="1">
      <alignment wrapText="1"/>
    </xf>
    <xf numFmtId="0" fontId="4" fillId="5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2" fontId="9" fillId="3" borderId="8" xfId="0" applyNumberFormat="1" applyFont="1" applyFill="1" applyBorder="1" applyAlignment="1">
      <alignment wrapText="1"/>
    </xf>
    <xf numFmtId="177" fontId="10" fillId="3" borderId="8" xfId="0" applyNumberFormat="1" applyFont="1" applyFill="1" applyBorder="1" applyAlignment="1">
      <alignment wrapText="1"/>
    </xf>
    <xf numFmtId="176" fontId="9" fillId="4" borderId="8" xfId="0" applyNumberFormat="1" applyFont="1" applyFill="1" applyBorder="1" applyAlignment="1">
      <alignment wrapText="1"/>
    </xf>
    <xf numFmtId="177" fontId="10" fillId="4" borderId="12" xfId="0" applyNumberFormat="1" applyFont="1" applyFill="1" applyBorder="1" applyAlignment="1">
      <alignment wrapText="1"/>
    </xf>
    <xf numFmtId="0" fontId="4" fillId="5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wrapText="1"/>
    </xf>
    <xf numFmtId="2" fontId="9" fillId="3" borderId="8" xfId="0" applyNumberFormat="1" applyFont="1" applyFill="1" applyBorder="1"/>
    <xf numFmtId="176" fontId="9" fillId="4" borderId="8" xfId="0" applyNumberFormat="1" applyFont="1" applyFill="1" applyBorder="1"/>
    <xf numFmtId="2" fontId="9" fillId="4" borderId="8" xfId="0" applyNumberFormat="1" applyFont="1" applyFill="1" applyBorder="1"/>
    <xf numFmtId="176" fontId="10" fillId="3" borderId="8" xfId="0" applyNumberFormat="1" applyFont="1" applyFill="1" applyBorder="1" applyAlignment="1">
      <alignment wrapText="1"/>
    </xf>
    <xf numFmtId="176" fontId="10" fillId="4" borderId="12" xfId="0" applyNumberFormat="1" applyFont="1" applyFill="1" applyBorder="1" applyAlignment="1">
      <alignment wrapText="1"/>
    </xf>
    <xf numFmtId="0" fontId="9" fillId="0" borderId="7" xfId="0" applyFont="1" applyFill="1" applyBorder="1" applyAlignment="1">
      <alignment wrapText="1"/>
    </xf>
    <xf numFmtId="0" fontId="10" fillId="0" borderId="8" xfId="0" applyFont="1" applyFill="1" applyBorder="1" applyAlignment="1">
      <alignment horizontal="center"/>
    </xf>
    <xf numFmtId="2" fontId="9" fillId="3" borderId="0" xfId="0" applyNumberFormat="1" applyFont="1" applyFill="1"/>
    <xf numFmtId="176" fontId="14" fillId="4" borderId="8" xfId="0" applyNumberFormat="1" applyFont="1" applyFill="1" applyBorder="1" applyAlignment="1">
      <alignment horizontal="center" wrapText="1"/>
    </xf>
    <xf numFmtId="0" fontId="9" fillId="0" borderId="5" xfId="0" applyFont="1" applyBorder="1"/>
    <xf numFmtId="0" fontId="10" fillId="0" borderId="6" xfId="0" applyFont="1" applyFill="1" applyBorder="1" applyAlignment="1">
      <alignment horizontal="center"/>
    </xf>
    <xf numFmtId="177" fontId="10" fillId="3" borderId="6" xfId="0" applyNumberFormat="1" applyFont="1" applyFill="1" applyBorder="1"/>
    <xf numFmtId="176" fontId="9" fillId="4" borderId="6" xfId="0" applyNumberFormat="1" applyFont="1" applyFill="1" applyBorder="1"/>
    <xf numFmtId="177" fontId="10" fillId="4" borderId="10" xfId="0" applyNumberFormat="1" applyFont="1" applyFill="1" applyBorder="1"/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Fill="1"/>
    <xf numFmtId="0" fontId="9" fillId="5" borderId="0" xfId="0" applyFont="1" applyFill="1"/>
    <xf numFmtId="0" fontId="10" fillId="0" borderId="0" xfId="0" applyFont="1"/>
    <xf numFmtId="177" fontId="10" fillId="0" borderId="0" xfId="0" applyNumberFormat="1" applyFont="1" applyBorder="1"/>
    <xf numFmtId="0" fontId="9" fillId="0" borderId="0" xfId="0" applyFont="1" applyAlignment="1">
      <alignment wrapText="1"/>
    </xf>
    <xf numFmtId="0" fontId="2" fillId="5" borderId="0" xfId="0" applyFont="1" applyFill="1" applyAlignment="1">
      <alignment horizontal="left"/>
    </xf>
    <xf numFmtId="0" fontId="9" fillId="5" borderId="0" xfId="0" applyFont="1" applyFill="1" applyAlignment="1">
      <alignment horizontal="left"/>
    </xf>
    <xf numFmtId="0" fontId="4" fillId="5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177" fontId="12" fillId="3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3" borderId="2" xfId="0" applyFont="1" applyFill="1" applyBorder="1"/>
    <xf numFmtId="2" fontId="10" fillId="3" borderId="2" xfId="0" applyNumberFormat="1" applyFont="1" applyFill="1" applyBorder="1" applyAlignment="1">
      <alignment wrapText="1"/>
    </xf>
    <xf numFmtId="176" fontId="10" fillId="3" borderId="2" xfId="0" applyNumberFormat="1" applyFont="1" applyFill="1" applyBorder="1" applyAlignment="1">
      <alignment wrapText="1"/>
    </xf>
    <xf numFmtId="177" fontId="10" fillId="3" borderId="2" xfId="0" applyNumberFormat="1" applyFont="1" applyFill="1" applyBorder="1" applyAlignment="1">
      <alignment wrapText="1"/>
    </xf>
    <xf numFmtId="0" fontId="10" fillId="4" borderId="2" xfId="0" applyFont="1" applyFill="1" applyBorder="1" applyAlignment="1">
      <alignment wrapText="1"/>
    </xf>
    <xf numFmtId="2" fontId="10" fillId="4" borderId="2" xfId="0" applyNumberFormat="1" applyFont="1" applyFill="1" applyBorder="1" applyAlignment="1">
      <alignment wrapText="1"/>
    </xf>
    <xf numFmtId="2" fontId="10" fillId="3" borderId="8" xfId="0" applyNumberFormat="1" applyFont="1" applyFill="1" applyBorder="1" applyAlignment="1">
      <alignment wrapText="1"/>
    </xf>
    <xf numFmtId="2" fontId="10" fillId="4" borderId="8" xfId="0" applyNumberFormat="1" applyFont="1" applyFill="1" applyBorder="1" applyAlignment="1">
      <alignment wrapText="1"/>
    </xf>
    <xf numFmtId="2" fontId="9" fillId="4" borderId="8" xfId="0" applyNumberFormat="1" applyFont="1" applyFill="1" applyBorder="1" applyAlignment="1">
      <alignment wrapText="1"/>
    </xf>
    <xf numFmtId="0" fontId="10" fillId="3" borderId="8" xfId="0" applyFont="1" applyFill="1" applyBorder="1"/>
    <xf numFmtId="2" fontId="10" fillId="3" borderId="8" xfId="0" applyNumberFormat="1" applyFont="1" applyFill="1" applyBorder="1"/>
    <xf numFmtId="0" fontId="10" fillId="4" borderId="8" xfId="0" applyFont="1" applyFill="1" applyBorder="1" applyAlignment="1">
      <alignment wrapText="1"/>
    </xf>
    <xf numFmtId="0" fontId="10" fillId="5" borderId="7" xfId="0" applyFont="1" applyFill="1" applyBorder="1"/>
    <xf numFmtId="0" fontId="10" fillId="3" borderId="8" xfId="0" applyFont="1" applyFill="1" applyBorder="1" applyAlignment="1">
      <alignment horizontal="center"/>
    </xf>
    <xf numFmtId="176" fontId="10" fillId="3" borderId="8" xfId="0" applyNumberFormat="1" applyFont="1" applyFill="1" applyBorder="1"/>
    <xf numFmtId="177" fontId="10" fillId="3" borderId="8" xfId="0" applyNumberFormat="1" applyFont="1" applyFill="1" applyBorder="1"/>
    <xf numFmtId="0" fontId="10" fillId="4" borderId="8" xfId="0" applyFont="1" applyFill="1" applyBorder="1"/>
    <xf numFmtId="0" fontId="15" fillId="4" borderId="8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76" fontId="10" fillId="3" borderId="16" xfId="0" applyNumberFormat="1" applyFont="1" applyFill="1" applyBorder="1"/>
    <xf numFmtId="0" fontId="10" fillId="3" borderId="16" xfId="0" applyFont="1" applyFill="1" applyBorder="1"/>
    <xf numFmtId="176" fontId="10" fillId="4" borderId="16" xfId="0" applyNumberFormat="1" applyFont="1" applyFill="1" applyBorder="1"/>
    <xf numFmtId="0" fontId="16" fillId="5" borderId="0" xfId="0" applyFont="1" applyFill="1"/>
    <xf numFmtId="0" fontId="4" fillId="4" borderId="1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2" fillId="4" borderId="6" xfId="0" applyFont="1" applyFill="1" applyBorder="1" applyAlignment="1">
      <alignment horizontal="center" vertical="center"/>
    </xf>
    <xf numFmtId="177" fontId="12" fillId="4" borderId="1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76" fontId="10" fillId="4" borderId="2" xfId="0" applyNumberFormat="1" applyFont="1" applyFill="1" applyBorder="1"/>
    <xf numFmtId="177" fontId="10" fillId="4" borderId="11" xfId="0" applyNumberFormat="1" applyFont="1" applyFill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horizontal="center"/>
    </xf>
    <xf numFmtId="176" fontId="10" fillId="4" borderId="8" xfId="0" applyNumberFormat="1" applyFont="1" applyFill="1" applyBorder="1"/>
    <xf numFmtId="2" fontId="10" fillId="0" borderId="0" xfId="0" applyNumberFormat="1" applyFont="1" applyAlignment="1">
      <alignment wrapText="1"/>
    </xf>
    <xf numFmtId="2" fontId="9" fillId="0" borderId="0" xfId="0" applyNumberFormat="1" applyFont="1" applyAlignment="1">
      <alignment wrapText="1"/>
    </xf>
    <xf numFmtId="0" fontId="9" fillId="0" borderId="0" xfId="0" applyFont="1" applyAlignment="1">
      <alignment horizontal="center" wrapText="1"/>
    </xf>
    <xf numFmtId="177" fontId="10" fillId="4" borderId="12" xfId="0" applyNumberFormat="1" applyFont="1" applyFill="1" applyBorder="1"/>
    <xf numFmtId="0" fontId="10" fillId="0" borderId="0" xfId="0" applyFont="1" applyFill="1" applyAlignment="1">
      <alignment horizontal="center"/>
    </xf>
    <xf numFmtId="176" fontId="10" fillId="4" borderId="20" xfId="0" applyNumberFormat="1" applyFont="1" applyFill="1" applyBorder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wrapText="1"/>
    </xf>
    <xf numFmtId="178" fontId="9" fillId="0" borderId="0" xfId="0" applyNumberFormat="1" applyFont="1"/>
    <xf numFmtId="178" fontId="9" fillId="0" borderId="0" xfId="0" applyNumberFormat="1" applyFont="1" applyAlignment="1">
      <alignment wrapText="1"/>
    </xf>
    <xf numFmtId="0" fontId="10" fillId="5" borderId="0" xfId="0" applyFont="1" applyFill="1"/>
    <xf numFmtId="0" fontId="7" fillId="0" borderId="0" xfId="0" applyFont="1"/>
    <xf numFmtId="179" fontId="7" fillId="0" borderId="0" xfId="0" applyNumberFormat="1" applyFont="1"/>
    <xf numFmtId="0" fontId="4" fillId="0" borderId="21" xfId="0" applyFont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79" fontId="4" fillId="3" borderId="22" xfId="0" applyNumberFormat="1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2" fontId="7" fillId="6" borderId="2" xfId="0" applyNumberFormat="1" applyFont="1" applyFill="1" applyBorder="1"/>
    <xf numFmtId="2" fontId="7" fillId="3" borderId="2" xfId="0" applyNumberFormat="1" applyFont="1" applyFill="1" applyBorder="1"/>
    <xf numFmtId="2" fontId="7" fillId="4" borderId="2" xfId="0" applyNumberFormat="1" applyFont="1" applyFill="1" applyBorder="1"/>
    <xf numFmtId="2" fontId="7" fillId="0" borderId="2" xfId="0" applyNumberFormat="1" applyFont="1" applyBorder="1"/>
    <xf numFmtId="0" fontId="7" fillId="0" borderId="7" xfId="0" applyFont="1" applyBorder="1" applyAlignment="1">
      <alignment horizontal="center"/>
    </xf>
    <xf numFmtId="2" fontId="7" fillId="6" borderId="8" xfId="0" applyNumberFormat="1" applyFont="1" applyFill="1" applyBorder="1"/>
    <xf numFmtId="2" fontId="7" fillId="3" borderId="8" xfId="0" applyNumberFormat="1" applyFont="1" applyFill="1" applyBorder="1"/>
    <xf numFmtId="2" fontId="7" fillId="4" borderId="8" xfId="0" applyNumberFormat="1" applyFont="1" applyFill="1" applyBorder="1"/>
    <xf numFmtId="2" fontId="7" fillId="0" borderId="8" xfId="0" applyNumberFormat="1" applyFont="1" applyBorder="1"/>
    <xf numFmtId="0" fontId="7" fillId="0" borderId="5" xfId="0" applyFont="1" applyBorder="1" applyAlignment="1">
      <alignment horizontal="center"/>
    </xf>
    <xf numFmtId="2" fontId="7" fillId="6" borderId="6" xfId="0" applyNumberFormat="1" applyFont="1" applyFill="1" applyBorder="1"/>
    <xf numFmtId="2" fontId="7" fillId="3" borderId="6" xfId="0" applyNumberFormat="1" applyFont="1" applyFill="1" applyBorder="1"/>
    <xf numFmtId="2" fontId="7" fillId="4" borderId="6" xfId="0" applyNumberFormat="1" applyFont="1" applyFill="1" applyBorder="1"/>
    <xf numFmtId="2" fontId="7" fillId="0" borderId="6" xfId="0" applyNumberFormat="1" applyFont="1" applyBorder="1"/>
    <xf numFmtId="180" fontId="7" fillId="0" borderId="0" xfId="0" applyNumberFormat="1" applyFont="1"/>
    <xf numFmtId="0" fontId="4" fillId="0" borderId="23" xfId="0" applyFont="1" applyBorder="1" applyAlignment="1">
      <alignment horizontal="center" vertical="center" wrapText="1"/>
    </xf>
    <xf numFmtId="2" fontId="7" fillId="0" borderId="11" xfId="0" applyNumberFormat="1" applyFont="1" applyBorder="1"/>
    <xf numFmtId="2" fontId="7" fillId="0" borderId="12" xfId="0" applyNumberFormat="1" applyFont="1" applyBorder="1"/>
    <xf numFmtId="2" fontId="7" fillId="0" borderId="10" xfId="0" applyNumberFormat="1" applyFont="1" applyBorder="1"/>
    <xf numFmtId="0" fontId="17" fillId="0" borderId="0" xfId="0" applyFont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2" fontId="9" fillId="0" borderId="18" xfId="0" applyNumberFormat="1" applyFont="1" applyBorder="1" applyAlignment="1">
      <alignment horizontal="right"/>
    </xf>
    <xf numFmtId="10" fontId="9" fillId="0" borderId="18" xfId="0" applyNumberFormat="1" applyFont="1" applyBorder="1"/>
    <xf numFmtId="2" fontId="9" fillId="0" borderId="18" xfId="0" applyNumberFormat="1" applyFont="1" applyBorder="1"/>
    <xf numFmtId="176" fontId="9" fillId="0" borderId="18" xfId="0" applyNumberFormat="1" applyFont="1" applyBorder="1"/>
    <xf numFmtId="2" fontId="9" fillId="0" borderId="19" xfId="0" applyNumberFormat="1" applyFont="1" applyBorder="1" applyAlignment="1">
      <alignment wrapText="1"/>
    </xf>
    <xf numFmtId="0" fontId="9" fillId="0" borderId="7" xfId="0" applyFont="1" applyBorder="1" applyAlignment="1">
      <alignment horizontal="center"/>
    </xf>
    <xf numFmtId="2" fontId="9" fillId="0" borderId="8" xfId="0" applyNumberFormat="1" applyFont="1" applyBorder="1" applyAlignment="1">
      <alignment horizontal="right"/>
    </xf>
    <xf numFmtId="10" fontId="9" fillId="0" borderId="8" xfId="0" applyNumberFormat="1" applyFont="1" applyBorder="1"/>
    <xf numFmtId="2" fontId="9" fillId="0" borderId="8" xfId="0" applyNumberFormat="1" applyFont="1" applyBorder="1"/>
    <xf numFmtId="176" fontId="9" fillId="0" borderId="8" xfId="0" applyNumberFormat="1" applyFont="1" applyBorder="1"/>
    <xf numFmtId="2" fontId="9" fillId="0" borderId="12" xfId="0" applyNumberFormat="1" applyFont="1" applyBorder="1" applyAlignment="1">
      <alignment wrapText="1"/>
    </xf>
    <xf numFmtId="0" fontId="9" fillId="0" borderId="5" xfId="0" applyFont="1" applyBorder="1" applyAlignment="1">
      <alignment horizontal="center"/>
    </xf>
    <xf numFmtId="2" fontId="9" fillId="0" borderId="6" xfId="0" applyNumberFormat="1" applyFont="1" applyBorder="1" applyAlignment="1">
      <alignment horizontal="right"/>
    </xf>
    <xf numFmtId="10" fontId="9" fillId="0" borderId="6" xfId="0" applyNumberFormat="1" applyFont="1" applyBorder="1"/>
    <xf numFmtId="2" fontId="9" fillId="0" borderId="6" xfId="0" applyNumberFormat="1" applyFont="1" applyBorder="1"/>
    <xf numFmtId="176" fontId="9" fillId="0" borderId="6" xfId="0" applyNumberFormat="1" applyFont="1" applyBorder="1"/>
    <xf numFmtId="2" fontId="9" fillId="0" borderId="10" xfId="0" applyNumberFormat="1" applyFont="1" applyBorder="1" applyAlignment="1">
      <alignment wrapText="1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6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176" fontId="9" fillId="4" borderId="8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2" fillId="5" borderId="24" xfId="0" applyFont="1" applyFill="1" applyBorder="1" applyAlignment="1">
      <alignment horizontal="center" vertical="center" wrapText="1"/>
    </xf>
    <xf numFmtId="0" fontId="22" fillId="5" borderId="25" xfId="0" applyFont="1" applyFill="1" applyBorder="1" applyAlignment="1">
      <alignment horizontal="center" vertical="center" wrapText="1"/>
    </xf>
    <xf numFmtId="0" fontId="22" fillId="5" borderId="26" xfId="0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center" vertical="center" wrapText="1"/>
    </xf>
    <xf numFmtId="176" fontId="9" fillId="6" borderId="8" xfId="0" applyNumberFormat="1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2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6" Type="http://schemas.openxmlformats.org/officeDocument/2006/relationships/worksheet" Target="worksheets/sheet6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zoomScale="70" zoomScaleNormal="70" workbookViewId="0">
      <selection activeCell="Q36" sqref="Q36"/>
    </sheetView>
  </sheetViews>
  <sheetFormatPr defaultColWidth="9" defaultRowHeight="14.25"/>
  <cols>
    <col min="1" max="1" width="9.625" customWidth="1"/>
    <col min="2" max="2" width="17.05" style="205" customWidth="1"/>
    <col min="3" max="3" width="18.8666666666667" style="205" customWidth="1"/>
    <col min="4" max="4" width="22.4916666666667" style="206" customWidth="1"/>
    <col min="5" max="5" width="23.125" style="206" customWidth="1"/>
    <col min="6" max="6" width="25.625" style="206" customWidth="1"/>
    <col min="7" max="7" width="27.625" style="206" customWidth="1"/>
    <col min="8" max="8" width="20.25" style="206" customWidth="1"/>
    <col min="9" max="9" width="24.5" style="206" customWidth="1"/>
    <col min="10" max="10" width="26.875" style="207" customWidth="1"/>
    <col min="11" max="11" width="14.125" style="207" customWidth="1"/>
    <col min="12" max="12" width="14.0833333333333" style="207" customWidth="1"/>
    <col min="13" max="13" width="13.375" style="208" customWidth="1"/>
    <col min="14" max="14" width="16.325" customWidth="1"/>
    <col min="15" max="15" width="19.0833333333333" customWidth="1"/>
  </cols>
  <sheetData>
    <row r="1" s="153" customFormat="1" ht="16.5" spans="1:15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</row>
    <row r="2" spans="1:15">
      <c r="A2" s="210" t="s">
        <v>1</v>
      </c>
      <c r="B2" s="211" t="s">
        <v>2</v>
      </c>
      <c r="C2" s="211" t="s">
        <v>3</v>
      </c>
      <c r="D2" s="211" t="s">
        <v>4</v>
      </c>
      <c r="E2" s="212" t="s">
        <v>5</v>
      </c>
      <c r="F2" s="212"/>
      <c r="G2" s="212"/>
      <c r="H2" s="212"/>
      <c r="I2" s="212"/>
      <c r="J2" s="212"/>
      <c r="K2" s="212" t="s">
        <v>6</v>
      </c>
      <c r="L2" s="212"/>
      <c r="M2" s="212"/>
      <c r="N2" s="212"/>
      <c r="O2" s="234"/>
    </row>
    <row r="3" spans="1:15">
      <c r="A3" s="213"/>
      <c r="B3" s="214"/>
      <c r="C3" s="214"/>
      <c r="D3" s="214"/>
      <c r="E3" s="215" t="s">
        <v>7</v>
      </c>
      <c r="F3" s="215" t="s">
        <v>8</v>
      </c>
      <c r="G3" s="215" t="s">
        <v>9</v>
      </c>
      <c r="H3" s="215" t="s">
        <v>10</v>
      </c>
      <c r="I3" s="215"/>
      <c r="J3" s="215" t="s">
        <v>11</v>
      </c>
      <c r="K3" s="215" t="s">
        <v>12</v>
      </c>
      <c r="L3" s="215" t="s">
        <v>13</v>
      </c>
      <c r="M3" s="215" t="s">
        <v>14</v>
      </c>
      <c r="N3" s="215" t="s">
        <v>15</v>
      </c>
      <c r="O3" s="235" t="s">
        <v>16</v>
      </c>
    </row>
    <row r="4" ht="27" customHeight="1" spans="1:15">
      <c r="A4" s="213"/>
      <c r="B4" s="214"/>
      <c r="C4" s="214"/>
      <c r="D4" s="214"/>
      <c r="E4" s="215"/>
      <c r="F4" s="215"/>
      <c r="G4" s="215"/>
      <c r="H4" s="215" t="s">
        <v>17</v>
      </c>
      <c r="I4" s="215" t="s">
        <v>18</v>
      </c>
      <c r="J4" s="215"/>
      <c r="K4" s="215"/>
      <c r="L4" s="215"/>
      <c r="M4" s="215"/>
      <c r="N4" s="215"/>
      <c r="O4" s="235"/>
    </row>
    <row r="5" ht="29.25" spans="1:15">
      <c r="A5" s="216" t="s">
        <v>19</v>
      </c>
      <c r="B5" s="217" t="s">
        <v>20</v>
      </c>
      <c r="C5" s="217" t="s">
        <v>21</v>
      </c>
      <c r="D5" s="217" t="s">
        <v>22</v>
      </c>
      <c r="E5" s="217" t="s">
        <v>23</v>
      </c>
      <c r="F5" s="217" t="s">
        <v>24</v>
      </c>
      <c r="G5" s="218" t="s">
        <v>25</v>
      </c>
      <c r="H5" s="217" t="s">
        <v>26</v>
      </c>
      <c r="I5" s="236" t="s">
        <v>27</v>
      </c>
      <c r="J5" s="237" t="s">
        <v>28</v>
      </c>
      <c r="K5" s="237" t="s">
        <v>29</v>
      </c>
      <c r="L5" s="217" t="s">
        <v>30</v>
      </c>
      <c r="M5" s="217" t="s">
        <v>31</v>
      </c>
      <c r="N5" s="217" t="s">
        <v>32</v>
      </c>
      <c r="O5" s="238" t="s">
        <v>33</v>
      </c>
    </row>
    <row r="6" ht="29.25" spans="1:15">
      <c r="A6" s="216"/>
      <c r="B6" s="217" t="s">
        <v>34</v>
      </c>
      <c r="C6" s="217" t="s">
        <v>35</v>
      </c>
      <c r="D6" s="217" t="s">
        <v>36</v>
      </c>
      <c r="E6" s="217" t="s">
        <v>37</v>
      </c>
      <c r="F6" s="217" t="s">
        <v>38</v>
      </c>
      <c r="G6" s="217"/>
      <c r="H6" s="217" t="s">
        <v>39</v>
      </c>
      <c r="I6" s="217"/>
      <c r="J6" s="237"/>
      <c r="K6" s="237" t="s">
        <v>40</v>
      </c>
      <c r="L6" s="217"/>
      <c r="M6" s="217" t="s">
        <v>41</v>
      </c>
      <c r="N6" s="217" t="s">
        <v>42</v>
      </c>
      <c r="O6" s="238"/>
    </row>
    <row r="7" ht="16.5" spans="1:15">
      <c r="A7" s="216"/>
      <c r="B7" s="217" t="s">
        <v>43</v>
      </c>
      <c r="C7" s="217" t="s">
        <v>44</v>
      </c>
      <c r="D7" s="217" t="s">
        <v>45</v>
      </c>
      <c r="E7" s="217" t="s">
        <v>46</v>
      </c>
      <c r="F7" s="217" t="s">
        <v>24</v>
      </c>
      <c r="G7" s="217"/>
      <c r="H7" s="217" t="s">
        <v>47</v>
      </c>
      <c r="I7" s="217"/>
      <c r="J7" s="237"/>
      <c r="K7" s="237" t="s">
        <v>48</v>
      </c>
      <c r="L7" s="217"/>
      <c r="M7" s="217" t="s">
        <v>49</v>
      </c>
      <c r="N7" s="217" t="s">
        <v>47</v>
      </c>
      <c r="O7" s="238"/>
    </row>
    <row r="8" ht="16.5" spans="1:15">
      <c r="A8" s="216"/>
      <c r="B8" s="217" t="s">
        <v>50</v>
      </c>
      <c r="C8" s="217" t="s">
        <v>51</v>
      </c>
      <c r="D8" s="217" t="s">
        <v>52</v>
      </c>
      <c r="E8" s="217" t="s">
        <v>37</v>
      </c>
      <c r="F8" s="217"/>
      <c r="G8" s="217"/>
      <c r="H8" s="217" t="s">
        <v>53</v>
      </c>
      <c r="I8" s="217"/>
      <c r="J8" s="237"/>
      <c r="K8" s="217" t="s">
        <v>54</v>
      </c>
      <c r="L8" s="217"/>
      <c r="M8" s="217" t="s">
        <v>55</v>
      </c>
      <c r="N8" s="217" t="s">
        <v>56</v>
      </c>
      <c r="O8" s="238"/>
    </row>
    <row r="9" ht="16.5" spans="1:15">
      <c r="A9" s="216"/>
      <c r="B9" s="217"/>
      <c r="C9" s="217" t="s">
        <v>57</v>
      </c>
      <c r="D9" s="217" t="s">
        <v>58</v>
      </c>
      <c r="E9" s="217" t="s">
        <v>59</v>
      </c>
      <c r="F9" s="217"/>
      <c r="G9" s="217"/>
      <c r="H9" s="217" t="s">
        <v>60</v>
      </c>
      <c r="I9" s="217"/>
      <c r="J9" s="237"/>
      <c r="K9" s="217" t="s">
        <v>61</v>
      </c>
      <c r="L9" s="217"/>
      <c r="M9" s="217"/>
      <c r="N9" s="217" t="s">
        <v>62</v>
      </c>
      <c r="O9" s="238"/>
    </row>
    <row r="10" ht="16.5" spans="1:15">
      <c r="A10" s="216"/>
      <c r="B10" s="217"/>
      <c r="C10" s="217" t="s">
        <v>63</v>
      </c>
      <c r="D10" s="217" t="s">
        <v>64</v>
      </c>
      <c r="E10" s="217" t="s">
        <v>65</v>
      </c>
      <c r="F10" s="217"/>
      <c r="G10" s="217"/>
      <c r="H10" s="217" t="s">
        <v>66</v>
      </c>
      <c r="I10" s="217"/>
      <c r="J10" s="237"/>
      <c r="K10" s="217" t="s">
        <v>67</v>
      </c>
      <c r="L10" s="217"/>
      <c r="M10" s="217"/>
      <c r="N10" s="217" t="s">
        <v>68</v>
      </c>
      <c r="O10" s="238"/>
    </row>
    <row r="11" ht="25.5" spans="1:15">
      <c r="A11" s="216"/>
      <c r="B11" s="217" t="s">
        <v>69</v>
      </c>
      <c r="C11" s="217" t="s">
        <v>70</v>
      </c>
      <c r="D11" s="219" t="s">
        <v>71</v>
      </c>
      <c r="E11" s="217" t="s">
        <v>72</v>
      </c>
      <c r="F11" s="217"/>
      <c r="G11" s="217"/>
      <c r="H11" s="217" t="s">
        <v>47</v>
      </c>
      <c r="I11" s="217"/>
      <c r="J11" s="237"/>
      <c r="K11" s="217" t="s">
        <v>73</v>
      </c>
      <c r="L11" s="217"/>
      <c r="M11" s="217" t="s">
        <v>74</v>
      </c>
      <c r="N11" s="217" t="s">
        <v>47</v>
      </c>
      <c r="O11" s="238"/>
    </row>
    <row r="12" ht="16.5" spans="1:15">
      <c r="A12" s="216"/>
      <c r="B12" s="217"/>
      <c r="C12" s="217" t="s">
        <v>75</v>
      </c>
      <c r="D12" s="217" t="s">
        <v>76</v>
      </c>
      <c r="E12" s="217" t="s">
        <v>77</v>
      </c>
      <c r="F12" s="217"/>
      <c r="G12" s="217"/>
      <c r="H12" s="217" t="s">
        <v>78</v>
      </c>
      <c r="I12" s="217"/>
      <c r="J12" s="237"/>
      <c r="K12" s="217" t="s">
        <v>79</v>
      </c>
      <c r="L12" s="217"/>
      <c r="M12" s="217"/>
      <c r="N12" s="217" t="s">
        <v>80</v>
      </c>
      <c r="O12" s="238"/>
    </row>
    <row r="13" ht="16.5" spans="1:15">
      <c r="A13" s="216"/>
      <c r="B13" s="217" t="s">
        <v>81</v>
      </c>
      <c r="C13" s="217" t="s">
        <v>82</v>
      </c>
      <c r="D13" s="217" t="s">
        <v>83</v>
      </c>
      <c r="E13" s="217" t="s">
        <v>84</v>
      </c>
      <c r="F13" s="217"/>
      <c r="G13" s="217"/>
      <c r="H13" s="217" t="s">
        <v>85</v>
      </c>
      <c r="I13" s="217"/>
      <c r="J13" s="237"/>
      <c r="K13" s="217">
        <v>9617.38</v>
      </c>
      <c r="L13" s="217"/>
      <c r="M13" s="217" t="s">
        <v>86</v>
      </c>
      <c r="N13" s="217" t="s">
        <v>87</v>
      </c>
      <c r="O13" s="238"/>
    </row>
    <row r="14" ht="16.5" spans="1:15">
      <c r="A14" s="220" t="s">
        <v>88</v>
      </c>
      <c r="B14" s="221" t="s">
        <v>89</v>
      </c>
      <c r="C14" s="221" t="s">
        <v>90</v>
      </c>
      <c r="D14" s="222" t="s">
        <v>91</v>
      </c>
      <c r="E14" s="221" t="s">
        <v>92</v>
      </c>
      <c r="F14" s="221" t="s">
        <v>24</v>
      </c>
      <c r="G14" s="223" t="s">
        <v>25</v>
      </c>
      <c r="H14" s="221" t="s">
        <v>93</v>
      </c>
      <c r="I14" s="239" t="s">
        <v>94</v>
      </c>
      <c r="J14" s="221" t="s">
        <v>95</v>
      </c>
      <c r="K14" s="221" t="s">
        <v>96</v>
      </c>
      <c r="L14" s="221" t="s">
        <v>97</v>
      </c>
      <c r="M14" s="221" t="s">
        <v>98</v>
      </c>
      <c r="N14" s="221" t="s">
        <v>99</v>
      </c>
      <c r="O14" s="240" t="s">
        <v>100</v>
      </c>
    </row>
    <row r="15" ht="16.5" spans="1:15">
      <c r="A15" s="220"/>
      <c r="B15" s="221"/>
      <c r="C15" s="221" t="s">
        <v>101</v>
      </c>
      <c r="D15" s="222" t="s">
        <v>102</v>
      </c>
      <c r="E15" s="221" t="s">
        <v>103</v>
      </c>
      <c r="F15" s="221"/>
      <c r="G15" s="221"/>
      <c r="H15" s="221"/>
      <c r="I15" s="221"/>
      <c r="J15" s="221"/>
      <c r="K15" s="221"/>
      <c r="L15" s="221"/>
      <c r="M15" s="221"/>
      <c r="N15" s="221"/>
      <c r="O15" s="240"/>
    </row>
    <row r="16" ht="16.5" spans="1:15">
      <c r="A16" s="220"/>
      <c r="B16" s="221" t="s">
        <v>104</v>
      </c>
      <c r="C16" s="221" t="s">
        <v>105</v>
      </c>
      <c r="D16" s="222" t="s">
        <v>106</v>
      </c>
      <c r="E16" s="224" t="s">
        <v>107</v>
      </c>
      <c r="F16" s="221"/>
      <c r="G16" s="221"/>
      <c r="H16" s="221" t="s">
        <v>108</v>
      </c>
      <c r="I16" s="221"/>
      <c r="J16" s="221"/>
      <c r="K16" s="221" t="s">
        <v>109</v>
      </c>
      <c r="L16" s="221"/>
      <c r="M16" s="221" t="s">
        <v>110</v>
      </c>
      <c r="N16" s="221" t="s">
        <v>111</v>
      </c>
      <c r="O16" s="240"/>
    </row>
    <row r="17" ht="16.5" spans="1:15">
      <c r="A17" s="220"/>
      <c r="B17" s="221"/>
      <c r="C17" s="221" t="s">
        <v>112</v>
      </c>
      <c r="D17" s="221" t="s">
        <v>113</v>
      </c>
      <c r="E17" s="221" t="s">
        <v>114</v>
      </c>
      <c r="F17" s="221"/>
      <c r="G17" s="221"/>
      <c r="H17" s="221" t="s">
        <v>115</v>
      </c>
      <c r="I17" s="221"/>
      <c r="J17" s="221"/>
      <c r="K17" s="221" t="s">
        <v>116</v>
      </c>
      <c r="L17" s="221"/>
      <c r="M17" s="221" t="s">
        <v>117</v>
      </c>
      <c r="N17" s="221" t="s">
        <v>118</v>
      </c>
      <c r="O17" s="240"/>
    </row>
    <row r="18" ht="16.5" spans="1:15">
      <c r="A18" s="220"/>
      <c r="B18" s="221"/>
      <c r="C18" s="221" t="s">
        <v>119</v>
      </c>
      <c r="D18" s="222" t="s">
        <v>120</v>
      </c>
      <c r="E18" s="221" t="s">
        <v>103</v>
      </c>
      <c r="F18" s="221"/>
      <c r="G18" s="221"/>
      <c r="H18" s="221"/>
      <c r="I18" s="221"/>
      <c r="J18" s="221"/>
      <c r="K18" s="221"/>
      <c r="L18" s="221"/>
      <c r="M18" s="221"/>
      <c r="N18" s="221"/>
      <c r="O18" s="240"/>
    </row>
    <row r="19" ht="16.5" spans="1:15">
      <c r="A19" s="220"/>
      <c r="B19" s="221"/>
      <c r="C19" s="221" t="s">
        <v>121</v>
      </c>
      <c r="D19" s="222" t="s">
        <v>122</v>
      </c>
      <c r="E19" s="221" t="s">
        <v>123</v>
      </c>
      <c r="F19" s="221"/>
      <c r="G19" s="221"/>
      <c r="H19" s="221"/>
      <c r="I19" s="221"/>
      <c r="J19" s="221"/>
      <c r="K19" s="221"/>
      <c r="L19" s="221"/>
      <c r="M19" s="221"/>
      <c r="N19" s="221"/>
      <c r="O19" s="240"/>
    </row>
    <row r="20" ht="16.5" spans="1:15">
      <c r="A20" s="220"/>
      <c r="B20" s="221"/>
      <c r="C20" s="221" t="s">
        <v>124</v>
      </c>
      <c r="D20" s="222" t="s">
        <v>125</v>
      </c>
      <c r="E20" s="221" t="s">
        <v>126</v>
      </c>
      <c r="F20" s="221"/>
      <c r="G20" s="221"/>
      <c r="H20" s="221"/>
      <c r="I20" s="221"/>
      <c r="J20" s="221"/>
      <c r="K20" s="221"/>
      <c r="L20" s="221"/>
      <c r="M20" s="221"/>
      <c r="N20" s="221"/>
      <c r="O20" s="240"/>
    </row>
    <row r="21" ht="16.5" spans="1:15">
      <c r="A21" s="220"/>
      <c r="B21" s="221" t="s">
        <v>127</v>
      </c>
      <c r="C21" s="221" t="s">
        <v>121</v>
      </c>
      <c r="D21" s="222" t="s">
        <v>128</v>
      </c>
      <c r="E21" s="221" t="s">
        <v>123</v>
      </c>
      <c r="F21" s="221"/>
      <c r="G21" s="221"/>
      <c r="H21" s="221" t="s">
        <v>129</v>
      </c>
      <c r="I21" s="221"/>
      <c r="J21" s="221"/>
      <c r="K21" s="221" t="s">
        <v>130</v>
      </c>
      <c r="L21" s="221"/>
      <c r="M21" s="221" t="s">
        <v>131</v>
      </c>
      <c r="N21" s="221" t="s">
        <v>132</v>
      </c>
      <c r="O21" s="240"/>
    </row>
    <row r="22" ht="16.5" spans="1:15">
      <c r="A22" s="220"/>
      <c r="B22" s="221"/>
      <c r="C22" s="221" t="s">
        <v>124</v>
      </c>
      <c r="D22" s="222" t="s">
        <v>133</v>
      </c>
      <c r="E22" s="221" t="s">
        <v>126</v>
      </c>
      <c r="F22" s="221"/>
      <c r="G22" s="221"/>
      <c r="H22" s="221"/>
      <c r="I22" s="221"/>
      <c r="J22" s="221"/>
      <c r="K22" s="221"/>
      <c r="L22" s="221"/>
      <c r="M22" s="221"/>
      <c r="N22" s="221"/>
      <c r="O22" s="240"/>
    </row>
    <row r="23" ht="16.5" spans="1:15">
      <c r="A23" s="220"/>
      <c r="B23" s="221" t="s">
        <v>134</v>
      </c>
      <c r="C23" s="221" t="s">
        <v>135</v>
      </c>
      <c r="D23" s="222" t="s">
        <v>136</v>
      </c>
      <c r="E23" s="221" t="s">
        <v>137</v>
      </c>
      <c r="F23" s="221"/>
      <c r="G23" s="221"/>
      <c r="H23" s="221" t="s">
        <v>138</v>
      </c>
      <c r="I23" s="221"/>
      <c r="J23" s="221"/>
      <c r="K23" s="221" t="s">
        <v>139</v>
      </c>
      <c r="L23" s="221"/>
      <c r="M23" s="221" t="s">
        <v>140</v>
      </c>
      <c r="N23" s="221" t="s">
        <v>87</v>
      </c>
      <c r="O23" s="240"/>
    </row>
    <row r="24" ht="16.5" spans="1:15">
      <c r="A24" s="225" t="s">
        <v>141</v>
      </c>
      <c r="B24" s="226" t="s">
        <v>89</v>
      </c>
      <c r="C24" s="226" t="s">
        <v>90</v>
      </c>
      <c r="D24" s="227" t="s">
        <v>91</v>
      </c>
      <c r="E24" s="226" t="s">
        <v>92</v>
      </c>
      <c r="F24" s="226" t="s">
        <v>24</v>
      </c>
      <c r="G24" s="228" t="s">
        <v>25</v>
      </c>
      <c r="H24" s="226" t="s">
        <v>93</v>
      </c>
      <c r="I24" s="241" t="s">
        <v>142</v>
      </c>
      <c r="J24" s="226" t="s">
        <v>143</v>
      </c>
      <c r="K24" s="226" t="s">
        <v>96</v>
      </c>
      <c r="L24" s="226" t="s">
        <v>30</v>
      </c>
      <c r="M24" s="226" t="s">
        <v>98</v>
      </c>
      <c r="N24" s="226" t="s">
        <v>99</v>
      </c>
      <c r="O24" s="242" t="s">
        <v>144</v>
      </c>
    </row>
    <row r="25" ht="16.5" spans="1:15">
      <c r="A25" s="225"/>
      <c r="B25" s="226"/>
      <c r="C25" s="226" t="s">
        <v>101</v>
      </c>
      <c r="D25" s="227" t="s">
        <v>102</v>
      </c>
      <c r="E25" s="226" t="s">
        <v>145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42"/>
    </row>
    <row r="26" ht="16.5" spans="1:15">
      <c r="A26" s="225"/>
      <c r="B26" s="226" t="s">
        <v>104</v>
      </c>
      <c r="C26" s="226" t="s">
        <v>146</v>
      </c>
      <c r="D26" s="227" t="s">
        <v>147</v>
      </c>
      <c r="E26" s="226" t="s">
        <v>148</v>
      </c>
      <c r="F26" s="226"/>
      <c r="G26" s="226"/>
      <c r="H26" s="226" t="s">
        <v>149</v>
      </c>
      <c r="I26" s="226"/>
      <c r="J26" s="226"/>
      <c r="K26" s="226" t="s">
        <v>150</v>
      </c>
      <c r="L26" s="226"/>
      <c r="M26" s="226" t="s">
        <v>151</v>
      </c>
      <c r="N26" s="226" t="s">
        <v>152</v>
      </c>
      <c r="O26" s="242"/>
    </row>
    <row r="27" ht="16.5" spans="1:15">
      <c r="A27" s="225"/>
      <c r="B27" s="226"/>
      <c r="C27" s="226" t="s">
        <v>153</v>
      </c>
      <c r="D27" s="227" t="s">
        <v>154</v>
      </c>
      <c r="E27" s="226" t="s">
        <v>155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42"/>
    </row>
    <row r="28" ht="16.5" spans="1:15">
      <c r="A28" s="225"/>
      <c r="B28" s="226"/>
      <c r="C28" s="226" t="s">
        <v>156</v>
      </c>
      <c r="D28" s="227" t="s">
        <v>157</v>
      </c>
      <c r="E28" s="226" t="s">
        <v>158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42"/>
    </row>
    <row r="29" ht="16.5" spans="1:15">
      <c r="A29" s="225"/>
      <c r="B29" s="226"/>
      <c r="C29" s="226" t="s">
        <v>159</v>
      </c>
      <c r="D29" s="227" t="s">
        <v>160</v>
      </c>
      <c r="E29" s="226" t="s">
        <v>161</v>
      </c>
      <c r="F29" s="226"/>
      <c r="G29" s="226"/>
      <c r="H29" s="226"/>
      <c r="I29" s="226"/>
      <c r="J29" s="226"/>
      <c r="K29" s="226"/>
      <c r="L29" s="226"/>
      <c r="M29" s="226"/>
      <c r="N29" s="226"/>
      <c r="O29" s="242"/>
    </row>
    <row r="30" ht="16.5" spans="1:15">
      <c r="A30" s="225"/>
      <c r="B30" s="226"/>
      <c r="C30" s="226" t="s">
        <v>162</v>
      </c>
      <c r="D30" s="227" t="s">
        <v>163</v>
      </c>
      <c r="E30" s="226" t="s">
        <v>164</v>
      </c>
      <c r="F30" s="226"/>
      <c r="G30" s="226"/>
      <c r="H30" s="226"/>
      <c r="I30" s="226"/>
      <c r="J30" s="226"/>
      <c r="K30" s="226"/>
      <c r="L30" s="226"/>
      <c r="M30" s="226"/>
      <c r="N30" s="226"/>
      <c r="O30" s="242"/>
    </row>
    <row r="31" ht="16.5" spans="1:15">
      <c r="A31" s="225"/>
      <c r="B31" s="226"/>
      <c r="C31" s="226" t="s">
        <v>165</v>
      </c>
      <c r="D31" s="227" t="s">
        <v>166</v>
      </c>
      <c r="E31" s="226" t="s">
        <v>167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42"/>
    </row>
    <row r="32" ht="16.5" spans="1:15">
      <c r="A32" s="225"/>
      <c r="B32" s="226"/>
      <c r="C32" s="226" t="s">
        <v>168</v>
      </c>
      <c r="D32" s="227" t="s">
        <v>154</v>
      </c>
      <c r="E32" s="226" t="s">
        <v>169</v>
      </c>
      <c r="F32" s="226"/>
      <c r="G32" s="226"/>
      <c r="H32" s="226"/>
      <c r="I32" s="226"/>
      <c r="J32" s="226"/>
      <c r="K32" s="226"/>
      <c r="L32" s="226"/>
      <c r="M32" s="226"/>
      <c r="N32" s="226"/>
      <c r="O32" s="242"/>
    </row>
    <row r="33" ht="16.5" spans="1:15">
      <c r="A33" s="225"/>
      <c r="B33" s="226" t="s">
        <v>127</v>
      </c>
      <c r="C33" s="226" t="s">
        <v>153</v>
      </c>
      <c r="D33" s="227" t="s">
        <v>170</v>
      </c>
      <c r="E33" s="226" t="s">
        <v>155</v>
      </c>
      <c r="F33" s="226"/>
      <c r="G33" s="226"/>
      <c r="H33" s="226" t="s">
        <v>171</v>
      </c>
      <c r="I33" s="226"/>
      <c r="J33" s="226"/>
      <c r="K33" s="226" t="s">
        <v>172</v>
      </c>
      <c r="L33" s="226"/>
      <c r="M33" s="226" t="s">
        <v>173</v>
      </c>
      <c r="N33" s="226" t="s">
        <v>174</v>
      </c>
      <c r="O33" s="242"/>
    </row>
    <row r="34" ht="16.5" spans="1:15">
      <c r="A34" s="225"/>
      <c r="B34" s="226"/>
      <c r="C34" s="226" t="s">
        <v>175</v>
      </c>
      <c r="D34" s="227" t="s">
        <v>176</v>
      </c>
      <c r="E34" s="226" t="s">
        <v>177</v>
      </c>
      <c r="F34" s="226"/>
      <c r="G34" s="226"/>
      <c r="H34" s="226"/>
      <c r="I34" s="226"/>
      <c r="J34" s="226"/>
      <c r="K34" s="226"/>
      <c r="L34" s="226"/>
      <c r="M34" s="226"/>
      <c r="N34" s="226"/>
      <c r="O34" s="242"/>
    </row>
    <row r="35" ht="16.5" spans="1:15">
      <c r="A35" s="225"/>
      <c r="B35" s="226" t="s">
        <v>134</v>
      </c>
      <c r="C35" s="226" t="s">
        <v>135</v>
      </c>
      <c r="D35" s="227" t="s">
        <v>136</v>
      </c>
      <c r="E35" s="226" t="s">
        <v>137</v>
      </c>
      <c r="F35" s="226"/>
      <c r="G35" s="226"/>
      <c r="H35" s="226" t="s">
        <v>138</v>
      </c>
      <c r="I35" s="226"/>
      <c r="J35" s="226"/>
      <c r="K35" s="226" t="s">
        <v>139</v>
      </c>
      <c r="L35" s="226"/>
      <c r="M35" s="226" t="s">
        <v>140</v>
      </c>
      <c r="N35" s="226" t="s">
        <v>87</v>
      </c>
      <c r="O35" s="242"/>
    </row>
    <row r="36" s="204" customFormat="1" ht="141" spans="1:15">
      <c r="A36" s="229" t="s">
        <v>178</v>
      </c>
      <c r="B36" s="230"/>
      <c r="C36" s="231"/>
      <c r="D36" s="232" t="s">
        <v>179</v>
      </c>
      <c r="E36" s="232" t="s">
        <v>180</v>
      </c>
      <c r="F36" s="232" t="s">
        <v>181</v>
      </c>
      <c r="G36" s="232" t="s">
        <v>180</v>
      </c>
      <c r="H36" s="233" t="s">
        <v>182</v>
      </c>
      <c r="I36" s="233" t="s">
        <v>182</v>
      </c>
      <c r="J36" s="232" t="s">
        <v>183</v>
      </c>
      <c r="K36" s="232" t="s">
        <v>184</v>
      </c>
      <c r="L36" s="232" t="s">
        <v>184</v>
      </c>
      <c r="M36" s="243" t="s">
        <v>185</v>
      </c>
      <c r="N36" s="243" t="s">
        <v>185</v>
      </c>
      <c r="O36" s="244" t="s">
        <v>184</v>
      </c>
    </row>
  </sheetData>
  <mergeCells count="73">
    <mergeCell ref="A1:O1"/>
    <mergeCell ref="E2:J2"/>
    <mergeCell ref="K2:O2"/>
    <mergeCell ref="H3:I3"/>
    <mergeCell ref="A36:C36"/>
    <mergeCell ref="A2:A4"/>
    <mergeCell ref="A5:A13"/>
    <mergeCell ref="A14:A23"/>
    <mergeCell ref="A24:A35"/>
    <mergeCell ref="B2:B4"/>
    <mergeCell ref="B8:B10"/>
    <mergeCell ref="B11:B12"/>
    <mergeCell ref="B14:B15"/>
    <mergeCell ref="B16:B20"/>
    <mergeCell ref="B21:B22"/>
    <mergeCell ref="B24:B25"/>
    <mergeCell ref="B26:B32"/>
    <mergeCell ref="B33:B34"/>
    <mergeCell ref="C2:C4"/>
    <mergeCell ref="D2:D4"/>
    <mergeCell ref="E3:E4"/>
    <mergeCell ref="F3:F4"/>
    <mergeCell ref="F7:F13"/>
    <mergeCell ref="F14:F23"/>
    <mergeCell ref="F24:F35"/>
    <mergeCell ref="G3:G4"/>
    <mergeCell ref="G5:G13"/>
    <mergeCell ref="G14:G23"/>
    <mergeCell ref="G24:G35"/>
    <mergeCell ref="H14:H15"/>
    <mergeCell ref="H17:H20"/>
    <mergeCell ref="H21:H22"/>
    <mergeCell ref="H24:H25"/>
    <mergeCell ref="H26:H32"/>
    <mergeCell ref="H33:H34"/>
    <mergeCell ref="I5:I13"/>
    <mergeCell ref="I14:I23"/>
    <mergeCell ref="I24:I35"/>
    <mergeCell ref="J3:J4"/>
    <mergeCell ref="J5:J13"/>
    <mergeCell ref="J14:J23"/>
    <mergeCell ref="J24:J35"/>
    <mergeCell ref="K3:K4"/>
    <mergeCell ref="K14:K15"/>
    <mergeCell ref="K17:K20"/>
    <mergeCell ref="K21:K22"/>
    <mergeCell ref="K24:K25"/>
    <mergeCell ref="K26:K32"/>
    <mergeCell ref="K33:K34"/>
    <mergeCell ref="L3:L4"/>
    <mergeCell ref="L5:L13"/>
    <mergeCell ref="L14:L23"/>
    <mergeCell ref="L24:L35"/>
    <mergeCell ref="M3:M4"/>
    <mergeCell ref="M8:M10"/>
    <mergeCell ref="M11:M12"/>
    <mergeCell ref="M14:M15"/>
    <mergeCell ref="M17:M20"/>
    <mergeCell ref="M21:M22"/>
    <mergeCell ref="M24:M25"/>
    <mergeCell ref="M26:M32"/>
    <mergeCell ref="M33:M34"/>
    <mergeCell ref="N3:N4"/>
    <mergeCell ref="N14:N15"/>
    <mergeCell ref="N17:N20"/>
    <mergeCell ref="N21:N22"/>
    <mergeCell ref="N24:N25"/>
    <mergeCell ref="N26:N32"/>
    <mergeCell ref="N33:N34"/>
    <mergeCell ref="O3:O4"/>
    <mergeCell ref="O5:O13"/>
    <mergeCell ref="O14:O23"/>
    <mergeCell ref="O24:O35"/>
  </mergeCells>
  <pageMargins left="0.196527777777778" right="0" top="0" bottom="0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selection activeCell="A1" sqref="A1:F1"/>
    </sheetView>
  </sheetViews>
  <sheetFormatPr defaultColWidth="9" defaultRowHeight="12.75" outlineLevelCol="5"/>
  <cols>
    <col min="1" max="1" width="4.625" style="40" customWidth="1"/>
    <col min="2" max="2" width="22.35" style="147" customWidth="1"/>
    <col min="3" max="3" width="17.7916666666667" style="40" customWidth="1"/>
    <col min="4" max="4" width="19.1166666666667" style="40" customWidth="1"/>
    <col min="5" max="5" width="20.7333333333333" style="40" customWidth="1"/>
    <col min="6" max="6" width="19.35" style="92" customWidth="1"/>
    <col min="7" max="16384" width="9" style="40"/>
  </cols>
  <sheetData>
    <row r="1" ht="13" customHeight="1" spans="1:6">
      <c r="A1" s="5" t="s">
        <v>186</v>
      </c>
      <c r="B1" s="6"/>
      <c r="C1" s="6"/>
      <c r="D1" s="6"/>
      <c r="E1" s="6"/>
      <c r="F1" s="6"/>
    </row>
    <row r="2" ht="14" customHeight="1" spans="1:6">
      <c r="A2" s="182" t="s">
        <v>187</v>
      </c>
      <c r="B2" s="183" t="s">
        <v>188</v>
      </c>
      <c r="C2" s="184" t="s">
        <v>189</v>
      </c>
      <c r="D2" s="184" t="s">
        <v>190</v>
      </c>
      <c r="E2" s="184" t="s">
        <v>191</v>
      </c>
      <c r="F2" s="185" t="s">
        <v>192</v>
      </c>
    </row>
    <row r="3" spans="1:6">
      <c r="A3" s="186">
        <v>2020</v>
      </c>
      <c r="B3" s="187">
        <v>101.5986</v>
      </c>
      <c r="C3" s="188">
        <v>0.016</v>
      </c>
      <c r="D3" s="189">
        <f t="shared" ref="D3:D53" si="0">B3*C3</f>
        <v>1.6255776</v>
      </c>
      <c r="E3" s="190">
        <v>9</v>
      </c>
      <c r="F3" s="191">
        <f t="shared" ref="F3:F53" si="1">D3/E3</f>
        <v>0.180619733333333</v>
      </c>
    </row>
    <row r="4" spans="1:6">
      <c r="A4" s="192">
        <v>2021</v>
      </c>
      <c r="B4" s="193">
        <v>114.367</v>
      </c>
      <c r="C4" s="194">
        <v>0.0159</v>
      </c>
      <c r="D4" s="195">
        <f t="shared" si="0"/>
        <v>1.8184353</v>
      </c>
      <c r="E4" s="196">
        <f t="shared" ref="E4:E12" si="2">E3+0.25</f>
        <v>9.25</v>
      </c>
      <c r="F4" s="197">
        <f t="shared" si="1"/>
        <v>0.1965876</v>
      </c>
    </row>
    <row r="5" spans="1:6">
      <c r="A5" s="192">
        <v>2022</v>
      </c>
      <c r="B5" s="193">
        <v>121.0207</v>
      </c>
      <c r="C5" s="194">
        <v>0.0158</v>
      </c>
      <c r="D5" s="195">
        <f t="shared" si="0"/>
        <v>1.91212706</v>
      </c>
      <c r="E5" s="196">
        <f t="shared" si="2"/>
        <v>9.5</v>
      </c>
      <c r="F5" s="197">
        <f t="shared" si="1"/>
        <v>0.201276532631579</v>
      </c>
    </row>
    <row r="6" spans="1:6">
      <c r="A6" s="192">
        <v>2023</v>
      </c>
      <c r="B6" s="193">
        <v>127.4</v>
      </c>
      <c r="C6" s="194">
        <v>0.0157</v>
      </c>
      <c r="D6" s="195">
        <f t="shared" si="0"/>
        <v>2.00018</v>
      </c>
      <c r="E6" s="196">
        <f t="shared" si="2"/>
        <v>9.75</v>
      </c>
      <c r="F6" s="197">
        <f t="shared" si="1"/>
        <v>0.205146666666667</v>
      </c>
    </row>
    <row r="7" spans="1:6">
      <c r="A7" s="192">
        <v>2024</v>
      </c>
      <c r="B7" s="193">
        <f>B6*1.055</f>
        <v>134.407</v>
      </c>
      <c r="C7" s="194">
        <v>0.0156</v>
      </c>
      <c r="D7" s="195">
        <f t="shared" si="0"/>
        <v>2.0967492</v>
      </c>
      <c r="E7" s="196">
        <f t="shared" si="2"/>
        <v>10</v>
      </c>
      <c r="F7" s="197">
        <f t="shared" si="1"/>
        <v>0.20967492</v>
      </c>
    </row>
    <row r="8" spans="1:6">
      <c r="A8" s="192">
        <v>2025</v>
      </c>
      <c r="B8" s="193">
        <v>123.8376</v>
      </c>
      <c r="C8" s="194">
        <v>0.0155</v>
      </c>
      <c r="D8" s="195">
        <f t="shared" si="0"/>
        <v>1.9194828</v>
      </c>
      <c r="E8" s="196">
        <f t="shared" si="2"/>
        <v>10.25</v>
      </c>
      <c r="F8" s="197">
        <f t="shared" si="1"/>
        <v>0.187266614634146</v>
      </c>
    </row>
    <row r="9" spans="1:6">
      <c r="A9" s="192">
        <v>2026</v>
      </c>
      <c r="B9" s="193">
        <f t="shared" ref="B9:B17" si="3">B8*1.05</f>
        <v>130.02948</v>
      </c>
      <c r="C9" s="194">
        <v>0.0154</v>
      </c>
      <c r="D9" s="195">
        <f t="shared" si="0"/>
        <v>2.002453992</v>
      </c>
      <c r="E9" s="196">
        <f t="shared" si="2"/>
        <v>10.5</v>
      </c>
      <c r="F9" s="197">
        <f t="shared" si="1"/>
        <v>0.190709904</v>
      </c>
    </row>
    <row r="10" spans="1:6">
      <c r="A10" s="192">
        <v>2027</v>
      </c>
      <c r="B10" s="193">
        <f t="shared" si="3"/>
        <v>136.530954</v>
      </c>
      <c r="C10" s="194">
        <v>0.0153</v>
      </c>
      <c r="D10" s="195">
        <f t="shared" si="0"/>
        <v>2.0889235962</v>
      </c>
      <c r="E10" s="196">
        <f t="shared" si="2"/>
        <v>10.75</v>
      </c>
      <c r="F10" s="197">
        <f t="shared" si="1"/>
        <v>0.194318474065116</v>
      </c>
    </row>
    <row r="11" spans="1:6">
      <c r="A11" s="192">
        <v>2028</v>
      </c>
      <c r="B11" s="193">
        <f t="shared" si="3"/>
        <v>143.3575017</v>
      </c>
      <c r="C11" s="194">
        <v>0.0152</v>
      </c>
      <c r="D11" s="195">
        <f t="shared" si="0"/>
        <v>2.17903402584</v>
      </c>
      <c r="E11" s="196">
        <f t="shared" si="2"/>
        <v>11</v>
      </c>
      <c r="F11" s="197">
        <f t="shared" si="1"/>
        <v>0.198094002349091</v>
      </c>
    </row>
    <row r="12" spans="1:6">
      <c r="A12" s="192">
        <v>2029</v>
      </c>
      <c r="B12" s="193">
        <f t="shared" si="3"/>
        <v>150.525376785</v>
      </c>
      <c r="C12" s="194">
        <v>0.0151</v>
      </c>
      <c r="D12" s="195">
        <f t="shared" si="0"/>
        <v>2.2729331894535</v>
      </c>
      <c r="E12" s="196">
        <f t="shared" si="2"/>
        <v>11.25</v>
      </c>
      <c r="F12" s="197">
        <f t="shared" si="1"/>
        <v>0.2020385057292</v>
      </c>
    </row>
    <row r="13" spans="1:6">
      <c r="A13" s="192">
        <v>2030</v>
      </c>
      <c r="B13" s="193">
        <f t="shared" si="3"/>
        <v>158.05164562425</v>
      </c>
      <c r="C13" s="194">
        <v>0.015</v>
      </c>
      <c r="D13" s="195">
        <f t="shared" si="0"/>
        <v>2.37077468436375</v>
      </c>
      <c r="E13" s="196">
        <v>11.5</v>
      </c>
      <c r="F13" s="197">
        <f t="shared" si="1"/>
        <v>0.206154320379457</v>
      </c>
    </row>
    <row r="14" spans="1:6">
      <c r="A14" s="192">
        <v>2031</v>
      </c>
      <c r="B14" s="193">
        <f t="shared" si="3"/>
        <v>165.954227905463</v>
      </c>
      <c r="C14" s="194">
        <v>0.015</v>
      </c>
      <c r="D14" s="195">
        <f t="shared" si="0"/>
        <v>2.48931341858194</v>
      </c>
      <c r="E14" s="196">
        <f t="shared" ref="E14:E17" si="4">E13+0.05</f>
        <v>11.55</v>
      </c>
      <c r="F14" s="197">
        <f t="shared" si="1"/>
        <v>0.215524971305796</v>
      </c>
    </row>
    <row r="15" spans="1:6">
      <c r="A15" s="192">
        <v>2032</v>
      </c>
      <c r="B15" s="193">
        <f t="shared" si="3"/>
        <v>174.251939300736</v>
      </c>
      <c r="C15" s="194">
        <v>0.015</v>
      </c>
      <c r="D15" s="195">
        <f t="shared" si="0"/>
        <v>2.61377908951104</v>
      </c>
      <c r="E15" s="196">
        <f t="shared" si="4"/>
        <v>11.6</v>
      </c>
      <c r="F15" s="197">
        <f t="shared" si="1"/>
        <v>0.225325783578538</v>
      </c>
    </row>
    <row r="16" spans="1:6">
      <c r="A16" s="192">
        <v>2033</v>
      </c>
      <c r="B16" s="193">
        <f t="shared" si="3"/>
        <v>182.964536265772</v>
      </c>
      <c r="C16" s="194">
        <v>0.015</v>
      </c>
      <c r="D16" s="195">
        <f t="shared" si="0"/>
        <v>2.74446804398659</v>
      </c>
      <c r="E16" s="196">
        <f t="shared" si="4"/>
        <v>11.65</v>
      </c>
      <c r="F16" s="197">
        <f t="shared" si="1"/>
        <v>0.235576656136188</v>
      </c>
    </row>
    <row r="17" spans="1:6">
      <c r="A17" s="192">
        <v>2034</v>
      </c>
      <c r="B17" s="193">
        <f t="shared" si="3"/>
        <v>192.112763079061</v>
      </c>
      <c r="C17" s="194">
        <v>0.015</v>
      </c>
      <c r="D17" s="195">
        <f t="shared" si="0"/>
        <v>2.88169144618592</v>
      </c>
      <c r="E17" s="196">
        <f t="shared" si="4"/>
        <v>11.7</v>
      </c>
      <c r="F17" s="197">
        <f t="shared" si="1"/>
        <v>0.246298414203924</v>
      </c>
    </row>
    <row r="18" spans="1:6">
      <c r="A18" s="192">
        <v>2035</v>
      </c>
      <c r="B18" s="193">
        <v>196.961</v>
      </c>
      <c r="C18" s="194">
        <v>0.015</v>
      </c>
      <c r="D18" s="195">
        <f t="shared" si="0"/>
        <v>2.954415</v>
      </c>
      <c r="E18" s="196">
        <v>11.75</v>
      </c>
      <c r="F18" s="197">
        <f t="shared" si="1"/>
        <v>0.251439574468085</v>
      </c>
    </row>
    <row r="19" spans="1:6">
      <c r="A19" s="192">
        <v>2036</v>
      </c>
      <c r="B19" s="193">
        <f t="shared" ref="B19:B32" si="5">B18*1.035</f>
        <v>203.854635</v>
      </c>
      <c r="C19" s="194">
        <v>0.015</v>
      </c>
      <c r="D19" s="195">
        <f t="shared" si="0"/>
        <v>3.057819525</v>
      </c>
      <c r="E19" s="196">
        <f t="shared" ref="E19:E22" si="6">E18-0.03</f>
        <v>11.72</v>
      </c>
      <c r="F19" s="197">
        <f t="shared" si="1"/>
        <v>0.2609061028157</v>
      </c>
    </row>
    <row r="20" spans="1:6">
      <c r="A20" s="192">
        <v>2037</v>
      </c>
      <c r="B20" s="193">
        <f t="shared" si="5"/>
        <v>210.989547225</v>
      </c>
      <c r="C20" s="194">
        <v>0.015</v>
      </c>
      <c r="D20" s="195">
        <f t="shared" si="0"/>
        <v>3.164843208375</v>
      </c>
      <c r="E20" s="196">
        <f t="shared" si="6"/>
        <v>11.69</v>
      </c>
      <c r="F20" s="197">
        <f t="shared" si="1"/>
        <v>0.270730813376818</v>
      </c>
    </row>
    <row r="21" spans="1:6">
      <c r="A21" s="192">
        <v>2038</v>
      </c>
      <c r="B21" s="193">
        <f t="shared" si="5"/>
        <v>218.374181377875</v>
      </c>
      <c r="C21" s="194">
        <v>0.015</v>
      </c>
      <c r="D21" s="195">
        <f t="shared" si="0"/>
        <v>3.27561272066812</v>
      </c>
      <c r="E21" s="196">
        <f t="shared" si="6"/>
        <v>11.66</v>
      </c>
      <c r="F21" s="197">
        <f t="shared" si="1"/>
        <v>0.280927334534144</v>
      </c>
    </row>
    <row r="22" spans="1:6">
      <c r="A22" s="192">
        <v>2039</v>
      </c>
      <c r="B22" s="193">
        <f t="shared" si="5"/>
        <v>226.017277726101</v>
      </c>
      <c r="C22" s="194">
        <v>0.015</v>
      </c>
      <c r="D22" s="195">
        <f t="shared" si="0"/>
        <v>3.39025916589151</v>
      </c>
      <c r="E22" s="196">
        <f t="shared" si="6"/>
        <v>11.63</v>
      </c>
      <c r="F22" s="197">
        <f t="shared" si="1"/>
        <v>0.2915098164997</v>
      </c>
    </row>
    <row r="23" spans="1:6">
      <c r="A23" s="192">
        <v>2040</v>
      </c>
      <c r="B23" s="193">
        <f t="shared" si="5"/>
        <v>233.927882446514</v>
      </c>
      <c r="C23" s="194">
        <v>0.015</v>
      </c>
      <c r="D23" s="195">
        <f t="shared" si="0"/>
        <v>3.50891823669771</v>
      </c>
      <c r="E23" s="196">
        <v>11.6</v>
      </c>
      <c r="F23" s="197">
        <f t="shared" si="1"/>
        <v>0.302492951439458</v>
      </c>
    </row>
    <row r="24" spans="1:6">
      <c r="A24" s="192">
        <v>2041</v>
      </c>
      <c r="B24" s="193">
        <f t="shared" si="5"/>
        <v>242.115358332142</v>
      </c>
      <c r="C24" s="194">
        <v>0.015</v>
      </c>
      <c r="D24" s="195">
        <f t="shared" si="0"/>
        <v>3.63173037498213</v>
      </c>
      <c r="E24" s="196">
        <f t="shared" ref="E24:E32" si="7">E23-0.025</f>
        <v>11.575</v>
      </c>
      <c r="F24" s="197">
        <f t="shared" si="1"/>
        <v>0.313756403886145</v>
      </c>
    </row>
    <row r="25" spans="1:6">
      <c r="A25" s="192">
        <v>2042</v>
      </c>
      <c r="B25" s="193">
        <f t="shared" si="5"/>
        <v>250.589395873767</v>
      </c>
      <c r="C25" s="194">
        <v>0.015</v>
      </c>
      <c r="D25" s="195">
        <f t="shared" si="0"/>
        <v>3.75884093810651</v>
      </c>
      <c r="E25" s="196">
        <f t="shared" si="7"/>
        <v>11.55</v>
      </c>
      <c r="F25" s="197">
        <f t="shared" si="1"/>
        <v>0.325440773862035</v>
      </c>
    </row>
    <row r="26" spans="1:6">
      <c r="A26" s="192">
        <v>2043</v>
      </c>
      <c r="B26" s="193">
        <f t="shared" si="5"/>
        <v>259.360024729349</v>
      </c>
      <c r="C26" s="194">
        <v>0.015</v>
      </c>
      <c r="D26" s="195">
        <f t="shared" si="0"/>
        <v>3.89040037094023</v>
      </c>
      <c r="E26" s="196">
        <f t="shared" si="7"/>
        <v>11.525</v>
      </c>
      <c r="F26" s="197">
        <f t="shared" si="1"/>
        <v>0.337561854311517</v>
      </c>
    </row>
    <row r="27" spans="1:6">
      <c r="A27" s="192">
        <v>2044</v>
      </c>
      <c r="B27" s="193">
        <f t="shared" si="5"/>
        <v>268.437625594876</v>
      </c>
      <c r="C27" s="194">
        <v>0.015</v>
      </c>
      <c r="D27" s="195">
        <f t="shared" si="0"/>
        <v>4.02656438392314</v>
      </c>
      <c r="E27" s="196">
        <f t="shared" si="7"/>
        <v>11.5</v>
      </c>
      <c r="F27" s="197">
        <f t="shared" si="1"/>
        <v>0.350136033384621</v>
      </c>
    </row>
    <row r="28" spans="1:6">
      <c r="A28" s="192">
        <v>2045</v>
      </c>
      <c r="B28" s="193">
        <f t="shared" si="5"/>
        <v>277.832942490697</v>
      </c>
      <c r="C28" s="194">
        <v>0.015</v>
      </c>
      <c r="D28" s="195">
        <f t="shared" si="0"/>
        <v>4.16749413736045</v>
      </c>
      <c r="E28" s="196">
        <f t="shared" si="7"/>
        <v>11.475</v>
      </c>
      <c r="F28" s="197">
        <f t="shared" si="1"/>
        <v>0.363180316981303</v>
      </c>
    </row>
    <row r="29" spans="1:6">
      <c r="A29" s="192">
        <v>2046</v>
      </c>
      <c r="B29" s="193">
        <f t="shared" si="5"/>
        <v>287.557095477871</v>
      </c>
      <c r="C29" s="194">
        <v>0.015</v>
      </c>
      <c r="D29" s="195">
        <f t="shared" si="0"/>
        <v>4.31335643216807</v>
      </c>
      <c r="E29" s="196">
        <f t="shared" si="7"/>
        <v>11.45</v>
      </c>
      <c r="F29" s="197">
        <f t="shared" si="1"/>
        <v>0.376712352154416</v>
      </c>
    </row>
    <row r="30" spans="1:6">
      <c r="A30" s="192">
        <v>2047</v>
      </c>
      <c r="B30" s="193">
        <f t="shared" si="5"/>
        <v>297.621593819597</v>
      </c>
      <c r="C30" s="194">
        <v>0.015</v>
      </c>
      <c r="D30" s="195">
        <f t="shared" si="0"/>
        <v>4.46432390729395</v>
      </c>
      <c r="E30" s="196">
        <f t="shared" si="7"/>
        <v>11.425</v>
      </c>
      <c r="F30" s="197">
        <f t="shared" si="1"/>
        <v>0.390750451404284</v>
      </c>
    </row>
    <row r="31" spans="1:6">
      <c r="A31" s="192">
        <v>2048</v>
      </c>
      <c r="B31" s="193">
        <f t="shared" si="5"/>
        <v>308.038349603282</v>
      </c>
      <c r="C31" s="194">
        <v>0.015</v>
      </c>
      <c r="D31" s="195">
        <f t="shared" si="0"/>
        <v>4.62057524404924</v>
      </c>
      <c r="E31" s="196">
        <f t="shared" si="7"/>
        <v>11.4</v>
      </c>
      <c r="F31" s="197">
        <f t="shared" si="1"/>
        <v>0.405313617899056</v>
      </c>
    </row>
    <row r="32" spans="1:6">
      <c r="A32" s="192">
        <v>2049</v>
      </c>
      <c r="B32" s="193">
        <f t="shared" si="5"/>
        <v>318.819691839397</v>
      </c>
      <c r="C32" s="194">
        <v>0.015</v>
      </c>
      <c r="D32" s="195">
        <f t="shared" si="0"/>
        <v>4.78229537759096</v>
      </c>
      <c r="E32" s="196">
        <f t="shared" si="7"/>
        <v>11.375</v>
      </c>
      <c r="F32" s="197">
        <f t="shared" si="1"/>
        <v>0.420421571656348</v>
      </c>
    </row>
    <row r="33" spans="1:6">
      <c r="A33" s="192">
        <v>2050</v>
      </c>
      <c r="B33" s="193">
        <v>331.5508</v>
      </c>
      <c r="C33" s="194">
        <v>0.015</v>
      </c>
      <c r="D33" s="195">
        <f t="shared" si="0"/>
        <v>4.973262</v>
      </c>
      <c r="E33" s="196">
        <v>11.35</v>
      </c>
      <c r="F33" s="197">
        <f t="shared" si="1"/>
        <v>0.438172863436123</v>
      </c>
    </row>
    <row r="34" spans="1:6">
      <c r="A34" s="192">
        <v>2051</v>
      </c>
      <c r="B34" s="193">
        <f t="shared" ref="B34:B53" si="8">B33*1.035</f>
        <v>343.155078</v>
      </c>
      <c r="C34" s="194">
        <v>0.0151</v>
      </c>
      <c r="D34" s="195">
        <f t="shared" si="0"/>
        <v>5.1816416778</v>
      </c>
      <c r="E34" s="196">
        <f t="shared" ref="E34:E42" si="9">E33-0.285</f>
        <v>11.065</v>
      </c>
      <c r="F34" s="197">
        <f t="shared" si="1"/>
        <v>0.46829115931315</v>
      </c>
    </row>
    <row r="35" spans="1:6">
      <c r="A35" s="192">
        <v>2052</v>
      </c>
      <c r="B35" s="193">
        <f t="shared" si="8"/>
        <v>355.16550573</v>
      </c>
      <c r="C35" s="194">
        <v>0.0152</v>
      </c>
      <c r="D35" s="195">
        <f t="shared" si="0"/>
        <v>5.398515687096</v>
      </c>
      <c r="E35" s="196">
        <f t="shared" si="9"/>
        <v>10.78</v>
      </c>
      <c r="F35" s="197">
        <f t="shared" si="1"/>
        <v>0.500789952420779</v>
      </c>
    </row>
    <row r="36" spans="1:6">
      <c r="A36" s="192">
        <v>2053</v>
      </c>
      <c r="B36" s="193">
        <f t="shared" si="8"/>
        <v>367.59629843055</v>
      </c>
      <c r="C36" s="194">
        <v>0.0153</v>
      </c>
      <c r="D36" s="195">
        <f t="shared" si="0"/>
        <v>5.62422336598741</v>
      </c>
      <c r="E36" s="196">
        <f t="shared" si="9"/>
        <v>10.495</v>
      </c>
      <c r="F36" s="197">
        <f t="shared" si="1"/>
        <v>0.535895508907805</v>
      </c>
    </row>
    <row r="37" spans="1:6">
      <c r="A37" s="192">
        <v>2054</v>
      </c>
      <c r="B37" s="193">
        <f t="shared" si="8"/>
        <v>380.462168875619</v>
      </c>
      <c r="C37" s="194">
        <v>0.0154</v>
      </c>
      <c r="D37" s="195">
        <f t="shared" si="0"/>
        <v>5.85911740068453</v>
      </c>
      <c r="E37" s="196">
        <f t="shared" si="9"/>
        <v>10.21</v>
      </c>
      <c r="F37" s="197">
        <f t="shared" si="1"/>
        <v>0.573860666080758</v>
      </c>
    </row>
    <row r="38" spans="1:6">
      <c r="A38" s="192">
        <v>2055</v>
      </c>
      <c r="B38" s="193">
        <f t="shared" si="8"/>
        <v>393.778344786266</v>
      </c>
      <c r="C38" s="194">
        <v>0.0155</v>
      </c>
      <c r="D38" s="195">
        <f t="shared" si="0"/>
        <v>6.10356434418712</v>
      </c>
      <c r="E38" s="196">
        <f t="shared" si="9"/>
        <v>9.925</v>
      </c>
      <c r="F38" s="197">
        <f t="shared" si="1"/>
        <v>0.614968699666208</v>
      </c>
    </row>
    <row r="39" spans="1:6">
      <c r="A39" s="192">
        <v>2056</v>
      </c>
      <c r="B39" s="193">
        <f t="shared" si="8"/>
        <v>407.560586853785</v>
      </c>
      <c r="C39" s="194">
        <v>0.0156</v>
      </c>
      <c r="D39" s="195">
        <f t="shared" si="0"/>
        <v>6.35794515491905</v>
      </c>
      <c r="E39" s="196">
        <f t="shared" si="9"/>
        <v>9.64</v>
      </c>
      <c r="F39" s="197">
        <f t="shared" si="1"/>
        <v>0.65953787914098</v>
      </c>
    </row>
    <row r="40" spans="1:6">
      <c r="A40" s="192">
        <v>2057</v>
      </c>
      <c r="B40" s="193">
        <f t="shared" si="8"/>
        <v>421.825207393667</v>
      </c>
      <c r="C40" s="194">
        <v>0.0157</v>
      </c>
      <c r="D40" s="195">
        <f t="shared" si="0"/>
        <v>6.62265575608058</v>
      </c>
      <c r="E40" s="196">
        <f t="shared" si="9"/>
        <v>9.355</v>
      </c>
      <c r="F40" s="197">
        <f t="shared" si="1"/>
        <v>0.707926857945546</v>
      </c>
    </row>
    <row r="41" spans="1:6">
      <c r="A41" s="192">
        <v>2058</v>
      </c>
      <c r="B41" s="193">
        <f t="shared" si="8"/>
        <v>436.589089652446</v>
      </c>
      <c r="C41" s="194">
        <v>0.0158</v>
      </c>
      <c r="D41" s="195">
        <f t="shared" si="0"/>
        <v>6.89810761650864</v>
      </c>
      <c r="E41" s="196">
        <f t="shared" si="9"/>
        <v>9.07</v>
      </c>
      <c r="F41" s="197">
        <f t="shared" si="1"/>
        <v>0.760541082305253</v>
      </c>
    </row>
    <row r="42" spans="1:6">
      <c r="A42" s="192">
        <v>2059</v>
      </c>
      <c r="B42" s="193">
        <f t="shared" si="8"/>
        <v>451.869707790281</v>
      </c>
      <c r="C42" s="194">
        <v>0.0159</v>
      </c>
      <c r="D42" s="195">
        <f t="shared" si="0"/>
        <v>7.18472835386547</v>
      </c>
      <c r="E42" s="196">
        <f t="shared" si="9"/>
        <v>8.785</v>
      </c>
      <c r="F42" s="197">
        <f t="shared" si="1"/>
        <v>0.81784045007006</v>
      </c>
    </row>
    <row r="43" spans="1:6">
      <c r="A43" s="192">
        <v>2060</v>
      </c>
      <c r="B43" s="193">
        <f t="shared" si="8"/>
        <v>467.685147562941</v>
      </c>
      <c r="C43" s="194">
        <v>0.016</v>
      </c>
      <c r="D43" s="195">
        <f t="shared" si="0"/>
        <v>7.48296236100706</v>
      </c>
      <c r="E43" s="196">
        <v>8.5</v>
      </c>
      <c r="F43" s="197">
        <f t="shared" si="1"/>
        <v>0.880348513059654</v>
      </c>
    </row>
    <row r="44" spans="1:6">
      <c r="A44" s="192">
        <v>2061</v>
      </c>
      <c r="B44" s="193">
        <f t="shared" si="8"/>
        <v>484.054127727644</v>
      </c>
      <c r="C44" s="194">
        <v>0.0161</v>
      </c>
      <c r="D44" s="195">
        <f t="shared" si="0"/>
        <v>7.79327145641507</v>
      </c>
      <c r="E44" s="196">
        <f t="shared" ref="E44:E52" si="10">E43-0.05</f>
        <v>8.45</v>
      </c>
      <c r="F44" s="197">
        <f t="shared" si="1"/>
        <v>0.922280645729594</v>
      </c>
    </row>
    <row r="45" spans="1:6">
      <c r="A45" s="192">
        <v>2062</v>
      </c>
      <c r="B45" s="193">
        <f t="shared" si="8"/>
        <v>500.996022198112</v>
      </c>
      <c r="C45" s="194">
        <v>0.0162</v>
      </c>
      <c r="D45" s="195">
        <f t="shared" si="0"/>
        <v>8.11613555960941</v>
      </c>
      <c r="E45" s="196">
        <f t="shared" si="10"/>
        <v>8.4</v>
      </c>
      <c r="F45" s="197">
        <f t="shared" si="1"/>
        <v>0.966206614239215</v>
      </c>
    </row>
    <row r="46" spans="1:6">
      <c r="A46" s="192">
        <v>2063</v>
      </c>
      <c r="B46" s="193">
        <f t="shared" si="8"/>
        <v>518.530882975045</v>
      </c>
      <c r="C46" s="194">
        <v>0.0163</v>
      </c>
      <c r="D46" s="195">
        <f t="shared" si="0"/>
        <v>8.45205339249324</v>
      </c>
      <c r="E46" s="196">
        <f t="shared" si="10"/>
        <v>8.35</v>
      </c>
      <c r="F46" s="197">
        <f t="shared" si="1"/>
        <v>1.01222196317284</v>
      </c>
    </row>
    <row r="47" spans="1:6">
      <c r="A47" s="192">
        <v>2064</v>
      </c>
      <c r="B47" s="193">
        <f t="shared" si="8"/>
        <v>536.679463879172</v>
      </c>
      <c r="C47" s="194">
        <v>0.0164</v>
      </c>
      <c r="D47" s="195">
        <f t="shared" si="0"/>
        <v>8.80154320761842</v>
      </c>
      <c r="E47" s="196">
        <f t="shared" si="10"/>
        <v>8.3</v>
      </c>
      <c r="F47" s="197">
        <f t="shared" si="1"/>
        <v>1.06042689248415</v>
      </c>
    </row>
    <row r="48" spans="1:6">
      <c r="A48" s="192">
        <v>2065</v>
      </c>
      <c r="B48" s="193">
        <f t="shared" si="8"/>
        <v>555.463245114943</v>
      </c>
      <c r="C48" s="194">
        <v>0.0165</v>
      </c>
      <c r="D48" s="195">
        <f t="shared" si="0"/>
        <v>9.16514354439656</v>
      </c>
      <c r="E48" s="196">
        <f t="shared" si="10"/>
        <v>8.25</v>
      </c>
      <c r="F48" s="197">
        <f t="shared" si="1"/>
        <v>1.11092649022989</v>
      </c>
    </row>
    <row r="49" spans="1:6">
      <c r="A49" s="192">
        <v>2066</v>
      </c>
      <c r="B49" s="193">
        <f t="shared" si="8"/>
        <v>574.904458693966</v>
      </c>
      <c r="C49" s="194">
        <v>0.0166</v>
      </c>
      <c r="D49" s="195">
        <f t="shared" si="0"/>
        <v>9.54341401431983</v>
      </c>
      <c r="E49" s="196">
        <f t="shared" si="10"/>
        <v>8.2</v>
      </c>
      <c r="F49" s="197">
        <f t="shared" si="1"/>
        <v>1.16383097735608</v>
      </c>
    </row>
    <row r="50" spans="1:6">
      <c r="A50" s="192">
        <v>2067</v>
      </c>
      <c r="B50" s="193">
        <f t="shared" si="8"/>
        <v>595.026114748255</v>
      </c>
      <c r="C50" s="194">
        <v>0.0167</v>
      </c>
      <c r="D50" s="195">
        <f t="shared" si="0"/>
        <v>9.93693611629585</v>
      </c>
      <c r="E50" s="196">
        <f t="shared" si="10"/>
        <v>8.15</v>
      </c>
      <c r="F50" s="197">
        <f t="shared" si="1"/>
        <v>1.21925596518968</v>
      </c>
    </row>
    <row r="51" spans="1:6">
      <c r="A51" s="192">
        <v>2068</v>
      </c>
      <c r="B51" s="193">
        <f t="shared" si="8"/>
        <v>615.852028764444</v>
      </c>
      <c r="C51" s="194">
        <v>0.0168</v>
      </c>
      <c r="D51" s="195">
        <f t="shared" si="0"/>
        <v>10.3463140832427</v>
      </c>
      <c r="E51" s="196">
        <f t="shared" si="10"/>
        <v>8.09999999999999</v>
      </c>
      <c r="F51" s="197">
        <f t="shared" si="1"/>
        <v>1.27732272632625</v>
      </c>
    </row>
    <row r="52" spans="1:6">
      <c r="A52" s="192">
        <v>2069</v>
      </c>
      <c r="B52" s="193">
        <f t="shared" si="8"/>
        <v>637.406849771199</v>
      </c>
      <c r="C52" s="194">
        <v>0.0169</v>
      </c>
      <c r="D52" s="195">
        <f t="shared" si="0"/>
        <v>10.7721757611333</v>
      </c>
      <c r="E52" s="196">
        <f t="shared" si="10"/>
        <v>8.04999999999999</v>
      </c>
      <c r="F52" s="197">
        <f t="shared" si="1"/>
        <v>1.33815847964388</v>
      </c>
    </row>
    <row r="53" ht="13.5" spans="1:6">
      <c r="A53" s="198">
        <v>2070</v>
      </c>
      <c r="B53" s="199">
        <f t="shared" si="8"/>
        <v>659.716089513191</v>
      </c>
      <c r="C53" s="200">
        <v>0.017</v>
      </c>
      <c r="D53" s="201">
        <f t="shared" si="0"/>
        <v>11.2151735217242</v>
      </c>
      <c r="E53" s="202">
        <v>8</v>
      </c>
      <c r="F53" s="203">
        <f t="shared" si="1"/>
        <v>1.40189669021553</v>
      </c>
    </row>
  </sheetData>
  <mergeCells count="1">
    <mergeCell ref="A1:F1"/>
  </mergeCells>
  <pageMargins left="0.251388888888889" right="0.251388888888889" top="0" bottom="0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workbookViewId="0">
      <selection activeCell="P21" sqref="P21"/>
    </sheetView>
  </sheetViews>
  <sheetFormatPr defaultColWidth="9" defaultRowHeight="15"/>
  <cols>
    <col min="1" max="1" width="7.26666666666667" style="153" customWidth="1"/>
    <col min="2" max="2" width="11.8083333333333" style="154" customWidth="1"/>
    <col min="3" max="3" width="12.9416666666667" style="154" customWidth="1"/>
    <col min="4" max="4" width="12.7166666666667" style="154" customWidth="1"/>
    <col min="5" max="5" width="14.325" style="154" customWidth="1"/>
    <col min="6" max="6" width="14.0916666666667" style="154" customWidth="1"/>
    <col min="7" max="7" width="13.4" style="153" customWidth="1"/>
    <col min="8" max="8" width="13.8583333333333" style="153" customWidth="1"/>
    <col min="9" max="9" width="17.0416666666667" style="153" customWidth="1"/>
    <col min="10" max="10" width="15.45" style="153" customWidth="1"/>
    <col min="11" max="11" width="12.5" style="154" customWidth="1"/>
    <col min="12" max="16384" width="8.88333333333333" style="153"/>
  </cols>
  <sheetData>
    <row r="1" ht="16.5" spans="1:11">
      <c r="A1" s="5" t="s">
        <v>193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34" customFormat="1" ht="92" customHeight="1" spans="1:11">
      <c r="A2" s="155" t="s">
        <v>187</v>
      </c>
      <c r="B2" s="156" t="s">
        <v>194</v>
      </c>
      <c r="C2" s="156" t="s">
        <v>195</v>
      </c>
      <c r="D2" s="157" t="s">
        <v>196</v>
      </c>
      <c r="E2" s="158" t="s">
        <v>197</v>
      </c>
      <c r="F2" s="159" t="s">
        <v>198</v>
      </c>
      <c r="G2" s="159" t="s">
        <v>199</v>
      </c>
      <c r="H2" s="160" t="s">
        <v>200</v>
      </c>
      <c r="I2" s="160" t="s">
        <v>201</v>
      </c>
      <c r="J2" s="160" t="s">
        <v>202</v>
      </c>
      <c r="K2" s="177" t="s">
        <v>203</v>
      </c>
    </row>
    <row r="3" spans="1:11">
      <c r="A3" s="161">
        <v>2020</v>
      </c>
      <c r="B3" s="162"/>
      <c r="C3" s="162">
        <v>650549.042</v>
      </c>
      <c r="D3" s="163"/>
      <c r="E3" s="163">
        <v>582515.366</v>
      </c>
      <c r="F3" s="164"/>
      <c r="G3" s="164">
        <v>355797.738</v>
      </c>
      <c r="H3" s="165">
        <f t="shared" ref="H3:H34" si="0">C3+E3+G3</f>
        <v>1588862.146</v>
      </c>
      <c r="I3" s="165">
        <f>H3*0.688</f>
        <v>1093137.156448</v>
      </c>
      <c r="J3" s="165">
        <f>H3*0.5271</f>
        <v>837489.2371566</v>
      </c>
      <c r="K3" s="178">
        <f>J3/6129.16</f>
        <v>136.640132931201</v>
      </c>
    </row>
    <row r="4" spans="1:11">
      <c r="A4" s="166">
        <v>2021</v>
      </c>
      <c r="B4" s="167">
        <f>(1+0.006*1-1)*(1+0.01*1-1)*(1+0.008*1-1)*365</f>
        <v>0.0001752</v>
      </c>
      <c r="C4" s="167">
        <f t="shared" ref="C4:C53" si="1">$C$3*(B4+1)</f>
        <v>650663.018192158</v>
      </c>
      <c r="D4" s="168">
        <f>(1+0.04*1-1)*(1+0.06*1-1)*(1+0.02*1-1)</f>
        <v>4.80000000000001e-5</v>
      </c>
      <c r="E4" s="168">
        <f>$E$3*(D4+1)</f>
        <v>582543.326737568</v>
      </c>
      <c r="F4" s="169">
        <f>(1+0.001*1-1)+(1+0.0008*1-1)+(1+0.006*1-1)+(1+0.05*1-1)+(1-0.003*1-1)</f>
        <v>0.0547999999999998</v>
      </c>
      <c r="G4" s="169">
        <f>$G$3*(F4+1)</f>
        <v>375295.4540424</v>
      </c>
      <c r="H4" s="170">
        <f t="shared" si="0"/>
        <v>1608501.79897213</v>
      </c>
      <c r="I4" s="170">
        <f t="shared" ref="I4:I31" si="2">H4*0.688</f>
        <v>1106649.23769282</v>
      </c>
      <c r="J4" s="170">
        <f t="shared" ref="J4:J53" si="3">H4*0.5271</f>
        <v>847841.298238208</v>
      </c>
      <c r="K4" s="179">
        <f t="shared" ref="K4:K53" si="4">J4/6129.16</f>
        <v>138.329118221454</v>
      </c>
    </row>
    <row r="5" spans="1:11">
      <c r="A5" s="166">
        <v>2022</v>
      </c>
      <c r="B5" s="167">
        <f>(1+0.006*2-1)*(1+0.01*2-1)*(1+0.008*2-1)*365</f>
        <v>0.0014016</v>
      </c>
      <c r="C5" s="167">
        <f t="shared" si="1"/>
        <v>651460.851537267</v>
      </c>
      <c r="D5" s="168">
        <f>(1+0.04*2-1)*(1+0.06*2-1)*(1+0.02*2-1)</f>
        <v>0.000384000000000001</v>
      </c>
      <c r="E5" s="168">
        <f t="shared" ref="E5:E53" si="5">$E$3*(D5+1)</f>
        <v>582739.051900544</v>
      </c>
      <c r="F5" s="169">
        <f>(1+0.001*2-1)+(1+0.0008*2-1)+(1+0.006*2-1)+(1+0.05*2-1)+(1-0.003*2-1)</f>
        <v>0.1096</v>
      </c>
      <c r="G5" s="169">
        <f t="shared" ref="G5:G53" si="6">$G$3*(F5+1)</f>
        <v>394793.1700848</v>
      </c>
      <c r="H5" s="170">
        <f t="shared" si="0"/>
        <v>1628993.07352261</v>
      </c>
      <c r="I5" s="170">
        <f t="shared" si="2"/>
        <v>1120747.23458356</v>
      </c>
      <c r="J5" s="170">
        <f t="shared" si="3"/>
        <v>858642.249053769</v>
      </c>
      <c r="K5" s="179">
        <f t="shared" si="4"/>
        <v>140.091341889226</v>
      </c>
    </row>
    <row r="6" spans="1:11">
      <c r="A6" s="166">
        <v>2023</v>
      </c>
      <c r="B6" s="167">
        <f>(1+0.006*3-1)*(1+0.01*3-1)*(1+0.008*3-1)*365</f>
        <v>0.00473040000000001</v>
      </c>
      <c r="C6" s="167">
        <f t="shared" si="1"/>
        <v>653626.399188277</v>
      </c>
      <c r="D6" s="168">
        <f>(1+0.04*3-1)*(1+0.06*3-1)*(1+0.02*3-1)</f>
        <v>0.001296</v>
      </c>
      <c r="E6" s="168">
        <f t="shared" si="5"/>
        <v>583270.305914336</v>
      </c>
      <c r="F6" s="169">
        <f>(1+0.001*3-1)+(1+0.0008*3-1)+(1+0.006*3-1)+(1+0.05*3-1)+(1-0.003*3-1)</f>
        <v>0.1644</v>
      </c>
      <c r="G6" s="169">
        <f t="shared" si="6"/>
        <v>414290.8861272</v>
      </c>
      <c r="H6" s="170">
        <f t="shared" si="0"/>
        <v>1651187.59122981</v>
      </c>
      <c r="I6" s="170">
        <f t="shared" si="2"/>
        <v>1136017.06276611</v>
      </c>
      <c r="J6" s="170">
        <f t="shared" si="3"/>
        <v>870340.979337234</v>
      </c>
      <c r="K6" s="179">
        <f t="shared" si="4"/>
        <v>142.000042312035</v>
      </c>
    </row>
    <row r="7" spans="1:11">
      <c r="A7" s="166">
        <v>2024</v>
      </c>
      <c r="B7" s="167">
        <f>(1+0.006*4-1)*(1+0.01*4-1)*(1+0.008*4-1)*365</f>
        <v>0.0112128</v>
      </c>
      <c r="C7" s="167">
        <f t="shared" si="1"/>
        <v>657843.518298138</v>
      </c>
      <c r="D7" s="168">
        <f>(1+0.04*4-1)*(1+0.06*4-1)*(1+0.02*4-1)</f>
        <v>0.003072</v>
      </c>
      <c r="E7" s="168">
        <f t="shared" si="5"/>
        <v>584304.853204352</v>
      </c>
      <c r="F7" s="169">
        <f>(1+0.001*4-1)+(1+0.0008*4-1)+(1+0.006*4-1)+(1+0.05*4-1)+(1-0.003*4-1)</f>
        <v>0.2192</v>
      </c>
      <c r="G7" s="169">
        <f t="shared" si="6"/>
        <v>433788.6021696</v>
      </c>
      <c r="H7" s="170">
        <f t="shared" si="0"/>
        <v>1675936.97367209</v>
      </c>
      <c r="I7" s="170">
        <f t="shared" si="2"/>
        <v>1153044.6378864</v>
      </c>
      <c r="J7" s="170">
        <f t="shared" si="3"/>
        <v>883386.378822558</v>
      </c>
      <c r="K7" s="179">
        <f t="shared" si="4"/>
        <v>144.128457867401</v>
      </c>
    </row>
    <row r="8" spans="1:11">
      <c r="A8" s="166">
        <v>2025</v>
      </c>
      <c r="B8" s="167">
        <f>(1+0.006*5-1)*(1+0.01*5-1)*(1+0.008*5-1)*365</f>
        <v>0.0219000000000001</v>
      </c>
      <c r="C8" s="167">
        <f t="shared" si="1"/>
        <v>664796.0660198</v>
      </c>
      <c r="D8" s="168">
        <f>(1+0.04*5-1)*(1+0.06*5-1)*(1+0.02*5-1)</f>
        <v>0.00600000000000001</v>
      </c>
      <c r="E8" s="168">
        <f t="shared" si="5"/>
        <v>586010.458196</v>
      </c>
      <c r="F8" s="169">
        <f>(1+0.001*5-1)+(1+0.0008*5-1)+(1+0.006*5-1)+(1+0.05*5-1)+(1-0.003*7-1)</f>
        <v>0.268</v>
      </c>
      <c r="G8" s="169">
        <f t="shared" si="6"/>
        <v>451151.531784</v>
      </c>
      <c r="H8" s="170">
        <f t="shared" si="0"/>
        <v>1701958.0559998</v>
      </c>
      <c r="I8" s="170">
        <f t="shared" si="2"/>
        <v>1170947.14252786</v>
      </c>
      <c r="J8" s="170">
        <f t="shared" si="3"/>
        <v>897102.091317495</v>
      </c>
      <c r="K8" s="179">
        <f t="shared" si="4"/>
        <v>146.366238002841</v>
      </c>
    </row>
    <row r="9" spans="1:11">
      <c r="A9" s="166">
        <v>2026</v>
      </c>
      <c r="B9" s="167">
        <f>(1+0.006*6-1)*(1+0.01*6-1)*(1+0.008*6-1)*365</f>
        <v>0.0378432000000001</v>
      </c>
      <c r="C9" s="167">
        <f t="shared" si="1"/>
        <v>675167.899506215</v>
      </c>
      <c r="D9" s="168">
        <f>(1+0.04*6-1)*(1+0.06*6-1)*(1+0.02*6-1)</f>
        <v>0.010368</v>
      </c>
      <c r="E9" s="168">
        <f t="shared" si="5"/>
        <v>588554.885314688</v>
      </c>
      <c r="F9" s="169">
        <f>(1+0.001*6-1)+(1+0.0008*6-1)+(1+0.006*6-1)+(1+0.05*6-1)+(1-0.003*6-1)</f>
        <v>0.3288</v>
      </c>
      <c r="G9" s="169">
        <f t="shared" si="6"/>
        <v>472784.0342544</v>
      </c>
      <c r="H9" s="170">
        <f t="shared" si="0"/>
        <v>1736506.8190753</v>
      </c>
      <c r="I9" s="170">
        <f t="shared" si="2"/>
        <v>1194716.69152381</v>
      </c>
      <c r="J9" s="170">
        <f t="shared" si="3"/>
        <v>915312.744334592</v>
      </c>
      <c r="K9" s="179">
        <f t="shared" si="4"/>
        <v>149.337387885875</v>
      </c>
    </row>
    <row r="10" spans="1:11">
      <c r="A10" s="166">
        <v>2027</v>
      </c>
      <c r="B10" s="167">
        <f>(1+0.006*7-1)*(1+0.01*7-1)*(1+0.008*7-1)*365</f>
        <v>0.0600936000000002</v>
      </c>
      <c r="C10" s="167">
        <f t="shared" si="1"/>
        <v>689642.875910331</v>
      </c>
      <c r="D10" s="168">
        <f>(1+0.04*7-1)*(1+0.06*7-1)*(1+0.02*7-1)</f>
        <v>0.016464</v>
      </c>
      <c r="E10" s="168">
        <f t="shared" si="5"/>
        <v>592105.898985824</v>
      </c>
      <c r="F10" s="169">
        <f>(1+0.001*7-1)+(1+0.0008*7-1)+(1+0.006*7-1)+(1+0.05*7-1)+(1-0.003*7-1)</f>
        <v>0.3836</v>
      </c>
      <c r="G10" s="169">
        <f t="shared" si="6"/>
        <v>492281.7502968</v>
      </c>
      <c r="H10" s="170">
        <f t="shared" si="0"/>
        <v>1774030.52519296</v>
      </c>
      <c r="I10" s="170">
        <f t="shared" si="2"/>
        <v>1220533.00133275</v>
      </c>
      <c r="J10" s="170">
        <f t="shared" si="3"/>
        <v>935091.489829207</v>
      </c>
      <c r="K10" s="179">
        <f t="shared" si="4"/>
        <v>152.564379104022</v>
      </c>
    </row>
    <row r="11" spans="1:11">
      <c r="A11" s="166">
        <v>2028</v>
      </c>
      <c r="B11" s="167">
        <f>(1+0.006*8-1)*(1+0.01*8-1)*(1+0.008*8-1)*365</f>
        <v>0.0897024000000003</v>
      </c>
      <c r="C11" s="167">
        <f t="shared" si="1"/>
        <v>708904.852385101</v>
      </c>
      <c r="D11" s="168">
        <f>(1+0.04*8-1)*(1+0.06*8-1)*(1+0.02*8-1)</f>
        <v>0.024576</v>
      </c>
      <c r="E11" s="168">
        <f t="shared" si="5"/>
        <v>596831.263634816</v>
      </c>
      <c r="F11" s="169">
        <f>(1+0.001*8-1)+(1+0.0008*8-1)+(1+0.006*8-1)+(1+0.05*8-1)+(1-0.003*8-1)</f>
        <v>0.4384</v>
      </c>
      <c r="G11" s="169">
        <f t="shared" si="6"/>
        <v>511779.4663392</v>
      </c>
      <c r="H11" s="170">
        <f t="shared" si="0"/>
        <v>1817515.58235912</v>
      </c>
      <c r="I11" s="170">
        <f t="shared" si="2"/>
        <v>1250450.72066307</v>
      </c>
      <c r="J11" s="170">
        <f t="shared" si="3"/>
        <v>958012.463461491</v>
      </c>
      <c r="K11" s="179">
        <f t="shared" si="4"/>
        <v>156.3040389648</v>
      </c>
    </row>
    <row r="12" spans="1:11">
      <c r="A12" s="166">
        <v>2029</v>
      </c>
      <c r="B12" s="167">
        <f>(1+0.006*9-1)*(1+0.01*9-1)*(1+0.008*9-1)*365</f>
        <v>0.1277208</v>
      </c>
      <c r="C12" s="167">
        <f t="shared" si="1"/>
        <v>733637.686083474</v>
      </c>
      <c r="D12" s="168">
        <f>(1+0.04*9-1)*(1+0.06*9-1)*(1+0.02*9-1)</f>
        <v>0.034992</v>
      </c>
      <c r="E12" s="168">
        <f t="shared" si="5"/>
        <v>602898.743687072</v>
      </c>
      <c r="F12" s="169">
        <f>(1+0.001*9-1)+(1+0.0008*9-1)+(1+0.006*9-1)+(1+0.05*9-1)+(1-0.003*9-1)</f>
        <v>0.4932</v>
      </c>
      <c r="G12" s="169">
        <f t="shared" si="6"/>
        <v>531277.1823816</v>
      </c>
      <c r="H12" s="170">
        <f t="shared" si="0"/>
        <v>1867813.61215215</v>
      </c>
      <c r="I12" s="170">
        <f t="shared" si="2"/>
        <v>1285055.76516068</v>
      </c>
      <c r="J12" s="170">
        <f t="shared" si="3"/>
        <v>984524.554965396</v>
      </c>
      <c r="K12" s="179">
        <f t="shared" si="4"/>
        <v>160.629605845727</v>
      </c>
    </row>
    <row r="13" spans="1:11">
      <c r="A13" s="166">
        <v>2030</v>
      </c>
      <c r="B13" s="167">
        <f>(1+0.006*10-1)*(1+0.01*10-1)*(1+0.008*10-1)*365</f>
        <v>0.1752</v>
      </c>
      <c r="C13" s="167">
        <f t="shared" si="1"/>
        <v>764525.2341584</v>
      </c>
      <c r="D13" s="168">
        <f>(1+0.04*10-1)*(1+0.06*10-1)*(1+0.02*10-1)</f>
        <v>0.048</v>
      </c>
      <c r="E13" s="168">
        <f t="shared" si="5"/>
        <v>610476.103568</v>
      </c>
      <c r="F13" s="169">
        <f>(1+0.001*10-1)+(1+0.0008*10-1)+(1+0.006*10-1)+(1+0.05*10-1)+(1-0.003*10-1)</f>
        <v>0.548</v>
      </c>
      <c r="G13" s="169">
        <f t="shared" si="6"/>
        <v>550774.898424</v>
      </c>
      <c r="H13" s="170">
        <f t="shared" si="0"/>
        <v>1925776.2361504</v>
      </c>
      <c r="I13" s="170">
        <f t="shared" si="2"/>
        <v>1324934.05047148</v>
      </c>
      <c r="J13" s="170">
        <f t="shared" si="3"/>
        <v>1015076.65407488</v>
      </c>
      <c r="K13" s="179">
        <f t="shared" si="4"/>
        <v>165.614318124323</v>
      </c>
    </row>
    <row r="14" spans="1:11">
      <c r="A14" s="166">
        <v>2031</v>
      </c>
      <c r="B14" s="167">
        <f>(1+0.006*10+0.0003*1-1)*(1+0.01*10+0.009*1-1)*(1+0.004*10+0.008*1-1)*365</f>
        <v>0.115153704</v>
      </c>
      <c r="C14" s="167">
        <f t="shared" si="1"/>
        <v>725462.173819952</v>
      </c>
      <c r="D14" s="168">
        <f>(1+0.04*10+0.016*1-1)*(1+0.06*10+0.04*1-1)*(1+0.02*10+0.001*1-1)</f>
        <v>0.05351424</v>
      </c>
      <c r="E14" s="168">
        <f t="shared" si="5"/>
        <v>613688.233099812</v>
      </c>
      <c r="F14" s="169">
        <f>(1+0.001*10+0.003*1-1)+(1+0.0008*10+0.002*1-1)+(1+0.006*10+0.004*1-1)+(1+0.05*10+0.02*1-1)+(1-0.003*10-0.004*1-1)</f>
        <v>0.573</v>
      </c>
      <c r="G14" s="169">
        <f t="shared" si="6"/>
        <v>559669.841874</v>
      </c>
      <c r="H14" s="170">
        <f t="shared" si="0"/>
        <v>1898820.24879376</v>
      </c>
      <c r="I14" s="170">
        <f t="shared" si="2"/>
        <v>1306388.33117011</v>
      </c>
      <c r="J14" s="170">
        <f t="shared" si="3"/>
        <v>1000868.15313919</v>
      </c>
      <c r="K14" s="179">
        <f t="shared" si="4"/>
        <v>163.296137340058</v>
      </c>
    </row>
    <row r="15" spans="1:11">
      <c r="A15" s="166">
        <v>2032</v>
      </c>
      <c r="B15" s="167">
        <f>(1+0.006*10+0.0003*2-1)*(1+0.01*10+0.009*2-1)*(1+0.004*10+0.008*2-1)*365</f>
        <v>0.146162352</v>
      </c>
      <c r="C15" s="167">
        <f t="shared" si="1"/>
        <v>745634.820070067</v>
      </c>
      <c r="D15" s="168">
        <f>(1+0.04*10+0.016*2-1)*(1+0.06*10+0.04*2-1)*(1+0.02*10+0.01*2-1)</f>
        <v>0.0646272</v>
      </c>
      <c r="E15" s="168">
        <f t="shared" si="5"/>
        <v>620161.703061555</v>
      </c>
      <c r="F15" s="169">
        <f>(1+0.001*10+0.003*2-1)+(1+0.0008*10+0.002*2-1)+(1+0.006*10+0.004*2-1)+(1+0.05*10+0.02*2-1)+(1-0.003*10-0.004*2-1)</f>
        <v>0.598</v>
      </c>
      <c r="G15" s="169">
        <f t="shared" si="6"/>
        <v>568564.785324</v>
      </c>
      <c r="H15" s="170">
        <f t="shared" si="0"/>
        <v>1934361.30845562</v>
      </c>
      <c r="I15" s="170">
        <f t="shared" si="2"/>
        <v>1330840.58021747</v>
      </c>
      <c r="J15" s="170">
        <f t="shared" si="3"/>
        <v>1019601.84568696</v>
      </c>
      <c r="K15" s="179">
        <f t="shared" si="4"/>
        <v>166.352623473193</v>
      </c>
    </row>
    <row r="16" spans="1:11">
      <c r="A16" s="166">
        <v>2033</v>
      </c>
      <c r="B16" s="167">
        <f>(1+0.006*10+0.0003*3-1)*(1+0.01*10+0.009*3-1)*(1+0.004*10+0.008*3-1)*365</f>
        <v>0.180673248</v>
      </c>
      <c r="C16" s="167">
        <f t="shared" si="1"/>
        <v>768085.850401428</v>
      </c>
      <c r="D16" s="168">
        <f>(1+0.04*10+0.016*3-1)*(1+0.06*10+0.04*3-1)*(1+0.02*10+0.01*3-1)</f>
        <v>0.0741888</v>
      </c>
      <c r="E16" s="168">
        <f t="shared" si="5"/>
        <v>625731.481985101</v>
      </c>
      <c r="F16" s="169">
        <f>(1+0.001*10+0.003*3-1)+(1+0.0008*10+0.002*3-1)+(1+0.006*10+0.004*3-1)+(1+0.05*10+0.02*3-1)+(1-0.003*10-0.004*3-1)</f>
        <v>0.623</v>
      </c>
      <c r="G16" s="169">
        <f t="shared" si="6"/>
        <v>577459.728774</v>
      </c>
      <c r="H16" s="170">
        <f t="shared" si="0"/>
        <v>1971277.06116053</v>
      </c>
      <c r="I16" s="170">
        <f t="shared" si="2"/>
        <v>1356238.61807844</v>
      </c>
      <c r="J16" s="170">
        <f t="shared" si="3"/>
        <v>1039060.13893771</v>
      </c>
      <c r="K16" s="179">
        <f t="shared" si="4"/>
        <v>169.527331467561</v>
      </c>
    </row>
    <row r="17" spans="1:11">
      <c r="A17" s="166">
        <v>2034</v>
      </c>
      <c r="B17" s="167">
        <f>(1+0.006*10+0.0003*4-1)*(1+0.01*10+0.009*4-1)*(1+0.004*10+0.008*4-1)*365</f>
        <v>0.218733696000001</v>
      </c>
      <c r="C17" s="167">
        <f t="shared" si="1"/>
        <v>792846.03838592</v>
      </c>
      <c r="D17" s="168">
        <f>(1+0.04*10+0.016*4-1)*(1+0.06*10+0.04*4-1)*(1+0.02*10+0.01*4-1)</f>
        <v>0.0846336</v>
      </c>
      <c r="E17" s="168">
        <f t="shared" si="5"/>
        <v>631815.738479898</v>
      </c>
      <c r="F17" s="169">
        <f>(1+0.001*10+0.003*4-1)+(1+0.0008*10+0.002*4-1)+(1+0.006*10+0.004*4-1)+(1+0.05*10+0.02*4-1)+(1-0.003*10-0.004*4-1)</f>
        <v>0.648</v>
      </c>
      <c r="G17" s="169">
        <f t="shared" si="6"/>
        <v>586354.672224</v>
      </c>
      <c r="H17" s="170">
        <f t="shared" si="0"/>
        <v>2011016.44908982</v>
      </c>
      <c r="I17" s="170">
        <f t="shared" si="2"/>
        <v>1383579.31697379</v>
      </c>
      <c r="J17" s="170">
        <f t="shared" si="3"/>
        <v>1060006.77031524</v>
      </c>
      <c r="K17" s="179">
        <f t="shared" si="4"/>
        <v>172.94486851628</v>
      </c>
    </row>
    <row r="18" spans="1:11">
      <c r="A18" s="166">
        <v>2035</v>
      </c>
      <c r="B18" s="167">
        <f>(1+0.006*10+0.0003*5-1)*(1+0.01*10+0.009*5-1)*(1+0.004*10+0.008*5-1)*365</f>
        <v>0.260391000000001</v>
      </c>
      <c r="C18" s="167">
        <f t="shared" si="1"/>
        <v>819946.157595422</v>
      </c>
      <c r="D18" s="168">
        <f>(1+0.04*10+0.016*5-1)*(1+0.06*10+0.04*5-1)*(1+0.02*10+0.01*5-1)</f>
        <v>0.096</v>
      </c>
      <c r="E18" s="168">
        <f t="shared" si="5"/>
        <v>638436.841136</v>
      </c>
      <c r="F18" s="169">
        <f>(1+0.001*10+0.003*5-1)+(1+0.0008*10+0.002*5-1)+(1+0.006*10+0.004*5-1)+(1+0.05*10+0.02*5-1)+(1-0.003*10-0.004*5-1)</f>
        <v>0.673</v>
      </c>
      <c r="G18" s="169">
        <f t="shared" si="6"/>
        <v>595249.615674</v>
      </c>
      <c r="H18" s="170">
        <f t="shared" si="0"/>
        <v>2053632.61440542</v>
      </c>
      <c r="I18" s="170">
        <f t="shared" si="2"/>
        <v>1412899.23871093</v>
      </c>
      <c r="J18" s="170">
        <f t="shared" si="3"/>
        <v>1082469.7510531</v>
      </c>
      <c r="K18" s="179">
        <f t="shared" si="4"/>
        <v>176.609804777995</v>
      </c>
    </row>
    <row r="19" spans="1:11">
      <c r="A19" s="166">
        <v>2036</v>
      </c>
      <c r="B19" s="167">
        <f>(1+0.006*10+0.0003*6-1)*(1+0.01*10+0.009*6-1)*(1+0.004*10+0.008*6-1)*365</f>
        <v>0.305692464000001</v>
      </c>
      <c r="C19" s="167">
        <f t="shared" si="1"/>
        <v>849416.98160182</v>
      </c>
      <c r="D19" s="168">
        <f>(1+0.04*10+0.016*6-1)*(1+0.06*10+0.04*6-1)*(1+0.02*10+0.01*6-1)</f>
        <v>0.1083264</v>
      </c>
      <c r="E19" s="168">
        <f t="shared" si="5"/>
        <v>645617.158543462</v>
      </c>
      <c r="F19" s="169">
        <f>(1+0.001*10+0.003*6-1)+(1+0.0008*10+0.002*6-1)+(1+0.006*10+0.004*6-1)+(1+0.05*10+0.02*6-1)+(1-0.003*10-0.004*6-1)</f>
        <v>0.698</v>
      </c>
      <c r="G19" s="169">
        <f t="shared" si="6"/>
        <v>604144.559124</v>
      </c>
      <c r="H19" s="170">
        <f t="shared" si="0"/>
        <v>2099178.69926928</v>
      </c>
      <c r="I19" s="170">
        <f t="shared" si="2"/>
        <v>1444234.94509727</v>
      </c>
      <c r="J19" s="170">
        <f t="shared" si="3"/>
        <v>1106477.09238484</v>
      </c>
      <c r="K19" s="179">
        <f t="shared" si="4"/>
        <v>180.526710411351</v>
      </c>
    </row>
    <row r="20" spans="1:11">
      <c r="A20" s="166">
        <v>2037</v>
      </c>
      <c r="B20" s="167">
        <f>(1+0.006*10+0.0003*7-1)*(1+0.01*10+0.009*7-1)*(1+0.004*10+0.008*7-1)*365</f>
        <v>0.354685392000001</v>
      </c>
      <c r="C20" s="167">
        <f t="shared" si="1"/>
        <v>881289.283976995</v>
      </c>
      <c r="D20" s="168">
        <f>(1+0.04*10+0.016*7-1)*(1+0.06*10+0.04*7-1)*(1+0.02*10+0.01*7-1)</f>
        <v>0.1216512</v>
      </c>
      <c r="E20" s="168">
        <f t="shared" si="5"/>
        <v>653379.059292339</v>
      </c>
      <c r="F20" s="169">
        <f>(1+0.001*10+0.003*7-1)+(1+0.0008*10+0.002*7-1)+(1+0.006*10+0.004*7-1)+(1+0.05*10+0.02*7-1)+(1-0.003*10-0.004*7-1)</f>
        <v>0.723</v>
      </c>
      <c r="G20" s="169">
        <f t="shared" si="6"/>
        <v>613039.502574</v>
      </c>
      <c r="H20" s="170">
        <f t="shared" si="0"/>
        <v>2147707.84584333</v>
      </c>
      <c r="I20" s="170">
        <f t="shared" si="2"/>
        <v>1477622.99794021</v>
      </c>
      <c r="J20" s="170">
        <f t="shared" si="3"/>
        <v>1132056.80554402</v>
      </c>
      <c r="K20" s="179">
        <f t="shared" si="4"/>
        <v>184.700155574993</v>
      </c>
    </row>
    <row r="21" spans="1:11">
      <c r="A21" s="166">
        <v>2038</v>
      </c>
      <c r="B21" s="167">
        <f>(1+0.006*10+0.0003*8-1)*(1+0.01*10+0.009*8-1)*(1+0.004*10+0.008*8-1)*365</f>
        <v>0.407417088000001</v>
      </c>
      <c r="C21" s="167">
        <f t="shared" si="1"/>
        <v>915593.83829283</v>
      </c>
      <c r="D21" s="168">
        <f>(1+0.04*10+0.016*8-1)*(1+0.06*10+0.04*8-1)*(1+0.02*10+0.01*8-1)</f>
        <v>0.1360128</v>
      </c>
      <c r="E21" s="168">
        <f t="shared" si="5"/>
        <v>661744.911972685</v>
      </c>
      <c r="F21" s="169">
        <f>(1+0.001*10+0.003*8-1)+(1+0.0008*10+0.002*8-1)+(1+0.006*10+0.004*8-1)+(1+0.05*10+0.02*8-1)+(1-0.003*10-0.004*8-1)</f>
        <v>0.748</v>
      </c>
      <c r="G21" s="169">
        <f t="shared" si="6"/>
        <v>621934.446024</v>
      </c>
      <c r="H21" s="170">
        <f t="shared" si="0"/>
        <v>2199273.19628952</v>
      </c>
      <c r="I21" s="170">
        <f t="shared" si="2"/>
        <v>1513099.95904719</v>
      </c>
      <c r="J21" s="170">
        <f t="shared" si="3"/>
        <v>1159236.9017642</v>
      </c>
      <c r="K21" s="179">
        <f t="shared" si="4"/>
        <v>189.134710427563</v>
      </c>
    </row>
    <row r="22" spans="1:11">
      <c r="A22" s="166">
        <v>2039</v>
      </c>
      <c r="B22" s="167">
        <f>(1+0.006*10+0.0003*9-1)*(1+0.01*10+0.009*9-1)*(1+0.004*10+0.008*9-1)*365</f>
        <v>0.463934856</v>
      </c>
      <c r="C22" s="167">
        <f t="shared" si="1"/>
        <v>952361.418121208</v>
      </c>
      <c r="D22" s="168">
        <f>(1+0.04*10+0.016*9-1)*(1+0.06*10+0.04*9-1)*(1+0.02*10+0.01*9-1)</f>
        <v>0.1514496</v>
      </c>
      <c r="E22" s="168">
        <f t="shared" si="5"/>
        <v>670737.085174554</v>
      </c>
      <c r="F22" s="169">
        <f>(1+0.001*10+0.003*9-1)+(1+0.0008*10+0.002*9-1)+(1+0.006*10+0.004*9-1)+(1+0.05*10+0.02*9-1)+(1-0.003*10-0.004*9-1)</f>
        <v>0.773</v>
      </c>
      <c r="G22" s="169">
        <f t="shared" si="6"/>
        <v>630829.389474</v>
      </c>
      <c r="H22" s="170">
        <f t="shared" si="0"/>
        <v>2253927.89276976</v>
      </c>
      <c r="I22" s="170">
        <f t="shared" si="2"/>
        <v>1550702.3902256</v>
      </c>
      <c r="J22" s="170">
        <f t="shared" si="3"/>
        <v>1188045.39227894</v>
      </c>
      <c r="K22" s="179">
        <f t="shared" si="4"/>
        <v>193.834945127708</v>
      </c>
    </row>
    <row r="23" spans="1:11">
      <c r="A23" s="166">
        <v>2040</v>
      </c>
      <c r="B23" s="167">
        <f>(1+0.006*10+0.0003*10-1)*(1+0.01*10+0.009*10-1)*(1+0.004*10+0.008*10-1)*365</f>
        <v>0.524286</v>
      </c>
      <c r="C23" s="167">
        <f t="shared" si="1"/>
        <v>991622.797034012</v>
      </c>
      <c r="D23" s="168">
        <f>(1+0.04*10+0.016*10-1)*(1+0.06*10+0.04*10-1)*(1+0.02*10+0.01*10-1)</f>
        <v>0.168</v>
      </c>
      <c r="E23" s="168">
        <f t="shared" si="5"/>
        <v>680377.947488</v>
      </c>
      <c r="F23" s="169">
        <f>(1+0.001*10+0.003*10-1)+(1+0.0008*10+0.002*10-1)+(1+0.006*10+0.004*10-1)+(1+0.05*10+0.02*10-1)+(1-0.003*10-0.004*10-1)</f>
        <v>0.798</v>
      </c>
      <c r="G23" s="169">
        <f t="shared" si="6"/>
        <v>639724.332924</v>
      </c>
      <c r="H23" s="170">
        <f t="shared" si="0"/>
        <v>2311725.07744601</v>
      </c>
      <c r="I23" s="170">
        <f t="shared" si="2"/>
        <v>1590466.85328286</v>
      </c>
      <c r="J23" s="170">
        <f t="shared" si="3"/>
        <v>1218510.28832179</v>
      </c>
      <c r="K23" s="179">
        <f t="shared" si="4"/>
        <v>198.805429834071</v>
      </c>
    </row>
    <row r="24" spans="1:11">
      <c r="A24" s="166">
        <v>2041</v>
      </c>
      <c r="B24" s="167">
        <f>(1+0.006*10+0.0003*11-1)*(1+0.01*10+0.009*11-1)*(1+0.004*10+0.008*11-1)*365</f>
        <v>0.588517824000002</v>
      </c>
      <c r="C24" s="167">
        <f t="shared" si="1"/>
        <v>1033408.74860313</v>
      </c>
      <c r="D24" s="168">
        <f>(1+0.04*10+0.016*11-1)*(1+0.06*10+0.04*11-1)*(1+0.02*10+0.01*11-1)</f>
        <v>0.1857024</v>
      </c>
      <c r="E24" s="168">
        <f t="shared" si="5"/>
        <v>690689.867503078</v>
      </c>
      <c r="F24" s="169">
        <f>(1+0.001*10+0.003*11-1)+(1+0.0008*10+0.002*11-1)+(1+0.006*10+0.004*11-1)+(1+0.05*10+0.02*11-1)+(1-0.003*10-0.004*11-1)</f>
        <v>0.823</v>
      </c>
      <c r="G24" s="169">
        <f t="shared" si="6"/>
        <v>648619.276374</v>
      </c>
      <c r="H24" s="170">
        <f t="shared" si="0"/>
        <v>2372717.8924802</v>
      </c>
      <c r="I24" s="170">
        <f t="shared" si="2"/>
        <v>1632429.91002638</v>
      </c>
      <c r="J24" s="170">
        <f t="shared" si="3"/>
        <v>1250659.60112632</v>
      </c>
      <c r="K24" s="179">
        <f t="shared" si="4"/>
        <v>204.050734705297</v>
      </c>
    </row>
    <row r="25" spans="1:11">
      <c r="A25" s="166">
        <v>2042</v>
      </c>
      <c r="B25" s="167">
        <f>(1+0.006*10+0.0003*12-1)*(1+0.01*10+0.009*12-1)*(1+0.004*10+0.008*12-1)*365</f>
        <v>0.656677632000002</v>
      </c>
      <c r="C25" s="167">
        <f t="shared" si="1"/>
        <v>1077750.04640043</v>
      </c>
      <c r="D25" s="168">
        <f>(1+0.04*10+0.016*12-1)*(1+0.06*10+0.04*12-1)*(1+0.02*10+0.01*12-1)</f>
        <v>0.2045952</v>
      </c>
      <c r="E25" s="168">
        <f t="shared" si="5"/>
        <v>701695.213809843</v>
      </c>
      <c r="F25" s="169">
        <f>(1+0.001*10+0.003*12-1)+(1+0.0008*10+0.002*12-1)+(1+0.006*10+0.004*12-1)+(1+0.05*10+0.02*12-1)+(1-0.003*10-0.004*12-1)</f>
        <v>0.848</v>
      </c>
      <c r="G25" s="169">
        <f t="shared" si="6"/>
        <v>657514.219824</v>
      </c>
      <c r="H25" s="170">
        <f t="shared" si="0"/>
        <v>2436959.48003427</v>
      </c>
      <c r="I25" s="170">
        <f t="shared" si="2"/>
        <v>1676628.12226358</v>
      </c>
      <c r="J25" s="170">
        <f t="shared" si="3"/>
        <v>1284521.34192607</v>
      </c>
      <c r="K25" s="179">
        <f t="shared" si="4"/>
        <v>209.57542990003</v>
      </c>
    </row>
    <row r="26" spans="1:11">
      <c r="A26" s="166">
        <v>2043</v>
      </c>
      <c r="B26" s="167">
        <f>(1+0.006*10+0.0003*13-1)*(1+0.01*10+0.009*13-1)*(1+0.004*10+0.008*13-1)*365</f>
        <v>0.728812728000002</v>
      </c>
      <c r="C26" s="167">
        <f t="shared" si="1"/>
        <v>1124677.46399781</v>
      </c>
      <c r="D26" s="168">
        <f>(1+0.04*10+0.016*13-1)*(1+0.06*10+0.04*13-1)*(1+0.02*10+0.01*13-1)</f>
        <v>0.2247168</v>
      </c>
      <c r="E26" s="168">
        <f t="shared" si="5"/>
        <v>713416.354998349</v>
      </c>
      <c r="F26" s="169">
        <f>(1+0.001*10+0.003*13-1)+(1+0.0008*10+0.002*13-1)+(1+0.006*10+0.004*13-1)+(1+0.05*10+0.02*13-1)+(1-0.003*10-0.004*13-1)</f>
        <v>0.873</v>
      </c>
      <c r="G26" s="169">
        <f t="shared" si="6"/>
        <v>666409.163274</v>
      </c>
      <c r="H26" s="170">
        <f t="shared" si="0"/>
        <v>2504502.98227016</v>
      </c>
      <c r="I26" s="170">
        <f t="shared" si="2"/>
        <v>1723098.05180187</v>
      </c>
      <c r="J26" s="170">
        <f t="shared" si="3"/>
        <v>1320123.5219546</v>
      </c>
      <c r="K26" s="179">
        <f t="shared" si="4"/>
        <v>215.384085576914</v>
      </c>
    </row>
    <row r="27" spans="1:11">
      <c r="A27" s="166">
        <v>2044</v>
      </c>
      <c r="B27" s="167">
        <f>(1+0.006*10+0.0003*14-1)*(1+0.01*10+0.009*14-1)*(1+0.004*10+0.008*14-1)*365</f>
        <v>0.804970416000001</v>
      </c>
      <c r="C27" s="167">
        <f t="shared" si="1"/>
        <v>1174221.77496714</v>
      </c>
      <c r="D27" s="168">
        <f>(1+0.04*10+0.016*14-1)*(1+0.06*10+0.04*14-1)*(1+0.02*10+0.01*14-1)</f>
        <v>0.2461056</v>
      </c>
      <c r="E27" s="168">
        <f t="shared" si="5"/>
        <v>725875.65965865</v>
      </c>
      <c r="F27" s="169">
        <f>(1+0.001*10+0.003*14-1)+(1+0.0008*10+0.002*14-1)+(1+0.006*10+0.004*14-1)+(1+0.05*10+0.02*14-1)+(1-0.003*10-0.004*14-1)</f>
        <v>0.898</v>
      </c>
      <c r="G27" s="169">
        <f t="shared" si="6"/>
        <v>675304.106724</v>
      </c>
      <c r="H27" s="170">
        <f t="shared" si="0"/>
        <v>2575401.54134979</v>
      </c>
      <c r="I27" s="170">
        <f t="shared" si="2"/>
        <v>1771876.26044866</v>
      </c>
      <c r="J27" s="170">
        <f t="shared" si="3"/>
        <v>1357494.15244548</v>
      </c>
      <c r="K27" s="179">
        <f t="shared" si="4"/>
        <v>221.481271894595</v>
      </c>
    </row>
    <row r="28" spans="1:11">
      <c r="A28" s="166">
        <v>2045</v>
      </c>
      <c r="B28" s="167">
        <f>(1+0.006*10+0.0003*15-1)*(1+0.01*10+0.009*15-1)*(1+0.004*10+0.008*15-1)*365</f>
        <v>0.885198000000001</v>
      </c>
      <c r="C28" s="167">
        <f t="shared" si="1"/>
        <v>1226413.75288032</v>
      </c>
      <c r="D28" s="168">
        <f>(1+0.04*10+0.016*15-1)*(1+0.06*10+0.04*15-1)*(1+0.02*10+0.01*15-1)</f>
        <v>0.2688</v>
      </c>
      <c r="E28" s="168">
        <f t="shared" si="5"/>
        <v>739095.4963808</v>
      </c>
      <c r="F28" s="169">
        <f>(1+0.001*10+0.003*15-1)+(1+0.0008*10+0.002*15-1)+(1+0.006*10+0.004*15-1)+(1+0.05*10+0.02*15-1)+(1-0.003*10-0.004*15-1)</f>
        <v>0.923</v>
      </c>
      <c r="G28" s="169">
        <f t="shared" si="6"/>
        <v>684199.050174</v>
      </c>
      <c r="H28" s="170">
        <f t="shared" si="0"/>
        <v>2649708.29943512</v>
      </c>
      <c r="I28" s="170">
        <f t="shared" si="2"/>
        <v>1822999.31001136</v>
      </c>
      <c r="J28" s="170">
        <f t="shared" si="3"/>
        <v>1396661.24463225</v>
      </c>
      <c r="K28" s="179">
        <f t="shared" si="4"/>
        <v>227.871559011716</v>
      </c>
    </row>
    <row r="29" spans="1:11">
      <c r="A29" s="166">
        <v>2046</v>
      </c>
      <c r="B29" s="167">
        <f>(1+0.006*10+0.0003*16-1)*(1+0.01*10+0.009*16-1)*(1+0.004*10+0.008*16-1)*365</f>
        <v>0.969542784</v>
      </c>
      <c r="C29" s="167">
        <f t="shared" si="1"/>
        <v>1281284.17130921</v>
      </c>
      <c r="D29" s="168">
        <f>(1+0.04*10+0.016*16-1)*(1+0.06*10+0.04*16-1)*(1+0.02*10+0.01*16-1)</f>
        <v>0.2928384</v>
      </c>
      <c r="E29" s="168">
        <f t="shared" si="5"/>
        <v>753098.233754854</v>
      </c>
      <c r="F29" s="169">
        <f>(1+0.001*10+0.003*16-1)+(1+0.0008*10+0.002*16-1)+(1+0.006*10+0.004*16-1)+(1+0.05*10+0.02*16-1)+(1-0.003*10-0.004*16-1)</f>
        <v>0.948</v>
      </c>
      <c r="G29" s="169">
        <f t="shared" si="6"/>
        <v>693093.993624</v>
      </c>
      <c r="H29" s="170">
        <f t="shared" si="0"/>
        <v>2727476.39868807</v>
      </c>
      <c r="I29" s="170">
        <f t="shared" si="2"/>
        <v>1876503.76229739</v>
      </c>
      <c r="J29" s="170">
        <f t="shared" si="3"/>
        <v>1437652.80974848</v>
      </c>
      <c r="K29" s="179">
        <f t="shared" si="4"/>
        <v>234.559517086922</v>
      </c>
    </row>
    <row r="30" spans="1:11">
      <c r="A30" s="166">
        <v>2047</v>
      </c>
      <c r="B30" s="167">
        <f>(1+0.006*10+0.0003*17-1)*(1+0.01*10+0.009*17-1)*(1+0.004*10+0.008*17-1)*365</f>
        <v>1.058052072</v>
      </c>
      <c r="C30" s="167">
        <f t="shared" si="1"/>
        <v>1338863.80382572</v>
      </c>
      <c r="D30" s="168">
        <f>(1+0.04*10+0.016*17-1)*(1+0.06*10+0.04*17-1)*(1+0.02*10+0.01*17-1)</f>
        <v>0.3182592</v>
      </c>
      <c r="E30" s="168">
        <f t="shared" si="5"/>
        <v>767906.240370867</v>
      </c>
      <c r="F30" s="169">
        <f>(1+0.001*10+0.003*17-1)+(1+0.0008*10+0.002*17-1)+(1+0.006*10+0.004*17-1)+(1+0.05*10+0.02*17-1)+(1-0.003*10-0.004*17-1)</f>
        <v>0.973</v>
      </c>
      <c r="G30" s="169">
        <f t="shared" si="6"/>
        <v>701988.937074</v>
      </c>
      <c r="H30" s="170">
        <f t="shared" si="0"/>
        <v>2808758.98127059</v>
      </c>
      <c r="I30" s="170">
        <f t="shared" si="2"/>
        <v>1932426.17911416</v>
      </c>
      <c r="J30" s="170">
        <f t="shared" si="3"/>
        <v>1480496.85902773</v>
      </c>
      <c r="K30" s="179">
        <f t="shared" si="4"/>
        <v>241.549716278858</v>
      </c>
    </row>
    <row r="31" spans="1:11">
      <c r="A31" s="166">
        <v>2048</v>
      </c>
      <c r="B31" s="167">
        <f>(1+0.006*10+0.0003*18-1)*(1+0.01*10+0.009*18-1)*(1+0.004*10+0.008*18-1)*365</f>
        <v>1.150773168</v>
      </c>
      <c r="C31" s="167">
        <f t="shared" si="1"/>
        <v>1399183.42400171</v>
      </c>
      <c r="D31" s="168">
        <f>(1+0.04*10+0.016*18-1)*(1+0.06*10+0.04*18-1)*(1+0.02*10+0.01*18-1)</f>
        <v>0.3451008</v>
      </c>
      <c r="E31" s="168">
        <f t="shared" si="5"/>
        <v>783541.884818893</v>
      </c>
      <c r="F31" s="169">
        <f>(1+0.001*10+0.003*18-1)+(1+0.0008*10+0.002*18-1)+(1+0.006*10+0.004*18-1)+(1+0.05*10+0.02*18-1)+(1-0.003*10-0.004*18-1)</f>
        <v>0.998</v>
      </c>
      <c r="G31" s="169">
        <f t="shared" si="6"/>
        <v>710883.880524</v>
      </c>
      <c r="H31" s="170">
        <f t="shared" si="0"/>
        <v>2893609.1893446</v>
      </c>
      <c r="I31" s="170">
        <f t="shared" si="2"/>
        <v>1990803.12226908</v>
      </c>
      <c r="J31" s="170">
        <f t="shared" si="3"/>
        <v>1525221.40370354</v>
      </c>
      <c r="K31" s="179">
        <f t="shared" si="4"/>
        <v>248.846726746167</v>
      </c>
    </row>
    <row r="32" spans="1:11">
      <c r="A32" s="166">
        <v>2049</v>
      </c>
      <c r="B32" s="167">
        <f>(1+0.006*10+0.0003*19-1)*(1+0.01*10+0.009*19-1)*(1+0.004*10+0.008*19-1)*365</f>
        <v>1.247753376</v>
      </c>
      <c r="C32" s="167">
        <f t="shared" si="1"/>
        <v>1462273.80540907</v>
      </c>
      <c r="D32" s="168">
        <f>(1+0.04*10+0.016*19-1)*(1+0.06*10+0.04*19-1)*(1+0.02*10+0.01*19-1)</f>
        <v>0.3734016</v>
      </c>
      <c r="E32" s="168">
        <f t="shared" si="5"/>
        <v>800027.535688986</v>
      </c>
      <c r="F32" s="169">
        <f>(1+0.001*10+0.003*19-1)+(1+0.0008*10+0.002*19-1)+(1+0.006*10+0.004*19-1)+(1+0.05*10+0.02*19-1)+(1-0.003*10-0.004*19-1)</f>
        <v>1.023</v>
      </c>
      <c r="G32" s="169">
        <f t="shared" si="6"/>
        <v>719778.823974</v>
      </c>
      <c r="H32" s="170">
        <f t="shared" si="0"/>
        <v>2982080.16507205</v>
      </c>
      <c r="I32" s="170">
        <f t="shared" ref="I32:I53" si="7">H32*0.688</f>
        <v>2051671.15356957</v>
      </c>
      <c r="J32" s="170">
        <f t="shared" si="3"/>
        <v>1571854.45500948</v>
      </c>
      <c r="K32" s="179">
        <f t="shared" si="4"/>
        <v>256.455118647495</v>
      </c>
    </row>
    <row r="33" spans="1:11">
      <c r="A33" s="166">
        <v>2050</v>
      </c>
      <c r="B33" s="167">
        <f>(1+0.006*10+0.0003*20-1)*(1+0.01*10+0.009*20-1)*(1+0.004*10+0.008*20-1)*365</f>
        <v>1.34904</v>
      </c>
      <c r="C33" s="167">
        <f t="shared" si="1"/>
        <v>1528165.72161968</v>
      </c>
      <c r="D33" s="168">
        <f>(1+0.04*10+0.016*20-1)*(1+0.06*10+0.04*20-1)*(1+0.02*10+0.01*20-1)</f>
        <v>0.4032</v>
      </c>
      <c r="E33" s="168">
        <f t="shared" si="5"/>
        <v>817385.5615712</v>
      </c>
      <c r="F33" s="169">
        <f>(1+0.001*10+0.003*20-1)+(1+0.0008*10+0.002*20-1)+(1+0.006*10+0.004*20-1)+(1+0.05*10+0.02*20-1)+(1-0.003*10-0.004*20-1)</f>
        <v>1.048</v>
      </c>
      <c r="G33" s="169">
        <f t="shared" si="6"/>
        <v>728673.767424</v>
      </c>
      <c r="H33" s="170">
        <f t="shared" si="0"/>
        <v>3074225.05061488</v>
      </c>
      <c r="I33" s="170">
        <f t="shared" si="7"/>
        <v>2115066.83482304</v>
      </c>
      <c r="J33" s="170">
        <f t="shared" si="3"/>
        <v>1620424.0241791</v>
      </c>
      <c r="K33" s="179">
        <f t="shared" si="4"/>
        <v>264.379462141485</v>
      </c>
    </row>
    <row r="34" spans="1:11">
      <c r="A34" s="166">
        <v>2051</v>
      </c>
      <c r="B34" s="167">
        <f>(0.001726*A34-2.461)*(0.00999*A34-19.19)*(0.00515*A34-9.36)</f>
        <v>1.68633598235436</v>
      </c>
      <c r="C34" s="167">
        <f t="shared" si="1"/>
        <v>1747593.29981076</v>
      </c>
      <c r="D34" s="168">
        <f>(1+0.04*10+0.016*21-1)*(1+0.06*10+0.04*21-1)*(1+0.02*10+0.01*21-1)</f>
        <v>0.4345344</v>
      </c>
      <c r="E34" s="168">
        <f t="shared" si="5"/>
        <v>835638.33105559</v>
      </c>
      <c r="F34" s="169">
        <f>(0.002*1-1)*(0.006*1-1)*(0.001*1-1)*(0.008*1-1)*(-0.005*1+1)</f>
        <v>0.97817636895552</v>
      </c>
      <c r="G34" s="169">
        <f t="shared" si="6"/>
        <v>703830.677439427</v>
      </c>
      <c r="H34" s="170">
        <f t="shared" si="0"/>
        <v>3287062.30830578</v>
      </c>
      <c r="I34" s="170">
        <f t="shared" si="7"/>
        <v>2261498.86811437</v>
      </c>
      <c r="J34" s="170">
        <f t="shared" si="3"/>
        <v>1732610.54270797</v>
      </c>
      <c r="K34" s="179">
        <f t="shared" si="4"/>
        <v>282.683196834146</v>
      </c>
    </row>
    <row r="35" spans="1:11">
      <c r="A35" s="166">
        <v>2052</v>
      </c>
      <c r="B35" s="167">
        <f t="shared" ref="B35:B53" si="8">(0.001726*A35-2.461)*(0.00999*A35-19.19)*(0.00515*A35-9.36)</f>
        <v>1.70930649515789</v>
      </c>
      <c r="C35" s="167">
        <f t="shared" si="1"/>
        <v>1762536.74490934</v>
      </c>
      <c r="D35" s="168">
        <f>(1+0.04*10+0.016*22-1)*(1+0.06*10+0.04*22-1)*(1+0.02*10+0.01*22-1)</f>
        <v>0.4674432</v>
      </c>
      <c r="E35" s="168">
        <f t="shared" si="5"/>
        <v>854808.212732211</v>
      </c>
      <c r="F35" s="169">
        <f>(0.002*2-1)*(0.006*2-1)*(0.001*2-1)*(0.008*2-1)*(-0.005*2+1)</f>
        <v>0.95670295928064</v>
      </c>
      <c r="G35" s="169">
        <f t="shared" si="6"/>
        <v>696190.486849958</v>
      </c>
      <c r="H35" s="170">
        <f t="shared" ref="H35:H53" si="9">C35+E35+G35</f>
        <v>3313535.44449151</v>
      </c>
      <c r="I35" s="170">
        <f t="shared" si="7"/>
        <v>2279712.38581016</v>
      </c>
      <c r="J35" s="170">
        <f t="shared" si="3"/>
        <v>1746564.53279148</v>
      </c>
      <c r="K35" s="179">
        <f t="shared" si="4"/>
        <v>284.959853029041</v>
      </c>
    </row>
    <row r="36" spans="1:11">
      <c r="A36" s="166">
        <v>2053</v>
      </c>
      <c r="B36" s="167">
        <f t="shared" si="8"/>
        <v>1.73245314533625</v>
      </c>
      <c r="C36" s="167">
        <f t="shared" si="1"/>
        <v>1777594.77600838</v>
      </c>
      <c r="D36" s="168">
        <f>(1+0.04*10+0.016*23-1)*(1+0.06*10+0.04*23-1)*(1+0.02*10+0.01*23-1)</f>
        <v>0.5019648</v>
      </c>
      <c r="E36" s="168">
        <f t="shared" si="5"/>
        <v>874917.575191117</v>
      </c>
      <c r="F36" s="169">
        <f>(0.002*3-1)*(0.006*3-1)*(0.001*3-1)*(0.008*3-1)*(-0.005*3+1)</f>
        <v>0.93557601331936</v>
      </c>
      <c r="G36" s="169">
        <f t="shared" si="6"/>
        <v>688673.567266086</v>
      </c>
      <c r="H36" s="170">
        <f t="shared" si="9"/>
        <v>3341185.91846559</v>
      </c>
      <c r="I36" s="170">
        <f t="shared" si="7"/>
        <v>2298735.91190432</v>
      </c>
      <c r="J36" s="170">
        <f t="shared" si="3"/>
        <v>1761139.09762321</v>
      </c>
      <c r="K36" s="179">
        <f t="shared" si="4"/>
        <v>287.33775878313</v>
      </c>
    </row>
    <row r="37" spans="1:11">
      <c r="A37" s="166">
        <v>2054</v>
      </c>
      <c r="B37" s="167">
        <f t="shared" si="8"/>
        <v>1.75577646569011</v>
      </c>
      <c r="C37" s="167">
        <f t="shared" si="1"/>
        <v>1792767.73972085</v>
      </c>
      <c r="D37" s="168">
        <f>(1+0.04*10+0.016*24-1)*(1+0.06*10+0.04*24-1)*(1+0.02*10+0.01*24-1)</f>
        <v>0.5381376</v>
      </c>
      <c r="E37" s="168">
        <f t="shared" si="5"/>
        <v>895988.787022362</v>
      </c>
      <c r="F37" s="169">
        <f>(0.002*4-1)*(0.006*4-1)*(0.001*4-1)*(0.008*4-1)*(-0.005*4+1)</f>
        <v>0.91479179624448</v>
      </c>
      <c r="G37" s="169">
        <f t="shared" si="6"/>
        <v>681278.589844743</v>
      </c>
      <c r="H37" s="170">
        <f t="shared" si="9"/>
        <v>3370035.11658795</v>
      </c>
      <c r="I37" s="170">
        <f t="shared" si="7"/>
        <v>2318584.16021251</v>
      </c>
      <c r="J37" s="170">
        <f t="shared" si="3"/>
        <v>1776345.50995351</v>
      </c>
      <c r="K37" s="179">
        <f t="shared" si="4"/>
        <v>289.818753296293</v>
      </c>
    </row>
    <row r="38" spans="1:11">
      <c r="A38" s="166">
        <v>2055</v>
      </c>
      <c r="B38" s="167">
        <f t="shared" si="8"/>
        <v>1.77927698902012</v>
      </c>
      <c r="C38" s="167">
        <f t="shared" si="1"/>
        <v>1808055.98265969</v>
      </c>
      <c r="D38" s="168">
        <f>(1+0.04*10+0.016*25-1)*(1+0.06*10+0.04*25-1)*(1+0.02*10+0.01*25-1)</f>
        <v>0.576</v>
      </c>
      <c r="E38" s="168">
        <f t="shared" si="5"/>
        <v>918044.216816</v>
      </c>
      <c r="F38" s="169">
        <f>(0.002*5-1)*(0.006*5-1)*(0.001*5-1)*(0.008*5-1)*(-0.005*5+1)</f>
        <v>0.894346596</v>
      </c>
      <c r="G38" s="169">
        <f t="shared" si="6"/>
        <v>674004.2338448</v>
      </c>
      <c r="H38" s="170">
        <f t="shared" si="9"/>
        <v>3400104.43332049</v>
      </c>
      <c r="I38" s="170">
        <f t="shared" si="7"/>
        <v>2339271.85012449</v>
      </c>
      <c r="J38" s="170">
        <f t="shared" si="3"/>
        <v>1792195.04680323</v>
      </c>
      <c r="K38" s="179">
        <f t="shared" si="4"/>
        <v>292.404676465165</v>
      </c>
    </row>
    <row r="39" spans="1:11">
      <c r="A39" s="166">
        <v>2056</v>
      </c>
      <c r="B39" s="167">
        <f t="shared" si="8"/>
        <v>1.80295524812698</v>
      </c>
      <c r="C39" s="167">
        <f t="shared" si="1"/>
        <v>1823459.85143788</v>
      </c>
      <c r="D39" s="168">
        <f>(1+0.04*10+0.016*26-1)*(1+0.06*10+0.04*26-1)*(1+0.02*10+0.01*26-1)</f>
        <v>0.6155904</v>
      </c>
      <c r="E39" s="168">
        <f t="shared" si="5"/>
        <v>941106.233162086</v>
      </c>
      <c r="F39" s="169">
        <f>(0.002*6-1)*(0.006*6-1)*(0.001*6-1)*(0.008*6-1)*(-0.005*6+1)</f>
        <v>0.87423672324352</v>
      </c>
      <c r="G39" s="169">
        <f t="shared" si="6"/>
        <v>666849.186606576</v>
      </c>
      <c r="H39" s="170">
        <f t="shared" si="9"/>
        <v>3431415.27120654</v>
      </c>
      <c r="I39" s="170">
        <f t="shared" si="7"/>
        <v>2360813.7065901</v>
      </c>
      <c r="J39" s="170">
        <f t="shared" si="3"/>
        <v>1808698.98945297</v>
      </c>
      <c r="K39" s="179">
        <f t="shared" si="4"/>
        <v>295.097368881375</v>
      </c>
    </row>
    <row r="40" spans="1:11">
      <c r="A40" s="166">
        <v>2057</v>
      </c>
      <c r="B40" s="167">
        <f t="shared" si="8"/>
        <v>1.82681177581132</v>
      </c>
      <c r="C40" s="167">
        <f t="shared" si="1"/>
        <v>1838979.69266838</v>
      </c>
      <c r="D40" s="168">
        <f>(1+0.04*10+0.016*27-1)*(1+0.06*10+0.04*27-1)*(1+0.02*10+0.01*27-1)</f>
        <v>0.6569472</v>
      </c>
      <c r="E40" s="168">
        <f t="shared" si="5"/>
        <v>965197.204650675</v>
      </c>
      <c r="F40" s="169">
        <f>(0.002*7-1)*(0.006*7-1)*(0.001*7-1)*(0.008*7-1)*(-0.005*7+1)</f>
        <v>0.85445851128864</v>
      </c>
      <c r="G40" s="169">
        <f t="shared" si="6"/>
        <v>659812.143531346</v>
      </c>
      <c r="H40" s="170">
        <f t="shared" si="9"/>
        <v>3463989.0408504</v>
      </c>
      <c r="I40" s="170">
        <f t="shared" si="7"/>
        <v>2383224.46010507</v>
      </c>
      <c r="J40" s="170">
        <f t="shared" si="3"/>
        <v>1825868.62343224</v>
      </c>
      <c r="K40" s="179">
        <f t="shared" si="4"/>
        <v>297.898671829785</v>
      </c>
    </row>
    <row r="41" spans="1:11">
      <c r="A41" s="166">
        <v>2058</v>
      </c>
      <c r="B41" s="167">
        <f t="shared" si="8"/>
        <v>1.85084710487384</v>
      </c>
      <c r="C41" s="167">
        <f t="shared" si="1"/>
        <v>1854615.85296415</v>
      </c>
      <c r="D41" s="168">
        <f>(1+0.04*10+0.016*28-1)*(1+0.06*10+0.04*28-1)*(1+0.02*10+0.01*28-1)</f>
        <v>0.7001088</v>
      </c>
      <c r="E41" s="168">
        <f t="shared" si="5"/>
        <v>990339.499871821</v>
      </c>
      <c r="F41" s="169">
        <f>(0.002*8-1)*(0.006*8-1)*(0.001*8-1)*(0.008*8-1)*(-0.005*8+1)</f>
        <v>0.83500831604736</v>
      </c>
      <c r="G41" s="169">
        <f t="shared" si="6"/>
        <v>652891.80806084</v>
      </c>
      <c r="H41" s="170">
        <f t="shared" si="9"/>
        <v>3497847.16089681</v>
      </c>
      <c r="I41" s="170">
        <f t="shared" si="7"/>
        <v>2406518.846697</v>
      </c>
      <c r="J41" s="170">
        <f t="shared" si="3"/>
        <v>1843715.23850871</v>
      </c>
      <c r="K41" s="179">
        <f t="shared" si="4"/>
        <v>300.810427286726</v>
      </c>
    </row>
    <row r="42" spans="1:11">
      <c r="A42" s="166">
        <v>2059</v>
      </c>
      <c r="B42" s="167">
        <f t="shared" si="8"/>
        <v>1.87506176811517</v>
      </c>
      <c r="C42" s="167">
        <f t="shared" si="1"/>
        <v>1870368.67893815</v>
      </c>
      <c r="D42" s="168">
        <f>(1+0.04*10+0.016*29-1)*(1+0.06*10+0.04*29-1)*(1+0.02*10+0.01*29-1)</f>
        <v>0.7451136</v>
      </c>
      <c r="E42" s="168">
        <f t="shared" si="5"/>
        <v>1016555.48741558</v>
      </c>
      <c r="F42" s="169">
        <f>(0.002*9-1)*(0.006*9-1)*(0.001*9-1)*(0.008*9-1)*(-0.005*9+1)</f>
        <v>0.81588251597248</v>
      </c>
      <c r="G42" s="169">
        <f t="shared" si="6"/>
        <v>646086.891656757</v>
      </c>
      <c r="H42" s="170">
        <f t="shared" si="9"/>
        <v>3533011.05801049</v>
      </c>
      <c r="I42" s="170">
        <f t="shared" si="7"/>
        <v>2430711.60791121</v>
      </c>
      <c r="J42" s="170">
        <f t="shared" si="3"/>
        <v>1862250.12867733</v>
      </c>
      <c r="K42" s="179">
        <f t="shared" si="4"/>
        <v>303.834477918235</v>
      </c>
    </row>
    <row r="43" spans="1:11">
      <c r="A43" s="166">
        <v>2060</v>
      </c>
      <c r="B43" s="167">
        <f t="shared" si="8"/>
        <v>1.899456298336</v>
      </c>
      <c r="C43" s="167">
        <f t="shared" si="1"/>
        <v>1886238.51720335</v>
      </c>
      <c r="D43" s="168">
        <f>(1+0.04*10+0.016*30-1)*(1+0.06*10+0.04*30-1)*(1+0.02*10+0.01*30-1)</f>
        <v>0.792</v>
      </c>
      <c r="E43" s="168">
        <f t="shared" si="5"/>
        <v>1043867.535872</v>
      </c>
      <c r="F43" s="169">
        <f>(0.002*10-1)*(0.006*10-1)*(0.001*10-1)*(0.008*10-1)*(-0.005*10+1)</f>
        <v>0.797077512</v>
      </c>
      <c r="G43" s="169">
        <f t="shared" si="6"/>
        <v>639396.113780268</v>
      </c>
      <c r="H43" s="170">
        <f t="shared" si="9"/>
        <v>3569502.16685562</v>
      </c>
      <c r="I43" s="170">
        <f t="shared" si="7"/>
        <v>2455817.49079667</v>
      </c>
      <c r="J43" s="170">
        <f t="shared" si="3"/>
        <v>1881484.5921496</v>
      </c>
      <c r="K43" s="179">
        <f t="shared" si="4"/>
        <v>306.972667078294</v>
      </c>
    </row>
    <row r="44" spans="1:11">
      <c r="A44" s="166">
        <v>2061</v>
      </c>
      <c r="B44" s="167">
        <f t="shared" si="8"/>
        <v>1.92403122833699</v>
      </c>
      <c r="C44" s="167">
        <f t="shared" si="1"/>
        <v>1902225.71437271</v>
      </c>
      <c r="D44" s="168">
        <f>(1+0.04*10+0.016*31-1)*(1+0.06*10+0.04*31-1)*(1+0.02*10+0.01*31-1)</f>
        <v>0.8408064</v>
      </c>
      <c r="E44" s="168">
        <f t="shared" si="5"/>
        <v>1072298.01383114</v>
      </c>
      <c r="F44" s="169">
        <f>(0.002*11-1)*(0.006*11-1)*(0.001*11-1)*(0.008*11-1)*(-0.005*11+1)</f>
        <v>0.77858972749152</v>
      </c>
      <c r="G44" s="169">
        <f t="shared" si="6"/>
        <v>632818.201871519</v>
      </c>
      <c r="H44" s="170">
        <f t="shared" si="9"/>
        <v>3607341.93007538</v>
      </c>
      <c r="I44" s="170">
        <f t="shared" si="7"/>
        <v>2481851.24789186</v>
      </c>
      <c r="J44" s="170">
        <f t="shared" si="3"/>
        <v>1901429.93134273</v>
      </c>
      <c r="K44" s="179">
        <f t="shared" si="4"/>
        <v>310.226838807068</v>
      </c>
    </row>
    <row r="45" spans="1:11">
      <c r="A45" s="166">
        <v>2062</v>
      </c>
      <c r="B45" s="167">
        <f t="shared" si="8"/>
        <v>1.94878709091881</v>
      </c>
      <c r="C45" s="167">
        <f t="shared" si="1"/>
        <v>1918330.6170592</v>
      </c>
      <c r="D45" s="168">
        <f>(1+0.04*10+0.016*32-1)*(1+0.06*10+0.04*32-1)*(1+0.02*10+0.01*32-1)</f>
        <v>0.8915712</v>
      </c>
      <c r="E45" s="168">
        <f t="shared" si="5"/>
        <v>1101869.28988306</v>
      </c>
      <c r="F45" s="169">
        <f>(0.002*12-1)*(0.006*12-1)*(0.001*12-1)*(0.008*12-1)*(-0.005*12+1)</f>
        <v>0.76041560817664</v>
      </c>
      <c r="G45" s="169">
        <f t="shared" si="6"/>
        <v>626351.891329143</v>
      </c>
      <c r="H45" s="170">
        <f t="shared" si="9"/>
        <v>3646551.7982714</v>
      </c>
      <c r="I45" s="170">
        <f t="shared" si="7"/>
        <v>2508827.63721072</v>
      </c>
      <c r="J45" s="170">
        <f t="shared" si="3"/>
        <v>1922097.45286885</v>
      </c>
      <c r="K45" s="179">
        <f t="shared" si="4"/>
        <v>313.598837829141</v>
      </c>
    </row>
    <row r="46" spans="1:11">
      <c r="A46" s="166">
        <v>2063</v>
      </c>
      <c r="B46" s="167">
        <f t="shared" si="8"/>
        <v>1.97372441888212</v>
      </c>
      <c r="C46" s="167">
        <f t="shared" si="1"/>
        <v>1934553.57187577</v>
      </c>
      <c r="D46" s="168">
        <f>(1+0.04*10+0.016*33-1)*(1+0.06*10+0.04*33-1)*(1+0.02*10+0.01*33-1)</f>
        <v>0.9443328</v>
      </c>
      <c r="E46" s="168">
        <f t="shared" si="5"/>
        <v>1132603.7326178</v>
      </c>
      <c r="F46" s="169">
        <f>(0.002*13-1)*(0.006*13-1)*(0.001*13-1)*(0.008*13-1)*(-0.005*13+1)</f>
        <v>0.74255162209536</v>
      </c>
      <c r="G46" s="169">
        <f t="shared" si="6"/>
        <v>619995.92548976</v>
      </c>
      <c r="H46" s="170">
        <f t="shared" si="9"/>
        <v>3687153.22998333</v>
      </c>
      <c r="I46" s="170">
        <f t="shared" si="7"/>
        <v>2536761.42222853</v>
      </c>
      <c r="J46" s="170">
        <f t="shared" si="3"/>
        <v>1943498.46752422</v>
      </c>
      <c r="K46" s="179">
        <f t="shared" si="4"/>
        <v>317.090509551752</v>
      </c>
    </row>
    <row r="47" spans="1:11">
      <c r="A47" s="166">
        <v>2064</v>
      </c>
      <c r="B47" s="167">
        <f t="shared" si="8"/>
        <v>1.99884374502758</v>
      </c>
      <c r="C47" s="167">
        <f t="shared" si="1"/>
        <v>1950894.92543539</v>
      </c>
      <c r="D47" s="168">
        <f>(1+0.04*10+0.016*34-1)*(1+0.06*10+0.04*34-1)*(1+0.02*10+0.01*34-1)</f>
        <v>0.9991296</v>
      </c>
      <c r="E47" s="168">
        <f t="shared" si="5"/>
        <v>1164523.71062543</v>
      </c>
      <c r="F47" s="169">
        <f>(0.002*14-1)*(0.006*14-1)*(0.001*14-1)*(0.008*14-1)*(-0.005*14+1)</f>
        <v>0.72499425954048</v>
      </c>
      <c r="G47" s="169">
        <f t="shared" si="6"/>
        <v>613749.055607488</v>
      </c>
      <c r="H47" s="170">
        <f t="shared" si="9"/>
        <v>3729167.69166831</v>
      </c>
      <c r="I47" s="170">
        <f t="shared" si="7"/>
        <v>2565667.3718678</v>
      </c>
      <c r="J47" s="170">
        <f t="shared" si="3"/>
        <v>1965644.29027837</v>
      </c>
      <c r="K47" s="179">
        <f t="shared" si="4"/>
        <v>320.703700063037</v>
      </c>
    </row>
    <row r="48" spans="1:11">
      <c r="A48" s="166">
        <v>2065</v>
      </c>
      <c r="B48" s="167">
        <f t="shared" si="8"/>
        <v>2.02414560215588</v>
      </c>
      <c r="C48" s="167">
        <f t="shared" si="1"/>
        <v>1967355.02435102</v>
      </c>
      <c r="D48" s="168">
        <f>(1+0.04*10+0.016*35-1)*(1+0.06*10+0.04*35-1)*(1+0.02*10+0.01*35-1)</f>
        <v>1.056</v>
      </c>
      <c r="E48" s="168">
        <f t="shared" si="5"/>
        <v>1197651.592496</v>
      </c>
      <c r="F48" s="169">
        <f>(0.002*15-1)*(0.006*15-1)*(0.001*15-1)*(0.008*15-1)*(-0.005*15+1)</f>
        <v>0.707740033</v>
      </c>
      <c r="G48" s="169">
        <f t="shared" si="6"/>
        <v>607610.040833445</v>
      </c>
      <c r="H48" s="170">
        <f t="shared" si="9"/>
        <v>3772616.65768047</v>
      </c>
      <c r="I48" s="170">
        <f t="shared" si="7"/>
        <v>2595560.26048416</v>
      </c>
      <c r="J48" s="170">
        <f t="shared" si="3"/>
        <v>1988546.24026337</v>
      </c>
      <c r="K48" s="179">
        <f t="shared" si="4"/>
        <v>324.440256130265</v>
      </c>
    </row>
    <row r="49" spans="1:11">
      <c r="A49" s="166">
        <v>2066</v>
      </c>
      <c r="B49" s="167">
        <f t="shared" si="8"/>
        <v>2.04963052306766</v>
      </c>
      <c r="C49" s="167">
        <f t="shared" si="1"/>
        <v>1983934.21523562</v>
      </c>
      <c r="D49" s="168">
        <f>(1+0.04*10+0.016*36-1)*(1+0.06*10+0.04*36-1)*(1+0.02*10+0.01*36-1)</f>
        <v>1.1149824</v>
      </c>
      <c r="E49" s="168">
        <f t="shared" si="5"/>
        <v>1232009.74681956</v>
      </c>
      <c r="F49" s="169">
        <f>(0.002*16-1)*(0.006*16-1)*(0.001*16-1)*(0.008*16-1)*(-0.005*16+1)</f>
        <v>0.69078547709952</v>
      </c>
      <c r="G49" s="169">
        <f t="shared" si="6"/>
        <v>601577.64819526</v>
      </c>
      <c r="H49" s="170">
        <f t="shared" si="9"/>
        <v>3817521.61025044</v>
      </c>
      <c r="I49" s="170">
        <f t="shared" si="7"/>
        <v>2626454.8678523</v>
      </c>
      <c r="J49" s="170">
        <f t="shared" si="3"/>
        <v>2012215.64076301</v>
      </c>
      <c r="K49" s="179">
        <f t="shared" si="4"/>
        <v>328.302025198071</v>
      </c>
    </row>
    <row r="50" spans="1:11">
      <c r="A50" s="166">
        <v>2067</v>
      </c>
      <c r="B50" s="167">
        <f t="shared" si="8"/>
        <v>2.0752990405636</v>
      </c>
      <c r="C50" s="167">
        <f t="shared" si="1"/>
        <v>2000632.84470217</v>
      </c>
      <c r="D50" s="168">
        <f>(1+0.04*10+0.016*37-1)*(1+0.06*10+0.04*37-1)*(1+0.02*10+0.01*37-1)</f>
        <v>1.1761152</v>
      </c>
      <c r="E50" s="168">
        <f t="shared" si="5"/>
        <v>1267620.54218616</v>
      </c>
      <c r="F50" s="169">
        <f>(0.002*17-1)*(0.006*17-1)*(0.001*17-1)*(0.008*17-1)*(-0.005*17+1)</f>
        <v>0.67412714854464</v>
      </c>
      <c r="G50" s="169">
        <f t="shared" si="6"/>
        <v>595650.652576573</v>
      </c>
      <c r="H50" s="170">
        <f t="shared" si="9"/>
        <v>3863904.0394649</v>
      </c>
      <c r="I50" s="170">
        <f t="shared" si="7"/>
        <v>2658365.97915185</v>
      </c>
      <c r="J50" s="170">
        <f t="shared" si="3"/>
        <v>2036663.81920195</v>
      </c>
      <c r="K50" s="179">
        <f t="shared" si="4"/>
        <v>332.290855386701</v>
      </c>
    </row>
    <row r="51" spans="1:11">
      <c r="A51" s="166">
        <v>2068</v>
      </c>
      <c r="B51" s="167">
        <f t="shared" si="8"/>
        <v>2.10115168744435</v>
      </c>
      <c r="C51" s="167">
        <f t="shared" si="1"/>
        <v>2017451.25936361</v>
      </c>
      <c r="D51" s="168">
        <f>(1+0.04*10+0.016*38-1)*(1+0.06*10+0.04*38-1)*(1+0.02*10+0.01*38-1)</f>
        <v>1.2394368</v>
      </c>
      <c r="E51" s="168">
        <f t="shared" si="5"/>
        <v>1304506.34718587</v>
      </c>
      <c r="F51" s="169">
        <f>(0.002*18-1)*(0.006*18-1)*(0.001*18-1)*(0.008*18-1)*(-0.005*18+1)</f>
        <v>0.65776162606336</v>
      </c>
      <c r="G51" s="169">
        <f t="shared" si="6"/>
        <v>589827.836696545</v>
      </c>
      <c r="H51" s="170">
        <f t="shared" si="9"/>
        <v>3911785.44324602</v>
      </c>
      <c r="I51" s="170">
        <f t="shared" si="7"/>
        <v>2691308.38495326</v>
      </c>
      <c r="J51" s="170">
        <f t="shared" si="3"/>
        <v>2061902.10713498</v>
      </c>
      <c r="K51" s="179">
        <f t="shared" si="4"/>
        <v>336.408595490243</v>
      </c>
    </row>
    <row r="52" spans="1:11">
      <c r="A52" s="166">
        <v>2069</v>
      </c>
      <c r="B52" s="167">
        <f t="shared" si="8"/>
        <v>2.1271889965106</v>
      </c>
      <c r="C52" s="167">
        <f t="shared" si="1"/>
        <v>2034389.80583292</v>
      </c>
      <c r="D52" s="168">
        <f>(1+0.04*10+0.016*39-1)*(1+0.06*10+0.04*39-1)*(1+0.02*10+0.01*39-1)</f>
        <v>1.3049856</v>
      </c>
      <c r="E52" s="168">
        <f t="shared" si="5"/>
        <v>1342689.53040873</v>
      </c>
      <c r="F52" s="169">
        <f>(0.002*19-1)*(0.006*19-1)*(0.001*19-1)*(0.008*19-1)*(-0.005*19+1)</f>
        <v>0.64168551034848</v>
      </c>
      <c r="G52" s="169">
        <f t="shared" si="6"/>
        <v>584107.991089365</v>
      </c>
      <c r="H52" s="170">
        <f t="shared" si="9"/>
        <v>3961187.32733101</v>
      </c>
      <c r="I52" s="170">
        <f t="shared" si="7"/>
        <v>2725296.88120373</v>
      </c>
      <c r="J52" s="170">
        <f t="shared" si="3"/>
        <v>2087941.84023618</v>
      </c>
      <c r="K52" s="179">
        <f t="shared" si="4"/>
        <v>340.65709497487</v>
      </c>
    </row>
    <row r="53" ht="15.75" spans="1:11">
      <c r="A53" s="171">
        <v>2070</v>
      </c>
      <c r="B53" s="172">
        <f t="shared" si="8"/>
        <v>2.153411500563</v>
      </c>
      <c r="C53" s="172">
        <f t="shared" si="1"/>
        <v>2051448.83072304</v>
      </c>
      <c r="D53" s="173">
        <f>(1+0.04*10+0.016*40-1)*(1+0.06*10+0.04*40-1)*(1+0.02*10+0.01*40-1)</f>
        <v>1.3728</v>
      </c>
      <c r="E53" s="173">
        <f t="shared" si="5"/>
        <v>1382192.4604448</v>
      </c>
      <c r="F53" s="174">
        <f>(0.002*20-1)*(0.006*20-1)*(0.001*20-1)*(0.008*20-1)*(-0.005*20+1)</f>
        <v>0.625895424</v>
      </c>
      <c r="G53" s="174">
        <f t="shared" si="6"/>
        <v>578489.914083751</v>
      </c>
      <c r="H53" s="175">
        <f t="shared" si="9"/>
        <v>4012131.2052516</v>
      </c>
      <c r="I53" s="175">
        <f t="shared" si="7"/>
        <v>2760346.2692131</v>
      </c>
      <c r="J53" s="175">
        <f t="shared" si="3"/>
        <v>2114794.35828812</v>
      </c>
      <c r="K53" s="180">
        <f t="shared" si="4"/>
        <v>345.038203977073</v>
      </c>
    </row>
    <row r="54" spans="8:10">
      <c r="H54" s="176"/>
      <c r="I54" s="176"/>
      <c r="J54" s="181"/>
    </row>
  </sheetData>
  <mergeCells count="1">
    <mergeCell ref="A1:K1"/>
  </mergeCells>
  <pageMargins left="0" right="0" top="0" bottom="0" header="0.298611111111111" footer="0.298611111111111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8"/>
  <sheetViews>
    <sheetView workbookViewId="0">
      <selection activeCell="A1" sqref="A1:J1"/>
    </sheetView>
  </sheetViews>
  <sheetFormatPr defaultColWidth="9" defaultRowHeight="12.75"/>
  <cols>
    <col min="1" max="1" width="5.25" style="89" customWidth="1"/>
    <col min="2" max="2" width="10.2833333333333" style="41" customWidth="1"/>
    <col min="3" max="3" width="12.4916666666667" style="40" customWidth="1"/>
    <col min="4" max="4" width="15.5333333333333" style="40" customWidth="1"/>
    <col min="5" max="5" width="11.425" style="90" customWidth="1"/>
    <col min="6" max="6" width="22.35" style="91" customWidth="1"/>
    <col min="7" max="7" width="12.85" style="92" customWidth="1"/>
    <col min="8" max="8" width="18.0833333333333" style="40" customWidth="1"/>
    <col min="9" max="9" width="10.35" style="90" customWidth="1"/>
    <col min="10" max="10" width="21.0666666666667" style="43" customWidth="1"/>
    <col min="11" max="11" width="11.5" style="40"/>
    <col min="12" max="12" width="2.625" style="40" customWidth="1"/>
    <col min="13" max="13" width="9.625" style="40" customWidth="1"/>
    <col min="14" max="14" width="9.625" style="92" customWidth="1"/>
    <col min="15" max="15" width="3.25" style="40" customWidth="1"/>
    <col min="16" max="17" width="10.375" style="40" customWidth="1"/>
    <col min="18" max="16384" width="9" style="40"/>
  </cols>
  <sheetData>
    <row r="1" ht="16.5" spans="1:10">
      <c r="A1" s="93" t="s">
        <v>204</v>
      </c>
      <c r="B1" s="94"/>
      <c r="C1" s="94"/>
      <c r="D1" s="94"/>
      <c r="E1" s="94"/>
      <c r="F1" s="94"/>
      <c r="G1" s="94"/>
      <c r="H1" s="94"/>
      <c r="I1" s="94"/>
      <c r="J1" s="94"/>
    </row>
    <row r="2" s="86" customFormat="1" spans="1:12">
      <c r="A2" s="95" t="s">
        <v>205</v>
      </c>
      <c r="B2" s="96" t="s">
        <v>187</v>
      </c>
      <c r="C2" s="97" t="s">
        <v>206</v>
      </c>
      <c r="D2" s="97"/>
      <c r="E2" s="97"/>
      <c r="F2" s="97"/>
      <c r="G2" s="98" t="s">
        <v>207</v>
      </c>
      <c r="H2" s="98"/>
      <c r="I2" s="98"/>
      <c r="J2" s="130"/>
      <c r="L2" s="131"/>
    </row>
    <row r="3" s="87" customFormat="1" ht="26" customHeight="1" spans="1:14">
      <c r="A3" s="99"/>
      <c r="B3" s="100"/>
      <c r="C3" s="101" t="s">
        <v>208</v>
      </c>
      <c r="D3" s="101" t="s">
        <v>192</v>
      </c>
      <c r="E3" s="102" t="s">
        <v>209</v>
      </c>
      <c r="F3" s="103" t="s">
        <v>210</v>
      </c>
      <c r="G3" s="104" t="s">
        <v>208</v>
      </c>
      <c r="H3" s="104" t="s">
        <v>192</v>
      </c>
      <c r="I3" s="132" t="s">
        <v>209</v>
      </c>
      <c r="J3" s="133" t="s">
        <v>210</v>
      </c>
      <c r="L3" s="134"/>
      <c r="M3" s="135"/>
      <c r="N3" s="135"/>
    </row>
    <row r="4" spans="1:14">
      <c r="A4" s="95" t="s">
        <v>211</v>
      </c>
      <c r="B4" s="105">
        <v>2018</v>
      </c>
      <c r="C4" s="106">
        <v>3622417.63</v>
      </c>
      <c r="D4" s="107">
        <f>D6</f>
        <v>0.180619733333333</v>
      </c>
      <c r="E4" s="108">
        <f>C4*D4</f>
        <v>654280.106352564</v>
      </c>
      <c r="F4" s="109">
        <f>E4</f>
        <v>654280.106352564</v>
      </c>
      <c r="G4" s="110">
        <v>3119826.51</v>
      </c>
      <c r="H4" s="111">
        <f>H6</f>
        <v>0.180619733333333</v>
      </c>
      <c r="I4" s="136">
        <f>G4*H4</f>
        <v>563502.232282463</v>
      </c>
      <c r="J4" s="137">
        <f>I4</f>
        <v>563502.232282463</v>
      </c>
      <c r="K4" s="138"/>
      <c r="L4" s="139"/>
      <c r="M4" s="40"/>
      <c r="N4" s="40"/>
    </row>
    <row r="5" spans="1:14">
      <c r="A5" s="64" t="s">
        <v>212</v>
      </c>
      <c r="B5" s="65">
        <v>2019</v>
      </c>
      <c r="C5" s="112">
        <v>163027.10212</v>
      </c>
      <c r="D5" s="112">
        <f>D6</f>
        <v>0.180619733333333</v>
      </c>
      <c r="E5" s="75">
        <f t="shared" ref="E5:E57" si="0">C5*D5</f>
        <v>29445.9117110204</v>
      </c>
      <c r="F5" s="67">
        <f t="shared" ref="F5:F6" si="1">E5</f>
        <v>29445.9117110204</v>
      </c>
      <c r="G5" s="113">
        <v>155923.40568</v>
      </c>
      <c r="H5" s="113">
        <f>H6</f>
        <v>0.180619733333333</v>
      </c>
      <c r="I5" s="140">
        <f t="shared" ref="I5:I57" si="2">G5*H5</f>
        <v>28162.8439543467</v>
      </c>
      <c r="J5" s="69">
        <f t="shared" ref="J5:J6" si="3">I5</f>
        <v>28162.8439543467</v>
      </c>
      <c r="L5" s="139"/>
      <c r="M5" s="40"/>
      <c r="N5" s="40"/>
    </row>
    <row r="6" spans="1:16">
      <c r="A6" s="70" t="s">
        <v>213</v>
      </c>
      <c r="B6" s="65">
        <v>2020</v>
      </c>
      <c r="C6" s="72">
        <v>837489.23757828</v>
      </c>
      <c r="D6" s="72">
        <v>0.180619733333333</v>
      </c>
      <c r="E6" s="75">
        <f t="shared" si="0"/>
        <v>151267.082760925</v>
      </c>
      <c r="F6" s="67">
        <f t="shared" si="1"/>
        <v>151267.082760925</v>
      </c>
      <c r="G6" s="114">
        <f t="shared" ref="G6:G36" si="4">C6</f>
        <v>837489.23757828</v>
      </c>
      <c r="H6" s="74">
        <v>0.180619733333333</v>
      </c>
      <c r="I6" s="140">
        <f t="shared" si="2"/>
        <v>151267.082760925</v>
      </c>
      <c r="J6" s="69">
        <f t="shared" si="3"/>
        <v>151267.082760925</v>
      </c>
      <c r="L6" s="139"/>
      <c r="M6" s="40"/>
      <c r="N6" s="40"/>
      <c r="P6" s="141"/>
    </row>
    <row r="7" spans="1:14">
      <c r="A7" s="70"/>
      <c r="B7" s="65">
        <v>2021</v>
      </c>
      <c r="C7" s="72">
        <v>847841.298659935</v>
      </c>
      <c r="D7" s="72">
        <v>0.1965876</v>
      </c>
      <c r="E7" s="75">
        <f t="shared" si="0"/>
        <v>166675.08608444</v>
      </c>
      <c r="F7" s="67">
        <f>PV(6%,B7-$B$6,,-E7,1)</f>
        <v>157240.647249472</v>
      </c>
      <c r="G7" s="114">
        <f t="shared" si="4"/>
        <v>847841.298659935</v>
      </c>
      <c r="H7" s="74">
        <v>0.1965876</v>
      </c>
      <c r="I7" s="140">
        <f t="shared" si="2"/>
        <v>166675.08608444</v>
      </c>
      <c r="J7" s="69">
        <f>PV(6%,B7-$B$6,,-I7,1)</f>
        <v>157240.647249472</v>
      </c>
      <c r="L7" s="139"/>
      <c r="M7" s="40"/>
      <c r="N7" s="40"/>
    </row>
    <row r="8" spans="1:14">
      <c r="A8" s="70"/>
      <c r="B8" s="65">
        <v>2022</v>
      </c>
      <c r="C8" s="72">
        <v>858642.249475825</v>
      </c>
      <c r="D8" s="72">
        <v>0.201276532631579</v>
      </c>
      <c r="E8" s="75">
        <f t="shared" si="0"/>
        <v>172824.534745473</v>
      </c>
      <c r="F8" s="67">
        <f t="shared" ref="F8:F57" si="5">PV(6%,B8-$B$6,,-E8,1)</f>
        <v>153813.220670589</v>
      </c>
      <c r="G8" s="114">
        <f t="shared" si="4"/>
        <v>858642.249475825</v>
      </c>
      <c r="H8" s="74">
        <v>0.201276532631579</v>
      </c>
      <c r="I8" s="140">
        <f t="shared" si="2"/>
        <v>172824.534745473</v>
      </c>
      <c r="J8" s="69">
        <f t="shared" ref="J8:J19" si="6">PV(6%,B8-$B$6,,-I8,1)</f>
        <v>153813.220670589</v>
      </c>
      <c r="L8" s="139"/>
      <c r="M8" s="40"/>
      <c r="N8" s="40"/>
    </row>
    <row r="9" spans="1:17">
      <c r="A9" s="70"/>
      <c r="B9" s="65">
        <v>2023</v>
      </c>
      <c r="C9" s="72">
        <v>870340.979760185</v>
      </c>
      <c r="D9" s="72">
        <v>0.205146666666667</v>
      </c>
      <c r="E9" s="75">
        <f t="shared" si="0"/>
        <v>178547.550861203</v>
      </c>
      <c r="F9" s="67">
        <f t="shared" si="5"/>
        <v>149911.966641257</v>
      </c>
      <c r="G9" s="114">
        <f t="shared" si="4"/>
        <v>870340.979760185</v>
      </c>
      <c r="H9" s="74">
        <v>0.205146666666667</v>
      </c>
      <c r="I9" s="140">
        <f t="shared" si="2"/>
        <v>178547.550861203</v>
      </c>
      <c r="J9" s="69">
        <f t="shared" si="6"/>
        <v>149911.966641257</v>
      </c>
      <c r="L9" s="139"/>
      <c r="M9" s="40"/>
      <c r="N9" s="40"/>
      <c r="Q9" s="141"/>
    </row>
    <row r="10" spans="1:14">
      <c r="A10" s="70"/>
      <c r="B10" s="65">
        <v>2024</v>
      </c>
      <c r="C10" s="72">
        <v>883386.37924725</v>
      </c>
      <c r="D10" s="72">
        <v>0.20967492</v>
      </c>
      <c r="E10" s="75">
        <f t="shared" si="0"/>
        <v>185223.968397757</v>
      </c>
      <c r="F10" s="67">
        <f t="shared" si="5"/>
        <v>146714.731647662</v>
      </c>
      <c r="G10" s="114">
        <f t="shared" si="4"/>
        <v>883386.37924725</v>
      </c>
      <c r="H10" s="74">
        <v>0.20967492</v>
      </c>
      <c r="I10" s="140">
        <f t="shared" si="2"/>
        <v>185223.968397757</v>
      </c>
      <c r="J10" s="69">
        <f t="shared" si="6"/>
        <v>146714.731647662</v>
      </c>
      <c r="L10" s="139"/>
      <c r="M10" s="40"/>
      <c r="N10" s="40"/>
    </row>
    <row r="11" spans="1:14">
      <c r="A11" s="70"/>
      <c r="B11" s="65">
        <v>2025</v>
      </c>
      <c r="C11" s="72">
        <v>897102.091745057</v>
      </c>
      <c r="D11" s="72">
        <v>0.187266614634146</v>
      </c>
      <c r="E11" s="75">
        <f t="shared" si="0"/>
        <v>167997.271702308</v>
      </c>
      <c r="F11" s="67">
        <f t="shared" si="5"/>
        <v>125537.334298749</v>
      </c>
      <c r="G11" s="114">
        <f t="shared" si="4"/>
        <v>897102.091745057</v>
      </c>
      <c r="H11" s="74">
        <v>0.187266614634146</v>
      </c>
      <c r="I11" s="140">
        <f t="shared" si="2"/>
        <v>167997.271702308</v>
      </c>
      <c r="J11" s="69">
        <f t="shared" si="6"/>
        <v>125537.334298749</v>
      </c>
      <c r="L11" s="139"/>
      <c r="M11" s="40"/>
      <c r="N11" s="40"/>
    </row>
    <row r="12" spans="1:14">
      <c r="A12" s="70"/>
      <c r="B12" s="65">
        <v>2026</v>
      </c>
      <c r="C12" s="72">
        <v>915312.744766437</v>
      </c>
      <c r="D12" s="72">
        <v>0.190709904</v>
      </c>
      <c r="E12" s="75">
        <f t="shared" si="0"/>
        <v>174559.205684384</v>
      </c>
      <c r="F12" s="67">
        <f t="shared" si="5"/>
        <v>123057.351977984</v>
      </c>
      <c r="G12" s="114">
        <f t="shared" si="4"/>
        <v>915312.744766437</v>
      </c>
      <c r="H12" s="74">
        <v>0.190709904</v>
      </c>
      <c r="I12" s="140">
        <f t="shared" si="2"/>
        <v>174559.205684384</v>
      </c>
      <c r="J12" s="69">
        <f t="shared" si="6"/>
        <v>123057.351977984</v>
      </c>
      <c r="L12" s="139"/>
      <c r="M12" s="40"/>
      <c r="N12" s="40"/>
    </row>
    <row r="13" spans="1:14">
      <c r="A13" s="70"/>
      <c r="B13" s="65">
        <v>2027</v>
      </c>
      <c r="C13" s="72">
        <v>935091.490267028</v>
      </c>
      <c r="D13" s="72">
        <v>0.194318474065116</v>
      </c>
      <c r="E13" s="75">
        <f t="shared" si="0"/>
        <v>181705.551499964</v>
      </c>
      <c r="F13" s="67">
        <f t="shared" si="5"/>
        <v>120844.569609721</v>
      </c>
      <c r="G13" s="114">
        <f t="shared" si="4"/>
        <v>935091.490267028</v>
      </c>
      <c r="H13" s="74">
        <v>0.194318474065116</v>
      </c>
      <c r="I13" s="140">
        <f t="shared" si="2"/>
        <v>181705.551499964</v>
      </c>
      <c r="J13" s="69">
        <f t="shared" si="6"/>
        <v>120844.569609721</v>
      </c>
      <c r="L13" s="139"/>
      <c r="M13" s="40"/>
      <c r="N13" s="40"/>
    </row>
    <row r="14" spans="1:14">
      <c r="A14" s="70"/>
      <c r="B14" s="65">
        <v>2028</v>
      </c>
      <c r="C14" s="72">
        <v>958012.463907265</v>
      </c>
      <c r="D14" s="72">
        <v>0.198094002349091</v>
      </c>
      <c r="E14" s="75">
        <f t="shared" si="0"/>
        <v>189776.523275704</v>
      </c>
      <c r="F14" s="67">
        <f t="shared" si="5"/>
        <v>119068.138493417</v>
      </c>
      <c r="G14" s="114">
        <f t="shared" si="4"/>
        <v>958012.463907265</v>
      </c>
      <c r="H14" s="74">
        <v>0.198094002349091</v>
      </c>
      <c r="I14" s="140">
        <f t="shared" si="2"/>
        <v>189776.523275704</v>
      </c>
      <c r="J14" s="69">
        <f t="shared" si="6"/>
        <v>119068.138493417</v>
      </c>
      <c r="L14" s="139"/>
      <c r="M14" s="40"/>
      <c r="N14" s="40"/>
    </row>
    <row r="15" spans="1:14">
      <c r="A15" s="70"/>
      <c r="B15" s="65">
        <v>2029</v>
      </c>
      <c r="C15" s="72">
        <v>984524.555421383</v>
      </c>
      <c r="D15" s="72">
        <v>0.2020385057292</v>
      </c>
      <c r="E15" s="75">
        <f t="shared" si="0"/>
        <v>198911.870031041</v>
      </c>
      <c r="F15" s="67">
        <f t="shared" si="5"/>
        <v>117735.630249257</v>
      </c>
      <c r="G15" s="114">
        <f t="shared" si="4"/>
        <v>984524.555421383</v>
      </c>
      <c r="H15" s="74">
        <v>0.2020385057292</v>
      </c>
      <c r="I15" s="140">
        <f t="shared" si="2"/>
        <v>198911.870031041</v>
      </c>
      <c r="J15" s="69">
        <f t="shared" si="6"/>
        <v>117735.630249257</v>
      </c>
      <c r="L15" s="139"/>
      <c r="M15" s="40"/>
      <c r="N15" s="40"/>
    </row>
    <row r="16" spans="1:14">
      <c r="A16" s="70"/>
      <c r="B16" s="65">
        <v>2030</v>
      </c>
      <c r="C16" s="72">
        <v>1015076.65454362</v>
      </c>
      <c r="D16" s="72">
        <v>0.206154320379457</v>
      </c>
      <c r="E16" s="75">
        <f t="shared" si="0"/>
        <v>209262.437850493</v>
      </c>
      <c r="F16" s="67">
        <f t="shared" si="5"/>
        <v>116851.05230024</v>
      </c>
      <c r="G16" s="114">
        <f t="shared" si="4"/>
        <v>1015076.65454362</v>
      </c>
      <c r="H16" s="74">
        <v>0.206154320379457</v>
      </c>
      <c r="I16" s="140">
        <f t="shared" si="2"/>
        <v>209262.437850493</v>
      </c>
      <c r="J16" s="69">
        <f t="shared" si="6"/>
        <v>116851.05230024</v>
      </c>
      <c r="L16" s="139"/>
      <c r="M16" s="40"/>
      <c r="N16" s="40"/>
    </row>
    <row r="17" spans="1:14">
      <c r="A17" s="70"/>
      <c r="B17" s="65">
        <v>2031</v>
      </c>
      <c r="C17" s="72">
        <v>1000868.15359643</v>
      </c>
      <c r="D17" s="72">
        <v>0.215524971305796</v>
      </c>
      <c r="E17" s="75">
        <f t="shared" si="0"/>
        <v>215712.080084756</v>
      </c>
      <c r="F17" s="67">
        <f t="shared" si="5"/>
        <v>113634.432864927</v>
      </c>
      <c r="G17" s="114">
        <f t="shared" si="4"/>
        <v>1000868.15359643</v>
      </c>
      <c r="H17" s="74">
        <v>0.215524971305796</v>
      </c>
      <c r="I17" s="140">
        <f t="shared" si="2"/>
        <v>215712.080084756</v>
      </c>
      <c r="J17" s="69">
        <f t="shared" si="6"/>
        <v>113634.432864927</v>
      </c>
      <c r="L17" s="139"/>
      <c r="M17" s="40"/>
      <c r="N17" s="40"/>
    </row>
    <row r="18" spans="1:14">
      <c r="A18" s="70"/>
      <c r="B18" s="65">
        <v>2032</v>
      </c>
      <c r="C18" s="72">
        <v>1019601.84615308</v>
      </c>
      <c r="D18" s="72">
        <v>0.225325783578538</v>
      </c>
      <c r="E18" s="75">
        <f t="shared" si="0"/>
        <v>229742.584922567</v>
      </c>
      <c r="F18" s="67">
        <f t="shared" si="5"/>
        <v>114175.026215503</v>
      </c>
      <c r="G18" s="114">
        <f t="shared" si="4"/>
        <v>1019601.84615308</v>
      </c>
      <c r="H18" s="74">
        <v>0.225325783578538</v>
      </c>
      <c r="I18" s="140">
        <f t="shared" si="2"/>
        <v>229742.584922567</v>
      </c>
      <c r="J18" s="69">
        <f t="shared" si="6"/>
        <v>114175.026215503</v>
      </c>
      <c r="L18" s="139"/>
      <c r="M18" s="40"/>
      <c r="N18" s="40"/>
    </row>
    <row r="19" spans="1:14">
      <c r="A19" s="70"/>
      <c r="B19" s="65">
        <v>2033</v>
      </c>
      <c r="C19" s="72">
        <v>1039060.13941313</v>
      </c>
      <c r="D19" s="72">
        <v>0.235576656136188</v>
      </c>
      <c r="E19" s="75">
        <f t="shared" si="0"/>
        <v>244778.313167346</v>
      </c>
      <c r="F19" s="67">
        <f t="shared" si="5"/>
        <v>114761.625011536</v>
      </c>
      <c r="G19" s="114">
        <f t="shared" si="4"/>
        <v>1039060.13941313</v>
      </c>
      <c r="H19" s="74">
        <v>0.235576656136188</v>
      </c>
      <c r="I19" s="140">
        <f t="shared" si="2"/>
        <v>244778.313167346</v>
      </c>
      <c r="J19" s="69">
        <f t="shared" si="6"/>
        <v>114761.625011536</v>
      </c>
      <c r="L19" s="139"/>
      <c r="M19" s="40"/>
      <c r="N19" s="40"/>
    </row>
    <row r="20" spans="1:14">
      <c r="A20" s="70"/>
      <c r="B20" s="65">
        <v>2034</v>
      </c>
      <c r="C20" s="72">
        <v>1060006.77080088</v>
      </c>
      <c r="D20" s="72">
        <v>0.246298414203924</v>
      </c>
      <c r="E20" s="75">
        <f t="shared" si="0"/>
        <v>261077.986693679</v>
      </c>
      <c r="F20" s="67">
        <f t="shared" si="5"/>
        <v>115475.045292918</v>
      </c>
      <c r="G20" s="114">
        <f t="shared" si="4"/>
        <v>1060006.77080088</v>
      </c>
      <c r="H20" s="74">
        <v>0.246298414203924</v>
      </c>
      <c r="I20" s="140">
        <f t="shared" si="2"/>
        <v>261077.986693679</v>
      </c>
      <c r="J20" s="69">
        <f t="shared" ref="J20:J57" si="7">PV(6%,B20-$B$6,,-I20,1)</f>
        <v>115475.045292918</v>
      </c>
      <c r="L20" s="139"/>
      <c r="M20" s="40"/>
      <c r="N20" s="40"/>
    </row>
    <row r="21" spans="1:14">
      <c r="A21" s="70"/>
      <c r="B21" s="65">
        <v>2035</v>
      </c>
      <c r="C21" s="72">
        <v>1082469.75154992</v>
      </c>
      <c r="D21" s="72">
        <v>0.251439574468085</v>
      </c>
      <c r="E21" s="75">
        <f t="shared" si="0"/>
        <v>272175.733704286</v>
      </c>
      <c r="F21" s="67">
        <f t="shared" si="5"/>
        <v>113569.424054859</v>
      </c>
      <c r="G21" s="114">
        <f t="shared" si="4"/>
        <v>1082469.75154992</v>
      </c>
      <c r="H21" s="74">
        <v>0.251439574468085</v>
      </c>
      <c r="I21" s="140">
        <f t="shared" si="2"/>
        <v>272175.733704286</v>
      </c>
      <c r="J21" s="69">
        <f t="shared" si="7"/>
        <v>113569.424054859</v>
      </c>
      <c r="L21" s="139"/>
      <c r="M21" s="40"/>
      <c r="N21" s="40"/>
    </row>
    <row r="22" spans="1:14">
      <c r="A22" s="70"/>
      <c r="B22" s="65">
        <v>2036</v>
      </c>
      <c r="C22" s="72">
        <v>1106477.09289381</v>
      </c>
      <c r="D22" s="72">
        <v>0.2609061028157</v>
      </c>
      <c r="E22" s="75">
        <f t="shared" si="0"/>
        <v>288686.626161769</v>
      </c>
      <c r="F22" s="67">
        <f t="shared" si="5"/>
        <v>113640.417546159</v>
      </c>
      <c r="G22" s="114">
        <v>1096477.09289381</v>
      </c>
      <c r="H22" s="74">
        <v>0.2609061028157</v>
      </c>
      <c r="I22" s="140">
        <f t="shared" si="2"/>
        <v>286077.565133612</v>
      </c>
      <c r="J22" s="69">
        <f t="shared" si="7"/>
        <v>112613.370368445</v>
      </c>
      <c r="L22" s="139"/>
      <c r="M22" s="40"/>
      <c r="N22" s="40"/>
    </row>
    <row r="23" spans="1:14">
      <c r="A23" s="70"/>
      <c r="B23" s="65">
        <v>2037</v>
      </c>
      <c r="C23" s="72">
        <v>1132056.80606613</v>
      </c>
      <c r="D23" s="72">
        <v>0.270730813376818</v>
      </c>
      <c r="E23" s="75">
        <f t="shared" si="0"/>
        <v>306482.659895046</v>
      </c>
      <c r="F23" s="67">
        <f t="shared" si="5"/>
        <v>113816.754801973</v>
      </c>
      <c r="G23" s="114">
        <f t="shared" si="4"/>
        <v>1132056.80606613</v>
      </c>
      <c r="H23" s="74">
        <v>0.270730813376818</v>
      </c>
      <c r="I23" s="140">
        <f t="shared" si="2"/>
        <v>306482.659895046</v>
      </c>
      <c r="J23" s="69">
        <f t="shared" si="7"/>
        <v>113816.754801973</v>
      </c>
      <c r="L23" s="139"/>
      <c r="M23" s="40"/>
      <c r="N23" s="40"/>
    </row>
    <row r="24" spans="1:14">
      <c r="A24" s="70"/>
      <c r="B24" s="65">
        <v>2038</v>
      </c>
      <c r="C24" s="72">
        <v>1159236.90230046</v>
      </c>
      <c r="D24" s="72">
        <v>0.280927334534144</v>
      </c>
      <c r="E24" s="75">
        <f t="shared" si="0"/>
        <v>325661.333056886</v>
      </c>
      <c r="F24" s="67">
        <f t="shared" si="5"/>
        <v>114093.42604734</v>
      </c>
      <c r="G24" s="114">
        <f t="shared" si="4"/>
        <v>1159236.90230046</v>
      </c>
      <c r="H24" s="74">
        <v>0.280927334534144</v>
      </c>
      <c r="I24" s="140">
        <f t="shared" si="2"/>
        <v>325661.333056886</v>
      </c>
      <c r="J24" s="69">
        <f t="shared" si="7"/>
        <v>114093.42604734</v>
      </c>
      <c r="L24" s="139"/>
      <c r="M24" s="40"/>
      <c r="N24" s="40"/>
    </row>
    <row r="25" spans="1:14">
      <c r="A25" s="70"/>
      <c r="B25" s="65">
        <v>2039</v>
      </c>
      <c r="C25" s="72">
        <v>1188045.39283037</v>
      </c>
      <c r="D25" s="72">
        <v>0.2915098164997</v>
      </c>
      <c r="E25" s="75">
        <f t="shared" si="0"/>
        <v>346326.894457295</v>
      </c>
      <c r="F25" s="67">
        <f t="shared" si="5"/>
        <v>114465.544503936</v>
      </c>
      <c r="G25" s="114">
        <f t="shared" si="4"/>
        <v>1188045.39283037</v>
      </c>
      <c r="H25" s="74">
        <v>0.2915098164997</v>
      </c>
      <c r="I25" s="140">
        <f t="shared" si="2"/>
        <v>346326.894457295</v>
      </c>
      <c r="J25" s="69">
        <f t="shared" si="7"/>
        <v>114465.544503936</v>
      </c>
      <c r="L25" s="139"/>
      <c r="M25" s="42"/>
      <c r="N25" s="142"/>
    </row>
    <row r="26" spans="1:14">
      <c r="A26" s="70"/>
      <c r="B26" s="65">
        <v>2040</v>
      </c>
      <c r="C26" s="72">
        <v>1218510.28888943</v>
      </c>
      <c r="D26" s="72">
        <v>0.302492951439458</v>
      </c>
      <c r="E26" s="75">
        <f t="shared" si="0"/>
        <v>368590.77364551</v>
      </c>
      <c r="F26" s="67">
        <f t="shared" si="5"/>
        <v>114928.345509269</v>
      </c>
      <c r="G26" s="114">
        <f t="shared" si="4"/>
        <v>1218510.28888943</v>
      </c>
      <c r="H26" s="74">
        <v>0.302492951439458</v>
      </c>
      <c r="I26" s="140">
        <f t="shared" si="2"/>
        <v>368590.77364551</v>
      </c>
      <c r="J26" s="69">
        <f t="shared" si="7"/>
        <v>114928.345509269</v>
      </c>
      <c r="L26" s="139"/>
      <c r="M26" s="142"/>
      <c r="N26" s="142"/>
    </row>
    <row r="27" spans="1:14">
      <c r="A27" s="70"/>
      <c r="B27" s="65">
        <v>2041</v>
      </c>
      <c r="C27" s="72">
        <v>1250659.60171123</v>
      </c>
      <c r="D27" s="72">
        <v>0.313756403886145</v>
      </c>
      <c r="E27" s="75">
        <f t="shared" si="0"/>
        <v>392402.459118594</v>
      </c>
      <c r="F27" s="67">
        <f t="shared" si="5"/>
        <v>115427.303391416</v>
      </c>
      <c r="G27" s="114">
        <v>1240659.60171123</v>
      </c>
      <c r="H27" s="74">
        <v>0.313756403886145</v>
      </c>
      <c r="I27" s="140">
        <f t="shared" si="2"/>
        <v>389264.895079732</v>
      </c>
      <c r="J27" s="69">
        <f t="shared" si="7"/>
        <v>114504.371977996</v>
      </c>
      <c r="L27" s="139"/>
      <c r="M27" s="42"/>
      <c r="N27" s="142"/>
    </row>
    <row r="28" spans="1:14">
      <c r="A28" s="70"/>
      <c r="B28" s="65">
        <v>2042</v>
      </c>
      <c r="C28" s="72">
        <v>1284521.34252934</v>
      </c>
      <c r="D28" s="72">
        <v>0.325440773862035</v>
      </c>
      <c r="E28" s="75">
        <f t="shared" si="0"/>
        <v>418035.619755049</v>
      </c>
      <c r="F28" s="67">
        <f t="shared" si="5"/>
        <v>116007.015171216</v>
      </c>
      <c r="G28" s="114">
        <f t="shared" si="4"/>
        <v>1284521.34252934</v>
      </c>
      <c r="H28" s="74">
        <v>0.325440773862035</v>
      </c>
      <c r="I28" s="140">
        <f t="shared" si="2"/>
        <v>418035.619755049</v>
      </c>
      <c r="J28" s="69">
        <f t="shared" si="7"/>
        <v>116007.015171216</v>
      </c>
      <c r="L28" s="139"/>
      <c r="M28" s="42"/>
      <c r="N28" s="142"/>
    </row>
    <row r="29" spans="1:14">
      <c r="A29" s="70"/>
      <c r="B29" s="65">
        <v>2043</v>
      </c>
      <c r="C29" s="72">
        <v>1320123.52257732</v>
      </c>
      <c r="D29" s="72">
        <v>0.337561854311517</v>
      </c>
      <c r="E29" s="75">
        <f t="shared" si="0"/>
        <v>445623.344201452</v>
      </c>
      <c r="F29" s="67">
        <f t="shared" si="5"/>
        <v>116662.971053955</v>
      </c>
      <c r="G29" s="114">
        <f t="shared" si="4"/>
        <v>1320123.52257732</v>
      </c>
      <c r="H29" s="74">
        <v>0.337561854311517</v>
      </c>
      <c r="I29" s="140">
        <f t="shared" si="2"/>
        <v>445623.344201452</v>
      </c>
      <c r="J29" s="69">
        <f t="shared" si="7"/>
        <v>116662.971053955</v>
      </c>
      <c r="L29" s="139"/>
      <c r="M29" s="42"/>
      <c r="N29" s="142"/>
    </row>
    <row r="30" spans="1:14">
      <c r="A30" s="70"/>
      <c r="B30" s="65">
        <v>2044</v>
      </c>
      <c r="C30" s="72">
        <v>1357494.15308876</v>
      </c>
      <c r="D30" s="72">
        <v>0.350136033384621</v>
      </c>
      <c r="E30" s="75">
        <f t="shared" si="0"/>
        <v>475307.618105314</v>
      </c>
      <c r="F30" s="67">
        <f t="shared" si="5"/>
        <v>117390.785531803</v>
      </c>
      <c r="G30" s="114">
        <f t="shared" si="4"/>
        <v>1357494.15308876</v>
      </c>
      <c r="H30" s="74">
        <v>0.350136033384621</v>
      </c>
      <c r="I30" s="140">
        <f t="shared" si="2"/>
        <v>475307.618105314</v>
      </c>
      <c r="J30" s="69">
        <f t="shared" si="7"/>
        <v>117390.785531803</v>
      </c>
      <c r="L30" s="139"/>
      <c r="M30" s="42"/>
      <c r="N30" s="142"/>
    </row>
    <row r="31" spans="1:14">
      <c r="A31" s="70"/>
      <c r="B31" s="65">
        <v>2045</v>
      </c>
      <c r="C31" s="72">
        <v>1396661.24529724</v>
      </c>
      <c r="D31" s="72">
        <v>0.363180316981303</v>
      </c>
      <c r="E31" s="75">
        <f t="shared" si="0"/>
        <v>507239.873782553</v>
      </c>
      <c r="F31" s="67">
        <f t="shared" si="5"/>
        <v>118186.195928304</v>
      </c>
      <c r="G31" s="114">
        <f t="shared" si="4"/>
        <v>1396661.24529724</v>
      </c>
      <c r="H31" s="74">
        <v>0.363180316981303</v>
      </c>
      <c r="I31" s="140">
        <f t="shared" si="2"/>
        <v>507239.873782553</v>
      </c>
      <c r="J31" s="69">
        <f t="shared" si="7"/>
        <v>118186.195928304</v>
      </c>
      <c r="L31" s="139"/>
      <c r="M31" s="42"/>
      <c r="N31" s="142"/>
    </row>
    <row r="32" spans="1:14">
      <c r="A32" s="70"/>
      <c r="B32" s="65">
        <v>2046</v>
      </c>
      <c r="C32" s="72">
        <v>1437652.81043632</v>
      </c>
      <c r="D32" s="72">
        <v>0.376712352154416</v>
      </c>
      <c r="E32" s="75">
        <f t="shared" si="0"/>
        <v>541581.571800873</v>
      </c>
      <c r="F32" s="67">
        <f t="shared" si="5"/>
        <v>119045.060882783</v>
      </c>
      <c r="G32" s="114">
        <f t="shared" si="4"/>
        <v>1437652.81043632</v>
      </c>
      <c r="H32" s="74">
        <v>0.376712352154416</v>
      </c>
      <c r="I32" s="140">
        <f t="shared" si="2"/>
        <v>541581.571800873</v>
      </c>
      <c r="J32" s="69">
        <f t="shared" si="7"/>
        <v>119045.060882783</v>
      </c>
      <c r="L32" s="139"/>
      <c r="M32" s="42"/>
      <c r="N32" s="142"/>
    </row>
    <row r="33" spans="1:14">
      <c r="A33" s="70"/>
      <c r="B33" s="65">
        <v>2047</v>
      </c>
      <c r="C33" s="72">
        <v>1480496.85973959</v>
      </c>
      <c r="D33" s="72">
        <v>0.390750451404284</v>
      </c>
      <c r="E33" s="75">
        <f t="shared" si="0"/>
        <v>578504.81624587</v>
      </c>
      <c r="F33" s="67">
        <f t="shared" si="5"/>
        <v>119963.358779989</v>
      </c>
      <c r="G33" s="114">
        <f t="shared" si="4"/>
        <v>1480496.85973959</v>
      </c>
      <c r="H33" s="74">
        <v>0.390750451404284</v>
      </c>
      <c r="I33" s="140">
        <f t="shared" si="2"/>
        <v>578504.81624587</v>
      </c>
      <c r="J33" s="69">
        <f t="shared" si="7"/>
        <v>119963.358779989</v>
      </c>
      <c r="L33" s="139"/>
      <c r="M33" s="42"/>
      <c r="N33" s="142"/>
    </row>
    <row r="34" spans="1:14">
      <c r="A34" s="70"/>
      <c r="B34" s="65">
        <v>2048</v>
      </c>
      <c r="C34" s="72">
        <v>1525221.40444061</v>
      </c>
      <c r="D34" s="72">
        <v>0.405313617899056</v>
      </c>
      <c r="E34" s="75">
        <f t="shared" si="0"/>
        <v>618193.005530903</v>
      </c>
      <c r="F34" s="67">
        <f t="shared" si="5"/>
        <v>120937.186129983</v>
      </c>
      <c r="G34" s="114">
        <f t="shared" si="4"/>
        <v>1525221.40444061</v>
      </c>
      <c r="H34" s="74">
        <v>0.405313617899056</v>
      </c>
      <c r="I34" s="140">
        <f t="shared" si="2"/>
        <v>618193.005530903</v>
      </c>
      <c r="J34" s="69">
        <f t="shared" si="7"/>
        <v>120937.186129983</v>
      </c>
      <c r="L34" s="139"/>
      <c r="M34" s="42"/>
      <c r="N34" s="142"/>
    </row>
    <row r="35" spans="1:14">
      <c r="A35" s="70"/>
      <c r="B35" s="65">
        <v>2049</v>
      </c>
      <c r="C35" s="72">
        <v>1571854.45577296</v>
      </c>
      <c r="D35" s="72">
        <v>0.420421571656348</v>
      </c>
      <c r="E35" s="75">
        <f t="shared" si="0"/>
        <v>660841.520711101</v>
      </c>
      <c r="F35" s="67">
        <f t="shared" si="5"/>
        <v>121962.755903124</v>
      </c>
      <c r="G35" s="114">
        <f t="shared" si="4"/>
        <v>1571854.45577296</v>
      </c>
      <c r="H35" s="74">
        <v>0.420421571656348</v>
      </c>
      <c r="I35" s="140">
        <f t="shared" si="2"/>
        <v>660841.520711101</v>
      </c>
      <c r="J35" s="69">
        <f t="shared" si="7"/>
        <v>121962.755903124</v>
      </c>
      <c r="L35" s="139"/>
      <c r="M35" s="42"/>
      <c r="N35" s="142"/>
    </row>
    <row r="36" spans="1:14">
      <c r="A36" s="70"/>
      <c r="B36" s="65">
        <v>2050</v>
      </c>
      <c r="C36" s="72">
        <v>1620424.02497023</v>
      </c>
      <c r="D36" s="72">
        <v>0.438172863436123</v>
      </c>
      <c r="E36" s="75">
        <f t="shared" si="0"/>
        <v>710025.835001893</v>
      </c>
      <c r="F36" s="67">
        <f t="shared" si="5"/>
        <v>123622.691082112</v>
      </c>
      <c r="G36" s="114">
        <f t="shared" si="4"/>
        <v>1620424.02497023</v>
      </c>
      <c r="H36" s="74">
        <v>0.438172863436123</v>
      </c>
      <c r="I36" s="140">
        <f t="shared" si="2"/>
        <v>710025.835001893</v>
      </c>
      <c r="J36" s="69">
        <f t="shared" si="7"/>
        <v>123622.691082112</v>
      </c>
      <c r="L36" s="139"/>
      <c r="M36" s="42"/>
      <c r="N36" s="142"/>
    </row>
    <row r="37" spans="1:14">
      <c r="A37" s="70"/>
      <c r="B37" s="65">
        <v>2051</v>
      </c>
      <c r="C37" s="72">
        <v>1732610.54357682</v>
      </c>
      <c r="D37" s="72">
        <v>0.46829115931315</v>
      </c>
      <c r="E37" s="75">
        <f t="shared" si="0"/>
        <v>811366.200089776</v>
      </c>
      <c r="F37" s="67">
        <f t="shared" si="5"/>
        <v>133270.825768014</v>
      </c>
      <c r="G37" s="114">
        <v>1702610.54357682</v>
      </c>
      <c r="H37" s="74">
        <v>0.46829115931315</v>
      </c>
      <c r="I37" s="140">
        <f t="shared" si="2"/>
        <v>797317.465310382</v>
      </c>
      <c r="J37" s="69">
        <f t="shared" si="7"/>
        <v>130963.253077854</v>
      </c>
      <c r="L37" s="139"/>
      <c r="M37" s="42"/>
      <c r="N37" s="142"/>
    </row>
    <row r="38" spans="1:14">
      <c r="A38" s="70"/>
      <c r="B38" s="65">
        <v>2052</v>
      </c>
      <c r="C38" s="72">
        <v>1746564.5336721</v>
      </c>
      <c r="D38" s="72">
        <v>0.500789952420779</v>
      </c>
      <c r="E38" s="75">
        <f t="shared" si="0"/>
        <v>874661.969717471</v>
      </c>
      <c r="F38" s="67">
        <f t="shared" si="5"/>
        <v>135535.341803188</v>
      </c>
      <c r="G38" s="114">
        <f t="shared" ref="G38:G56" si="8">C38</f>
        <v>1746564.5336721</v>
      </c>
      <c r="H38" s="74">
        <v>0.500789952420779</v>
      </c>
      <c r="I38" s="140">
        <f t="shared" si="2"/>
        <v>874661.969717471</v>
      </c>
      <c r="J38" s="69">
        <f t="shared" si="7"/>
        <v>135535.341803188</v>
      </c>
      <c r="L38" s="139"/>
      <c r="M38" s="142"/>
      <c r="N38" s="142"/>
    </row>
    <row r="39" spans="1:14">
      <c r="A39" s="70"/>
      <c r="B39" s="65">
        <v>2053</v>
      </c>
      <c r="C39" s="72">
        <v>1761139.098516</v>
      </c>
      <c r="D39" s="72">
        <v>0.535895508907805</v>
      </c>
      <c r="E39" s="75">
        <f t="shared" si="0"/>
        <v>943786.533456665</v>
      </c>
      <c r="F39" s="67">
        <f t="shared" si="5"/>
        <v>137968.588912184</v>
      </c>
      <c r="G39" s="114">
        <f t="shared" si="8"/>
        <v>1761139.098516</v>
      </c>
      <c r="H39" s="74">
        <v>0.535895508907805</v>
      </c>
      <c r="I39" s="140">
        <f t="shared" si="2"/>
        <v>943786.533456665</v>
      </c>
      <c r="J39" s="69">
        <f t="shared" si="7"/>
        <v>137968.588912184</v>
      </c>
      <c r="L39" s="139"/>
      <c r="M39" s="42"/>
      <c r="N39" s="142"/>
    </row>
    <row r="40" spans="1:14">
      <c r="A40" s="70"/>
      <c r="B40" s="65">
        <v>2054</v>
      </c>
      <c r="C40" s="72">
        <v>1776345.51085884</v>
      </c>
      <c r="D40" s="72">
        <v>0.573860666080758</v>
      </c>
      <c r="E40" s="75">
        <f t="shared" si="0"/>
        <v>1019374.81805102</v>
      </c>
      <c r="F40" s="67">
        <f t="shared" si="5"/>
        <v>140583.542227865</v>
      </c>
      <c r="G40" s="114">
        <f t="shared" si="8"/>
        <v>1776345.51085884</v>
      </c>
      <c r="H40" s="74">
        <v>0.573860666080758</v>
      </c>
      <c r="I40" s="140">
        <f t="shared" si="2"/>
        <v>1019374.81805102</v>
      </c>
      <c r="J40" s="69">
        <f t="shared" si="7"/>
        <v>140583.542227865</v>
      </c>
      <c r="L40" s="139"/>
      <c r="M40" s="42"/>
      <c r="N40" s="142"/>
    </row>
    <row r="41" spans="1:14">
      <c r="A41" s="70"/>
      <c r="B41" s="65">
        <v>2055</v>
      </c>
      <c r="C41" s="72">
        <v>1792195.0477215</v>
      </c>
      <c r="D41" s="72">
        <v>0.614968699666208</v>
      </c>
      <c r="E41" s="75">
        <f t="shared" si="0"/>
        <v>1102143.85804551</v>
      </c>
      <c r="F41" s="67">
        <f t="shared" si="5"/>
        <v>143394.667250944</v>
      </c>
      <c r="G41" s="114">
        <f t="shared" si="8"/>
        <v>1792195.0477215</v>
      </c>
      <c r="H41" s="74">
        <v>0.614968699666208</v>
      </c>
      <c r="I41" s="140">
        <f t="shared" si="2"/>
        <v>1102143.85804551</v>
      </c>
      <c r="J41" s="69">
        <f t="shared" si="7"/>
        <v>143394.667250944</v>
      </c>
      <c r="L41" s="139"/>
      <c r="M41" s="42"/>
      <c r="N41" s="142"/>
    </row>
    <row r="42" spans="1:14">
      <c r="A42" s="70"/>
      <c r="B42" s="65">
        <v>2056</v>
      </c>
      <c r="C42" s="72">
        <v>1808698.99038457</v>
      </c>
      <c r="D42" s="72">
        <v>0.65953787914098</v>
      </c>
      <c r="E42" s="75">
        <f t="shared" si="0"/>
        <v>1192905.49612267</v>
      </c>
      <c r="F42" s="67">
        <f t="shared" si="5"/>
        <v>146418.141496602</v>
      </c>
      <c r="G42" s="114">
        <f t="shared" si="8"/>
        <v>1808698.99038457</v>
      </c>
      <c r="H42" s="74">
        <v>0.65953787914098</v>
      </c>
      <c r="I42" s="140">
        <f t="shared" si="2"/>
        <v>1192905.49612267</v>
      </c>
      <c r="J42" s="69">
        <f t="shared" si="7"/>
        <v>146418.141496602</v>
      </c>
      <c r="L42" s="139"/>
      <c r="M42" s="42"/>
      <c r="N42" s="142"/>
    </row>
    <row r="43" spans="1:14">
      <c r="A43" s="70"/>
      <c r="B43" s="65">
        <v>2057</v>
      </c>
      <c r="C43" s="72">
        <v>1825868.6243776</v>
      </c>
      <c r="D43" s="72">
        <v>0.707926857945546</v>
      </c>
      <c r="E43" s="75">
        <f t="shared" si="0"/>
        <v>1292581.43827699</v>
      </c>
      <c r="F43" s="67">
        <f t="shared" si="5"/>
        <v>149672.116589372</v>
      </c>
      <c r="G43" s="114">
        <f t="shared" si="8"/>
        <v>1825868.6243776</v>
      </c>
      <c r="H43" s="74">
        <v>0.707926857945546</v>
      </c>
      <c r="I43" s="140">
        <f t="shared" si="2"/>
        <v>1292581.43827699</v>
      </c>
      <c r="J43" s="69">
        <f t="shared" si="7"/>
        <v>149672.116589372</v>
      </c>
      <c r="L43" s="139"/>
      <c r="M43" s="42"/>
      <c r="N43" s="142"/>
    </row>
    <row r="44" spans="1:14">
      <c r="A44" s="70"/>
      <c r="B44" s="65">
        <v>2058</v>
      </c>
      <c r="C44" s="72">
        <v>1843715.23946823</v>
      </c>
      <c r="D44" s="72">
        <v>0.760541082305253</v>
      </c>
      <c r="E44" s="75">
        <f t="shared" si="0"/>
        <v>1402221.18368786</v>
      </c>
      <c r="F44" s="67">
        <f t="shared" si="5"/>
        <v>153177.029704931</v>
      </c>
      <c r="G44" s="114">
        <f t="shared" si="8"/>
        <v>1843715.23946823</v>
      </c>
      <c r="H44" s="74">
        <v>0.760541082305253</v>
      </c>
      <c r="I44" s="140">
        <f t="shared" si="2"/>
        <v>1402221.18368786</v>
      </c>
      <c r="J44" s="69">
        <f t="shared" si="7"/>
        <v>153177.029704931</v>
      </c>
      <c r="L44" s="139"/>
      <c r="M44" s="42"/>
      <c r="N44" s="142"/>
    </row>
    <row r="45" spans="1:14">
      <c r="A45" s="70"/>
      <c r="B45" s="65">
        <v>2059</v>
      </c>
      <c r="C45" s="72">
        <v>1862250.12965144</v>
      </c>
      <c r="D45" s="72">
        <v>0.81784045007006</v>
      </c>
      <c r="E45" s="75">
        <f t="shared" si="0"/>
        <v>1523023.48417716</v>
      </c>
      <c r="F45" s="67">
        <f t="shared" si="5"/>
        <v>156955.975566922</v>
      </c>
      <c r="G45" s="114">
        <f t="shared" si="8"/>
        <v>1862250.12965144</v>
      </c>
      <c r="H45" s="74">
        <v>0.81784045007006</v>
      </c>
      <c r="I45" s="140">
        <f t="shared" si="2"/>
        <v>1523023.48417716</v>
      </c>
      <c r="J45" s="69">
        <f t="shared" si="7"/>
        <v>156955.975566922</v>
      </c>
      <c r="L45" s="139"/>
      <c r="M45" s="142"/>
      <c r="N45" s="142"/>
    </row>
    <row r="46" spans="1:14">
      <c r="A46" s="70"/>
      <c r="B46" s="65">
        <v>2060</v>
      </c>
      <c r="C46" s="72">
        <v>1881484.59313874</v>
      </c>
      <c r="D46" s="72">
        <v>0.880348513059654</v>
      </c>
      <c r="E46" s="75">
        <f t="shared" si="0"/>
        <v>1656362.16391434</v>
      </c>
      <c r="F46" s="67">
        <f t="shared" si="5"/>
        <v>161035.153213346</v>
      </c>
      <c r="G46" s="114">
        <f t="shared" si="8"/>
        <v>1881484.59313874</v>
      </c>
      <c r="H46" s="74">
        <v>0.880348513059654</v>
      </c>
      <c r="I46" s="140">
        <f t="shared" si="2"/>
        <v>1656362.16391434</v>
      </c>
      <c r="J46" s="69">
        <f t="shared" si="7"/>
        <v>161035.153213346</v>
      </c>
      <c r="L46" s="139"/>
      <c r="M46" s="42"/>
      <c r="N46" s="142"/>
    </row>
    <row r="47" spans="1:14">
      <c r="A47" s="70"/>
      <c r="B47" s="65">
        <v>2061</v>
      </c>
      <c r="C47" s="72">
        <v>1901429.93234735</v>
      </c>
      <c r="D47" s="72">
        <v>0.922280645729594</v>
      </c>
      <c r="E47" s="75">
        <f t="shared" si="0"/>
        <v>1753652.02581489</v>
      </c>
      <c r="F47" s="67">
        <f t="shared" si="5"/>
        <v>160843.289084129</v>
      </c>
      <c r="G47" s="114">
        <v>1881429.93234735</v>
      </c>
      <c r="H47" s="74">
        <v>0.922280645729594</v>
      </c>
      <c r="I47" s="140">
        <f t="shared" si="2"/>
        <v>1735206.4129003</v>
      </c>
      <c r="J47" s="69">
        <f t="shared" si="7"/>
        <v>159151.475083015</v>
      </c>
      <c r="L47" s="139"/>
      <c r="M47" s="42"/>
      <c r="N47" s="142"/>
    </row>
    <row r="48" spans="1:14">
      <c r="A48" s="70"/>
      <c r="B48" s="65">
        <v>2062</v>
      </c>
      <c r="C48" s="72">
        <v>1922097.4538894</v>
      </c>
      <c r="D48" s="72">
        <v>0.966206614239215</v>
      </c>
      <c r="E48" s="75">
        <f t="shared" si="0"/>
        <v>1857143.27316029</v>
      </c>
      <c r="F48" s="67">
        <f t="shared" si="5"/>
        <v>160693.78062013</v>
      </c>
      <c r="G48" s="114">
        <f t="shared" si="8"/>
        <v>1922097.4538894</v>
      </c>
      <c r="H48" s="74">
        <v>0.966206614239215</v>
      </c>
      <c r="I48" s="140">
        <f t="shared" si="2"/>
        <v>1857143.27316029</v>
      </c>
      <c r="J48" s="69">
        <f t="shared" si="7"/>
        <v>160693.78062013</v>
      </c>
      <c r="L48" s="139"/>
      <c r="M48" s="42"/>
      <c r="N48" s="142"/>
    </row>
    <row r="49" spans="1:14">
      <c r="A49" s="70"/>
      <c r="B49" s="65">
        <v>2063</v>
      </c>
      <c r="C49" s="72">
        <v>1943498.46856114</v>
      </c>
      <c r="D49" s="72">
        <v>1.01222196317284</v>
      </c>
      <c r="E49" s="75">
        <f t="shared" si="0"/>
        <v>1967251.83527037</v>
      </c>
      <c r="F49" s="67">
        <f t="shared" si="5"/>
        <v>160586.026718833</v>
      </c>
      <c r="G49" s="114">
        <f t="shared" si="8"/>
        <v>1943498.46856114</v>
      </c>
      <c r="H49" s="74">
        <v>1.01222196317284</v>
      </c>
      <c r="I49" s="140">
        <f t="shared" si="2"/>
        <v>1967251.83527037</v>
      </c>
      <c r="J49" s="69">
        <f t="shared" si="7"/>
        <v>160586.026718833</v>
      </c>
      <c r="L49" s="139"/>
      <c r="M49" s="42"/>
      <c r="N49" s="142"/>
    </row>
    <row r="50" spans="1:14">
      <c r="A50" s="70"/>
      <c r="B50" s="65">
        <v>2064</v>
      </c>
      <c r="C50" s="72">
        <v>1965644.29133214</v>
      </c>
      <c r="D50" s="72">
        <v>1.06042689248415</v>
      </c>
      <c r="E50" s="75">
        <f t="shared" si="0"/>
        <v>2084422.06758655</v>
      </c>
      <c r="F50" s="67">
        <f t="shared" si="5"/>
        <v>160519.423276169</v>
      </c>
      <c r="G50" s="114">
        <f t="shared" si="8"/>
        <v>1965644.29133214</v>
      </c>
      <c r="H50" s="74">
        <v>1.06042689248415</v>
      </c>
      <c r="I50" s="140">
        <f t="shared" si="2"/>
        <v>2084422.06758655</v>
      </c>
      <c r="J50" s="69">
        <f t="shared" si="7"/>
        <v>160519.423276169</v>
      </c>
      <c r="L50" s="139"/>
      <c r="M50" s="42"/>
      <c r="N50" s="142"/>
    </row>
    <row r="51" spans="1:14">
      <c r="A51" s="70"/>
      <c r="B51" s="65">
        <v>2065</v>
      </c>
      <c r="C51" s="72">
        <v>1988546.24133447</v>
      </c>
      <c r="D51" s="72">
        <v>1.11092649022989</v>
      </c>
      <c r="E51" s="75">
        <f t="shared" si="0"/>
        <v>2209128.69654554</v>
      </c>
      <c r="F51" s="67">
        <f t="shared" si="5"/>
        <v>160493.364050761</v>
      </c>
      <c r="G51" s="114">
        <f t="shared" si="8"/>
        <v>1988546.24133447</v>
      </c>
      <c r="H51" s="74">
        <v>1.11092649022989</v>
      </c>
      <c r="I51" s="140">
        <f t="shared" si="2"/>
        <v>2209128.69654554</v>
      </c>
      <c r="J51" s="69">
        <f t="shared" si="7"/>
        <v>160493.364050761</v>
      </c>
      <c r="L51" s="139"/>
      <c r="M51" s="42"/>
      <c r="N51" s="142"/>
    </row>
    <row r="52" spans="1:14">
      <c r="A52" s="70"/>
      <c r="B52" s="65">
        <v>2066</v>
      </c>
      <c r="C52" s="72">
        <v>2012215.64185192</v>
      </c>
      <c r="D52" s="72">
        <v>1.16383097735608</v>
      </c>
      <c r="E52" s="75">
        <f t="shared" si="0"/>
        <v>2341878.89710771</v>
      </c>
      <c r="F52" s="67">
        <f t="shared" si="5"/>
        <v>160507.241501378</v>
      </c>
      <c r="G52" s="114">
        <f t="shared" si="8"/>
        <v>2012215.64185192</v>
      </c>
      <c r="H52" s="74">
        <v>1.16383097735608</v>
      </c>
      <c r="I52" s="140">
        <f t="shared" si="2"/>
        <v>2341878.89710771</v>
      </c>
      <c r="J52" s="69">
        <f t="shared" si="7"/>
        <v>160507.241501378</v>
      </c>
      <c r="L52" s="139"/>
      <c r="M52" s="42"/>
      <c r="N52" s="142"/>
    </row>
    <row r="53" spans="1:14">
      <c r="A53" s="70"/>
      <c r="B53" s="65">
        <v>2067</v>
      </c>
      <c r="C53" s="72">
        <v>2036663.82030916</v>
      </c>
      <c r="D53" s="72">
        <v>1.21925596518968</v>
      </c>
      <c r="E53" s="75">
        <f t="shared" si="0"/>
        <v>2483214.51199795</v>
      </c>
      <c r="F53" s="67">
        <f t="shared" si="5"/>
        <v>160560.447598266</v>
      </c>
      <c r="G53" s="114">
        <f t="shared" si="8"/>
        <v>2036663.82030916</v>
      </c>
      <c r="H53" s="74">
        <v>1.21925596518968</v>
      </c>
      <c r="I53" s="140">
        <f t="shared" si="2"/>
        <v>2483214.51199795</v>
      </c>
      <c r="J53" s="69">
        <f t="shared" si="7"/>
        <v>160560.447598266</v>
      </c>
      <c r="L53" s="139"/>
      <c r="M53" s="42"/>
      <c r="N53" s="142"/>
    </row>
    <row r="54" spans="1:14">
      <c r="A54" s="70"/>
      <c r="B54" s="65">
        <v>2068</v>
      </c>
      <c r="C54" s="72">
        <v>2061902.10826099</v>
      </c>
      <c r="D54" s="72">
        <v>1.27732272632625</v>
      </c>
      <c r="E54" s="75">
        <f t="shared" si="0"/>
        <v>2633714.42234177</v>
      </c>
      <c r="F54" s="67">
        <f t="shared" si="5"/>
        <v>160652.374609093</v>
      </c>
      <c r="G54" s="114">
        <f t="shared" si="8"/>
        <v>2061902.10826099</v>
      </c>
      <c r="H54" s="74">
        <v>1.27732272632625</v>
      </c>
      <c r="I54" s="140">
        <f t="shared" si="2"/>
        <v>2633714.42234177</v>
      </c>
      <c r="J54" s="69">
        <f t="shared" si="7"/>
        <v>160652.374609093</v>
      </c>
      <c r="L54" s="139"/>
      <c r="M54" s="42"/>
      <c r="N54" s="142"/>
    </row>
    <row r="55" spans="1:14">
      <c r="A55" s="70"/>
      <c r="B55" s="65">
        <v>2069</v>
      </c>
      <c r="C55" s="72">
        <v>2087941.84138149</v>
      </c>
      <c r="D55" s="72">
        <v>1.33815847964388</v>
      </c>
      <c r="E55" s="75">
        <f t="shared" si="0"/>
        <v>2793997.0800479</v>
      </c>
      <c r="F55" s="67">
        <f t="shared" si="5"/>
        <v>160782.415860203</v>
      </c>
      <c r="G55" s="114">
        <f t="shared" si="8"/>
        <v>2087941.84138149</v>
      </c>
      <c r="H55" s="74">
        <v>1.33815847964388</v>
      </c>
      <c r="I55" s="140">
        <f t="shared" si="2"/>
        <v>2793997.0800479</v>
      </c>
      <c r="J55" s="69">
        <f t="shared" si="7"/>
        <v>160782.415860203</v>
      </c>
      <c r="L55" s="139"/>
      <c r="M55" s="42"/>
      <c r="N55" s="142"/>
    </row>
    <row r="56" spans="1:14">
      <c r="A56" s="70"/>
      <c r="B56" s="65">
        <v>2070</v>
      </c>
      <c r="C56" s="72">
        <v>2114794.35945326</v>
      </c>
      <c r="D56" s="72">
        <v>1.40189669021553</v>
      </c>
      <c r="E56" s="75">
        <f t="shared" si="0"/>
        <v>2964723.213004</v>
      </c>
      <c r="F56" s="67">
        <f t="shared" si="5"/>
        <v>160949.966473903</v>
      </c>
      <c r="G56" s="114">
        <f t="shared" si="8"/>
        <v>2114794.35945326</v>
      </c>
      <c r="H56" s="74">
        <v>1.40189669021553</v>
      </c>
      <c r="I56" s="140">
        <f t="shared" si="2"/>
        <v>2964723.213004</v>
      </c>
      <c r="J56" s="69">
        <f t="shared" si="7"/>
        <v>160949.966473903</v>
      </c>
      <c r="L56" s="139"/>
      <c r="M56" s="42"/>
      <c r="N56" s="142"/>
    </row>
    <row r="57" spans="1:14">
      <c r="A57" s="64" t="s">
        <v>214</v>
      </c>
      <c r="B57" s="71">
        <v>2071</v>
      </c>
      <c r="C57" s="115">
        <v>-1922311.13</v>
      </c>
      <c r="D57" s="116">
        <f>D56</f>
        <v>1.40189669021553</v>
      </c>
      <c r="E57" s="75">
        <f t="shared" si="0"/>
        <v>-2694881.61071148</v>
      </c>
      <c r="F57" s="75">
        <f t="shared" si="5"/>
        <v>-138019.535788161</v>
      </c>
      <c r="G57" s="117">
        <v>-2492323.01</v>
      </c>
      <c r="H57" s="74">
        <f>H56</f>
        <v>1.40189669021553</v>
      </c>
      <c r="I57" s="140">
        <f t="shared" si="2"/>
        <v>-3493979.37866701</v>
      </c>
      <c r="J57" s="76">
        <f t="shared" si="7"/>
        <v>-178945.676121821</v>
      </c>
      <c r="L57" s="143"/>
      <c r="M57" s="90"/>
      <c r="N57" s="138"/>
    </row>
    <row r="58" s="88" customFormat="1" spans="1:12">
      <c r="A58" s="118"/>
      <c r="B58" s="78" t="s">
        <v>215</v>
      </c>
      <c r="C58" s="115">
        <f>SUM(C4:C57)</f>
        <v>75183002.7826367</v>
      </c>
      <c r="D58" s="119"/>
      <c r="E58" s="120"/>
      <c r="F58" s="121">
        <f>SUM(F4:F57)</f>
        <v>7424113.28620404</v>
      </c>
      <c r="G58" s="122">
        <f>SUM(G4:G57)</f>
        <v>74033296.0861967</v>
      </c>
      <c r="H58" s="123"/>
      <c r="I58" s="122"/>
      <c r="J58" s="144">
        <f>SUM(J4:J57)</f>
        <v>7285176.83876119</v>
      </c>
      <c r="L58" s="145"/>
    </row>
    <row r="59" ht="13.5" spans="1:15">
      <c r="A59" s="124"/>
      <c r="B59" s="125" t="s">
        <v>216</v>
      </c>
      <c r="C59" s="126">
        <f>C58/6129.16</f>
        <v>12266.4447954755</v>
      </c>
      <c r="D59" s="127"/>
      <c r="E59" s="127"/>
      <c r="F59" s="126">
        <f>F58/6129.16</f>
        <v>1211.27744849278</v>
      </c>
      <c r="G59" s="128">
        <f>G58/6129.16</f>
        <v>12078.8649808778</v>
      </c>
      <c r="H59" s="128"/>
      <c r="I59" s="128"/>
      <c r="J59" s="146">
        <f>J58/6129.16</f>
        <v>1188.60934267684</v>
      </c>
      <c r="L59" s="147"/>
      <c r="M59" s="40"/>
      <c r="N59" s="40"/>
      <c r="O59" s="148"/>
    </row>
    <row r="60" spans="5:15">
      <c r="E60" s="92"/>
      <c r="F60" s="91"/>
      <c r="G60" s="40"/>
      <c r="L60" s="147"/>
      <c r="M60" s="141"/>
      <c r="N60" s="141"/>
      <c r="O60" s="139"/>
    </row>
    <row r="61" spans="12:15">
      <c r="L61" s="147"/>
      <c r="M61" s="44"/>
      <c r="N61" s="44"/>
      <c r="O61" s="139"/>
    </row>
    <row r="62" spans="1:15">
      <c r="A62" s="129"/>
      <c r="B62" s="41"/>
      <c r="L62" s="147"/>
      <c r="M62" s="40"/>
      <c r="N62" s="92"/>
      <c r="O62" s="139"/>
    </row>
    <row r="63" spans="1:14">
      <c r="A63" s="129"/>
      <c r="B63" s="41"/>
      <c r="N63" s="40"/>
    </row>
    <row r="64" spans="13:14">
      <c r="M64" s="44"/>
      <c r="N64" s="149"/>
    </row>
    <row r="65" spans="3:13">
      <c r="C65" s="150"/>
      <c r="G65" s="151"/>
      <c r="M65" s="44"/>
    </row>
    <row r="67" spans="1:1">
      <c r="A67" s="152"/>
    </row>
    <row r="68" spans="1:1">
      <c r="A68" s="152"/>
    </row>
  </sheetData>
  <mergeCells count="6">
    <mergeCell ref="A1:J1"/>
    <mergeCell ref="C2:F2"/>
    <mergeCell ref="G2:J2"/>
    <mergeCell ref="A2:A3"/>
    <mergeCell ref="A6:A56"/>
    <mergeCell ref="B2:B3"/>
  </mergeCells>
  <pageMargins left="0" right="0" top="0" bottom="0" header="0.298611111111111" footer="0.298611111111111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selection activeCell="K36" sqref="K36"/>
    </sheetView>
  </sheetViews>
  <sheetFormatPr defaultColWidth="9" defaultRowHeight="12.75" outlineLevelCol="5"/>
  <cols>
    <col min="1" max="1" width="5" style="40" customWidth="1"/>
    <col min="2" max="2" width="8.525" style="41" customWidth="1"/>
    <col min="3" max="3" width="10.8666666666667" style="42" customWidth="1"/>
    <col min="4" max="4" width="17.25" style="43" customWidth="1"/>
    <col min="5" max="5" width="11.5333333333333" style="44" customWidth="1"/>
    <col min="6" max="6" width="17.25" style="43" customWidth="1"/>
    <col min="7" max="7" width="9" style="40"/>
    <col min="8" max="8" width="4.625" style="40" customWidth="1"/>
    <col min="9" max="16384" width="9" style="40"/>
  </cols>
  <sheetData>
    <row r="1" ht="13.5" spans="1:6">
      <c r="A1" s="45" t="s">
        <v>217</v>
      </c>
      <c r="B1" s="45"/>
      <c r="C1" s="45"/>
      <c r="D1" s="45"/>
      <c r="E1" s="45"/>
      <c r="F1" s="45"/>
    </row>
    <row r="2" spans="1:6">
      <c r="A2" s="46" t="s">
        <v>205</v>
      </c>
      <c r="B2" s="47" t="s">
        <v>187</v>
      </c>
      <c r="C2" s="48" t="s">
        <v>206</v>
      </c>
      <c r="D2" s="49"/>
      <c r="E2" s="50" t="s">
        <v>207</v>
      </c>
      <c r="F2" s="51"/>
    </row>
    <row r="3" ht="26.25" spans="1:6">
      <c r="A3" s="52"/>
      <c r="B3" s="53"/>
      <c r="C3" s="54" t="s">
        <v>218</v>
      </c>
      <c r="D3" s="55" t="s">
        <v>219</v>
      </c>
      <c r="E3" s="56" t="s">
        <v>218</v>
      </c>
      <c r="F3" s="57" t="s">
        <v>219</v>
      </c>
    </row>
    <row r="4" spans="1:6">
      <c r="A4" s="58" t="s">
        <v>211</v>
      </c>
      <c r="B4" s="59">
        <v>2018</v>
      </c>
      <c r="C4" s="60">
        <v>8014643.03</v>
      </c>
      <c r="D4" s="61">
        <f>C4</f>
        <v>8014643.03</v>
      </c>
      <c r="E4" s="62">
        <v>9125430.6968</v>
      </c>
      <c r="F4" s="63">
        <f>E4</f>
        <v>9125430.6968</v>
      </c>
    </row>
    <row r="5" spans="1:6">
      <c r="A5" s="64" t="s">
        <v>212</v>
      </c>
      <c r="B5" s="65">
        <v>2019</v>
      </c>
      <c r="C5" s="66">
        <v>6775530.1</v>
      </c>
      <c r="D5" s="67">
        <f>C5</f>
        <v>6775530.1</v>
      </c>
      <c r="E5" s="68">
        <v>6922568.6484</v>
      </c>
      <c r="F5" s="69">
        <f>E5</f>
        <v>6922568.6484</v>
      </c>
    </row>
    <row r="6" spans="1:6">
      <c r="A6" s="70" t="s">
        <v>213</v>
      </c>
      <c r="B6" s="71">
        <v>2020</v>
      </c>
      <c r="C6" s="72">
        <v>1093137.156448</v>
      </c>
      <c r="D6" s="67">
        <f>C6</f>
        <v>1093137.156448</v>
      </c>
      <c r="E6" s="68">
        <v>1093137.1569984</v>
      </c>
      <c r="F6" s="69">
        <f>E6</f>
        <v>1093137.1569984</v>
      </c>
    </row>
    <row r="7" spans="1:6">
      <c r="A7" s="70"/>
      <c r="B7" s="71">
        <v>2021</v>
      </c>
      <c r="C7" s="72">
        <v>1106649.23769282</v>
      </c>
      <c r="D7" s="67">
        <f t="shared" ref="D7:D56" si="0">PV(6%,B7-$B$6,,-C7,1)</f>
        <v>1044008.71480455</v>
      </c>
      <c r="E7" s="73">
        <v>1106649.23769282</v>
      </c>
      <c r="F7" s="69">
        <f>PV(6%,B7-$B$6,,-E7,1)</f>
        <v>1044008.71480455</v>
      </c>
    </row>
    <row r="8" spans="1:6">
      <c r="A8" s="70"/>
      <c r="B8" s="71">
        <v>2022</v>
      </c>
      <c r="C8" s="72">
        <v>1120747.23458356</v>
      </c>
      <c r="D8" s="67">
        <f t="shared" si="0"/>
        <v>997461.04893517</v>
      </c>
      <c r="E8" s="73">
        <v>1120747.23458356</v>
      </c>
      <c r="F8" s="69">
        <f t="shared" ref="F8:F23" si="1">PV(6%,B8-$B$6,,-E8,1)</f>
        <v>997461.04893517</v>
      </c>
    </row>
    <row r="9" spans="1:6">
      <c r="A9" s="70"/>
      <c r="B9" s="71">
        <v>2023</v>
      </c>
      <c r="C9" s="72">
        <v>1136017.06276611</v>
      </c>
      <c r="D9" s="67">
        <f t="shared" si="0"/>
        <v>953821.831752143</v>
      </c>
      <c r="E9" s="73">
        <v>1136017.06276611</v>
      </c>
      <c r="F9" s="69">
        <f t="shared" si="1"/>
        <v>953821.831752143</v>
      </c>
    </row>
    <row r="10" spans="1:6">
      <c r="A10" s="70"/>
      <c r="B10" s="71">
        <v>2024</v>
      </c>
      <c r="C10" s="72">
        <v>1153044.6378864</v>
      </c>
      <c r="D10" s="67">
        <f t="shared" si="0"/>
        <v>913319.351100393</v>
      </c>
      <c r="E10" s="73">
        <v>1153044.6378864</v>
      </c>
      <c r="F10" s="69">
        <f t="shared" si="1"/>
        <v>913319.351100393</v>
      </c>
    </row>
    <row r="11" spans="1:6">
      <c r="A11" s="70"/>
      <c r="B11" s="71">
        <v>2025</v>
      </c>
      <c r="C11" s="72">
        <v>1170947.14252786</v>
      </c>
      <c r="D11" s="67">
        <f t="shared" si="0"/>
        <v>874999.822248101</v>
      </c>
      <c r="E11" s="73">
        <v>1170947.14252786</v>
      </c>
      <c r="F11" s="69">
        <f t="shared" si="1"/>
        <v>874999.822248101</v>
      </c>
    </row>
    <row r="12" spans="1:6">
      <c r="A12" s="70"/>
      <c r="B12" s="71">
        <v>2026</v>
      </c>
      <c r="C12" s="72">
        <v>1194716.69152381</v>
      </c>
      <c r="D12" s="67">
        <f t="shared" si="0"/>
        <v>842228.124528926</v>
      </c>
      <c r="E12" s="73">
        <v>1194716.69152381</v>
      </c>
      <c r="F12" s="69">
        <f t="shared" si="1"/>
        <v>842228.124528926</v>
      </c>
    </row>
    <row r="13" spans="1:6">
      <c r="A13" s="70"/>
      <c r="B13" s="71">
        <v>2027</v>
      </c>
      <c r="C13" s="72">
        <v>1220533.00133275</v>
      </c>
      <c r="D13" s="67">
        <f t="shared" si="0"/>
        <v>811724.154947168</v>
      </c>
      <c r="E13" s="73">
        <v>1220533.00133275</v>
      </c>
      <c r="F13" s="69">
        <f t="shared" si="1"/>
        <v>811724.154947168</v>
      </c>
    </row>
    <row r="14" spans="1:6">
      <c r="A14" s="70"/>
      <c r="B14" s="71">
        <v>2028</v>
      </c>
      <c r="C14" s="72">
        <v>1250450.72066307</v>
      </c>
      <c r="D14" s="67">
        <f t="shared" si="0"/>
        <v>784548.251897314</v>
      </c>
      <c r="E14" s="73">
        <v>1250450.72066307</v>
      </c>
      <c r="F14" s="69">
        <f t="shared" si="1"/>
        <v>784548.251897314</v>
      </c>
    </row>
    <row r="15" spans="1:6">
      <c r="A15" s="70"/>
      <c r="B15" s="71">
        <v>2029</v>
      </c>
      <c r="C15" s="72">
        <v>1285055.76516068</v>
      </c>
      <c r="D15" s="67">
        <f t="shared" si="0"/>
        <v>760622.532949005</v>
      </c>
      <c r="E15" s="73">
        <v>1285055.76516068</v>
      </c>
      <c r="F15" s="69">
        <f t="shared" si="1"/>
        <v>760622.532949005</v>
      </c>
    </row>
    <row r="16" spans="1:6">
      <c r="A16" s="70"/>
      <c r="B16" s="71">
        <v>2030</v>
      </c>
      <c r="C16" s="72">
        <v>1324934.05047148</v>
      </c>
      <c r="D16" s="67">
        <f t="shared" si="0"/>
        <v>739836.253540263</v>
      </c>
      <c r="E16" s="73">
        <v>1324934.05047148</v>
      </c>
      <c r="F16" s="69">
        <f t="shared" si="1"/>
        <v>739836.253540263</v>
      </c>
    </row>
    <row r="17" spans="1:6">
      <c r="A17" s="70"/>
      <c r="B17" s="71">
        <v>2031</v>
      </c>
      <c r="C17" s="72">
        <v>1306388.33117011</v>
      </c>
      <c r="D17" s="67">
        <f t="shared" si="0"/>
        <v>688189.076177591</v>
      </c>
      <c r="E17" s="73">
        <v>1306388.33117011</v>
      </c>
      <c r="F17" s="69">
        <f t="shared" si="1"/>
        <v>688189.076177591</v>
      </c>
    </row>
    <row r="18" spans="1:6">
      <c r="A18" s="70"/>
      <c r="B18" s="71">
        <v>2032</v>
      </c>
      <c r="C18" s="72">
        <v>1330840.58021747</v>
      </c>
      <c r="D18" s="67">
        <f t="shared" si="0"/>
        <v>661386.996173121</v>
      </c>
      <c r="E18" s="73">
        <v>1330840.58021747</v>
      </c>
      <c r="F18" s="69">
        <f t="shared" si="1"/>
        <v>661386.996173121</v>
      </c>
    </row>
    <row r="19" spans="1:6">
      <c r="A19" s="70"/>
      <c r="B19" s="71">
        <v>2033</v>
      </c>
      <c r="C19" s="72">
        <v>1356238.61807844</v>
      </c>
      <c r="D19" s="67">
        <f t="shared" si="0"/>
        <v>635857.587627354</v>
      </c>
      <c r="E19" s="73">
        <v>1356238.61807844</v>
      </c>
      <c r="F19" s="69">
        <f t="shared" si="1"/>
        <v>635857.587627354</v>
      </c>
    </row>
    <row r="20" spans="1:6">
      <c r="A20" s="70"/>
      <c r="B20" s="71">
        <v>2034</v>
      </c>
      <c r="C20" s="72">
        <v>1383579.31697379</v>
      </c>
      <c r="D20" s="67">
        <f t="shared" si="0"/>
        <v>611958.466193278</v>
      </c>
      <c r="E20" s="73">
        <v>1383579.31697379</v>
      </c>
      <c r="F20" s="69">
        <f t="shared" si="1"/>
        <v>611958.466193278</v>
      </c>
    </row>
    <row r="21" spans="1:6">
      <c r="A21" s="70"/>
      <c r="B21" s="71">
        <v>2035</v>
      </c>
      <c r="C21" s="72">
        <v>1412899.23871093</v>
      </c>
      <c r="D21" s="67">
        <f t="shared" si="0"/>
        <v>589553.486653915</v>
      </c>
      <c r="E21" s="73">
        <v>1412899.23871093</v>
      </c>
      <c r="F21" s="69">
        <f t="shared" si="1"/>
        <v>589553.486653915</v>
      </c>
    </row>
    <row r="22" spans="1:6">
      <c r="A22" s="70"/>
      <c r="B22" s="71">
        <v>2036</v>
      </c>
      <c r="C22" s="72">
        <v>1444234.94509727</v>
      </c>
      <c r="D22" s="67">
        <f t="shared" si="0"/>
        <v>568517.718945661</v>
      </c>
      <c r="E22" s="73">
        <v>1394234.9457616</v>
      </c>
      <c r="F22" s="69">
        <f t="shared" si="1"/>
        <v>548835.405021537</v>
      </c>
    </row>
    <row r="23" spans="1:6">
      <c r="A23" s="70"/>
      <c r="B23" s="71">
        <v>2037</v>
      </c>
      <c r="C23" s="72">
        <v>1477622.99794021</v>
      </c>
      <c r="D23" s="67">
        <f t="shared" si="0"/>
        <v>548736.60553556</v>
      </c>
      <c r="E23" s="74">
        <v>1477622.99794021</v>
      </c>
      <c r="F23" s="69">
        <f t="shared" si="1"/>
        <v>548736.60553556</v>
      </c>
    </row>
    <row r="24" spans="1:6">
      <c r="A24" s="70"/>
      <c r="B24" s="71">
        <v>2038</v>
      </c>
      <c r="C24" s="72">
        <v>1513099.95904719</v>
      </c>
      <c r="D24" s="67">
        <f t="shared" si="0"/>
        <v>530105.176010035</v>
      </c>
      <c r="E24" s="74">
        <v>1513099.95904719</v>
      </c>
      <c r="F24" s="69">
        <f t="shared" ref="F24:F46" si="2">PV(6%,B24-$B$6,,-E24,1)</f>
        <v>530105.176010035</v>
      </c>
    </row>
    <row r="25" spans="1:6">
      <c r="A25" s="70"/>
      <c r="B25" s="71">
        <v>2039</v>
      </c>
      <c r="C25" s="72">
        <v>1550702.3902256</v>
      </c>
      <c r="D25" s="67">
        <f t="shared" si="0"/>
        <v>512527.315381844</v>
      </c>
      <c r="E25" s="74">
        <v>1550702.3902256</v>
      </c>
      <c r="F25" s="69">
        <f t="shared" si="2"/>
        <v>512527.315381844</v>
      </c>
    </row>
    <row r="26" spans="1:6">
      <c r="A26" s="70"/>
      <c r="B26" s="71">
        <v>2040</v>
      </c>
      <c r="C26" s="72">
        <v>1590466.85328286</v>
      </c>
      <c r="D26" s="67">
        <f t="shared" si="0"/>
        <v>495915.082809231</v>
      </c>
      <c r="E26" s="74">
        <v>1590466.85328286</v>
      </c>
      <c r="F26" s="69">
        <f t="shared" si="2"/>
        <v>495915.082809231</v>
      </c>
    </row>
    <row r="27" spans="1:6">
      <c r="A27" s="70"/>
      <c r="B27" s="71">
        <v>2041</v>
      </c>
      <c r="C27" s="72">
        <v>1632429.91002638</v>
      </c>
      <c r="D27" s="67">
        <f t="shared" si="0"/>
        <v>480188.077600425</v>
      </c>
      <c r="E27" s="74">
        <v>1572429.91078985</v>
      </c>
      <c r="F27" s="69">
        <f t="shared" si="2"/>
        <v>462538.753661639</v>
      </c>
    </row>
    <row r="28" spans="1:6">
      <c r="A28" s="70"/>
      <c r="B28" s="71">
        <v>2042</v>
      </c>
      <c r="C28" s="72">
        <v>1676628.12226358</v>
      </c>
      <c r="D28" s="67">
        <f t="shared" si="0"/>
        <v>465272.849547814</v>
      </c>
      <c r="E28" s="74">
        <v>1676628.12226358</v>
      </c>
      <c r="F28" s="69">
        <f t="shared" si="2"/>
        <v>465272.849547814</v>
      </c>
    </row>
    <row r="29" spans="1:6">
      <c r="A29" s="70"/>
      <c r="B29" s="71">
        <v>2043</v>
      </c>
      <c r="C29" s="72">
        <v>1723098.05180187</v>
      </c>
      <c r="D29" s="67">
        <f t="shared" si="0"/>
        <v>451102.350799675</v>
      </c>
      <c r="E29" s="74">
        <v>1723098.05180187</v>
      </c>
      <c r="F29" s="69">
        <f t="shared" si="2"/>
        <v>451102.350799675</v>
      </c>
    </row>
    <row r="30" spans="1:6">
      <c r="A30" s="70"/>
      <c r="B30" s="71">
        <v>2044</v>
      </c>
      <c r="C30" s="72">
        <v>1771876.26044866</v>
      </c>
      <c r="D30" s="67">
        <f t="shared" si="0"/>
        <v>437615.426633314</v>
      </c>
      <c r="E30" s="74">
        <v>1771876.26044866</v>
      </c>
      <c r="F30" s="69">
        <f t="shared" si="2"/>
        <v>437615.426633314</v>
      </c>
    </row>
    <row r="31" spans="1:6">
      <c r="A31" s="70"/>
      <c r="B31" s="71">
        <v>2045</v>
      </c>
      <c r="C31" s="72">
        <v>1822999.31001136</v>
      </c>
      <c r="D31" s="67">
        <f t="shared" si="0"/>
        <v>424756.342642193</v>
      </c>
      <c r="E31" s="74">
        <v>1822999.31001136</v>
      </c>
      <c r="F31" s="69">
        <f t="shared" si="2"/>
        <v>424756.342642193</v>
      </c>
    </row>
    <row r="32" spans="1:6">
      <c r="A32" s="70"/>
      <c r="B32" s="71">
        <v>2046</v>
      </c>
      <c r="C32" s="72">
        <v>1876503.76229739</v>
      </c>
      <c r="D32" s="67">
        <f t="shared" si="0"/>
        <v>412474.345991225</v>
      </c>
      <c r="E32" s="74">
        <v>1876503.76229739</v>
      </c>
      <c r="F32" s="69">
        <f t="shared" si="2"/>
        <v>412474.345991225</v>
      </c>
    </row>
    <row r="33" spans="1:6">
      <c r="A33" s="70"/>
      <c r="B33" s="71">
        <v>2047</v>
      </c>
      <c r="C33" s="72">
        <v>1932426.17911416</v>
      </c>
      <c r="D33" s="67">
        <f t="shared" si="0"/>
        <v>400723.258529258</v>
      </c>
      <c r="E33" s="74">
        <v>1932426.17911416</v>
      </c>
      <c r="F33" s="69">
        <f t="shared" si="2"/>
        <v>400723.258529258</v>
      </c>
    </row>
    <row r="34" spans="1:6">
      <c r="A34" s="70"/>
      <c r="B34" s="71">
        <v>2048</v>
      </c>
      <c r="C34" s="72">
        <v>1990803.12226908</v>
      </c>
      <c r="D34" s="67">
        <f t="shared" si="0"/>
        <v>389461.099675886</v>
      </c>
      <c r="E34" s="74">
        <v>1990803.12226908</v>
      </c>
      <c r="F34" s="69">
        <f t="shared" si="2"/>
        <v>389461.099675886</v>
      </c>
    </row>
    <row r="35" spans="1:6">
      <c r="A35" s="70"/>
      <c r="B35" s="71">
        <v>2049</v>
      </c>
      <c r="C35" s="72">
        <v>2051671.15356957</v>
      </c>
      <c r="D35" s="67">
        <f t="shared" si="0"/>
        <v>378649.737121585</v>
      </c>
      <c r="E35" s="74">
        <v>2051671.15356957</v>
      </c>
      <c r="F35" s="69">
        <f t="shared" si="2"/>
        <v>378649.737121585</v>
      </c>
    </row>
    <row r="36" spans="1:6">
      <c r="A36" s="70"/>
      <c r="B36" s="71">
        <v>2050</v>
      </c>
      <c r="C36" s="72">
        <v>2115066.83482304</v>
      </c>
      <c r="D36" s="67">
        <f t="shared" si="0"/>
        <v>368254.56349578</v>
      </c>
      <c r="E36" s="74">
        <v>2115066.83482304</v>
      </c>
      <c r="F36" s="69">
        <f t="shared" si="2"/>
        <v>368254.56349578</v>
      </c>
    </row>
    <row r="37" spans="1:6">
      <c r="A37" s="70"/>
      <c r="B37" s="71">
        <v>2051</v>
      </c>
      <c r="C37" s="72">
        <v>2261498.86811437</v>
      </c>
      <c r="D37" s="67">
        <f t="shared" si="0"/>
        <v>371462.13583174</v>
      </c>
      <c r="E37" s="74">
        <v>2161498.86924844</v>
      </c>
      <c r="F37" s="69">
        <f t="shared" si="2"/>
        <v>355036.651969843</v>
      </c>
    </row>
    <row r="38" spans="1:6">
      <c r="A38" s="70"/>
      <c r="B38" s="71">
        <v>2052</v>
      </c>
      <c r="C38" s="72">
        <v>2279712.38581016</v>
      </c>
      <c r="D38" s="67">
        <f t="shared" si="0"/>
        <v>353258.296486295</v>
      </c>
      <c r="E38" s="74">
        <v>2279712.38581016</v>
      </c>
      <c r="F38" s="69">
        <f t="shared" si="2"/>
        <v>353258.296486295</v>
      </c>
    </row>
    <row r="39" spans="1:6">
      <c r="A39" s="70"/>
      <c r="B39" s="71">
        <v>2053</v>
      </c>
      <c r="C39" s="72">
        <v>2298735.91190432</v>
      </c>
      <c r="D39" s="67">
        <f t="shared" si="0"/>
        <v>336043.521288243</v>
      </c>
      <c r="E39" s="74">
        <v>2298735.91190432</v>
      </c>
      <c r="F39" s="69">
        <f t="shared" si="2"/>
        <v>336043.521288243</v>
      </c>
    </row>
    <row r="40" spans="1:6">
      <c r="A40" s="70"/>
      <c r="B40" s="71">
        <v>2054</v>
      </c>
      <c r="C40" s="72">
        <v>2318584.16021251</v>
      </c>
      <c r="D40" s="67">
        <f t="shared" si="0"/>
        <v>319759.492214355</v>
      </c>
      <c r="E40" s="74">
        <v>2318584.16021251</v>
      </c>
      <c r="F40" s="69">
        <f t="shared" si="2"/>
        <v>319759.492214355</v>
      </c>
    </row>
    <row r="41" spans="1:6">
      <c r="A41" s="70"/>
      <c r="B41" s="71">
        <v>2055</v>
      </c>
      <c r="C41" s="72">
        <v>2339271.85012449</v>
      </c>
      <c r="D41" s="67">
        <f t="shared" si="0"/>
        <v>304351.474727587</v>
      </c>
      <c r="E41" s="74">
        <v>2339271.85012449</v>
      </c>
      <c r="F41" s="69">
        <f t="shared" si="2"/>
        <v>304351.474727587</v>
      </c>
    </row>
    <row r="42" spans="1:6">
      <c r="A42" s="70"/>
      <c r="B42" s="71">
        <v>2056</v>
      </c>
      <c r="C42" s="72">
        <v>2360813.7065901</v>
      </c>
      <c r="D42" s="67">
        <f t="shared" si="0"/>
        <v>289768.096854406</v>
      </c>
      <c r="E42" s="74">
        <v>2360813.7065901</v>
      </c>
      <c r="F42" s="69">
        <f t="shared" si="2"/>
        <v>289768.096854406</v>
      </c>
    </row>
    <row r="43" spans="1:6">
      <c r="A43" s="70"/>
      <c r="B43" s="71">
        <v>2057</v>
      </c>
      <c r="C43" s="72">
        <v>2383224.46010507</v>
      </c>
      <c r="D43" s="67">
        <f t="shared" si="0"/>
        <v>275961.141548631</v>
      </c>
      <c r="E43" s="74">
        <v>2383224.46010507</v>
      </c>
      <c r="F43" s="69">
        <f t="shared" si="2"/>
        <v>275961.141548631</v>
      </c>
    </row>
    <row r="44" spans="1:6">
      <c r="A44" s="70"/>
      <c r="B44" s="71">
        <v>2058</v>
      </c>
      <c r="C44" s="72">
        <v>2406518.846697</v>
      </c>
      <c r="D44" s="67">
        <f t="shared" si="0"/>
        <v>262885.351579484</v>
      </c>
      <c r="E44" s="74">
        <v>2406518.846697</v>
      </c>
      <c r="F44" s="69">
        <f t="shared" si="2"/>
        <v>262885.351579484</v>
      </c>
    </row>
    <row r="45" spans="1:6">
      <c r="A45" s="70"/>
      <c r="B45" s="71">
        <v>2059</v>
      </c>
      <c r="C45" s="72">
        <v>2430711.60791121</v>
      </c>
      <c r="D45" s="67">
        <f t="shared" si="0"/>
        <v>250498.246222163</v>
      </c>
      <c r="E45" s="74">
        <v>2430711.60791121</v>
      </c>
      <c r="F45" s="69">
        <f t="shared" si="2"/>
        <v>250498.246222163</v>
      </c>
    </row>
    <row r="46" spans="1:6">
      <c r="A46" s="70"/>
      <c r="B46" s="71">
        <v>2060</v>
      </c>
      <c r="C46" s="72">
        <v>2455817.49079667</v>
      </c>
      <c r="D46" s="67">
        <f t="shared" si="0"/>
        <v>238759.949068065</v>
      </c>
      <c r="E46" s="74">
        <v>2455817.49079667</v>
      </c>
      <c r="F46" s="69">
        <f t="shared" si="2"/>
        <v>238759.949068065</v>
      </c>
    </row>
    <row r="47" spans="1:6">
      <c r="A47" s="70"/>
      <c r="B47" s="71">
        <v>2061</v>
      </c>
      <c r="C47" s="72">
        <v>2481851.24789186</v>
      </c>
      <c r="D47" s="67">
        <f t="shared" si="0"/>
        <v>227633.026308614</v>
      </c>
      <c r="E47" s="74">
        <v>2381851.24920314</v>
      </c>
      <c r="F47" s="69">
        <f t="shared" ref="F47:F56" si="3">PV(6%,B47-$B$6,,-E47,1)</f>
        <v>218461.121928082</v>
      </c>
    </row>
    <row r="48" spans="1:6">
      <c r="A48" s="70"/>
      <c r="B48" s="71">
        <v>2062</v>
      </c>
      <c r="C48" s="72">
        <v>2508827.63721072</v>
      </c>
      <c r="D48" s="67">
        <f t="shared" si="0"/>
        <v>217082.334881797</v>
      </c>
      <c r="E48" s="74">
        <v>2508827.63721072</v>
      </c>
      <c r="F48" s="69">
        <f t="shared" si="3"/>
        <v>217082.334881797</v>
      </c>
    </row>
    <row r="49" spans="1:6">
      <c r="A49" s="70"/>
      <c r="B49" s="71">
        <v>2063</v>
      </c>
      <c r="C49" s="72">
        <v>2536761.42222853</v>
      </c>
      <c r="D49" s="67">
        <f t="shared" si="0"/>
        <v>207074.879903879</v>
      </c>
      <c r="E49" s="74">
        <v>2536761.42222853</v>
      </c>
      <c r="F49" s="69">
        <f t="shared" si="3"/>
        <v>207074.879903879</v>
      </c>
    </row>
    <row r="50" spans="1:6">
      <c r="A50" s="70"/>
      <c r="B50" s="71">
        <v>2064</v>
      </c>
      <c r="C50" s="72">
        <v>2565667.3718678</v>
      </c>
      <c r="D50" s="67">
        <f t="shared" si="0"/>
        <v>197579.680840527</v>
      </c>
      <c r="E50" s="74">
        <v>2565667.3718678</v>
      </c>
      <c r="F50" s="69">
        <f t="shared" si="3"/>
        <v>197579.680840527</v>
      </c>
    </row>
    <row r="51" spans="1:6">
      <c r="A51" s="70"/>
      <c r="B51" s="71">
        <v>2065</v>
      </c>
      <c r="C51" s="72">
        <v>2595560.26048416</v>
      </c>
      <c r="D51" s="67">
        <f t="shared" si="0"/>
        <v>188567.64590174</v>
      </c>
      <c r="E51" s="74">
        <v>2595560.26048416</v>
      </c>
      <c r="F51" s="69">
        <f t="shared" si="3"/>
        <v>188567.64590174</v>
      </c>
    </row>
    <row r="52" spans="1:6">
      <c r="A52" s="70"/>
      <c r="B52" s="71">
        <v>2066</v>
      </c>
      <c r="C52" s="72">
        <v>2626454.8678523</v>
      </c>
      <c r="D52" s="67">
        <f t="shared" si="0"/>
        <v>180011.454173606</v>
      </c>
      <c r="E52" s="74">
        <v>2626454.8678523</v>
      </c>
      <c r="F52" s="69">
        <f t="shared" si="3"/>
        <v>180011.454173606</v>
      </c>
    </row>
    <row r="53" spans="1:6">
      <c r="A53" s="70"/>
      <c r="B53" s="71">
        <v>2067</v>
      </c>
      <c r="C53" s="72">
        <v>2658365.97915185</v>
      </c>
      <c r="D53" s="67">
        <f t="shared" si="0"/>
        <v>171885.445027142</v>
      </c>
      <c r="E53" s="74">
        <v>2658365.97915185</v>
      </c>
      <c r="F53" s="69">
        <f t="shared" si="3"/>
        <v>171885.445027142</v>
      </c>
    </row>
    <row r="54" spans="1:6">
      <c r="A54" s="70"/>
      <c r="B54" s="71">
        <v>2068</v>
      </c>
      <c r="C54" s="72">
        <v>2691308.38495326</v>
      </c>
      <c r="D54" s="67">
        <f t="shared" si="0"/>
        <v>164165.514370258</v>
      </c>
      <c r="E54" s="74">
        <v>2691308.38495326</v>
      </c>
      <c r="F54" s="69">
        <f t="shared" si="3"/>
        <v>164165.514370258</v>
      </c>
    </row>
    <row r="55" spans="1:6">
      <c r="A55" s="70"/>
      <c r="B55" s="71">
        <v>2069</v>
      </c>
      <c r="C55" s="72">
        <v>2725296.88120373</v>
      </c>
      <c r="D55" s="67">
        <f t="shared" si="0"/>
        <v>156829.017333368</v>
      </c>
      <c r="E55" s="74">
        <v>2725296.88120373</v>
      </c>
      <c r="F55" s="69">
        <f t="shared" si="3"/>
        <v>156829.017333368</v>
      </c>
    </row>
    <row r="56" spans="1:6">
      <c r="A56" s="70"/>
      <c r="B56" s="71">
        <v>2070</v>
      </c>
      <c r="C56" s="72">
        <v>2760346.2692131</v>
      </c>
      <c r="D56" s="67">
        <f t="shared" si="0"/>
        <v>149854.677002393</v>
      </c>
      <c r="E56" s="74">
        <v>2760346.2692131</v>
      </c>
      <c r="F56" s="69">
        <f t="shared" si="3"/>
        <v>149854.677002393</v>
      </c>
    </row>
    <row r="57" spans="1:6">
      <c r="A57" s="70" t="s">
        <v>214</v>
      </c>
      <c r="B57" s="71">
        <v>2071</v>
      </c>
      <c r="C57" s="66">
        <f>-(C5+C4)*3%</f>
        <v>-443705.1939</v>
      </c>
      <c r="D57" s="75">
        <f>C57</f>
        <v>-443705.1939</v>
      </c>
      <c r="E57" s="68">
        <f>-(E5+E4)*3%</f>
        <v>-481439.980356</v>
      </c>
      <c r="F57" s="76">
        <f>E57</f>
        <v>-481439.980356</v>
      </c>
    </row>
    <row r="58" spans="1:6">
      <c r="A58" s="70"/>
      <c r="B58" s="71">
        <v>2071</v>
      </c>
      <c r="C58" s="66">
        <v>-388833.9104</v>
      </c>
      <c r="D58" s="75">
        <f>PV(6%,B58-$B$6,,-C58,1)</f>
        <v>-19914.2981267867</v>
      </c>
      <c r="E58" s="68">
        <v>-4576521.1888</v>
      </c>
      <c r="F58" s="76">
        <f>PV(6%,B58-$B$6,,-E58,1)</f>
        <v>-234388.526565402</v>
      </c>
    </row>
    <row r="59" spans="1:6">
      <c r="A59" s="77"/>
      <c r="B59" s="78" t="s">
        <v>215</v>
      </c>
      <c r="C59" s="79"/>
      <c r="D59" s="67">
        <f>SUM(D4:D58)</f>
        <v>39056937.8262333</v>
      </c>
      <c r="E59" s="80"/>
      <c r="F59" s="69">
        <f>SUM(F4:F58)</f>
        <v>39999626.0009837</v>
      </c>
    </row>
    <row r="60" ht="13.5" spans="1:6">
      <c r="A60" s="81"/>
      <c r="B60" s="82" t="s">
        <v>216</v>
      </c>
      <c r="C60" s="83"/>
      <c r="D60" s="83">
        <f>D59/6129.16</f>
        <v>6372.31493813724</v>
      </c>
      <c r="E60" s="84"/>
      <c r="F60" s="85">
        <f>F59/6129.16</f>
        <v>6526.1187505276</v>
      </c>
    </row>
  </sheetData>
  <mergeCells count="7">
    <mergeCell ref="A1:F1"/>
    <mergeCell ref="C2:D2"/>
    <mergeCell ref="E2:F2"/>
    <mergeCell ref="A2:A3"/>
    <mergeCell ref="A6:A56"/>
    <mergeCell ref="A57:A58"/>
    <mergeCell ref="B2:B3"/>
  </mergeCells>
  <pageMargins left="1" right="1" top="1" bottom="1" header="0.5" footer="0.5"/>
  <pageSetup paperSize="9" orientation="landscape" horizontalDpi="600"/>
  <headerFooter/>
  <ignoredErrors>
    <ignoredError sqref="D57:F5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workbookViewId="0">
      <selection activeCell="S16" sqref="S16"/>
    </sheetView>
  </sheetViews>
  <sheetFormatPr defaultColWidth="9" defaultRowHeight="14.25"/>
  <cols>
    <col min="1" max="1" width="6.775" customWidth="1"/>
    <col min="2" max="2" width="7.75" customWidth="1"/>
    <col min="3" max="3" width="13.25" style="2" customWidth="1"/>
    <col min="4" max="4" width="14.875" style="2" customWidth="1"/>
    <col min="5" max="5" width="12.25" style="2" customWidth="1"/>
    <col min="6" max="6" width="17.75" style="3" customWidth="1"/>
    <col min="7" max="7" width="12.75" customWidth="1"/>
    <col min="8" max="8" width="15.125"/>
    <col min="9" max="9" width="13.25" customWidth="1"/>
    <col min="10" max="10" width="15.0916666666667" style="4" customWidth="1"/>
    <col min="12" max="12" width="11.5"/>
  </cols>
  <sheetData>
    <row r="1" ht="16.5" spans="1:10">
      <c r="A1" s="5" t="s">
        <v>220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7" t="s">
        <v>205</v>
      </c>
      <c r="B2" s="8" t="s">
        <v>187</v>
      </c>
      <c r="C2" s="9" t="s">
        <v>206</v>
      </c>
      <c r="D2" s="9"/>
      <c r="E2" s="9"/>
      <c r="F2" s="10"/>
      <c r="G2" s="11" t="s">
        <v>207</v>
      </c>
      <c r="H2" s="11"/>
      <c r="I2" s="11"/>
      <c r="J2" s="33"/>
    </row>
    <row r="3" s="1" customFormat="1" ht="30.75" spans="1:10">
      <c r="A3" s="12"/>
      <c r="B3" s="13"/>
      <c r="C3" s="14" t="s">
        <v>218</v>
      </c>
      <c r="D3" s="14" t="s">
        <v>209</v>
      </c>
      <c r="E3" s="14" t="s">
        <v>221</v>
      </c>
      <c r="F3" s="15" t="s">
        <v>222</v>
      </c>
      <c r="G3" s="16" t="s">
        <v>218</v>
      </c>
      <c r="H3" s="16" t="s">
        <v>209</v>
      </c>
      <c r="I3" s="16" t="s">
        <v>221</v>
      </c>
      <c r="J3" s="34" t="s">
        <v>222</v>
      </c>
    </row>
    <row r="4" s="1" customFormat="1" ht="15" spans="1:10">
      <c r="A4" s="17" t="s">
        <v>223</v>
      </c>
      <c r="B4" s="18">
        <v>2018</v>
      </c>
      <c r="C4" s="19">
        <v>8014643.03</v>
      </c>
      <c r="D4" s="19">
        <v>654280.106352565</v>
      </c>
      <c r="E4" s="19">
        <f>C4+D4</f>
        <v>8668923.13635257</v>
      </c>
      <c r="F4" s="19">
        <f>E4/6129.16</f>
        <v>1414.37377003579</v>
      </c>
      <c r="G4" s="20">
        <v>9125430.6968</v>
      </c>
      <c r="H4" s="20">
        <v>563502.232282464</v>
      </c>
      <c r="I4" s="20">
        <f>G4+H4</f>
        <v>9688932.92908246</v>
      </c>
      <c r="J4" s="35">
        <f>I4/6129.16</f>
        <v>1580.79295190246</v>
      </c>
    </row>
    <row r="5" ht="15" spans="1:10">
      <c r="A5" s="21" t="s">
        <v>224</v>
      </c>
      <c r="B5" s="22">
        <v>2019</v>
      </c>
      <c r="C5" s="23">
        <v>6775530.1</v>
      </c>
      <c r="D5" s="23">
        <v>29445.9117110205</v>
      </c>
      <c r="E5" s="23">
        <f>C5+D5</f>
        <v>6804976.01171102</v>
      </c>
      <c r="F5" s="23">
        <f>E5/6129.16</f>
        <v>1110.26241959926</v>
      </c>
      <c r="G5" s="24">
        <v>6922568.6484</v>
      </c>
      <c r="H5" s="24">
        <v>28162.8439543468</v>
      </c>
      <c r="I5" s="24">
        <f>G5+H5</f>
        <v>6950731.49235435</v>
      </c>
      <c r="J5" s="36">
        <f t="shared" ref="J5:J36" si="0">I5/6129.16</f>
        <v>1134.04308132833</v>
      </c>
    </row>
    <row r="6" ht="15" spans="1:10">
      <c r="A6" s="21" t="s">
        <v>225</v>
      </c>
      <c r="B6" s="22">
        <v>2020</v>
      </c>
      <c r="C6" s="23">
        <v>1093137.1569984</v>
      </c>
      <c r="D6" s="23">
        <v>151267.082760926</v>
      </c>
      <c r="E6" s="23">
        <f t="shared" ref="E6:E33" si="1">C6+D6</f>
        <v>1244404.23975933</v>
      </c>
      <c r="F6" s="23">
        <f t="shared" ref="F6:F37" si="2">E6/6129.16</f>
        <v>203.030144385091</v>
      </c>
      <c r="G6" s="24">
        <v>1093137.1569984</v>
      </c>
      <c r="H6" s="24">
        <v>151267.082760926</v>
      </c>
      <c r="I6" s="24">
        <f t="shared" ref="I6:I36" si="3">G6+H6</f>
        <v>1244404.23975933</v>
      </c>
      <c r="J6" s="36">
        <f t="shared" si="0"/>
        <v>203.030144385091</v>
      </c>
    </row>
    <row r="7" ht="15" spans="1:10">
      <c r="A7" s="21"/>
      <c r="B7" s="22">
        <v>2021</v>
      </c>
      <c r="C7" s="23">
        <v>1044008.71532385</v>
      </c>
      <c r="D7" s="23">
        <v>157240.647249472</v>
      </c>
      <c r="E7" s="23">
        <f t="shared" si="1"/>
        <v>1201249.36257332</v>
      </c>
      <c r="F7" s="23">
        <f t="shared" si="2"/>
        <v>195.989232223228</v>
      </c>
      <c r="G7" s="24">
        <v>1044008.71532385</v>
      </c>
      <c r="H7" s="24">
        <v>157240.647249472</v>
      </c>
      <c r="I7" s="24">
        <f t="shared" si="3"/>
        <v>1201249.36257332</v>
      </c>
      <c r="J7" s="36">
        <f t="shared" si="0"/>
        <v>195.989232223228</v>
      </c>
    </row>
    <row r="8" ht="15" spans="1:10">
      <c r="A8" s="21"/>
      <c r="B8" s="22">
        <v>2022</v>
      </c>
      <c r="C8" s="23">
        <v>997461.049425461</v>
      </c>
      <c r="D8" s="23">
        <v>153813.220670589</v>
      </c>
      <c r="E8" s="23">
        <f t="shared" si="1"/>
        <v>1151274.27009605</v>
      </c>
      <c r="F8" s="23">
        <f t="shared" si="2"/>
        <v>187.835571284817</v>
      </c>
      <c r="G8" s="24">
        <v>997461.049425461</v>
      </c>
      <c r="H8" s="24">
        <v>153813.220670589</v>
      </c>
      <c r="I8" s="24">
        <f t="shared" si="3"/>
        <v>1151274.27009605</v>
      </c>
      <c r="J8" s="36">
        <f t="shared" si="0"/>
        <v>187.835571284817</v>
      </c>
    </row>
    <row r="9" ht="15" spans="1:10">
      <c r="A9" s="21"/>
      <c r="B9" s="22">
        <v>2023</v>
      </c>
      <c r="C9" s="23">
        <v>953821.832215662</v>
      </c>
      <c r="D9" s="23">
        <v>149911.966641256</v>
      </c>
      <c r="E9" s="23">
        <f t="shared" si="1"/>
        <v>1103733.79885692</v>
      </c>
      <c r="F9" s="23">
        <f t="shared" si="2"/>
        <v>180.079129743214</v>
      </c>
      <c r="G9" s="24">
        <v>953821.832215662</v>
      </c>
      <c r="H9" s="24">
        <v>149911.966641256</v>
      </c>
      <c r="I9" s="24">
        <f t="shared" si="3"/>
        <v>1103733.79885692</v>
      </c>
      <c r="J9" s="36">
        <f t="shared" si="0"/>
        <v>180.079129743214</v>
      </c>
    </row>
    <row r="10" ht="15" spans="1:10">
      <c r="A10" s="21"/>
      <c r="B10" s="22">
        <v>2024</v>
      </c>
      <c r="C10" s="23">
        <v>913319.351539475</v>
      </c>
      <c r="D10" s="23">
        <v>146714.731647663</v>
      </c>
      <c r="E10" s="23">
        <f t="shared" si="1"/>
        <v>1060034.08318714</v>
      </c>
      <c r="F10" s="23">
        <f t="shared" si="2"/>
        <v>172.949324734081</v>
      </c>
      <c r="G10" s="24">
        <v>913319.351539475</v>
      </c>
      <c r="H10" s="24">
        <v>146714.731647663</v>
      </c>
      <c r="I10" s="24">
        <f t="shared" si="3"/>
        <v>1060034.08318714</v>
      </c>
      <c r="J10" s="36">
        <f t="shared" si="0"/>
        <v>172.949324734081</v>
      </c>
    </row>
    <row r="11" ht="15" spans="1:10">
      <c r="A11" s="21"/>
      <c r="B11" s="22">
        <v>2025</v>
      </c>
      <c r="C11" s="23">
        <v>874999.822665129</v>
      </c>
      <c r="D11" s="23">
        <v>125537.334298749</v>
      </c>
      <c r="E11" s="23">
        <f t="shared" si="1"/>
        <v>1000537.15696388</v>
      </c>
      <c r="F11" s="23">
        <f t="shared" si="2"/>
        <v>163.242133826475</v>
      </c>
      <c r="G11" s="24">
        <v>874999.822665129</v>
      </c>
      <c r="H11" s="24">
        <v>125537.334298749</v>
      </c>
      <c r="I11" s="24">
        <f t="shared" si="3"/>
        <v>1000537.15696388</v>
      </c>
      <c r="J11" s="36">
        <f t="shared" si="0"/>
        <v>163.242133826475</v>
      </c>
    </row>
    <row r="12" ht="15" spans="1:10">
      <c r="A12" s="21"/>
      <c r="B12" s="22">
        <v>2026</v>
      </c>
      <c r="C12" s="23">
        <v>842228.124926289</v>
      </c>
      <c r="D12" s="23">
        <v>123057.351977984</v>
      </c>
      <c r="E12" s="23">
        <f t="shared" si="1"/>
        <v>965285.476904273</v>
      </c>
      <c r="F12" s="23">
        <f t="shared" si="2"/>
        <v>157.490663794757</v>
      </c>
      <c r="G12" s="24">
        <v>842228.124926289</v>
      </c>
      <c r="H12" s="24">
        <v>123057.351977984</v>
      </c>
      <c r="I12" s="24">
        <f t="shared" si="3"/>
        <v>965285.476904273</v>
      </c>
      <c r="J12" s="36">
        <f t="shared" si="0"/>
        <v>157.490663794757</v>
      </c>
    </row>
    <row r="13" ht="15" spans="1:10">
      <c r="A13" s="21"/>
      <c r="B13" s="22">
        <v>2027</v>
      </c>
      <c r="C13" s="23">
        <v>811724.155327227</v>
      </c>
      <c r="D13" s="23">
        <v>120844.569609721</v>
      </c>
      <c r="E13" s="23">
        <f t="shared" si="1"/>
        <v>932568.724936948</v>
      </c>
      <c r="F13" s="23">
        <f t="shared" si="2"/>
        <v>152.152778673904</v>
      </c>
      <c r="G13" s="24">
        <v>811724.155327227</v>
      </c>
      <c r="H13" s="24">
        <v>120844.569609721</v>
      </c>
      <c r="I13" s="24">
        <f t="shared" si="3"/>
        <v>932568.724936948</v>
      </c>
      <c r="J13" s="36">
        <f t="shared" si="0"/>
        <v>152.152778673904</v>
      </c>
    </row>
    <row r="14" ht="15" spans="1:10">
      <c r="A14" s="21"/>
      <c r="B14" s="22">
        <v>2028</v>
      </c>
      <c r="C14" s="23">
        <v>784548.252262374</v>
      </c>
      <c r="D14" s="23">
        <v>119068.138493417</v>
      </c>
      <c r="E14" s="23">
        <f t="shared" si="1"/>
        <v>903616.390755791</v>
      </c>
      <c r="F14" s="23">
        <f t="shared" si="2"/>
        <v>147.429075233114</v>
      </c>
      <c r="G14" s="24">
        <v>784548.252262374</v>
      </c>
      <c r="H14" s="24">
        <v>119068.138493417</v>
      </c>
      <c r="I14" s="24">
        <f t="shared" si="3"/>
        <v>903616.390755791</v>
      </c>
      <c r="J14" s="36">
        <f t="shared" si="0"/>
        <v>147.429075233114</v>
      </c>
    </row>
    <row r="15" ht="15" spans="1:10">
      <c r="A15" s="21"/>
      <c r="B15" s="22">
        <v>2029</v>
      </c>
      <c r="C15" s="23">
        <v>760622.53330129</v>
      </c>
      <c r="D15" s="23">
        <v>117735.630249257</v>
      </c>
      <c r="E15" s="23">
        <f t="shared" si="1"/>
        <v>878358.163550547</v>
      </c>
      <c r="F15" s="23">
        <f t="shared" si="2"/>
        <v>143.308081947697</v>
      </c>
      <c r="G15" s="24">
        <v>760622.53330129</v>
      </c>
      <c r="H15" s="24">
        <v>117735.630249257</v>
      </c>
      <c r="I15" s="24">
        <f t="shared" si="3"/>
        <v>878358.163550547</v>
      </c>
      <c r="J15" s="36">
        <f t="shared" si="0"/>
        <v>143.308081947697</v>
      </c>
    </row>
    <row r="16" ht="15" spans="1:10">
      <c r="A16" s="21"/>
      <c r="B16" s="22">
        <v>2030</v>
      </c>
      <c r="C16" s="23">
        <v>739836.253881903</v>
      </c>
      <c r="D16" s="23">
        <v>116851.052300239</v>
      </c>
      <c r="E16" s="23">
        <f t="shared" si="1"/>
        <v>856687.306182142</v>
      </c>
      <c r="F16" s="23">
        <f t="shared" si="2"/>
        <v>139.772384173711</v>
      </c>
      <c r="G16" s="24">
        <v>739836.253881903</v>
      </c>
      <c r="H16" s="24">
        <v>116851.052300239</v>
      </c>
      <c r="I16" s="24">
        <f t="shared" si="3"/>
        <v>856687.306182142</v>
      </c>
      <c r="J16" s="36">
        <f t="shared" si="0"/>
        <v>139.772384173711</v>
      </c>
    </row>
    <row r="17" ht="15" spans="1:10">
      <c r="A17" s="21"/>
      <c r="B17" s="22">
        <v>2031</v>
      </c>
      <c r="C17" s="23">
        <v>688189.076491987</v>
      </c>
      <c r="D17" s="23">
        <v>113634.432864928</v>
      </c>
      <c r="E17" s="23">
        <f t="shared" si="1"/>
        <v>801823.509356915</v>
      </c>
      <c r="F17" s="23">
        <f t="shared" si="2"/>
        <v>130.821109149853</v>
      </c>
      <c r="G17" s="24">
        <v>688189.076491987</v>
      </c>
      <c r="H17" s="24">
        <v>113634.432864928</v>
      </c>
      <c r="I17" s="24">
        <f t="shared" si="3"/>
        <v>801823.509356915</v>
      </c>
      <c r="J17" s="36">
        <f t="shared" si="0"/>
        <v>130.821109149853</v>
      </c>
    </row>
    <row r="18" ht="15" spans="1:10">
      <c r="A18" s="21"/>
      <c r="B18" s="22">
        <v>2032</v>
      </c>
      <c r="C18" s="23">
        <v>661386.996475482</v>
      </c>
      <c r="D18" s="23">
        <v>114175.026215503</v>
      </c>
      <c r="E18" s="23">
        <f t="shared" si="1"/>
        <v>775562.022690985</v>
      </c>
      <c r="F18" s="23">
        <f t="shared" si="2"/>
        <v>126.536429574523</v>
      </c>
      <c r="G18" s="24">
        <v>661386.996475482</v>
      </c>
      <c r="H18" s="24">
        <v>114175.026215503</v>
      </c>
      <c r="I18" s="24">
        <f t="shared" si="3"/>
        <v>775562.022690985</v>
      </c>
      <c r="J18" s="36">
        <f t="shared" si="0"/>
        <v>126.536429574523</v>
      </c>
    </row>
    <row r="19" ht="15" spans="1:10">
      <c r="A19" s="21"/>
      <c r="B19" s="22">
        <v>2033</v>
      </c>
      <c r="C19" s="23">
        <v>635857.587918286</v>
      </c>
      <c r="D19" s="23">
        <v>114761.625011536</v>
      </c>
      <c r="E19" s="23">
        <f t="shared" si="1"/>
        <v>750619.212929822</v>
      </c>
      <c r="F19" s="23">
        <f t="shared" si="2"/>
        <v>122.466898062675</v>
      </c>
      <c r="G19" s="24">
        <v>635857.587918286</v>
      </c>
      <c r="H19" s="24">
        <v>114761.625011536</v>
      </c>
      <c r="I19" s="24">
        <f t="shared" si="3"/>
        <v>750619.212929822</v>
      </c>
      <c r="J19" s="36">
        <f t="shared" si="0"/>
        <v>122.466898062675</v>
      </c>
    </row>
    <row r="20" ht="15" spans="1:10">
      <c r="A20" s="21"/>
      <c r="B20" s="22">
        <v>2034</v>
      </c>
      <c r="C20" s="23">
        <v>611958.466473647</v>
      </c>
      <c r="D20" s="23">
        <v>115475.045292918</v>
      </c>
      <c r="E20" s="23">
        <f t="shared" si="1"/>
        <v>727433.511766565</v>
      </c>
      <c r="F20" s="23">
        <f t="shared" si="2"/>
        <v>118.684046715466</v>
      </c>
      <c r="G20" s="24">
        <v>611958.466473647</v>
      </c>
      <c r="H20" s="24">
        <v>115475.045292918</v>
      </c>
      <c r="I20" s="24">
        <f t="shared" si="3"/>
        <v>727433.511766565</v>
      </c>
      <c r="J20" s="36">
        <f t="shared" si="0"/>
        <v>118.684046715466</v>
      </c>
    </row>
    <row r="21" ht="15" spans="1:10">
      <c r="A21" s="21"/>
      <c r="B21" s="22">
        <v>2035</v>
      </c>
      <c r="C21" s="23">
        <v>589553.486924503</v>
      </c>
      <c r="D21" s="23">
        <v>113569.424054859</v>
      </c>
      <c r="E21" s="23">
        <f t="shared" si="1"/>
        <v>703122.910979362</v>
      </c>
      <c r="F21" s="23">
        <f t="shared" si="2"/>
        <v>114.717662939026</v>
      </c>
      <c r="G21" s="24">
        <v>589553.486924503</v>
      </c>
      <c r="H21" s="24">
        <v>113569.424054859</v>
      </c>
      <c r="I21" s="24">
        <f t="shared" si="3"/>
        <v>703122.910979362</v>
      </c>
      <c r="J21" s="36">
        <f t="shared" si="0"/>
        <v>114.717662939026</v>
      </c>
    </row>
    <row r="22" ht="15" spans="1:10">
      <c r="A22" s="21"/>
      <c r="B22" s="22">
        <v>2036</v>
      </c>
      <c r="C22" s="23">
        <v>568517.719207175</v>
      </c>
      <c r="D22" s="23">
        <v>113640.417546159</v>
      </c>
      <c r="E22" s="23">
        <f t="shared" si="1"/>
        <v>682158.136753334</v>
      </c>
      <c r="F22" s="23">
        <f t="shared" si="2"/>
        <v>111.297165803036</v>
      </c>
      <c r="G22" s="24">
        <v>548835.405021537</v>
      </c>
      <c r="H22" s="24">
        <v>112613.370368445</v>
      </c>
      <c r="I22" s="24">
        <f t="shared" si="3"/>
        <v>661448.775389982</v>
      </c>
      <c r="J22" s="36">
        <f t="shared" si="0"/>
        <v>107.918340423481</v>
      </c>
    </row>
    <row r="23" ht="15" spans="1:10">
      <c r="A23" s="21"/>
      <c r="B23" s="22">
        <v>2037</v>
      </c>
      <c r="C23" s="23">
        <v>548736.60578864</v>
      </c>
      <c r="D23" s="23">
        <v>113816.754801973</v>
      </c>
      <c r="E23" s="23">
        <f t="shared" si="1"/>
        <v>662553.360590613</v>
      </c>
      <c r="F23" s="23">
        <f t="shared" si="2"/>
        <v>108.09855846325</v>
      </c>
      <c r="G23" s="24">
        <v>548736.60578864</v>
      </c>
      <c r="H23" s="24">
        <v>113816.754801973</v>
      </c>
      <c r="I23" s="24">
        <f t="shared" si="3"/>
        <v>662553.360590613</v>
      </c>
      <c r="J23" s="36">
        <f t="shared" si="0"/>
        <v>108.09855846325</v>
      </c>
    </row>
    <row r="24" ht="15" spans="1:10">
      <c r="A24" s="21"/>
      <c r="B24" s="22">
        <v>2038</v>
      </c>
      <c r="C24" s="23">
        <v>530105.176255259</v>
      </c>
      <c r="D24" s="23">
        <v>114093.42604734</v>
      </c>
      <c r="E24" s="23">
        <f t="shared" si="1"/>
        <v>644198.602302599</v>
      </c>
      <c r="F24" s="23">
        <f t="shared" si="2"/>
        <v>105.10389715762</v>
      </c>
      <c r="G24" s="24">
        <v>530105.176255259</v>
      </c>
      <c r="H24" s="24">
        <v>114093.42604734</v>
      </c>
      <c r="I24" s="24">
        <f t="shared" si="3"/>
        <v>644198.602302599</v>
      </c>
      <c r="J24" s="36">
        <f t="shared" si="0"/>
        <v>105.10389715762</v>
      </c>
    </row>
    <row r="25" ht="15" spans="1:10">
      <c r="A25" s="21"/>
      <c r="B25" s="22">
        <v>2039</v>
      </c>
      <c r="C25" s="23">
        <v>512527.315619731</v>
      </c>
      <c r="D25" s="23">
        <v>114465.544503936</v>
      </c>
      <c r="E25" s="23">
        <f t="shared" si="1"/>
        <v>626992.860123667</v>
      </c>
      <c r="F25" s="23">
        <f t="shared" si="2"/>
        <v>102.296702994157</v>
      </c>
      <c r="G25" s="24">
        <v>512527.315619731</v>
      </c>
      <c r="H25" s="24">
        <v>114465.544503936</v>
      </c>
      <c r="I25" s="24">
        <f t="shared" si="3"/>
        <v>626992.860123667</v>
      </c>
      <c r="J25" s="36">
        <f t="shared" si="0"/>
        <v>102.296702994157</v>
      </c>
    </row>
    <row r="26" ht="15" spans="1:10">
      <c r="A26" s="21"/>
      <c r="B26" s="22">
        <v>2040</v>
      </c>
      <c r="C26" s="23">
        <v>495915.083040252</v>
      </c>
      <c r="D26" s="23">
        <v>114928.345509269</v>
      </c>
      <c r="E26" s="23">
        <f t="shared" si="1"/>
        <v>610843.428549521</v>
      </c>
      <c r="F26" s="23">
        <f t="shared" si="2"/>
        <v>99.6618506531924</v>
      </c>
      <c r="G26" s="24">
        <v>495915.083040252</v>
      </c>
      <c r="H26" s="24">
        <v>114928.345509269</v>
      </c>
      <c r="I26" s="24">
        <f t="shared" si="3"/>
        <v>610843.428549521</v>
      </c>
      <c r="J26" s="36">
        <f t="shared" si="0"/>
        <v>99.6618506531924</v>
      </c>
    </row>
    <row r="27" ht="15" spans="1:10">
      <c r="A27" s="21"/>
      <c r="B27" s="22">
        <v>2041</v>
      </c>
      <c r="C27" s="23">
        <v>480188.077825003</v>
      </c>
      <c r="D27" s="23">
        <v>115427.303391416</v>
      </c>
      <c r="E27" s="23">
        <f t="shared" si="1"/>
        <v>595615.381216419</v>
      </c>
      <c r="F27" s="23">
        <f t="shared" si="2"/>
        <v>97.1773262920888</v>
      </c>
      <c r="G27" s="24">
        <v>462538.753661639</v>
      </c>
      <c r="H27" s="24">
        <v>114504.371977997</v>
      </c>
      <c r="I27" s="24">
        <f t="shared" si="3"/>
        <v>577043.125639636</v>
      </c>
      <c r="J27" s="36">
        <f t="shared" si="0"/>
        <v>94.1471793263083</v>
      </c>
    </row>
    <row r="28" ht="15" spans="1:10">
      <c r="A28" s="21"/>
      <c r="B28" s="22">
        <v>2042</v>
      </c>
      <c r="C28" s="23">
        <v>465272.849766328</v>
      </c>
      <c r="D28" s="23">
        <v>116007.015171215</v>
      </c>
      <c r="E28" s="23">
        <f t="shared" si="1"/>
        <v>581279.864937543</v>
      </c>
      <c r="F28" s="23">
        <f t="shared" si="2"/>
        <v>94.8384223837431</v>
      </c>
      <c r="G28" s="24">
        <v>465272.849766328</v>
      </c>
      <c r="H28" s="24">
        <v>116007.015171215</v>
      </c>
      <c r="I28" s="24">
        <f t="shared" si="3"/>
        <v>581279.864937543</v>
      </c>
      <c r="J28" s="36">
        <f t="shared" si="0"/>
        <v>94.8384223837431</v>
      </c>
    </row>
    <row r="29" ht="15" spans="1:10">
      <c r="A29" s="21"/>
      <c r="B29" s="22">
        <v>2043</v>
      </c>
      <c r="C29" s="23">
        <v>451102.351012466</v>
      </c>
      <c r="D29" s="23">
        <v>116662.971053955</v>
      </c>
      <c r="E29" s="23">
        <f t="shared" si="1"/>
        <v>567765.322066421</v>
      </c>
      <c r="F29" s="23">
        <f t="shared" si="2"/>
        <v>92.6334639765353</v>
      </c>
      <c r="G29" s="24">
        <v>451102.351012466</v>
      </c>
      <c r="H29" s="24">
        <v>116662.971053955</v>
      </c>
      <c r="I29" s="24">
        <f t="shared" si="3"/>
        <v>567765.322066421</v>
      </c>
      <c r="J29" s="36">
        <f t="shared" si="0"/>
        <v>92.6334639765353</v>
      </c>
    </row>
    <row r="30" ht="15" spans="1:10">
      <c r="A30" s="21"/>
      <c r="B30" s="22">
        <v>2044</v>
      </c>
      <c r="C30" s="23">
        <v>437615.426840691</v>
      </c>
      <c r="D30" s="23">
        <v>117390.785531803</v>
      </c>
      <c r="E30" s="23">
        <f t="shared" si="1"/>
        <v>555006.212372494</v>
      </c>
      <c r="F30" s="23">
        <f t="shared" si="2"/>
        <v>90.5517578872952</v>
      </c>
      <c r="G30" s="24">
        <v>437615.426840691</v>
      </c>
      <c r="H30" s="24">
        <v>117390.785531803</v>
      </c>
      <c r="I30" s="24">
        <f t="shared" si="3"/>
        <v>555006.212372494</v>
      </c>
      <c r="J30" s="36">
        <f t="shared" si="0"/>
        <v>90.5517578872952</v>
      </c>
    </row>
    <row r="31" ht="15" spans="1:10">
      <c r="A31" s="21"/>
      <c r="B31" s="22">
        <v>2045</v>
      </c>
      <c r="C31" s="23">
        <v>424756.342844431</v>
      </c>
      <c r="D31" s="23">
        <v>118186.195928303</v>
      </c>
      <c r="E31" s="23">
        <f t="shared" si="1"/>
        <v>542942.538772734</v>
      </c>
      <c r="F31" s="23">
        <f t="shared" si="2"/>
        <v>88.5835153222846</v>
      </c>
      <c r="G31" s="24">
        <v>424756.342844431</v>
      </c>
      <c r="H31" s="24">
        <v>118186.195928303</v>
      </c>
      <c r="I31" s="24">
        <f t="shared" si="3"/>
        <v>542942.538772734</v>
      </c>
      <c r="J31" s="36">
        <f t="shared" si="0"/>
        <v>88.5835153222846</v>
      </c>
    </row>
    <row r="32" ht="15" spans="1:10">
      <c r="A32" s="21"/>
      <c r="B32" s="22">
        <v>2046</v>
      </c>
      <c r="C32" s="23">
        <v>412474.346188572</v>
      </c>
      <c r="D32" s="23">
        <v>119045.060882784</v>
      </c>
      <c r="E32" s="23">
        <f t="shared" si="1"/>
        <v>531519.407071356</v>
      </c>
      <c r="F32" s="23">
        <f t="shared" si="2"/>
        <v>86.7197800467529</v>
      </c>
      <c r="G32" s="24">
        <v>412474.346188572</v>
      </c>
      <c r="H32" s="24">
        <v>119045.060882784</v>
      </c>
      <c r="I32" s="24">
        <f t="shared" si="3"/>
        <v>531519.407071356</v>
      </c>
      <c r="J32" s="36">
        <f t="shared" si="0"/>
        <v>86.7197800467529</v>
      </c>
    </row>
    <row r="33" ht="15" spans="1:10">
      <c r="A33" s="21"/>
      <c r="B33" s="22">
        <v>2047</v>
      </c>
      <c r="C33" s="23">
        <v>400723.258721937</v>
      </c>
      <c r="D33" s="23">
        <v>119963.358779988</v>
      </c>
      <c r="E33" s="23">
        <f t="shared" si="1"/>
        <v>520686.617501925</v>
      </c>
      <c r="F33" s="23">
        <f t="shared" si="2"/>
        <v>84.9523617431957</v>
      </c>
      <c r="G33" s="24">
        <v>400723.258721937</v>
      </c>
      <c r="H33" s="24">
        <v>119963.358779988</v>
      </c>
      <c r="I33" s="24">
        <f t="shared" si="3"/>
        <v>520686.617501925</v>
      </c>
      <c r="J33" s="36">
        <f t="shared" si="0"/>
        <v>84.9523617431957</v>
      </c>
    </row>
    <row r="34" ht="15" spans="1:10">
      <c r="A34" s="21"/>
      <c r="B34" s="22">
        <v>2048</v>
      </c>
      <c r="C34" s="23">
        <v>389461.099864095</v>
      </c>
      <c r="D34" s="23">
        <v>120937.186129982</v>
      </c>
      <c r="E34" s="23">
        <f t="shared" ref="E34:E57" si="4">C34+D34</f>
        <v>510398.285994077</v>
      </c>
      <c r="F34" s="23">
        <f t="shared" si="2"/>
        <v>83.2737742193183</v>
      </c>
      <c r="G34" s="24">
        <v>389461.099864095</v>
      </c>
      <c r="H34" s="24">
        <v>120937.186129982</v>
      </c>
      <c r="I34" s="24">
        <f t="shared" si="3"/>
        <v>510398.285994077</v>
      </c>
      <c r="J34" s="36">
        <f t="shared" si="0"/>
        <v>83.2737742193183</v>
      </c>
    </row>
    <row r="35" ht="15" spans="1:10">
      <c r="A35" s="21"/>
      <c r="B35" s="22">
        <v>2049</v>
      </c>
      <c r="C35" s="23">
        <v>378649.737305503</v>
      </c>
      <c r="D35" s="23">
        <v>121962.755903124</v>
      </c>
      <c r="E35" s="23">
        <f t="shared" si="4"/>
        <v>500612.493208627</v>
      </c>
      <c r="F35" s="23">
        <f t="shared" si="2"/>
        <v>81.6771781465367</v>
      </c>
      <c r="G35" s="24">
        <v>378649.737305503</v>
      </c>
      <c r="H35" s="24">
        <v>121962.755903124</v>
      </c>
      <c r="I35" s="24">
        <f t="shared" si="3"/>
        <v>500612.493208627</v>
      </c>
      <c r="J35" s="36">
        <f t="shared" si="0"/>
        <v>81.6771781465367</v>
      </c>
    </row>
    <row r="36" ht="15" spans="1:10">
      <c r="A36" s="21"/>
      <c r="B36" s="22">
        <v>2050</v>
      </c>
      <c r="C36" s="23">
        <v>368254.563675569</v>
      </c>
      <c r="D36" s="23">
        <v>123622.691082112</v>
      </c>
      <c r="E36" s="23">
        <f t="shared" si="4"/>
        <v>491877.254757681</v>
      </c>
      <c r="F36" s="23">
        <f t="shared" si="2"/>
        <v>80.2519847348872</v>
      </c>
      <c r="G36" s="24">
        <v>368254.563675569</v>
      </c>
      <c r="H36" s="24">
        <v>123622.691082112</v>
      </c>
      <c r="I36" s="24">
        <f t="shared" si="3"/>
        <v>491877.254757681</v>
      </c>
      <c r="J36" s="36">
        <f t="shared" si="0"/>
        <v>80.2519847348872</v>
      </c>
    </row>
    <row r="37" ht="15" spans="1:10">
      <c r="A37" s="21"/>
      <c r="B37" s="22">
        <v>2051</v>
      </c>
      <c r="C37" s="23">
        <v>371462.136018016</v>
      </c>
      <c r="D37" s="23">
        <v>133270.825768014</v>
      </c>
      <c r="E37" s="23">
        <f t="shared" si="4"/>
        <v>504732.96178603</v>
      </c>
      <c r="F37" s="23">
        <f t="shared" si="2"/>
        <v>82.3494511133712</v>
      </c>
      <c r="G37" s="24">
        <v>355036.651969843</v>
      </c>
      <c r="H37" s="24">
        <v>130963.253077854</v>
      </c>
      <c r="I37" s="24">
        <f t="shared" ref="I37:I57" si="5">G37+H37</f>
        <v>485999.905047697</v>
      </c>
      <c r="J37" s="36">
        <f t="shared" ref="J37:J57" si="6">I37/6129.16</f>
        <v>79.2930687154026</v>
      </c>
    </row>
    <row r="38" ht="15" spans="1:10">
      <c r="A38" s="21"/>
      <c r="B38" s="22">
        <v>2052</v>
      </c>
      <c r="C38" s="23">
        <v>353258.29666441</v>
      </c>
      <c r="D38" s="23">
        <v>135535.341803188</v>
      </c>
      <c r="E38" s="23">
        <f t="shared" si="4"/>
        <v>488793.638467598</v>
      </c>
      <c r="F38" s="23">
        <f t="shared" ref="F38:F58" si="7">E38/6129.16</f>
        <v>79.7488788786062</v>
      </c>
      <c r="G38" s="24">
        <v>353258.29666441</v>
      </c>
      <c r="H38" s="24">
        <v>135535.341803188</v>
      </c>
      <c r="I38" s="24">
        <f t="shared" si="5"/>
        <v>488793.638467598</v>
      </c>
      <c r="J38" s="36">
        <f t="shared" si="6"/>
        <v>79.7488788786062</v>
      </c>
    </row>
    <row r="39" ht="15" spans="1:10">
      <c r="A39" s="21"/>
      <c r="B39" s="22">
        <v>2053</v>
      </c>
      <c r="C39" s="23">
        <v>336043.521458595</v>
      </c>
      <c r="D39" s="23">
        <v>137968.588912183</v>
      </c>
      <c r="E39" s="23">
        <f t="shared" si="4"/>
        <v>474012.110370778</v>
      </c>
      <c r="F39" s="23">
        <f t="shared" si="7"/>
        <v>77.3372061376727</v>
      </c>
      <c r="G39" s="24">
        <v>336043.521458595</v>
      </c>
      <c r="H39" s="24">
        <v>137968.588912183</v>
      </c>
      <c r="I39" s="24">
        <f t="shared" si="5"/>
        <v>474012.110370778</v>
      </c>
      <c r="J39" s="36">
        <f t="shared" si="6"/>
        <v>77.3372061376727</v>
      </c>
    </row>
    <row r="40" ht="15" spans="1:10">
      <c r="A40" s="21"/>
      <c r="B40" s="22">
        <v>2054</v>
      </c>
      <c r="C40" s="23">
        <v>319759.492377323</v>
      </c>
      <c r="D40" s="23">
        <v>140583.542227865</v>
      </c>
      <c r="E40" s="23">
        <f t="shared" si="4"/>
        <v>460343.034605188</v>
      </c>
      <c r="F40" s="23">
        <f t="shared" si="7"/>
        <v>75.1070349942224</v>
      </c>
      <c r="G40" s="24">
        <v>319759.492377323</v>
      </c>
      <c r="H40" s="24">
        <v>140583.542227865</v>
      </c>
      <c r="I40" s="24">
        <f t="shared" si="5"/>
        <v>460343.034605188</v>
      </c>
      <c r="J40" s="36">
        <f t="shared" si="6"/>
        <v>75.1070349942224</v>
      </c>
    </row>
    <row r="41" ht="15" spans="1:10">
      <c r="A41" s="21"/>
      <c r="B41" s="22">
        <v>2055</v>
      </c>
      <c r="C41" s="23">
        <v>304351.474883528</v>
      </c>
      <c r="D41" s="23">
        <v>143394.667250944</v>
      </c>
      <c r="E41" s="23">
        <f t="shared" si="4"/>
        <v>447746.142134472</v>
      </c>
      <c r="F41" s="23">
        <f t="shared" si="7"/>
        <v>73.0517953739945</v>
      </c>
      <c r="G41" s="24">
        <v>304351.474883528</v>
      </c>
      <c r="H41" s="24">
        <v>143394.667250944</v>
      </c>
      <c r="I41" s="24">
        <f t="shared" si="5"/>
        <v>447746.142134472</v>
      </c>
      <c r="J41" s="36">
        <f t="shared" si="6"/>
        <v>73.0517953739945</v>
      </c>
    </row>
    <row r="42" ht="15" spans="1:10">
      <c r="A42" s="21"/>
      <c r="B42" s="22">
        <v>2056</v>
      </c>
      <c r="C42" s="23">
        <v>289768.097003656</v>
      </c>
      <c r="D42" s="23">
        <v>146418.141496602</v>
      </c>
      <c r="E42" s="23">
        <f t="shared" si="4"/>
        <v>436186.238500258</v>
      </c>
      <c r="F42" s="23">
        <f t="shared" si="7"/>
        <v>71.1657451429328</v>
      </c>
      <c r="G42" s="24">
        <v>289768.097003656</v>
      </c>
      <c r="H42" s="24">
        <v>146418.141496602</v>
      </c>
      <c r="I42" s="24">
        <f t="shared" si="5"/>
        <v>436186.238500258</v>
      </c>
      <c r="J42" s="36">
        <f t="shared" si="6"/>
        <v>71.1657451429328</v>
      </c>
    </row>
    <row r="43" ht="15" spans="1:10">
      <c r="A43" s="21"/>
      <c r="B43" s="22">
        <v>2057</v>
      </c>
      <c r="C43" s="23">
        <v>275961.141691512</v>
      </c>
      <c r="D43" s="23">
        <v>149672.116589372</v>
      </c>
      <c r="E43" s="23">
        <f t="shared" si="4"/>
        <v>425633.258280884</v>
      </c>
      <c r="F43" s="23">
        <f t="shared" si="7"/>
        <v>69.4439789923716</v>
      </c>
      <c r="G43" s="24">
        <v>275961.141691512</v>
      </c>
      <c r="H43" s="24">
        <v>149672.116589372</v>
      </c>
      <c r="I43" s="24">
        <f t="shared" si="5"/>
        <v>425633.258280884</v>
      </c>
      <c r="J43" s="36">
        <f t="shared" si="6"/>
        <v>69.4439789923716</v>
      </c>
    </row>
    <row r="44" ht="15" spans="1:10">
      <c r="A44" s="21"/>
      <c r="B44" s="22">
        <v>2058</v>
      </c>
      <c r="C44" s="23">
        <v>262885.351716297</v>
      </c>
      <c r="D44" s="23">
        <v>153177.029704931</v>
      </c>
      <c r="E44" s="23">
        <f t="shared" si="4"/>
        <v>416062.381421228</v>
      </c>
      <c r="F44" s="23">
        <f t="shared" si="7"/>
        <v>67.8824474187699</v>
      </c>
      <c r="G44" s="24">
        <v>262885.351716297</v>
      </c>
      <c r="H44" s="24">
        <v>153177.029704931</v>
      </c>
      <c r="I44" s="24">
        <f t="shared" si="5"/>
        <v>416062.381421228</v>
      </c>
      <c r="J44" s="36">
        <f t="shared" si="6"/>
        <v>67.8824474187699</v>
      </c>
    </row>
    <row r="45" ht="15" spans="1:10">
      <c r="A45" s="21"/>
      <c r="B45" s="22">
        <v>2059</v>
      </c>
      <c r="C45" s="23">
        <v>250498.246353195</v>
      </c>
      <c r="D45" s="23">
        <v>156955.975566923</v>
      </c>
      <c r="E45" s="23">
        <f t="shared" si="4"/>
        <v>407454.221920118</v>
      </c>
      <c r="F45" s="23">
        <f t="shared" si="7"/>
        <v>66.4779875089112</v>
      </c>
      <c r="G45" s="24">
        <v>250498.246353195</v>
      </c>
      <c r="H45" s="24">
        <v>156955.975566923</v>
      </c>
      <c r="I45" s="24">
        <f t="shared" si="5"/>
        <v>407454.221920118</v>
      </c>
      <c r="J45" s="36">
        <f t="shared" si="6"/>
        <v>66.4779875089112</v>
      </c>
    </row>
    <row r="46" ht="15" spans="1:10">
      <c r="A46" s="21"/>
      <c r="B46" s="22">
        <v>2060</v>
      </c>
      <c r="C46" s="23">
        <v>238759.949193587</v>
      </c>
      <c r="D46" s="23">
        <v>161035.153213347</v>
      </c>
      <c r="E46" s="23">
        <f t="shared" si="4"/>
        <v>399795.102406934</v>
      </c>
      <c r="F46" s="23">
        <f t="shared" si="7"/>
        <v>65.228367738309</v>
      </c>
      <c r="G46" s="24">
        <v>238759.949193587</v>
      </c>
      <c r="H46" s="24">
        <v>161035.153213347</v>
      </c>
      <c r="I46" s="24">
        <f t="shared" si="5"/>
        <v>399795.102406934</v>
      </c>
      <c r="J46" s="36">
        <f t="shared" si="6"/>
        <v>65.228367738309</v>
      </c>
    </row>
    <row r="47" ht="15" spans="1:10">
      <c r="A47" s="21"/>
      <c r="B47" s="22">
        <v>2061</v>
      </c>
      <c r="C47" s="23">
        <v>227633.026428884</v>
      </c>
      <c r="D47" s="23">
        <v>160843.289084129</v>
      </c>
      <c r="E47" s="23">
        <f t="shared" si="4"/>
        <v>388476.315513013</v>
      </c>
      <c r="F47" s="23">
        <f t="shared" si="7"/>
        <v>63.3816567870659</v>
      </c>
      <c r="G47" s="24">
        <v>218461.121928082</v>
      </c>
      <c r="H47" s="24">
        <v>159151.475083015</v>
      </c>
      <c r="I47" s="24">
        <f t="shared" si="5"/>
        <v>377612.597011097</v>
      </c>
      <c r="J47" s="36">
        <f t="shared" si="6"/>
        <v>61.6091922891713</v>
      </c>
    </row>
    <row r="48" ht="15" spans="1:10">
      <c r="A48" s="21"/>
      <c r="B48" s="22">
        <v>2062</v>
      </c>
      <c r="C48" s="23">
        <v>217082.334997058</v>
      </c>
      <c r="D48" s="23">
        <v>160693.78062013</v>
      </c>
      <c r="E48" s="23">
        <f t="shared" si="4"/>
        <v>377776.115617188</v>
      </c>
      <c r="F48" s="23">
        <f t="shared" si="7"/>
        <v>61.6358710846491</v>
      </c>
      <c r="G48" s="24">
        <v>217082.334997058</v>
      </c>
      <c r="H48" s="24">
        <v>160693.78062013</v>
      </c>
      <c r="I48" s="24">
        <f t="shared" si="5"/>
        <v>377776.115617188</v>
      </c>
      <c r="J48" s="36">
        <f t="shared" si="6"/>
        <v>61.6358710846491</v>
      </c>
    </row>
    <row r="49" ht="15" spans="1:10">
      <c r="A49" s="21"/>
      <c r="B49" s="22">
        <v>2063</v>
      </c>
      <c r="C49" s="23">
        <v>207074.88001436</v>
      </c>
      <c r="D49" s="23">
        <v>160586.026718833</v>
      </c>
      <c r="E49" s="23">
        <f t="shared" si="4"/>
        <v>367660.906733193</v>
      </c>
      <c r="F49" s="23">
        <f t="shared" si="7"/>
        <v>59.9855292949104</v>
      </c>
      <c r="G49" s="24">
        <v>207074.88001436</v>
      </c>
      <c r="H49" s="24">
        <v>160586.026718833</v>
      </c>
      <c r="I49" s="24">
        <f t="shared" si="5"/>
        <v>367660.906733193</v>
      </c>
      <c r="J49" s="36">
        <f t="shared" si="6"/>
        <v>59.9855292949104</v>
      </c>
    </row>
    <row r="50" ht="15" spans="1:10">
      <c r="A50" s="21"/>
      <c r="B50" s="22">
        <v>2064</v>
      </c>
      <c r="C50" s="23">
        <v>197579.680946449</v>
      </c>
      <c r="D50" s="23">
        <v>160519.423276168</v>
      </c>
      <c r="E50" s="23">
        <f t="shared" si="4"/>
        <v>358099.104222617</v>
      </c>
      <c r="F50" s="23">
        <f t="shared" si="7"/>
        <v>58.4254782421436</v>
      </c>
      <c r="G50" s="24">
        <v>197579.680946449</v>
      </c>
      <c r="H50" s="24">
        <v>160519.423276168</v>
      </c>
      <c r="I50" s="24">
        <f t="shared" si="5"/>
        <v>358099.104222617</v>
      </c>
      <c r="J50" s="36">
        <f t="shared" si="6"/>
        <v>58.4254782421436</v>
      </c>
    </row>
    <row r="51" ht="15" spans="1:10">
      <c r="A51" s="21"/>
      <c r="B51" s="22">
        <v>2065</v>
      </c>
      <c r="C51" s="23">
        <v>188567.646003309</v>
      </c>
      <c r="D51" s="23">
        <v>160493.364050761</v>
      </c>
      <c r="E51" s="23">
        <f t="shared" si="4"/>
        <v>349061.01005407</v>
      </c>
      <c r="F51" s="23">
        <f t="shared" si="7"/>
        <v>56.950872559057</v>
      </c>
      <c r="G51" s="24">
        <v>188567.646003309</v>
      </c>
      <c r="H51" s="24">
        <v>160493.364050761</v>
      </c>
      <c r="I51" s="24">
        <f t="shared" si="5"/>
        <v>349061.01005407</v>
      </c>
      <c r="J51" s="36">
        <f t="shared" si="6"/>
        <v>56.950872559057</v>
      </c>
    </row>
    <row r="52" ht="15" spans="1:10">
      <c r="A52" s="21"/>
      <c r="B52" s="22">
        <v>2066</v>
      </c>
      <c r="C52" s="23">
        <v>180011.454271019</v>
      </c>
      <c r="D52" s="23">
        <v>160507.241501377</v>
      </c>
      <c r="E52" s="23">
        <f t="shared" si="4"/>
        <v>340518.695772396</v>
      </c>
      <c r="F52" s="23">
        <f t="shared" si="7"/>
        <v>55.5571555926744</v>
      </c>
      <c r="G52" s="24">
        <v>180011.454271019</v>
      </c>
      <c r="H52" s="24">
        <v>160507.241501377</v>
      </c>
      <c r="I52" s="24">
        <f t="shared" si="5"/>
        <v>340518.695772396</v>
      </c>
      <c r="J52" s="36">
        <f t="shared" si="6"/>
        <v>55.5571555926744</v>
      </c>
    </row>
    <row r="53" ht="15" spans="1:10">
      <c r="A53" s="21"/>
      <c r="B53" s="22">
        <v>2067</v>
      </c>
      <c r="C53" s="23">
        <v>171885.445120585</v>
      </c>
      <c r="D53" s="23">
        <v>160560.447598265</v>
      </c>
      <c r="E53" s="23">
        <f t="shared" si="4"/>
        <v>332445.89271885</v>
      </c>
      <c r="F53" s="23">
        <f t="shared" si="7"/>
        <v>54.2400414932633</v>
      </c>
      <c r="G53" s="24">
        <v>171885.445120585</v>
      </c>
      <c r="H53" s="24">
        <v>160560.447598265</v>
      </c>
      <c r="I53" s="24">
        <f t="shared" si="5"/>
        <v>332445.89271885</v>
      </c>
      <c r="J53" s="36">
        <f t="shared" si="6"/>
        <v>54.2400414932633</v>
      </c>
    </row>
    <row r="54" ht="15" spans="1:10">
      <c r="A54" s="21"/>
      <c r="B54" s="22">
        <v>2068</v>
      </c>
      <c r="C54" s="23">
        <v>164165.514459909</v>
      </c>
      <c r="D54" s="23">
        <v>160652.374609093</v>
      </c>
      <c r="E54" s="23">
        <f t="shared" si="4"/>
        <v>324817.889069002</v>
      </c>
      <c r="F54" s="23">
        <f t="shared" si="7"/>
        <v>52.995498415607</v>
      </c>
      <c r="G54" s="24">
        <v>164165.514459909</v>
      </c>
      <c r="H54" s="24">
        <v>160652.374609093</v>
      </c>
      <c r="I54" s="24">
        <f t="shared" si="5"/>
        <v>324817.889069002</v>
      </c>
      <c r="J54" s="36">
        <f t="shared" si="6"/>
        <v>52.995498415607</v>
      </c>
    </row>
    <row r="55" ht="15" spans="1:10">
      <c r="A55" s="21"/>
      <c r="B55" s="22">
        <v>2069</v>
      </c>
      <c r="C55" s="23">
        <v>156829.017419395</v>
      </c>
      <c r="D55" s="23">
        <v>160782.415860204</v>
      </c>
      <c r="E55" s="23">
        <f t="shared" si="4"/>
        <v>317611.433279599</v>
      </c>
      <c r="F55" s="23">
        <f t="shared" si="7"/>
        <v>51.8197327659254</v>
      </c>
      <c r="G55" s="24">
        <v>156829.017419395</v>
      </c>
      <c r="H55" s="24">
        <v>160782.415860204</v>
      </c>
      <c r="I55" s="24">
        <f t="shared" si="5"/>
        <v>317611.433279599</v>
      </c>
      <c r="J55" s="36">
        <f t="shared" si="6"/>
        <v>51.8197327659254</v>
      </c>
    </row>
    <row r="56" ht="15" spans="1:10">
      <c r="A56" s="21"/>
      <c r="B56" s="22">
        <v>2070</v>
      </c>
      <c r="C56" s="23">
        <v>149854.677084955</v>
      </c>
      <c r="D56" s="23">
        <v>160949.966473903</v>
      </c>
      <c r="E56" s="23">
        <f t="shared" si="4"/>
        <v>310804.643558858</v>
      </c>
      <c r="F56" s="23">
        <f t="shared" si="7"/>
        <v>50.7091744315466</v>
      </c>
      <c r="G56" s="24">
        <v>149854.677084955</v>
      </c>
      <c r="H56" s="24">
        <v>160949.966473903</v>
      </c>
      <c r="I56" s="24">
        <f t="shared" si="5"/>
        <v>310804.643558858</v>
      </c>
      <c r="J56" s="36">
        <f t="shared" si="6"/>
        <v>50.7091744315466</v>
      </c>
    </row>
    <row r="57" ht="15" spans="1:10">
      <c r="A57" s="21" t="s">
        <v>226</v>
      </c>
      <c r="B57" s="22">
        <v>2071</v>
      </c>
      <c r="C57" s="23">
        <v>-463619.492026787</v>
      </c>
      <c r="D57" s="23">
        <v>-138019.535788161</v>
      </c>
      <c r="E57" s="23">
        <f t="shared" si="4"/>
        <v>-601639.027814948</v>
      </c>
      <c r="F57" s="23">
        <f t="shared" si="7"/>
        <v>-98.1601113064348</v>
      </c>
      <c r="G57" s="24">
        <v>-715828.506921402</v>
      </c>
      <c r="H57" s="24">
        <v>-178945.676121821</v>
      </c>
      <c r="I57" s="24">
        <f t="shared" si="5"/>
        <v>-894774.183043223</v>
      </c>
      <c r="J57" s="36">
        <f t="shared" si="6"/>
        <v>-145.986429305683</v>
      </c>
    </row>
    <row r="58" ht="15.75" spans="1:10">
      <c r="A58" s="25"/>
      <c r="B58" s="26" t="s">
        <v>215</v>
      </c>
      <c r="C58" s="27">
        <f t="shared" ref="C58:J58" si="8">SUM(C4:C57)</f>
        <v>39056937.8381859</v>
      </c>
      <c r="D58" s="27">
        <f t="shared" si="8"/>
        <v>7424113.28620403</v>
      </c>
      <c r="E58" s="27">
        <f t="shared" si="8"/>
        <v>46481051.1243899</v>
      </c>
      <c r="F58" s="27">
        <f t="shared" si="8"/>
        <v>7583.59238858015</v>
      </c>
      <c r="G58" s="28">
        <f t="shared" si="8"/>
        <v>39999626.0115933</v>
      </c>
      <c r="H58" s="28">
        <f t="shared" si="8"/>
        <v>7285176.83876119</v>
      </c>
      <c r="I58" s="28">
        <f t="shared" si="8"/>
        <v>47284802.8503544</v>
      </c>
      <c r="J58" s="37">
        <f t="shared" si="8"/>
        <v>7714.72809493544</v>
      </c>
    </row>
    <row r="59" ht="15" spans="2:10">
      <c r="B59" s="29"/>
      <c r="C59" s="30"/>
      <c r="D59" s="30"/>
      <c r="E59" s="30"/>
      <c r="F59" s="31"/>
      <c r="G59" s="29"/>
      <c r="H59" s="29"/>
      <c r="I59" s="29"/>
      <c r="J59" s="38"/>
    </row>
    <row r="60" ht="15" spans="2:10">
      <c r="B60" s="29"/>
      <c r="C60" s="30"/>
      <c r="D60" s="30"/>
      <c r="E60" s="30"/>
      <c r="F60" s="31"/>
      <c r="G60" s="29"/>
      <c r="H60" s="29"/>
      <c r="I60" s="29"/>
      <c r="J60" s="38"/>
    </row>
    <row r="61" ht="15" spans="2:10">
      <c r="B61" s="29"/>
      <c r="C61" s="30"/>
      <c r="D61" s="30"/>
      <c r="E61" s="30"/>
      <c r="F61" s="31"/>
      <c r="G61" s="29"/>
      <c r="H61" s="29"/>
      <c r="I61" s="29"/>
      <c r="J61" s="38"/>
    </row>
    <row r="62" ht="15" spans="2:10">
      <c r="B62" s="29"/>
      <c r="C62" s="30"/>
      <c r="D62" s="30"/>
      <c r="E62" s="30"/>
      <c r="F62" s="32"/>
      <c r="G62" s="29"/>
      <c r="H62" s="29"/>
      <c r="I62" s="29"/>
      <c r="J62" s="39"/>
    </row>
  </sheetData>
  <mergeCells count="6">
    <mergeCell ref="A1:J1"/>
    <mergeCell ref="C2:F2"/>
    <mergeCell ref="G2:J2"/>
    <mergeCell ref="A2:A3"/>
    <mergeCell ref="A6:A56"/>
    <mergeCell ref="B2:B3"/>
  </mergeCells>
  <pageMargins left="0.25" right="0.25" top="0.75" bottom="0.75" header="0.298611111111111" footer="0.298611111111111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3D68C6E0D77543A531ECA1AF65242F" ma:contentTypeVersion="13" ma:contentTypeDescription="Ein neues Dokument erstellen." ma:contentTypeScope="" ma:versionID="8a9224a76c8adab713ef9e4338d8b9d9">
  <xsd:schema xmlns:xsd="http://www.w3.org/2001/XMLSchema" xmlns:xs="http://www.w3.org/2001/XMLSchema" xmlns:p="http://schemas.microsoft.com/office/2006/metadata/properties" xmlns:ns2="4e9c1a30-ac29-4ee3-b6d2-64b56062261e" xmlns:ns3="571cf175-b3ea-4d86-8ad1-bfe8e99f11a0" targetNamespace="http://schemas.microsoft.com/office/2006/metadata/properties" ma:root="true" ma:fieldsID="37d520b899c9b5d9eb7913c26744b8ab" ns2:_="" ns3:_="">
    <xsd:import namespace="4e9c1a30-ac29-4ee3-b6d2-64b56062261e"/>
    <xsd:import namespace="571cf175-b3ea-4d86-8ad1-bfe8e99f1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c1a30-ac29-4ee3-b6d2-64b5606226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cf175-b3ea-4d86-8ad1-bfe8e99f11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cf77b9a-b311-4a8a-8036-cc163133632b}" ma:internalName="TaxCatchAll" ma:showField="CatchAllData" ma:web="571cf175-b3ea-4d86-8ad1-bfe8e99f1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1cf175-b3ea-4d86-8ad1-bfe8e99f11a0" xsi:nil="true"/>
    <lcf76f155ced4ddcb4097134ff3c332f xmlns="4e9c1a30-ac29-4ee3-b6d2-64b5606226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D3341F-45A5-438E-98EA-D3446B970D1B}"/>
</file>

<file path=customXml/itemProps2.xml><?xml version="1.0" encoding="utf-8"?>
<ds:datastoreItem xmlns:ds="http://schemas.openxmlformats.org/officeDocument/2006/customXml" ds:itemID="{44676792-E3A5-40E2-9B08-9072D1AF0EEA}"/>
</file>

<file path=customXml/itemProps3.xml><?xml version="1.0" encoding="utf-8"?>
<ds:datastoreItem xmlns:ds="http://schemas.openxmlformats.org/officeDocument/2006/customXml" ds:itemID="{71426D54-B78A-439F-A1A0-6B939EE252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LCI</vt:lpstr>
      <vt:lpstr>w(WTP factor)</vt:lpstr>
      <vt:lpstr>Energy consumption of Som</vt:lpstr>
      <vt:lpstr>LCCE&amp;EC</vt:lpstr>
      <vt:lpstr>LCC</vt:lpstr>
      <vt:lpstr>D-ELCC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王荣</cp:lastModifiedBy>
  <dcterms:created xsi:type="dcterms:W3CDTF">2015-06-05T18:19:00Z</dcterms:created>
  <dcterms:modified xsi:type="dcterms:W3CDTF">2024-11-04T06:39:33Z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FC98F892F9A64464A5AB473A2F730D59_13</vt:lpwstr>
  </property>
  <property fmtid="{D5CDD505-2E9C-101B-9397-08002B2CF9AE}" pid="3" name="KSOProductBuildVer">
    <vt:lpwstr>2052-12.1.0.18276</vt:lpwstr>
  </property>
  <property fmtid="{D5CDD505-2E9C-101B-9397-08002B2CF9AE}" pid="4" name="ContentTypeId">
    <vt:lpwstr>0x010100693D68C6E0D77543A531ECA1AF65242F</vt:lpwstr>
  </property>
</Properties>
</file>