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hidePivotFieldList="1" defaultThemeVersion="166925"/>
  <mc:AlternateContent xmlns:mc="http://schemas.openxmlformats.org/markup-compatibility/2006">
    <mc:Choice Requires="x15">
      <x15ac:absPath xmlns:x15ac="http://schemas.microsoft.com/office/spreadsheetml/2010/11/ac" url="https://aarhusuniversitet-my.sharepoint.com/personal/au740580_uni_au_dk/Documents/Documents/Manuscripts/Submitted manuscripts/USEEIO/"/>
    </mc:Choice>
  </mc:AlternateContent>
  <xr:revisionPtr revIDLastSave="11" documentId="8_{6AA38CA1-9AE2-4C7C-BE88-3F8D6193B0D0}" xr6:coauthVersionLast="47" xr6:coauthVersionMax="47" xr10:uidLastSave="{30B22A3D-AAF6-4A36-A9FA-89C782132F2E}"/>
  <bookViews>
    <workbookView xWindow="14295" yWindow="0" windowWidth="14610" windowHeight="15585" tabRatio="876" activeTab="1" xr2:uid="{1487A7B1-C895-487E-99D0-DD01D9BEDB6B}"/>
  </bookViews>
  <sheets>
    <sheet name="README" sheetId="12" r:id="rId1"/>
    <sheet name="1. LCA Controls" sheetId="11" r:id="rId2"/>
    <sheet name="2. ABM-LCA Controls" sheetId="42" r:id="rId3"/>
    <sheet name="3. Outputs BASE" sheetId="19" r:id="rId4"/>
    <sheet name="4. Outputs LOCAL" sheetId="38" r:id="rId5"/>
    <sheet name="5. Outputs ABM-LOCAL" sheetId="44" r:id="rId6"/>
    <sheet name="6. ABM-LCA Inputs" sheetId="43" r:id="rId7"/>
    <sheet name="7. BASE to LOCAL" sheetId="26" r:id="rId8"/>
    <sheet name="8. Prices" sheetId="7" r:id="rId9"/>
    <sheet name="9. Price Adj" sheetId="39" r:id="rId10"/>
    <sheet name="10. Population" sheetId="15" r:id="rId11"/>
    <sheet name="11. Diet" sheetId="31" r:id="rId12"/>
    <sheet name="12. Nutrition" sheetId="29" r:id="rId13"/>
    <sheet name="13. Yields" sheetId="33" r:id="rId14"/>
    <sheet name="14. Land Req " sheetId="36" r:id="rId15"/>
    <sheet name="15. Ag Prod" sheetId="37" r:id="rId16"/>
    <sheet name="16. Packaging, Market" sheetId="40" r:id="rId17"/>
    <sheet name="17. Transport" sheetId="35" r:id="rId18"/>
    <sheet name="PFI Yield data" sheetId="25" state="hidden" r:id="rId19"/>
    <sheet name="18. Waste, Losses" sheetId="34" r:id="rId20"/>
  </sheets>
  <externalReferences>
    <externalReference r:id="rId21"/>
    <externalReference r:id="rId22"/>
    <externalReference r:id="rId23"/>
    <externalReference r:id="rId24"/>
    <externalReference r:id="rId25"/>
    <externalReference r:id="rId26"/>
  </externalReferences>
  <definedNames>
    <definedName name="Alfalfa_hay">'[1]Crop and grazing yields'!$V$153</definedName>
    <definedName name="Carrots_Processed">'[2]Crop and grazing yields'!$V$27</definedName>
    <definedName name="Corn">'[1]Crop and grazing yields'!$V$150</definedName>
    <definedName name="Corn_Silage">'[1]Crop and grazing yields'!$V$151</definedName>
    <definedName name="Fat_content">'[3]Dairy processing conversions'!$L$47</definedName>
    <definedName name="grazing_land_yield">'[1]Crop and grazing yields'!$V$174</definedName>
    <definedName name="Hay_haylage_exlc_alfalfa">'[1]Crop and grazing yields'!$V$152</definedName>
    <definedName name="Percent__Dedicated__beef">'[4]Livestock feed requirements'!$B$39</definedName>
    <definedName name="Skimsolid_content">'[3]Dairy processing conversions'!$L$48</definedName>
    <definedName name="Soybeans">'[1]Crop and grazing yields'!$V$161</definedName>
    <definedName name="Tomatoes_Processed">'[2]Crop and grazing yields'!$V$59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33" l="1"/>
  <c r="E66" i="31"/>
  <c r="E65" i="31"/>
  <c r="B24" i="42"/>
  <c r="B28" i="42"/>
  <c r="B27" i="42"/>
  <c r="B26" i="42"/>
  <c r="B4" i="26"/>
  <c r="B5" i="26"/>
  <c r="B6" i="26"/>
  <c r="B54" i="37"/>
  <c r="H45" i="37"/>
  <c r="I6" i="31"/>
  <c r="I4" i="34"/>
  <c r="B78" i="31"/>
  <c r="B77" i="31"/>
  <c r="B76" i="31"/>
  <c r="B75" i="31"/>
  <c r="B73" i="31"/>
  <c r="B72" i="31"/>
  <c r="E63" i="31" s="1"/>
  <c r="B71" i="31"/>
  <c r="B70" i="31"/>
  <c r="B69" i="31"/>
  <c r="B68" i="31"/>
  <c r="E64" i="31" s="1"/>
  <c r="B59" i="31"/>
  <c r="B58" i="31"/>
  <c r="B57" i="31"/>
  <c r="B56" i="31"/>
  <c r="B55" i="31"/>
  <c r="B54" i="31"/>
  <c r="E62" i="31" s="1"/>
  <c r="B53" i="31"/>
  <c r="B52" i="31"/>
  <c r="B51" i="31"/>
  <c r="D18" i="31"/>
  <c r="G73" i="33"/>
  <c r="E61" i="31" l="1"/>
  <c r="J32" i="33"/>
  <c r="I32" i="33"/>
  <c r="E18" i="7"/>
  <c r="G18" i="7" s="1"/>
  <c r="H18" i="7" s="1"/>
  <c r="F26" i="33"/>
  <c r="J26" i="33"/>
  <c r="K26" i="33" s="1"/>
  <c r="G60" i="33" l="1"/>
  <c r="G59" i="33"/>
  <c r="G58" i="33"/>
  <c r="F60" i="33"/>
  <c r="F59" i="33"/>
  <c r="F58" i="33"/>
  <c r="E59" i="33"/>
  <c r="I20" i="33"/>
  <c r="I19" i="33"/>
  <c r="J5" i="33"/>
  <c r="I5" i="33" s="1"/>
  <c r="J6" i="33"/>
  <c r="I6" i="33" s="1"/>
  <c r="E60" i="33"/>
  <c r="G45" i="33"/>
  <c r="F45" i="33"/>
  <c r="E14" i="33"/>
  <c r="G14" i="33" s="1"/>
  <c r="J14" i="33" l="1"/>
  <c r="I14" i="33" s="1"/>
  <c r="F14" i="33"/>
  <c r="H49" i="37" l="1"/>
  <c r="H46" i="37"/>
  <c r="G45" i="37" l="1"/>
  <c r="I4" i="26"/>
  <c r="I51" i="34"/>
  <c r="J51" i="34"/>
  <c r="K51" i="34"/>
  <c r="L51" i="34"/>
  <c r="I52" i="34"/>
  <c r="J52" i="34"/>
  <c r="K52" i="34"/>
  <c r="L52" i="34"/>
  <c r="I53" i="34"/>
  <c r="J53" i="34"/>
  <c r="K53" i="34"/>
  <c r="L53" i="34"/>
  <c r="I54" i="34"/>
  <c r="J54" i="34"/>
  <c r="K54" i="34"/>
  <c r="L54" i="34"/>
  <c r="I55" i="34"/>
  <c r="J55" i="34"/>
  <c r="K55" i="34"/>
  <c r="L55" i="34"/>
  <c r="I56" i="34"/>
  <c r="J56" i="34"/>
  <c r="K56" i="34"/>
  <c r="L56" i="34"/>
  <c r="I57" i="34"/>
  <c r="J57" i="34"/>
  <c r="K57" i="34"/>
  <c r="L57" i="34"/>
  <c r="I58" i="34"/>
  <c r="J58" i="34"/>
  <c r="K58" i="34"/>
  <c r="L58" i="34"/>
  <c r="I59" i="34"/>
  <c r="J59" i="34"/>
  <c r="K59" i="34"/>
  <c r="L59" i="34"/>
  <c r="I60" i="34"/>
  <c r="J60" i="34"/>
  <c r="K60" i="34"/>
  <c r="L60" i="34"/>
  <c r="I61" i="34"/>
  <c r="J61" i="34"/>
  <c r="K61" i="34"/>
  <c r="L61" i="34"/>
  <c r="I62" i="34"/>
  <c r="J62" i="34"/>
  <c r="K62" i="34"/>
  <c r="L62" i="34"/>
  <c r="I63" i="34"/>
  <c r="J63" i="34"/>
  <c r="K63" i="34"/>
  <c r="L63" i="34"/>
  <c r="I64" i="34"/>
  <c r="J64" i="34"/>
  <c r="K64" i="34"/>
  <c r="L64" i="34"/>
  <c r="I65" i="34"/>
  <c r="J65" i="34"/>
  <c r="K65" i="34"/>
  <c r="L65" i="34"/>
  <c r="I66" i="34"/>
  <c r="J66" i="34"/>
  <c r="K66" i="34"/>
  <c r="L66" i="34"/>
  <c r="I67" i="34"/>
  <c r="J67" i="34"/>
  <c r="K67" i="34"/>
  <c r="L67" i="34"/>
  <c r="I68" i="34"/>
  <c r="J68" i="34"/>
  <c r="K68" i="34"/>
  <c r="L68" i="34"/>
  <c r="I69" i="34"/>
  <c r="J69" i="34"/>
  <c r="K69" i="34"/>
  <c r="L69" i="34"/>
  <c r="I70" i="34"/>
  <c r="J70" i="34"/>
  <c r="K70" i="34"/>
  <c r="L70" i="34"/>
  <c r="I71" i="34"/>
  <c r="J71" i="34"/>
  <c r="K71" i="34"/>
  <c r="L71" i="34"/>
  <c r="I72" i="34"/>
  <c r="J72" i="34"/>
  <c r="K72" i="34"/>
  <c r="L72" i="34"/>
  <c r="I73" i="34"/>
  <c r="J73" i="34"/>
  <c r="K73" i="34"/>
  <c r="L73" i="34"/>
  <c r="L50" i="34"/>
  <c r="K50" i="34"/>
  <c r="J50" i="34"/>
  <c r="I50" i="34"/>
  <c r="I6" i="34"/>
  <c r="J6" i="34"/>
  <c r="K6" i="34"/>
  <c r="L6" i="34"/>
  <c r="I7" i="34"/>
  <c r="J7" i="34"/>
  <c r="K7" i="34"/>
  <c r="L7" i="34"/>
  <c r="I8" i="34"/>
  <c r="J8" i="34"/>
  <c r="K8" i="34"/>
  <c r="L8" i="34"/>
  <c r="I9" i="34"/>
  <c r="J9" i="34"/>
  <c r="K9" i="34"/>
  <c r="L9" i="34"/>
  <c r="I10" i="34"/>
  <c r="J10" i="34"/>
  <c r="K10" i="34"/>
  <c r="L10" i="34"/>
  <c r="I11" i="34"/>
  <c r="J11" i="34"/>
  <c r="K11" i="34"/>
  <c r="L11" i="34"/>
  <c r="I12" i="34"/>
  <c r="J12" i="34"/>
  <c r="K12" i="34"/>
  <c r="L12" i="34"/>
  <c r="I13" i="34"/>
  <c r="J13" i="34"/>
  <c r="K13" i="34"/>
  <c r="L13" i="34"/>
  <c r="I14" i="34"/>
  <c r="J14" i="34"/>
  <c r="K14" i="34"/>
  <c r="L14" i="34"/>
  <c r="I15" i="34"/>
  <c r="J15" i="34"/>
  <c r="K15" i="34"/>
  <c r="L15" i="34"/>
  <c r="I16" i="34"/>
  <c r="J16" i="34"/>
  <c r="K16" i="34"/>
  <c r="L16" i="34"/>
  <c r="I17" i="34"/>
  <c r="J17" i="34"/>
  <c r="K17" i="34"/>
  <c r="L17" i="34"/>
  <c r="I18" i="34"/>
  <c r="J18" i="34"/>
  <c r="K18" i="34"/>
  <c r="L18" i="34"/>
  <c r="I19" i="34"/>
  <c r="J19" i="34"/>
  <c r="K19" i="34"/>
  <c r="L19" i="34"/>
  <c r="I20" i="34"/>
  <c r="J20" i="34"/>
  <c r="K20" i="34"/>
  <c r="L20" i="34"/>
  <c r="I21" i="34"/>
  <c r="J21" i="34"/>
  <c r="K21" i="34"/>
  <c r="L21" i="34"/>
  <c r="I22" i="34"/>
  <c r="J22" i="34"/>
  <c r="K22" i="34"/>
  <c r="L22" i="34"/>
  <c r="I23" i="34"/>
  <c r="J23" i="34"/>
  <c r="K23" i="34"/>
  <c r="L23" i="34"/>
  <c r="I24" i="34"/>
  <c r="J24" i="34"/>
  <c r="K24" i="34"/>
  <c r="L24" i="34"/>
  <c r="I25" i="34"/>
  <c r="J25" i="34"/>
  <c r="K25" i="34"/>
  <c r="L25" i="34"/>
  <c r="I26" i="34"/>
  <c r="J26" i="34"/>
  <c r="K26" i="34"/>
  <c r="L26" i="34"/>
  <c r="I27" i="34"/>
  <c r="J27" i="34"/>
  <c r="K27" i="34"/>
  <c r="L27" i="34"/>
  <c r="I28" i="34"/>
  <c r="J28" i="34"/>
  <c r="K28" i="34"/>
  <c r="L28" i="34"/>
  <c r="I29" i="34"/>
  <c r="J29" i="34"/>
  <c r="K29" i="34"/>
  <c r="L29" i="34"/>
  <c r="I30" i="34"/>
  <c r="J30" i="34"/>
  <c r="K30" i="34"/>
  <c r="L30" i="34"/>
  <c r="I31" i="34"/>
  <c r="J31" i="34"/>
  <c r="K31" i="34"/>
  <c r="L31" i="34"/>
  <c r="I32" i="34"/>
  <c r="J32" i="34"/>
  <c r="K32" i="34"/>
  <c r="L32" i="34"/>
  <c r="I33" i="34"/>
  <c r="J33" i="34"/>
  <c r="K33" i="34"/>
  <c r="L33" i="34"/>
  <c r="I34" i="34"/>
  <c r="J34" i="34"/>
  <c r="K34" i="34"/>
  <c r="L34" i="34"/>
  <c r="I35" i="34"/>
  <c r="J35" i="34"/>
  <c r="K35" i="34"/>
  <c r="L35" i="34"/>
  <c r="I36" i="34"/>
  <c r="J36" i="34"/>
  <c r="K36" i="34"/>
  <c r="L36" i="34"/>
  <c r="I37" i="34"/>
  <c r="J37" i="34"/>
  <c r="K37" i="34"/>
  <c r="L37" i="34"/>
  <c r="I38" i="34"/>
  <c r="J38" i="34"/>
  <c r="K38" i="34"/>
  <c r="L38" i="34"/>
  <c r="I39" i="34"/>
  <c r="J39" i="34"/>
  <c r="K39" i="34"/>
  <c r="L39" i="34"/>
  <c r="I40" i="34"/>
  <c r="J40" i="34"/>
  <c r="K40" i="34"/>
  <c r="L40" i="34"/>
  <c r="I41" i="34"/>
  <c r="J41" i="34"/>
  <c r="K41" i="34"/>
  <c r="L41" i="34"/>
  <c r="I42" i="34"/>
  <c r="J42" i="34"/>
  <c r="K42" i="34"/>
  <c r="L42" i="34"/>
  <c r="I43" i="34"/>
  <c r="J43" i="34"/>
  <c r="K43" i="34"/>
  <c r="L43" i="34"/>
  <c r="I44" i="34"/>
  <c r="J44" i="34"/>
  <c r="K44" i="34"/>
  <c r="L44" i="34"/>
  <c r="I45" i="34"/>
  <c r="J45" i="34"/>
  <c r="K45" i="34"/>
  <c r="L45" i="34"/>
  <c r="I46" i="34"/>
  <c r="J46" i="34"/>
  <c r="K46" i="34"/>
  <c r="L46" i="34"/>
  <c r="I47" i="34"/>
  <c r="J47" i="34"/>
  <c r="K47" i="34"/>
  <c r="L47" i="34"/>
  <c r="I48" i="34"/>
  <c r="J48" i="34"/>
  <c r="K48" i="34"/>
  <c r="L48" i="34"/>
  <c r="L5" i="34"/>
  <c r="I5" i="34"/>
  <c r="J5" i="34"/>
  <c r="K5" i="34"/>
  <c r="L4" i="34"/>
  <c r="K4" i="34"/>
  <c r="J4" i="34"/>
  <c r="G47" i="37"/>
  <c r="F7" i="43"/>
  <c r="I3" i="31"/>
  <c r="I42" i="31"/>
  <c r="I9" i="31"/>
  <c r="I8" i="31"/>
  <c r="I5" i="31"/>
  <c r="I4" i="31"/>
  <c r="K45" i="37"/>
  <c r="K46" i="37"/>
  <c r="K50" i="37"/>
  <c r="K49" i="37"/>
  <c r="L4" i="37"/>
  <c r="E3" i="33"/>
  <c r="B55" i="37"/>
  <c r="K47" i="37"/>
  <c r="F3" i="33" l="1"/>
  <c r="G3" i="33"/>
  <c r="B23" i="42"/>
  <c r="G46" i="37"/>
  <c r="G48" i="37"/>
  <c r="I29" i="31"/>
  <c r="F6" i="40"/>
  <c r="F5" i="40"/>
  <c r="F4" i="40"/>
  <c r="C4" i="40"/>
  <c r="C5" i="40"/>
  <c r="C6" i="40"/>
  <c r="C7" i="40"/>
  <c r="C8" i="40"/>
  <c r="C9" i="40"/>
  <c r="C10" i="40"/>
  <c r="C11" i="40"/>
  <c r="C12" i="40"/>
  <c r="B12" i="40"/>
  <c r="B11" i="40"/>
  <c r="B10" i="40"/>
  <c r="B9" i="40"/>
  <c r="B8" i="40"/>
  <c r="B7" i="40"/>
  <c r="B6" i="40"/>
  <c r="B5" i="40"/>
  <c r="B4" i="40"/>
  <c r="T15" i="37"/>
  <c r="T16" i="37"/>
  <c r="T17" i="37"/>
  <c r="T18" i="37"/>
  <c r="T11" i="37"/>
  <c r="T12" i="37"/>
  <c r="T13" i="37"/>
  <c r="T14" i="37"/>
  <c r="T10" i="37"/>
  <c r="L5" i="37"/>
  <c r="K19" i="37"/>
  <c r="C59" i="36"/>
  <c r="C58" i="36"/>
  <c r="C57" i="36"/>
  <c r="C56" i="36"/>
  <c r="C55" i="36"/>
  <c r="C54" i="36"/>
  <c r="B59" i="36"/>
  <c r="B58" i="36"/>
  <c r="B57" i="36"/>
  <c r="B56" i="36"/>
  <c r="B55" i="36"/>
  <c r="B54" i="36"/>
  <c r="M2" i="40"/>
  <c r="K10" i="37"/>
  <c r="K13" i="37"/>
  <c r="G4" i="40"/>
  <c r="F30" i="35"/>
  <c r="K24" i="31"/>
  <c r="G125" i="35"/>
  <c r="F125" i="35"/>
  <c r="F127" i="35"/>
  <c r="G127" i="35"/>
  <c r="G120" i="35"/>
  <c r="F120" i="35"/>
  <c r="G115" i="35"/>
  <c r="F115" i="35"/>
  <c r="F101" i="35"/>
  <c r="F76" i="35"/>
  <c r="F63" i="35"/>
  <c r="F61" i="35"/>
  <c r="F60" i="35"/>
  <c r="F59" i="35"/>
  <c r="F58" i="35"/>
  <c r="F57" i="35"/>
  <c r="F55" i="35"/>
  <c r="F54" i="35"/>
  <c r="F50" i="35"/>
  <c r="F49" i="35"/>
  <c r="F44" i="35"/>
  <c r="F40" i="35"/>
  <c r="G5" i="40"/>
  <c r="G6" i="40"/>
  <c r="E8" i="35"/>
  <c r="H47" i="37"/>
  <c r="H48" i="37"/>
  <c r="H50" i="37"/>
  <c r="G50" i="37"/>
  <c r="G49" i="37"/>
  <c r="K45" i="33"/>
  <c r="K17" i="37" l="1"/>
  <c r="K15" i="37"/>
  <c r="M3" i="40"/>
  <c r="M4" i="40" s="1"/>
  <c r="M5" i="40" s="1"/>
  <c r="M6" i="40" s="1"/>
  <c r="M7" i="40" s="1"/>
  <c r="M8" i="40" s="1"/>
  <c r="M9" i="40" s="1"/>
  <c r="M10" i="40" s="1"/>
  <c r="M11" i="40" s="1"/>
  <c r="M12" i="40" s="1"/>
  <c r="M13" i="40" s="1"/>
  <c r="M14" i="40" s="1"/>
  <c r="M15" i="40" s="1"/>
  <c r="M16" i="40" s="1"/>
  <c r="M17" i="40" s="1"/>
  <c r="M18" i="40" s="1"/>
  <c r="M19" i="40" s="1"/>
  <c r="M20" i="40" s="1"/>
  <c r="M21" i="40" s="1"/>
  <c r="M22" i="40" s="1"/>
  <c r="M23" i="40" s="1"/>
  <c r="M24" i="40" s="1"/>
  <c r="M25" i="40" s="1"/>
  <c r="M26" i="40" s="1"/>
  <c r="M27" i="40" s="1"/>
  <c r="M28" i="40" s="1"/>
  <c r="M29" i="40" s="1"/>
  <c r="M30" i="40" s="1"/>
  <c r="M31" i="40" s="1"/>
  <c r="M32" i="40" s="1"/>
  <c r="J26" i="40"/>
  <c r="I46" i="37"/>
  <c r="J46" i="37"/>
  <c r="I47" i="37"/>
  <c r="J47" i="37"/>
  <c r="I48" i="37"/>
  <c r="J48" i="37"/>
  <c r="K48" i="37" l="1"/>
  <c r="B6" i="42"/>
  <c r="B3" i="43" l="1"/>
  <c r="J25" i="40"/>
  <c r="B14" i="40" s="1"/>
  <c r="B46" i="43"/>
  <c r="A3" i="36" l="1"/>
  <c r="A56" i="33"/>
  <c r="A55" i="33"/>
  <c r="A48" i="33"/>
  <c r="A47" i="33"/>
  <c r="A43" i="33"/>
  <c r="A38" i="33"/>
  <c r="A32" i="33"/>
  <c r="B9" i="26" l="1"/>
  <c r="B7" i="26" l="1"/>
  <c r="L9" i="37"/>
  <c r="L7" i="37" l="1"/>
  <c r="L8" i="37"/>
  <c r="L6" i="37"/>
  <c r="G20" i="12" l="1"/>
  <c r="D49" i="36"/>
  <c r="D50" i="36" l="1"/>
  <c r="B22" i="11" s="1"/>
  <c r="C73" i="33"/>
  <c r="C71" i="33"/>
  <c r="E71" i="33" s="1"/>
  <c r="C69" i="33"/>
  <c r="E69" i="33" s="1"/>
  <c r="C67" i="33"/>
  <c r="E67" i="33" s="1"/>
  <c r="C65" i="33"/>
  <c r="E65" i="33" s="1"/>
  <c r="C63" i="33"/>
  <c r="E63" i="33" s="1"/>
  <c r="C72" i="33"/>
  <c r="C70" i="33"/>
  <c r="E70" i="33" s="1"/>
  <c r="C68" i="33"/>
  <c r="E68" i="33" s="1"/>
  <c r="C66" i="33"/>
  <c r="E66" i="33" s="1"/>
  <c r="C64" i="33"/>
  <c r="C62" i="33"/>
  <c r="E62" i="33" s="1"/>
  <c r="F65" i="33" l="1"/>
  <c r="I65" i="33" s="1"/>
  <c r="G65" i="33"/>
  <c r="J65" i="33" s="1"/>
  <c r="K65" i="33" s="1"/>
  <c r="F63" i="33"/>
  <c r="G63" i="33"/>
  <c r="J63" i="33" s="1"/>
  <c r="F67" i="33"/>
  <c r="I67" i="33" s="1"/>
  <c r="G67" i="33"/>
  <c r="J67" i="33" s="1"/>
  <c r="K67" i="33" s="1"/>
  <c r="F62" i="33"/>
  <c r="I62" i="33" s="1"/>
  <c r="G62" i="33"/>
  <c r="J62" i="33" s="1"/>
  <c r="G69" i="33"/>
  <c r="J69" i="33" s="1"/>
  <c r="K69" i="33" s="1"/>
  <c r="F69" i="33"/>
  <c r="I69" i="33" s="1"/>
  <c r="F66" i="33"/>
  <c r="I66" i="33" s="1"/>
  <c r="G66" i="33"/>
  <c r="J66" i="33" s="1"/>
  <c r="K66" i="33" s="1"/>
  <c r="F71" i="33"/>
  <c r="I71" i="33" s="1"/>
  <c r="G71" i="33"/>
  <c r="J71" i="33" s="1"/>
  <c r="K71" i="33" s="1"/>
  <c r="F68" i="33"/>
  <c r="I68" i="33" s="1"/>
  <c r="G68" i="33"/>
  <c r="J68" i="33" s="1"/>
  <c r="K68" i="33" s="1"/>
  <c r="F70" i="33"/>
  <c r="I70" i="33" s="1"/>
  <c r="G70" i="33"/>
  <c r="J70" i="33" s="1"/>
  <c r="K70" i="33" s="1"/>
  <c r="I63" i="33"/>
  <c r="E64" i="33"/>
  <c r="E73" i="33"/>
  <c r="E72" i="33"/>
  <c r="F73" i="33" l="1"/>
  <c r="I73" i="33" s="1"/>
  <c r="J73" i="33"/>
  <c r="B50" i="36" s="1"/>
  <c r="G64" i="33"/>
  <c r="J64" i="33" s="1"/>
  <c r="K64" i="33" s="1"/>
  <c r="F64" i="33"/>
  <c r="I64" i="33" s="1"/>
  <c r="G72" i="33"/>
  <c r="J72" i="33" s="1"/>
  <c r="K72" i="33" s="1"/>
  <c r="F72" i="33"/>
  <c r="I72" i="33" s="1"/>
  <c r="K62" i="33"/>
  <c r="K63" i="33"/>
  <c r="B49" i="36" l="1"/>
  <c r="C49" i="7" s="1"/>
  <c r="T2" i="19" s="1"/>
  <c r="C50" i="7"/>
  <c r="S2" i="19" s="1"/>
  <c r="K73" i="33"/>
  <c r="K18" i="37"/>
  <c r="F18" i="37" s="1"/>
  <c r="K12" i="37"/>
  <c r="H12" i="37" s="1"/>
  <c r="K16" i="37"/>
  <c r="K11" i="37"/>
  <c r="K14" i="37"/>
  <c r="P15" i="37"/>
  <c r="P13" i="37"/>
  <c r="P14" i="37"/>
  <c r="P16" i="37"/>
  <c r="P17" i="37"/>
  <c r="O10" i="37"/>
  <c r="N10" i="37"/>
  <c r="E18" i="37" l="1"/>
  <c r="I18" i="37"/>
  <c r="H18" i="37"/>
  <c r="H16" i="37"/>
  <c r="Q16" i="37" s="1"/>
  <c r="I16" i="37"/>
  <c r="R16" i="37" s="1"/>
  <c r="E16" i="37"/>
  <c r="N16" i="37" s="1"/>
  <c r="F16" i="37"/>
  <c r="O16" i="37" s="1"/>
  <c r="E13" i="37"/>
  <c r="N13" i="37" s="1"/>
  <c r="I13" i="37"/>
  <c r="R13" i="37" s="1"/>
  <c r="H13" i="37"/>
  <c r="Q13" i="37" s="1"/>
  <c r="F13" i="37"/>
  <c r="O13" i="37" s="1"/>
  <c r="E12" i="37"/>
  <c r="F12" i="37"/>
  <c r="I12" i="37"/>
  <c r="I14" i="37"/>
  <c r="R14" i="37" s="1"/>
  <c r="F14" i="37"/>
  <c r="O14" i="37" s="1"/>
  <c r="E14" i="37"/>
  <c r="N14" i="37" s="1"/>
  <c r="H14" i="37"/>
  <c r="Q14" i="37" s="1"/>
  <c r="B66" i="36"/>
  <c r="L13" i="37" l="1"/>
  <c r="L18" i="37"/>
  <c r="L16" i="37"/>
  <c r="L14" i="37"/>
  <c r="I15" i="37"/>
  <c r="R15" i="37" s="1"/>
  <c r="F15" i="37"/>
  <c r="O15" i="37" s="1"/>
  <c r="E15" i="37"/>
  <c r="N15" i="37" s="1"/>
  <c r="H15" i="37"/>
  <c r="Q15" i="37" s="1"/>
  <c r="F17" i="37"/>
  <c r="O17" i="37" s="1"/>
  <c r="H17" i="37"/>
  <c r="Q17" i="37" s="1"/>
  <c r="I17" i="37"/>
  <c r="R17" i="37" s="1"/>
  <c r="E17" i="37"/>
  <c r="N17" i="37" s="1"/>
  <c r="E42" i="7"/>
  <c r="G60" i="7"/>
  <c r="H60" i="7" s="1"/>
  <c r="G58" i="7"/>
  <c r="H58" i="7" s="1"/>
  <c r="G57" i="7"/>
  <c r="H57" i="7" s="1"/>
  <c r="H26" i="7"/>
  <c r="D10" i="31"/>
  <c r="E4" i="33"/>
  <c r="E5" i="33"/>
  <c r="E6" i="33"/>
  <c r="E7" i="33"/>
  <c r="F7" i="33" s="1"/>
  <c r="I7" i="33" s="1"/>
  <c r="E8" i="33"/>
  <c r="E9" i="33"/>
  <c r="E10" i="33"/>
  <c r="E11" i="33"/>
  <c r="E12" i="33"/>
  <c r="E13" i="33"/>
  <c r="E15" i="33"/>
  <c r="E16" i="33"/>
  <c r="E17" i="33"/>
  <c r="E18" i="33"/>
  <c r="F18" i="33" s="1"/>
  <c r="E19" i="33"/>
  <c r="E20" i="33"/>
  <c r="E21" i="33"/>
  <c r="E22" i="33"/>
  <c r="E23" i="33"/>
  <c r="E24" i="33"/>
  <c r="G24" i="33" s="1"/>
  <c r="E25" i="33"/>
  <c r="E27" i="33"/>
  <c r="E28" i="33"/>
  <c r="E29" i="33"/>
  <c r="E30" i="33"/>
  <c r="E31" i="33"/>
  <c r="E32" i="33"/>
  <c r="E33" i="33"/>
  <c r="E34" i="33"/>
  <c r="E35" i="33"/>
  <c r="E36" i="33"/>
  <c r="E37" i="33"/>
  <c r="E38" i="33"/>
  <c r="E39" i="33"/>
  <c r="E40" i="33"/>
  <c r="E41" i="33"/>
  <c r="E42" i="33"/>
  <c r="E43" i="33"/>
  <c r="E44" i="33"/>
  <c r="E46" i="33"/>
  <c r="E47" i="33"/>
  <c r="E48" i="33"/>
  <c r="E49" i="33"/>
  <c r="E50" i="33"/>
  <c r="E51" i="33"/>
  <c r="E52" i="33"/>
  <c r="E53" i="33"/>
  <c r="E54" i="33"/>
  <c r="E55" i="33"/>
  <c r="E56" i="33"/>
  <c r="E57" i="33"/>
  <c r="E58" i="33"/>
  <c r="E61" i="33"/>
  <c r="F23" i="33" l="1"/>
  <c r="G23" i="33"/>
  <c r="G8" i="33"/>
  <c r="F8" i="33"/>
  <c r="F12" i="33"/>
  <c r="G12" i="33"/>
  <c r="G20" i="33"/>
  <c r="F20" i="33"/>
  <c r="F4" i="33"/>
  <c r="G4" i="33"/>
  <c r="J4" i="33" s="1"/>
  <c r="F10" i="33"/>
  <c r="G10" i="33"/>
  <c r="G18" i="33"/>
  <c r="F34" i="33"/>
  <c r="G34" i="33"/>
  <c r="F50" i="33"/>
  <c r="G50" i="33"/>
  <c r="F41" i="33"/>
  <c r="G41" i="33"/>
  <c r="F33" i="33"/>
  <c r="G33" i="33"/>
  <c r="J33" i="33" s="1"/>
  <c r="K33" i="33" s="1"/>
  <c r="F24" i="33"/>
  <c r="I24" i="33" s="1"/>
  <c r="G16" i="33"/>
  <c r="F16" i="33"/>
  <c r="G7" i="33"/>
  <c r="F17" i="33"/>
  <c r="G17" i="33"/>
  <c r="G32" i="33"/>
  <c r="F32" i="33"/>
  <c r="G56" i="33"/>
  <c r="F56" i="33"/>
  <c r="G48" i="33"/>
  <c r="F48" i="33"/>
  <c r="F39" i="33"/>
  <c r="G39" i="33"/>
  <c r="F31" i="33"/>
  <c r="G31" i="33"/>
  <c r="F22" i="33"/>
  <c r="G22" i="33"/>
  <c r="G13" i="33"/>
  <c r="F13" i="33"/>
  <c r="G5" i="33"/>
  <c r="F5" i="33"/>
  <c r="F51" i="33"/>
  <c r="G51" i="33"/>
  <c r="G40" i="33"/>
  <c r="F40" i="33"/>
  <c r="F15" i="33"/>
  <c r="G15" i="33"/>
  <c r="F55" i="33"/>
  <c r="G55" i="33"/>
  <c r="F47" i="33"/>
  <c r="G47" i="33"/>
  <c r="F38" i="33"/>
  <c r="G38" i="33"/>
  <c r="F30" i="33"/>
  <c r="G30" i="33"/>
  <c r="G21" i="33"/>
  <c r="F21" i="33"/>
  <c r="I4" i="33"/>
  <c r="F25" i="33"/>
  <c r="G25" i="33"/>
  <c r="F57" i="33"/>
  <c r="G57" i="33"/>
  <c r="F54" i="33"/>
  <c r="G54" i="33"/>
  <c r="F46" i="33"/>
  <c r="G46" i="33"/>
  <c r="G37" i="33"/>
  <c r="F37" i="33"/>
  <c r="F29" i="33"/>
  <c r="G29" i="33"/>
  <c r="F11" i="33"/>
  <c r="G11" i="33"/>
  <c r="F49" i="33"/>
  <c r="G49" i="33"/>
  <c r="F61" i="33"/>
  <c r="G61" i="33"/>
  <c r="G53" i="33"/>
  <c r="F53" i="33"/>
  <c r="F44" i="33"/>
  <c r="G44" i="33"/>
  <c r="J44" i="33" s="1"/>
  <c r="K44" i="33" s="1"/>
  <c r="F36" i="33"/>
  <c r="G36" i="33"/>
  <c r="F28" i="33"/>
  <c r="G28" i="33"/>
  <c r="F19" i="33"/>
  <c r="G19" i="33"/>
  <c r="F42" i="33"/>
  <c r="G42" i="33"/>
  <c r="F6" i="33"/>
  <c r="G6" i="33"/>
  <c r="K6" i="33" s="1"/>
  <c r="F52" i="33"/>
  <c r="G52" i="33"/>
  <c r="F43" i="33"/>
  <c r="G43" i="33"/>
  <c r="F35" i="33"/>
  <c r="G35" i="33"/>
  <c r="F27" i="33"/>
  <c r="G27" i="33"/>
  <c r="F9" i="33"/>
  <c r="G9" i="33"/>
  <c r="I3" i="33"/>
  <c r="M15" i="37"/>
  <c r="L15" i="37"/>
  <c r="L17" i="37"/>
  <c r="R10" i="37"/>
  <c r="Q10" i="37"/>
  <c r="L10" i="37" s="1"/>
  <c r="M18" i="37"/>
  <c r="M17" i="37"/>
  <c r="J3" i="33" l="1"/>
  <c r="K3" i="33" s="1"/>
  <c r="M10" i="37"/>
  <c r="M13" i="37"/>
  <c r="M14" i="37"/>
  <c r="M16" i="37"/>
  <c r="E59" i="7" l="1"/>
  <c r="G59" i="7" s="1"/>
  <c r="E53" i="7"/>
  <c r="G43" i="7" l="1"/>
  <c r="H43" i="7" s="1"/>
  <c r="H59" i="7"/>
  <c r="H47" i="7"/>
  <c r="H45" i="7"/>
  <c r="H44" i="7"/>
  <c r="B83" i="31"/>
  <c r="B81" i="31"/>
  <c r="B82" i="31"/>
  <c r="G48" i="7"/>
  <c r="H48" i="7" s="1"/>
  <c r="G42" i="7"/>
  <c r="H42" i="7" s="1"/>
  <c r="E41" i="7"/>
  <c r="G41" i="7" s="1"/>
  <c r="H41" i="7" s="1"/>
  <c r="H38" i="33"/>
  <c r="Q23" i="25"/>
  <c r="R23" i="25"/>
  <c r="P22" i="25"/>
  <c r="S22" i="25"/>
  <c r="R22" i="25"/>
  <c r="Q22" i="25"/>
  <c r="C116" i="31" l="1"/>
  <c r="D116" i="31" s="1"/>
  <c r="C115" i="31"/>
  <c r="D115" i="31" s="1"/>
  <c r="C114" i="31"/>
  <c r="D114" i="31" s="1"/>
  <c r="C113" i="31"/>
  <c r="D113" i="31" s="1"/>
  <c r="C112" i="31"/>
  <c r="D112" i="31" s="1"/>
  <c r="D29" i="31"/>
  <c r="G27" i="7"/>
  <c r="H27" i="7" s="1"/>
  <c r="E26" i="7"/>
  <c r="G7" i="7" l="1"/>
  <c r="H7" i="7" s="1"/>
  <c r="G37" i="7"/>
  <c r="H37" i="7" s="1"/>
  <c r="G32" i="7"/>
  <c r="H32" i="7" s="1"/>
  <c r="G28" i="7"/>
  <c r="H28" i="7" s="1"/>
  <c r="G19" i="7"/>
  <c r="H19" i="7" s="1"/>
  <c r="G17" i="7"/>
  <c r="H17" i="7" s="1"/>
  <c r="G14" i="7"/>
  <c r="H14" i="7" s="1"/>
  <c r="G13" i="7"/>
  <c r="H13" i="7" s="1"/>
  <c r="G9" i="7"/>
  <c r="H9" i="7" s="1"/>
  <c r="G8" i="7"/>
  <c r="H8" i="7" s="1"/>
  <c r="G6" i="7"/>
  <c r="H6" i="7" s="1"/>
  <c r="G5" i="7"/>
  <c r="H5" i="7" s="1"/>
  <c r="G4" i="7"/>
  <c r="H4" i="7" s="1"/>
  <c r="G3" i="7"/>
  <c r="G46" i="7"/>
  <c r="H46" i="7" s="1"/>
  <c r="E33" i="7"/>
  <c r="E100" i="33"/>
  <c r="E99" i="33"/>
  <c r="E98" i="33"/>
  <c r="E97" i="33"/>
  <c r="E96" i="33"/>
  <c r="E95" i="33"/>
  <c r="E94" i="33"/>
  <c r="E93" i="33"/>
  <c r="E92" i="33"/>
  <c r="E91" i="33"/>
  <c r="E90" i="33"/>
  <c r="E89" i="33"/>
  <c r="E88" i="33"/>
  <c r="E87" i="33"/>
  <c r="E86" i="33"/>
  <c r="E85" i="33"/>
  <c r="E84" i="33"/>
  <c r="E83" i="33"/>
  <c r="E82" i="33"/>
  <c r="E81" i="33"/>
  <c r="E80" i="33"/>
  <c r="E79" i="33"/>
  <c r="E78" i="33"/>
  <c r="E77" i="33"/>
  <c r="E76" i="33"/>
  <c r="I61" i="33"/>
  <c r="J60" i="33"/>
  <c r="K60" i="33" s="1"/>
  <c r="I59" i="33"/>
  <c r="I54" i="33"/>
  <c r="I53" i="33"/>
  <c r="I52" i="33"/>
  <c r="I46" i="33"/>
  <c r="I44" i="33"/>
  <c r="I42" i="33"/>
  <c r="J36" i="33"/>
  <c r="K36" i="33" s="1"/>
  <c r="I31" i="33"/>
  <c r="I28" i="33"/>
  <c r="I27" i="33"/>
  <c r="I12" i="33"/>
  <c r="J11" i="33"/>
  <c r="K11" i="33" s="1"/>
  <c r="I10" i="33"/>
  <c r="J9" i="33"/>
  <c r="K9" i="33" s="1"/>
  <c r="J8" i="33"/>
  <c r="K8" i="33" s="1"/>
  <c r="J7" i="33"/>
  <c r="K7" i="33" s="1"/>
  <c r="K4" i="33"/>
  <c r="B12" i="29"/>
  <c r="B13" i="29"/>
  <c r="B14" i="29"/>
  <c r="B17" i="29"/>
  <c r="B18" i="29"/>
  <c r="B19" i="29"/>
  <c r="B20" i="29"/>
  <c r="B21" i="29"/>
  <c r="B22" i="29"/>
  <c r="B23" i="29"/>
  <c r="B24" i="29"/>
  <c r="B25" i="29"/>
  <c r="B27" i="29"/>
  <c r="B28" i="29"/>
  <c r="B29" i="29"/>
  <c r="B30" i="29"/>
  <c r="B31" i="29"/>
  <c r="B33" i="29"/>
  <c r="B34" i="29"/>
  <c r="B35" i="29"/>
  <c r="B36" i="29"/>
  <c r="B38" i="29"/>
  <c r="B39" i="29"/>
  <c r="B40" i="29"/>
  <c r="B42" i="29"/>
  <c r="B43" i="29"/>
  <c r="B44" i="29"/>
  <c r="B45" i="29"/>
  <c r="B46" i="29"/>
  <c r="B47" i="29"/>
  <c r="B48" i="29"/>
  <c r="B50" i="29"/>
  <c r="B51" i="29"/>
  <c r="B52" i="29"/>
  <c r="B53" i="29"/>
  <c r="B54" i="29"/>
  <c r="C54" i="29" s="1"/>
  <c r="L54" i="29" s="1"/>
  <c r="B11" i="29"/>
  <c r="B53" i="37"/>
  <c r="A53" i="37"/>
  <c r="E125" i="35"/>
  <c r="C125" i="35"/>
  <c r="G121" i="35"/>
  <c r="E120" i="35"/>
  <c r="C120" i="35"/>
  <c r="E115" i="35"/>
  <c r="C115" i="35"/>
  <c r="E109" i="35"/>
  <c r="F109" i="35" s="1"/>
  <c r="C109" i="35"/>
  <c r="E105" i="35"/>
  <c r="F105" i="35" s="1"/>
  <c r="C105" i="35"/>
  <c r="E100" i="35"/>
  <c r="F100" i="35" s="1"/>
  <c r="C100" i="35"/>
  <c r="E96" i="35"/>
  <c r="F96" i="35" s="1"/>
  <c r="C96" i="35"/>
  <c r="E93" i="35"/>
  <c r="F93" i="35" s="1"/>
  <c r="C93" i="35"/>
  <c r="E89" i="35"/>
  <c r="F89" i="35" s="1"/>
  <c r="C89" i="35"/>
  <c r="E85" i="35"/>
  <c r="F85" i="35" s="1"/>
  <c r="C85" i="35"/>
  <c r="E81" i="35"/>
  <c r="F81" i="35" s="1"/>
  <c r="C81" i="35"/>
  <c r="E75" i="35"/>
  <c r="F75" i="35" s="1"/>
  <c r="C75" i="35"/>
  <c r="E72" i="35"/>
  <c r="F72" i="35" s="1"/>
  <c r="C72" i="35"/>
  <c r="E69" i="35"/>
  <c r="F69" i="35" s="1"/>
  <c r="C69" i="35"/>
  <c r="E53" i="35"/>
  <c r="F53" i="35" s="1"/>
  <c r="C53" i="35"/>
  <c r="E48" i="35"/>
  <c r="F48" i="35" s="1"/>
  <c r="C48" i="35"/>
  <c r="E43" i="35"/>
  <c r="F43" i="35" s="1"/>
  <c r="C43" i="35"/>
  <c r="E39" i="35"/>
  <c r="C39" i="35"/>
  <c r="C32" i="35"/>
  <c r="C31" i="35"/>
  <c r="E30" i="35"/>
  <c r="C30" i="35"/>
  <c r="E26" i="35"/>
  <c r="C26" i="35"/>
  <c r="E18" i="35"/>
  <c r="C18" i="35"/>
  <c r="E14" i="35"/>
  <c r="C14" i="35"/>
  <c r="C8" i="35"/>
  <c r="B55" i="29"/>
  <c r="B37" i="29"/>
  <c r="B32" i="29"/>
  <c r="B26" i="29"/>
  <c r="K8" i="31"/>
  <c r="K7" i="31"/>
  <c r="B15" i="29" s="1"/>
  <c r="A50" i="31"/>
  <c r="K41" i="31"/>
  <c r="B65" i="31"/>
  <c r="B64" i="31"/>
  <c r="A74" i="31"/>
  <c r="A67" i="31"/>
  <c r="A63" i="31"/>
  <c r="A60" i="31"/>
  <c r="G76" i="33" l="1"/>
  <c r="J76" i="33" s="1"/>
  <c r="F76" i="33"/>
  <c r="G85" i="33"/>
  <c r="F85" i="33"/>
  <c r="G93" i="33"/>
  <c r="J93" i="33" s="1"/>
  <c r="K93" i="33" s="1"/>
  <c r="F93" i="33"/>
  <c r="I93" i="33" s="1"/>
  <c r="G78" i="33"/>
  <c r="J78" i="33" s="1"/>
  <c r="K78" i="33" s="1"/>
  <c r="F78" i="33"/>
  <c r="I78" i="33" s="1"/>
  <c r="G86" i="33"/>
  <c r="J86" i="33" s="1"/>
  <c r="K86" i="33" s="1"/>
  <c r="F86" i="33"/>
  <c r="G94" i="33"/>
  <c r="J94" i="33" s="1"/>
  <c r="K94" i="33" s="1"/>
  <c r="F94" i="33"/>
  <c r="I94" i="33" s="1"/>
  <c r="G99" i="33"/>
  <c r="J99" i="33" s="1"/>
  <c r="K99" i="33" s="1"/>
  <c r="F99" i="33"/>
  <c r="I99" i="33" s="1"/>
  <c r="G84" i="33"/>
  <c r="J84" i="33" s="1"/>
  <c r="K84" i="33" s="1"/>
  <c r="F84" i="33"/>
  <c r="I84" i="33" s="1"/>
  <c r="G79" i="33"/>
  <c r="J79" i="33" s="1"/>
  <c r="K79" i="33" s="1"/>
  <c r="F79" i="33"/>
  <c r="G87" i="33"/>
  <c r="J87" i="33" s="1"/>
  <c r="F87" i="33"/>
  <c r="I87" i="33" s="1"/>
  <c r="G95" i="33"/>
  <c r="J95" i="33" s="1"/>
  <c r="K95" i="33" s="1"/>
  <c r="F95" i="33"/>
  <c r="I95" i="33" s="1"/>
  <c r="G100" i="33"/>
  <c r="J100" i="33" s="1"/>
  <c r="K100" i="33" s="1"/>
  <c r="F100" i="33"/>
  <c r="I100" i="33" s="1"/>
  <c r="G77" i="33"/>
  <c r="J77" i="33" s="1"/>
  <c r="K77" i="33" s="1"/>
  <c r="F77" i="33"/>
  <c r="I77" i="33" s="1"/>
  <c r="G80" i="33"/>
  <c r="J80" i="33" s="1"/>
  <c r="K80" i="33" s="1"/>
  <c r="F80" i="33"/>
  <c r="I80" i="33" s="1"/>
  <c r="F88" i="33"/>
  <c r="I88" i="33" s="1"/>
  <c r="G88" i="33"/>
  <c r="J88" i="33" s="1"/>
  <c r="K88" i="33" s="1"/>
  <c r="G96" i="33"/>
  <c r="F96" i="33"/>
  <c r="G91" i="33"/>
  <c r="J91" i="33" s="1"/>
  <c r="K91" i="33" s="1"/>
  <c r="F91" i="33"/>
  <c r="I91" i="33" s="1"/>
  <c r="G81" i="33"/>
  <c r="J81" i="33" s="1"/>
  <c r="K81" i="33" s="1"/>
  <c r="F81" i="33"/>
  <c r="I81" i="33" s="1"/>
  <c r="G89" i="33"/>
  <c r="J89" i="33" s="1"/>
  <c r="K89" i="33" s="1"/>
  <c r="F89" i="33"/>
  <c r="I89" i="33" s="1"/>
  <c r="G97" i="33"/>
  <c r="J97" i="33" s="1"/>
  <c r="F97" i="33"/>
  <c r="I97" i="33" s="1"/>
  <c r="G83" i="33"/>
  <c r="J83" i="33" s="1"/>
  <c r="K83" i="33" s="1"/>
  <c r="F83" i="33"/>
  <c r="I83" i="33" s="1"/>
  <c r="G92" i="33"/>
  <c r="J92" i="33" s="1"/>
  <c r="K92" i="33" s="1"/>
  <c r="F92" i="33"/>
  <c r="I92" i="33" s="1"/>
  <c r="G82" i="33"/>
  <c r="J82" i="33" s="1"/>
  <c r="K82" i="33" s="1"/>
  <c r="F82" i="33"/>
  <c r="I82" i="33" s="1"/>
  <c r="G90" i="33"/>
  <c r="J90" i="33" s="1"/>
  <c r="F90" i="33"/>
  <c r="I90" i="33" s="1"/>
  <c r="G98" i="33"/>
  <c r="J98" i="33" s="1"/>
  <c r="K98" i="33" s="1"/>
  <c r="F98" i="33"/>
  <c r="I98" i="33" s="1"/>
  <c r="K33" i="31"/>
  <c r="B16" i="29"/>
  <c r="H43" i="33"/>
  <c r="H55" i="33"/>
  <c r="T19" i="37"/>
  <c r="B77" i="34"/>
  <c r="B84" i="34"/>
  <c r="I76" i="33"/>
  <c r="H3" i="7"/>
  <c r="H47" i="33"/>
  <c r="G33" i="7"/>
  <c r="H33" i="7" s="1"/>
  <c r="J40" i="33"/>
  <c r="K40" i="33" s="1"/>
  <c r="I40" i="33"/>
  <c r="J58" i="33"/>
  <c r="K58" i="33" s="1"/>
  <c r="I58" i="33"/>
  <c r="T28" i="37"/>
  <c r="T23" i="37"/>
  <c r="K23" i="37"/>
  <c r="L23" i="37" s="1"/>
  <c r="T21" i="37"/>
  <c r="T22" i="37"/>
  <c r="K20" i="37"/>
  <c r="L20" i="37" s="1"/>
  <c r="T20" i="37"/>
  <c r="T36" i="37"/>
  <c r="K40" i="37"/>
  <c r="L40" i="37" s="1"/>
  <c r="K31" i="37"/>
  <c r="L31" i="37" s="1"/>
  <c r="K39" i="37"/>
  <c r="L39" i="37" s="1"/>
  <c r="O54" i="29"/>
  <c r="M54" i="29"/>
  <c r="J54" i="29"/>
  <c r="K54" i="29"/>
  <c r="N54" i="29"/>
  <c r="J52" i="33"/>
  <c r="K52" i="33" s="1"/>
  <c r="J46" i="33"/>
  <c r="K46" i="33" s="1"/>
  <c r="I36" i="33"/>
  <c r="J28" i="33"/>
  <c r="K28" i="33" s="1"/>
  <c r="J23" i="33"/>
  <c r="K23" i="33" s="1"/>
  <c r="J61" i="33"/>
  <c r="K61" i="33" s="1"/>
  <c r="I25" i="33"/>
  <c r="J13" i="33"/>
  <c r="K13" i="33" s="1"/>
  <c r="J37" i="33"/>
  <c r="K37" i="33" s="1"/>
  <c r="J41" i="33"/>
  <c r="K41" i="33" s="1"/>
  <c r="I22" i="33"/>
  <c r="J50" i="33"/>
  <c r="K50" i="33" s="1"/>
  <c r="J39" i="33"/>
  <c r="K39" i="33" s="1"/>
  <c r="J51" i="33"/>
  <c r="K51" i="33" s="1"/>
  <c r="J35" i="33"/>
  <c r="K35" i="33" s="1"/>
  <c r="I8" i="33"/>
  <c r="J10" i="33"/>
  <c r="K10" i="33" s="1"/>
  <c r="J12" i="33"/>
  <c r="K12" i="33" s="1"/>
  <c r="I51" i="33"/>
  <c r="I11" i="33"/>
  <c r="I13" i="33"/>
  <c r="J27" i="33"/>
  <c r="K27" i="33" s="1"/>
  <c r="I41" i="33"/>
  <c r="I50" i="33"/>
  <c r="I35" i="33"/>
  <c r="I37" i="33"/>
  <c r="I39" i="33"/>
  <c r="K21" i="37"/>
  <c r="L21" i="37" s="1"/>
  <c r="K22" i="37"/>
  <c r="L22" i="37" s="1"/>
  <c r="K28" i="37"/>
  <c r="L28" i="37" s="1"/>
  <c r="K30" i="37"/>
  <c r="L30" i="37" s="1"/>
  <c r="T40" i="37"/>
  <c r="T32" i="37"/>
  <c r="K26" i="37"/>
  <c r="L26" i="37" s="1"/>
  <c r="T39" i="37"/>
  <c r="T25" i="37"/>
  <c r="T26" i="37"/>
  <c r="T31" i="37"/>
  <c r="K36" i="37"/>
  <c r="L36" i="37" s="1"/>
  <c r="T37" i="37"/>
  <c r="T38" i="37"/>
  <c r="K38" i="37"/>
  <c r="L38" i="37" s="1"/>
  <c r="K25" i="37"/>
  <c r="L25" i="37" s="1"/>
  <c r="T30" i="37"/>
  <c r="T35" i="37"/>
  <c r="K37" i="37"/>
  <c r="L37" i="37" s="1"/>
  <c r="E33" i="35"/>
  <c r="C33" i="35"/>
  <c r="J30" i="33"/>
  <c r="K30" i="33" s="1"/>
  <c r="J24" i="33"/>
  <c r="K24" i="33" s="1"/>
  <c r="J34" i="33"/>
  <c r="K34" i="33" s="1"/>
  <c r="J49" i="33"/>
  <c r="K49" i="33" s="1"/>
  <c r="J56" i="33"/>
  <c r="K56" i="33" s="1"/>
  <c r="K5" i="33"/>
  <c r="J57" i="33"/>
  <c r="K57" i="33" s="1"/>
  <c r="J29" i="33"/>
  <c r="K29" i="33" s="1"/>
  <c r="I9" i="33"/>
  <c r="I29" i="33"/>
  <c r="I33" i="33"/>
  <c r="I60" i="33"/>
  <c r="I57" i="33"/>
  <c r="I79" i="33"/>
  <c r="I30" i="33"/>
  <c r="I34" i="33"/>
  <c r="I49" i="33"/>
  <c r="I56" i="33"/>
  <c r="I86" i="33"/>
  <c r="T29" i="37"/>
  <c r="K29" i="37"/>
  <c r="L29" i="37" s="1"/>
  <c r="K32" i="37"/>
  <c r="L32" i="37" s="1"/>
  <c r="K35" i="37"/>
  <c r="L35" i="37" s="1"/>
  <c r="I43" i="33" l="1"/>
  <c r="F33" i="35"/>
  <c r="K5" i="35" s="1"/>
  <c r="I47" i="33"/>
  <c r="K87" i="33"/>
  <c r="J43" i="33"/>
  <c r="K43" i="33" s="1"/>
  <c r="K90" i="33"/>
  <c r="J47" i="33"/>
  <c r="K47" i="33" s="1"/>
  <c r="K97" i="33"/>
  <c r="K76" i="33"/>
  <c r="K32" i="33"/>
  <c r="L19" i="37"/>
  <c r="I17" i="33"/>
  <c r="I96" i="33"/>
  <c r="I55" i="33" s="1"/>
  <c r="K24" i="37"/>
  <c r="L24" i="37" s="1"/>
  <c r="T34" i="37"/>
  <c r="T24" i="37"/>
  <c r="K34" i="37"/>
  <c r="L34" i="37" s="1"/>
  <c r="K33" i="37"/>
  <c r="L33" i="37" s="1"/>
  <c r="K41" i="37"/>
  <c r="L41" i="37" s="1"/>
  <c r="T33" i="37"/>
  <c r="J54" i="33"/>
  <c r="K54" i="33" s="1"/>
  <c r="J48" i="33"/>
  <c r="K48" i="33" s="1"/>
  <c r="J59" i="33"/>
  <c r="K59" i="33" s="1"/>
  <c r="J18" i="33"/>
  <c r="K18" i="33" s="1"/>
  <c r="J96" i="33"/>
  <c r="J21" i="33"/>
  <c r="K21" i="33" s="1"/>
  <c r="J16" i="33"/>
  <c r="K16" i="33" s="1"/>
  <c r="J42" i="33"/>
  <c r="K42" i="33" s="1"/>
  <c r="I21" i="33"/>
  <c r="I16" i="33"/>
  <c r="J53" i="33"/>
  <c r="K53" i="33" s="1"/>
  <c r="J22" i="33"/>
  <c r="K22" i="33" s="1"/>
  <c r="J17" i="33"/>
  <c r="K17" i="33" s="1"/>
  <c r="I48" i="33"/>
  <c r="J31" i="33"/>
  <c r="K31" i="33" s="1"/>
  <c r="J25" i="33"/>
  <c r="K25" i="33" s="1"/>
  <c r="T41" i="37"/>
  <c r="T27" i="37"/>
  <c r="I85" i="33"/>
  <c r="I38" i="33" s="1"/>
  <c r="J15" i="33"/>
  <c r="K20" i="33"/>
  <c r="J85" i="33"/>
  <c r="K19" i="33"/>
  <c r="I23" i="33"/>
  <c r="I18" i="33"/>
  <c r="K27" i="37"/>
  <c r="L27" i="37" s="1"/>
  <c r="K15" i="33" l="1"/>
  <c r="I15" i="33"/>
  <c r="J38" i="33"/>
  <c r="K38" i="33" s="1"/>
  <c r="K85" i="33"/>
  <c r="K96" i="33"/>
  <c r="J55" i="33"/>
  <c r="K55" i="33" s="1"/>
  <c r="K14" i="33"/>
  <c r="I47" i="31" l="1"/>
  <c r="D45" i="31"/>
  <c r="I45" i="31" s="1"/>
  <c r="D44" i="31"/>
  <c r="I44" i="31" s="1"/>
  <c r="B44" i="43" s="1"/>
  <c r="D43" i="31"/>
  <c r="B42" i="43"/>
  <c r="I41" i="31"/>
  <c r="D41" i="31"/>
  <c r="I40" i="31"/>
  <c r="B40" i="43" s="1"/>
  <c r="D40" i="31"/>
  <c r="I39" i="31"/>
  <c r="B39" i="43" s="1"/>
  <c r="D39" i="31"/>
  <c r="I38" i="31"/>
  <c r="B38" i="43" s="1"/>
  <c r="D38" i="31"/>
  <c r="I37" i="31"/>
  <c r="B37" i="43" s="1"/>
  <c r="D37" i="31"/>
  <c r="I36" i="31"/>
  <c r="B36" i="43" s="1"/>
  <c r="D36" i="31"/>
  <c r="I35" i="31"/>
  <c r="B35" i="43" s="1"/>
  <c r="D35" i="31"/>
  <c r="I33" i="31"/>
  <c r="D33" i="31"/>
  <c r="I32" i="31"/>
  <c r="B32" i="43" s="1"/>
  <c r="D32" i="31"/>
  <c r="I31" i="31"/>
  <c r="B31" i="43" s="1"/>
  <c r="D31" i="31"/>
  <c r="I30" i="31"/>
  <c r="B30" i="43" s="1"/>
  <c r="D30" i="31"/>
  <c r="B29" i="43"/>
  <c r="I28" i="31"/>
  <c r="B28" i="43" s="1"/>
  <c r="D28" i="31"/>
  <c r="I27" i="31"/>
  <c r="B27" i="43" s="1"/>
  <c r="I26" i="31"/>
  <c r="B26" i="43" s="1"/>
  <c r="I25" i="31"/>
  <c r="B25" i="43" s="1"/>
  <c r="D25" i="31"/>
  <c r="I24" i="31"/>
  <c r="B24" i="43" s="1"/>
  <c r="D24" i="31"/>
  <c r="I23" i="31"/>
  <c r="B23" i="43" s="1"/>
  <c r="D23" i="31"/>
  <c r="I22" i="31"/>
  <c r="I21" i="31"/>
  <c r="B21" i="43" s="1"/>
  <c r="D21" i="31"/>
  <c r="I20" i="31"/>
  <c r="B20" i="43" s="1"/>
  <c r="D20" i="31"/>
  <c r="I19" i="31"/>
  <c r="B19" i="43" s="1"/>
  <c r="D19" i="31"/>
  <c r="K9" i="35"/>
  <c r="I17" i="31"/>
  <c r="B17" i="43" s="1"/>
  <c r="D17" i="31"/>
  <c r="I16" i="31"/>
  <c r="B16" i="43" s="1"/>
  <c r="D16" i="31"/>
  <c r="I15" i="31"/>
  <c r="D15" i="31"/>
  <c r="I14" i="31"/>
  <c r="B14" i="43" s="1"/>
  <c r="D14" i="31"/>
  <c r="I13" i="31"/>
  <c r="B13" i="43" s="1"/>
  <c r="D13" i="31"/>
  <c r="I12" i="31"/>
  <c r="B12" i="43" s="1"/>
  <c r="D12" i="31"/>
  <c r="I11" i="31"/>
  <c r="B11" i="43" s="1"/>
  <c r="D11" i="31"/>
  <c r="I10" i="31"/>
  <c r="B10" i="43" s="1"/>
  <c r="B8" i="43"/>
  <c r="D7" i="31"/>
  <c r="B6" i="43"/>
  <c r="B5" i="43"/>
  <c r="B4" i="43"/>
  <c r="I7" i="31" l="1"/>
  <c r="K4" i="35"/>
  <c r="B76" i="34"/>
  <c r="B81" i="34"/>
  <c r="K10" i="35"/>
  <c r="I43" i="31"/>
  <c r="C17" i="29"/>
  <c r="N17" i="29" s="1"/>
  <c r="B9" i="43"/>
  <c r="C23" i="29"/>
  <c r="B15" i="43"/>
  <c r="C30" i="29"/>
  <c r="K30" i="29" s="1"/>
  <c r="B22" i="43"/>
  <c r="F24" i="12"/>
  <c r="B47" i="43"/>
  <c r="F14" i="12"/>
  <c r="I18" i="31"/>
  <c r="K11" i="35"/>
  <c r="B82" i="34"/>
  <c r="K7" i="35"/>
  <c r="B79" i="34"/>
  <c r="B57" i="37"/>
  <c r="I9" i="26" s="1"/>
  <c r="B83" i="34"/>
  <c r="K12" i="35"/>
  <c r="K6" i="35"/>
  <c r="I34" i="31"/>
  <c r="C36" i="29"/>
  <c r="C27" i="29"/>
  <c r="O30" i="29"/>
  <c r="M30" i="29"/>
  <c r="C33" i="29"/>
  <c r="C46" i="29"/>
  <c r="O23" i="29"/>
  <c r="M23" i="29"/>
  <c r="J23" i="29"/>
  <c r="N23" i="29"/>
  <c r="L23" i="29"/>
  <c r="K23" i="29"/>
  <c r="C16" i="29"/>
  <c r="C34" i="29"/>
  <c r="C37" i="29"/>
  <c r="C40" i="29"/>
  <c r="C44" i="29"/>
  <c r="C50" i="29"/>
  <c r="C55" i="29"/>
  <c r="C14" i="29"/>
  <c r="C39" i="29"/>
  <c r="C11" i="29"/>
  <c r="J11" i="29" s="1"/>
  <c r="C20" i="29"/>
  <c r="C24" i="29"/>
  <c r="C28" i="29"/>
  <c r="C31" i="29"/>
  <c r="C47" i="29"/>
  <c r="C22" i="29"/>
  <c r="C43" i="29"/>
  <c r="C35" i="29"/>
  <c r="C38" i="29"/>
  <c r="C51" i="29"/>
  <c r="C18" i="29"/>
  <c r="C13" i="29"/>
  <c r="C21" i="29"/>
  <c r="C25" i="29"/>
  <c r="C45" i="29"/>
  <c r="C19" i="29"/>
  <c r="C12" i="29"/>
  <c r="C29" i="29"/>
  <c r="C32" i="29"/>
  <c r="C48" i="29"/>
  <c r="D34" i="31"/>
  <c r="B78" i="34" s="1"/>
  <c r="N30" i="29" l="1"/>
  <c r="L30" i="29"/>
  <c r="J30" i="29"/>
  <c r="J17" i="29"/>
  <c r="K17" i="29"/>
  <c r="O17" i="29"/>
  <c r="L17" i="29"/>
  <c r="M17" i="29"/>
  <c r="C53" i="29"/>
  <c r="J53" i="29" s="1"/>
  <c r="B45" i="43"/>
  <c r="F13" i="12"/>
  <c r="B7" i="43"/>
  <c r="F20" i="12"/>
  <c r="B34" i="43"/>
  <c r="B43" i="43"/>
  <c r="F22" i="12"/>
  <c r="C26" i="29"/>
  <c r="O26" i="29" s="1"/>
  <c r="B18" i="43"/>
  <c r="F15" i="12"/>
  <c r="F16" i="12"/>
  <c r="F23" i="12"/>
  <c r="F12" i="12"/>
  <c r="J26" i="29"/>
  <c r="C42" i="29"/>
  <c r="N42" i="29" s="1"/>
  <c r="B80" i="34"/>
  <c r="K8" i="35"/>
  <c r="C15" i="29"/>
  <c r="J15" i="29" s="1"/>
  <c r="O47" i="29"/>
  <c r="M47" i="29"/>
  <c r="J47" i="29"/>
  <c r="N47" i="29"/>
  <c r="L47" i="29"/>
  <c r="K47" i="29"/>
  <c r="K19" i="29"/>
  <c r="N19" i="29"/>
  <c r="L19" i="29"/>
  <c r="O19" i="29"/>
  <c r="J19" i="29"/>
  <c r="M19" i="29"/>
  <c r="N25" i="29"/>
  <c r="L25" i="29"/>
  <c r="O25" i="29"/>
  <c r="M25" i="29"/>
  <c r="J25" i="29"/>
  <c r="K25" i="29"/>
  <c r="K51" i="29"/>
  <c r="N51" i="29"/>
  <c r="L51" i="29"/>
  <c r="O51" i="29"/>
  <c r="M51" i="29"/>
  <c r="J51" i="29"/>
  <c r="K35" i="29"/>
  <c r="N35" i="29"/>
  <c r="L35" i="29"/>
  <c r="O35" i="29"/>
  <c r="J35" i="29"/>
  <c r="M35" i="29"/>
  <c r="O22" i="29"/>
  <c r="M22" i="29"/>
  <c r="J22" i="29"/>
  <c r="K22" i="29"/>
  <c r="N22" i="29"/>
  <c r="L22" i="29"/>
  <c r="N33" i="29"/>
  <c r="L33" i="29"/>
  <c r="O33" i="29"/>
  <c r="M33" i="29"/>
  <c r="K33" i="29"/>
  <c r="J33" i="29"/>
  <c r="M37" i="29"/>
  <c r="J37" i="29"/>
  <c r="K37" i="29"/>
  <c r="N37" i="29"/>
  <c r="L37" i="29"/>
  <c r="O37" i="29"/>
  <c r="K20" i="29"/>
  <c r="N20" i="29"/>
  <c r="O20" i="29"/>
  <c r="L20" i="29"/>
  <c r="J20" i="29"/>
  <c r="M20" i="29"/>
  <c r="O39" i="29"/>
  <c r="M39" i="29"/>
  <c r="J39" i="29"/>
  <c r="N39" i="29"/>
  <c r="L39" i="29"/>
  <c r="K39" i="29"/>
  <c r="N50" i="29"/>
  <c r="L50" i="29"/>
  <c r="O50" i="29"/>
  <c r="M50" i="29"/>
  <c r="J50" i="29"/>
  <c r="K50" i="29"/>
  <c r="N34" i="29"/>
  <c r="L34" i="29"/>
  <c r="O34" i="29"/>
  <c r="M34" i="29"/>
  <c r="J34" i="29"/>
  <c r="K34" i="29"/>
  <c r="O46" i="29"/>
  <c r="M46" i="29"/>
  <c r="J46" i="29"/>
  <c r="K46" i="29"/>
  <c r="N46" i="29"/>
  <c r="L46" i="29"/>
  <c r="K27" i="29"/>
  <c r="N27" i="29"/>
  <c r="L27" i="29"/>
  <c r="O27" i="29"/>
  <c r="J27" i="29"/>
  <c r="M27" i="29"/>
  <c r="C52" i="29"/>
  <c r="L32" i="29"/>
  <c r="O32" i="29"/>
  <c r="M32" i="29"/>
  <c r="J32" i="29"/>
  <c r="K32" i="29"/>
  <c r="N32" i="29"/>
  <c r="M21" i="29"/>
  <c r="J21" i="29"/>
  <c r="K21" i="29"/>
  <c r="N21" i="29"/>
  <c r="L21" i="29"/>
  <c r="O21" i="29"/>
  <c r="O31" i="29"/>
  <c r="M31" i="29"/>
  <c r="J31" i="29"/>
  <c r="N31" i="29"/>
  <c r="K31" i="29"/>
  <c r="L31" i="29"/>
  <c r="O14" i="29"/>
  <c r="M14" i="29"/>
  <c r="J14" i="29"/>
  <c r="K14" i="29"/>
  <c r="N14" i="29"/>
  <c r="L14" i="29"/>
  <c r="K44" i="29"/>
  <c r="N44" i="29"/>
  <c r="O44" i="29"/>
  <c r="J44" i="29"/>
  <c r="L44" i="29"/>
  <c r="M44" i="29"/>
  <c r="L24" i="29"/>
  <c r="O24" i="29"/>
  <c r="M24" i="29"/>
  <c r="J24" i="29"/>
  <c r="K24" i="29"/>
  <c r="N24" i="29"/>
  <c r="M29" i="29"/>
  <c r="J29" i="29"/>
  <c r="K29" i="29"/>
  <c r="N29" i="29"/>
  <c r="L29" i="29"/>
  <c r="O29" i="29"/>
  <c r="M13" i="29"/>
  <c r="J13" i="29"/>
  <c r="K13" i="29"/>
  <c r="N13" i="29"/>
  <c r="L13" i="29"/>
  <c r="O13" i="29"/>
  <c r="L16" i="29"/>
  <c r="O16" i="29"/>
  <c r="M16" i="29"/>
  <c r="J16" i="29"/>
  <c r="K16" i="29"/>
  <c r="N16" i="29"/>
  <c r="N18" i="29"/>
  <c r="L18" i="29"/>
  <c r="O18" i="29"/>
  <c r="M18" i="29"/>
  <c r="J18" i="29"/>
  <c r="K18" i="29"/>
  <c r="K28" i="29"/>
  <c r="N28" i="29"/>
  <c r="O28" i="29"/>
  <c r="L28" i="29"/>
  <c r="M28" i="29"/>
  <c r="J28" i="29"/>
  <c r="L40" i="29"/>
  <c r="O40" i="29"/>
  <c r="M40" i="29"/>
  <c r="J40" i="29"/>
  <c r="K40" i="29"/>
  <c r="N40" i="29"/>
  <c r="K36" i="29"/>
  <c r="N36" i="29"/>
  <c r="O36" i="29"/>
  <c r="M36" i="29"/>
  <c r="J36" i="29"/>
  <c r="L36" i="29"/>
  <c r="L48" i="29"/>
  <c r="O48" i="29"/>
  <c r="M48" i="29"/>
  <c r="J48" i="29"/>
  <c r="K48" i="29"/>
  <c r="N48" i="29"/>
  <c r="M12" i="29"/>
  <c r="K12" i="29"/>
  <c r="N12" i="29"/>
  <c r="O12" i="29"/>
  <c r="J12" i="29"/>
  <c r="L12" i="29"/>
  <c r="M45" i="29"/>
  <c r="J45" i="29"/>
  <c r="K45" i="29"/>
  <c r="N45" i="29"/>
  <c r="L45" i="29"/>
  <c r="O45" i="29"/>
  <c r="O38" i="29"/>
  <c r="M38" i="29"/>
  <c r="J38" i="29"/>
  <c r="K38" i="29"/>
  <c r="N38" i="29"/>
  <c r="L38" i="29"/>
  <c r="K43" i="29"/>
  <c r="N43" i="29"/>
  <c r="L43" i="29"/>
  <c r="O43" i="29"/>
  <c r="M43" i="29"/>
  <c r="J43" i="29"/>
  <c r="L11" i="29"/>
  <c r="O11" i="29"/>
  <c r="M11" i="29"/>
  <c r="K11" i="29"/>
  <c r="N11" i="29"/>
  <c r="O55" i="29"/>
  <c r="M55" i="29"/>
  <c r="J55" i="29"/>
  <c r="N55" i="29"/>
  <c r="L55" i="29"/>
  <c r="K55" i="29"/>
  <c r="K26" i="29" l="1"/>
  <c r="M42" i="29"/>
  <c r="M53" i="29"/>
  <c r="O53" i="29"/>
  <c r="L53" i="29"/>
  <c r="N53" i="29"/>
  <c r="K53" i="29"/>
  <c r="K42" i="29"/>
  <c r="J42" i="29"/>
  <c r="O42" i="29"/>
  <c r="L42" i="29"/>
  <c r="M26" i="29"/>
  <c r="L26" i="29"/>
  <c r="N26" i="29"/>
  <c r="N15" i="29"/>
  <c r="K15" i="29"/>
  <c r="L15" i="29"/>
  <c r="M15" i="29"/>
  <c r="O15" i="29"/>
  <c r="K52" i="29"/>
  <c r="N52" i="29"/>
  <c r="O52" i="29"/>
  <c r="L52" i="29"/>
  <c r="M52" i="29"/>
  <c r="J52" i="29"/>
  <c r="G13" i="26" l="1"/>
  <c r="N13" i="26" s="1"/>
  <c r="F13" i="26"/>
  <c r="M13" i="26" s="1"/>
  <c r="E13" i="26"/>
  <c r="D13" i="26"/>
  <c r="K13" i="26" s="1"/>
  <c r="C13" i="26"/>
  <c r="J13" i="26" s="1"/>
  <c r="B13" i="26"/>
  <c r="I13" i="26" s="1"/>
  <c r="G12" i="26"/>
  <c r="N12" i="26" s="1"/>
  <c r="F12" i="26"/>
  <c r="M12" i="26" s="1"/>
  <c r="E12" i="26"/>
  <c r="D12" i="26"/>
  <c r="K12" i="26" s="1"/>
  <c r="C12" i="26"/>
  <c r="J12" i="26" s="1"/>
  <c r="B12" i="26"/>
  <c r="I12" i="26" s="1"/>
  <c r="G11" i="26"/>
  <c r="N11" i="26" s="1"/>
  <c r="F11" i="26"/>
  <c r="M11" i="26" s="1"/>
  <c r="E11" i="26"/>
  <c r="D11" i="26"/>
  <c r="K11" i="26" s="1"/>
  <c r="C11" i="26"/>
  <c r="J11" i="26" s="1"/>
  <c r="B11" i="26"/>
  <c r="I11" i="26" s="1"/>
  <c r="G10" i="26"/>
  <c r="N10" i="26" s="1"/>
  <c r="F10" i="26"/>
  <c r="M10" i="26" s="1"/>
  <c r="E10" i="26"/>
  <c r="D10" i="26"/>
  <c r="K10" i="26" s="1"/>
  <c r="C10" i="26"/>
  <c r="J10" i="26" s="1"/>
  <c r="B10" i="26"/>
  <c r="I10" i="26" s="1"/>
  <c r="G9" i="26"/>
  <c r="N9" i="26" s="1"/>
  <c r="F9" i="26"/>
  <c r="M9" i="26" s="1"/>
  <c r="E9" i="26"/>
  <c r="D9" i="26"/>
  <c r="K9" i="26" s="1"/>
  <c r="C9" i="26"/>
  <c r="J9" i="26" s="1"/>
  <c r="G8" i="26"/>
  <c r="N8" i="26" s="1"/>
  <c r="F8" i="26"/>
  <c r="M8" i="26" s="1"/>
  <c r="E8" i="26"/>
  <c r="D8" i="26"/>
  <c r="K8" i="26" s="1"/>
  <c r="C8" i="26"/>
  <c r="J8" i="26" s="1"/>
  <c r="B8" i="26"/>
  <c r="I8" i="26" s="1"/>
  <c r="G7" i="26"/>
  <c r="N7" i="26" s="1"/>
  <c r="F7" i="26"/>
  <c r="M7" i="26" s="1"/>
  <c r="E7" i="26"/>
  <c r="D7" i="26"/>
  <c r="K7" i="26" s="1"/>
  <c r="C7" i="26"/>
  <c r="J7" i="26" s="1"/>
  <c r="I7" i="26"/>
  <c r="G6" i="26"/>
  <c r="N6" i="26" s="1"/>
  <c r="F6" i="26"/>
  <c r="M6" i="26" s="1"/>
  <c r="E6" i="26"/>
  <c r="D6" i="26"/>
  <c r="K6" i="26" s="1"/>
  <c r="C6" i="26"/>
  <c r="J6" i="26" s="1"/>
  <c r="I6" i="26"/>
  <c r="G5" i="26"/>
  <c r="N5" i="26" s="1"/>
  <c r="F5" i="26"/>
  <c r="M5" i="26" s="1"/>
  <c r="E5" i="26"/>
  <c r="D5" i="26"/>
  <c r="K5" i="26" s="1"/>
  <c r="C5" i="26"/>
  <c r="J5" i="26" s="1"/>
  <c r="I5" i="26"/>
  <c r="G4" i="26"/>
  <c r="N4" i="26" s="1"/>
  <c r="F4" i="26"/>
  <c r="M4" i="26" s="1"/>
  <c r="E4" i="26"/>
  <c r="D4" i="26"/>
  <c r="K4" i="26" s="1"/>
  <c r="C4" i="26"/>
  <c r="J4" i="26" s="1"/>
  <c r="B6" i="11" l="1"/>
  <c r="Q20" i="25"/>
  <c r="Q13" i="25"/>
  <c r="Q15" i="25"/>
  <c r="I4" i="25"/>
  <c r="W10" i="25"/>
  <c r="X10" i="25" s="1"/>
  <c r="W9" i="25"/>
  <c r="W8" i="25"/>
  <c r="X8" i="25" s="1"/>
  <c r="W7" i="25"/>
  <c r="W6" i="25"/>
  <c r="D6" i="25"/>
  <c r="D4" i="25"/>
  <c r="X9" i="25"/>
  <c r="X7" i="25"/>
  <c r="X6" i="25"/>
  <c r="F5" i="25"/>
  <c r="F6" i="25"/>
  <c r="F7" i="25"/>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254" i="25"/>
  <c r="F255" i="25"/>
  <c r="F256" i="25"/>
  <c r="F257" i="25"/>
  <c r="F258" i="25"/>
  <c r="F259" i="25"/>
  <c r="F260" i="25"/>
  <c r="F261" i="25"/>
  <c r="F262" i="25"/>
  <c r="F263" i="25"/>
  <c r="F264" i="25"/>
  <c r="F265" i="25"/>
  <c r="F266" i="25"/>
  <c r="F267" i="25"/>
  <c r="F268" i="25"/>
  <c r="F269" i="25"/>
  <c r="F270" i="25"/>
  <c r="F271" i="25"/>
  <c r="F272" i="25"/>
  <c r="F273" i="25"/>
  <c r="F274" i="25"/>
  <c r="F275" i="25"/>
  <c r="F276" i="25"/>
  <c r="F277" i="25"/>
  <c r="F278" i="25"/>
  <c r="F279" i="25"/>
  <c r="F280" i="25"/>
  <c r="F281" i="25"/>
  <c r="F282" i="25"/>
  <c r="F283" i="25"/>
  <c r="F284" i="25"/>
  <c r="F285" i="25"/>
  <c r="F286" i="25"/>
  <c r="F287" i="25"/>
  <c r="F288" i="25"/>
  <c r="F289" i="25"/>
  <c r="F290" i="25"/>
  <c r="F291" i="25"/>
  <c r="F292" i="25"/>
  <c r="F293" i="25"/>
  <c r="F294" i="25"/>
  <c r="F295" i="25"/>
  <c r="F296" i="25"/>
  <c r="F297" i="25"/>
  <c r="F298" i="25"/>
  <c r="F299" i="25"/>
  <c r="F300" i="25"/>
  <c r="F301" i="25"/>
  <c r="F302" i="25"/>
  <c r="F303" i="25"/>
  <c r="F304" i="25"/>
  <c r="F305" i="25"/>
  <c r="F306" i="25"/>
  <c r="F307" i="25"/>
  <c r="F308" i="25"/>
  <c r="F309" i="25"/>
  <c r="F310" i="25"/>
  <c r="F311" i="25"/>
  <c r="F312" i="25"/>
  <c r="F313" i="25"/>
  <c r="F314" i="25"/>
  <c r="F315" i="25"/>
  <c r="F316" i="25"/>
  <c r="F317" i="25"/>
  <c r="F318" i="25"/>
  <c r="F319" i="25"/>
  <c r="F320" i="25"/>
  <c r="F321" i="25"/>
  <c r="F322" i="25"/>
  <c r="F323" i="25"/>
  <c r="F324" i="25"/>
  <c r="F325" i="25"/>
  <c r="F326" i="25"/>
  <c r="F327" i="25"/>
  <c r="F328" i="25"/>
  <c r="F329" i="25"/>
  <c r="F330" i="25"/>
  <c r="F331" i="25"/>
  <c r="F332" i="25"/>
  <c r="F333" i="25"/>
  <c r="F334" i="25"/>
  <c r="F335" i="25"/>
  <c r="F336" i="25"/>
  <c r="F337" i="25"/>
  <c r="F338" i="25"/>
  <c r="F339" i="25"/>
  <c r="F340" i="25"/>
  <c r="F341" i="25"/>
  <c r="F342" i="25"/>
  <c r="F343" i="25"/>
  <c r="F344" i="25"/>
  <c r="F345" i="25"/>
  <c r="F346" i="25"/>
  <c r="F347" i="25"/>
  <c r="F348" i="25"/>
  <c r="F349" i="25"/>
  <c r="F350" i="25"/>
  <c r="F351" i="25"/>
  <c r="F352" i="25"/>
  <c r="F353" i="25"/>
  <c r="F354" i="25"/>
  <c r="F355" i="25"/>
  <c r="F356" i="25"/>
  <c r="F357" i="25"/>
  <c r="F358" i="25"/>
  <c r="F359" i="25"/>
  <c r="F360" i="25"/>
  <c r="F361" i="25"/>
  <c r="F362" i="25"/>
  <c r="F363" i="25"/>
  <c r="F364" i="25"/>
  <c r="F365" i="25"/>
  <c r="F366" i="25"/>
  <c r="F367" i="25"/>
  <c r="F368" i="25"/>
  <c r="F369" i="25"/>
  <c r="F370" i="25"/>
  <c r="F371" i="25"/>
  <c r="F372" i="25"/>
  <c r="F373" i="25"/>
  <c r="F374" i="25"/>
  <c r="F375" i="25"/>
  <c r="F376" i="25"/>
  <c r="F377" i="25"/>
  <c r="F378" i="25"/>
  <c r="F379" i="25"/>
  <c r="F380" i="25"/>
  <c r="F381" i="25"/>
  <c r="F382" i="25"/>
  <c r="F383" i="25"/>
  <c r="F384" i="25"/>
  <c r="F385" i="25"/>
  <c r="F386" i="25"/>
  <c r="F387" i="25"/>
  <c r="F388" i="25"/>
  <c r="F389" i="25"/>
  <c r="F390" i="25"/>
  <c r="F391" i="25"/>
  <c r="F392" i="25"/>
  <c r="F393" i="25"/>
  <c r="F394" i="25"/>
  <c r="F395" i="25"/>
  <c r="F396" i="25"/>
  <c r="F397" i="25"/>
  <c r="F398" i="25"/>
  <c r="F399" i="25"/>
  <c r="F400" i="25"/>
  <c r="F401" i="25"/>
  <c r="F402" i="25"/>
  <c r="F403" i="25"/>
  <c r="F404" i="25"/>
  <c r="F405" i="25"/>
  <c r="F406" i="25"/>
  <c r="F407" i="25"/>
  <c r="F408" i="25"/>
  <c r="F409" i="25"/>
  <c r="F410" i="25"/>
  <c r="F411" i="25"/>
  <c r="F412" i="25"/>
  <c r="F413" i="25"/>
  <c r="F414" i="25"/>
  <c r="F415" i="25"/>
  <c r="F416" i="25"/>
  <c r="F417" i="25"/>
  <c r="F418" i="25"/>
  <c r="F419" i="25"/>
  <c r="F420" i="25"/>
  <c r="F421" i="25"/>
  <c r="F422" i="25"/>
  <c r="F423" i="25"/>
  <c r="F424" i="25"/>
  <c r="F425" i="25"/>
  <c r="F426" i="25"/>
  <c r="F427" i="25"/>
  <c r="F428" i="25"/>
  <c r="F429" i="25"/>
  <c r="F430" i="25"/>
  <c r="F431" i="25"/>
  <c r="F432" i="25"/>
  <c r="F433" i="25"/>
  <c r="F434" i="25"/>
  <c r="F435" i="25"/>
  <c r="F436" i="25"/>
  <c r="F437" i="25"/>
  <c r="F438" i="25"/>
  <c r="F439" i="25"/>
  <c r="F440" i="25"/>
  <c r="F441" i="25"/>
  <c r="F442" i="25"/>
  <c r="F443" i="25"/>
  <c r="F444" i="25"/>
  <c r="F445" i="25"/>
  <c r="F446" i="25"/>
  <c r="F447" i="25"/>
  <c r="F448" i="25"/>
  <c r="F449" i="25"/>
  <c r="F450" i="25"/>
  <c r="F451" i="25"/>
  <c r="F452" i="25"/>
  <c r="F453" i="25"/>
  <c r="F454" i="25"/>
  <c r="F455" i="25"/>
  <c r="F456" i="25"/>
  <c r="F457" i="25"/>
  <c r="F458" i="25"/>
  <c r="F459" i="25"/>
  <c r="F460" i="25"/>
  <c r="F461" i="25"/>
  <c r="F462" i="25"/>
  <c r="F463" i="25"/>
  <c r="F464" i="25"/>
  <c r="F465" i="25"/>
  <c r="F466" i="25"/>
  <c r="F467" i="25"/>
  <c r="F468" i="25"/>
  <c r="F469" i="25"/>
  <c r="F470" i="25"/>
  <c r="F471" i="25"/>
  <c r="F472" i="25"/>
  <c r="F473" i="25"/>
  <c r="F474" i="25"/>
  <c r="F475" i="25"/>
  <c r="F476" i="25"/>
  <c r="F477" i="25"/>
  <c r="F478" i="25"/>
  <c r="F479" i="25"/>
  <c r="F480" i="25"/>
  <c r="F481" i="25"/>
  <c r="F482" i="25"/>
  <c r="F483" i="25"/>
  <c r="F484" i="25"/>
  <c r="F485" i="25"/>
  <c r="F486" i="25"/>
  <c r="F487" i="25"/>
  <c r="F488" i="25"/>
  <c r="F489" i="25"/>
  <c r="F490" i="25"/>
  <c r="F491" i="25"/>
  <c r="F492" i="25"/>
  <c r="F493" i="25"/>
  <c r="F494" i="25"/>
  <c r="F495" i="25"/>
  <c r="F496" i="25"/>
  <c r="F497" i="25"/>
  <c r="F498" i="25"/>
  <c r="F499" i="25"/>
  <c r="F500" i="25"/>
  <c r="F501" i="25"/>
  <c r="F502" i="25"/>
  <c r="F503" i="25"/>
  <c r="F504" i="25"/>
  <c r="F505" i="25"/>
  <c r="F506" i="25"/>
  <c r="F507" i="25"/>
  <c r="F508" i="25"/>
  <c r="F509" i="25"/>
  <c r="F510" i="25"/>
  <c r="F511" i="25"/>
  <c r="F512" i="25"/>
  <c r="F513" i="25"/>
  <c r="F514" i="25"/>
  <c r="F515" i="25"/>
  <c r="F516" i="25"/>
  <c r="F517" i="25"/>
  <c r="F518" i="25"/>
  <c r="F519" i="25"/>
  <c r="F520" i="25"/>
  <c r="F4" i="25"/>
  <c r="D7" i="25"/>
  <c r="D8" i="25"/>
  <c r="D9" i="25"/>
  <c r="D10" i="25"/>
  <c r="D11" i="25"/>
  <c r="D12" i="25"/>
  <c r="D13" i="25"/>
  <c r="D14" i="25"/>
  <c r="D15" i="25"/>
  <c r="D16" i="25"/>
  <c r="D17" i="25"/>
  <c r="D18" i="25"/>
  <c r="D19" i="25"/>
  <c r="D20" i="25"/>
  <c r="D21" i="25"/>
  <c r="D22" i="25"/>
  <c r="D23" i="25"/>
  <c r="D24" i="25"/>
  <c r="D25" i="25"/>
  <c r="D26" i="25"/>
  <c r="D27" i="25"/>
  <c r="D28" i="25"/>
  <c r="D29" i="25"/>
  <c r="D30" i="25"/>
  <c r="D31" i="25"/>
  <c r="D32" i="25"/>
  <c r="D33" i="25"/>
  <c r="D34" i="25"/>
  <c r="D35" i="25"/>
  <c r="D36" i="25"/>
  <c r="D37" i="25"/>
  <c r="D38" i="25"/>
  <c r="D39" i="25"/>
  <c r="D40" i="25"/>
  <c r="D41" i="25"/>
  <c r="D42" i="25"/>
  <c r="D43" i="25"/>
  <c r="D44" i="25"/>
  <c r="D45" i="25"/>
  <c r="D46" i="25"/>
  <c r="D47" i="25"/>
  <c r="D48" i="25"/>
  <c r="D49" i="25"/>
  <c r="D50" i="25"/>
  <c r="D51" i="25"/>
  <c r="D52" i="25"/>
  <c r="D53" i="25"/>
  <c r="D54" i="25"/>
  <c r="D55" i="25"/>
  <c r="D56" i="25"/>
  <c r="D57" i="25"/>
  <c r="D58" i="25"/>
  <c r="D59" i="25"/>
  <c r="D60" i="25"/>
  <c r="D61" i="25"/>
  <c r="D62" i="25"/>
  <c r="D63" i="25"/>
  <c r="D64" i="25"/>
  <c r="D65" i="25"/>
  <c r="D66" i="25"/>
  <c r="D67" i="25"/>
  <c r="D68" i="25"/>
  <c r="D69" i="25"/>
  <c r="D70" i="25"/>
  <c r="D71" i="25"/>
  <c r="D72" i="25"/>
  <c r="D73" i="25"/>
  <c r="D74" i="25"/>
  <c r="D75" i="25"/>
  <c r="D76" i="25"/>
  <c r="D77" i="25"/>
  <c r="D78" i="25"/>
  <c r="D79" i="25"/>
  <c r="D80" i="25"/>
  <c r="D81" i="25"/>
  <c r="D82" i="25"/>
  <c r="D83" i="25"/>
  <c r="D84" i="25"/>
  <c r="D85" i="25"/>
  <c r="D86" i="25"/>
  <c r="D87" i="25"/>
  <c r="D88" i="25"/>
  <c r="D89" i="25"/>
  <c r="D90" i="25"/>
  <c r="D91" i="25"/>
  <c r="D92" i="25"/>
  <c r="D93" i="25"/>
  <c r="D94" i="25"/>
  <c r="D95" i="25"/>
  <c r="D96" i="25"/>
  <c r="D97" i="25"/>
  <c r="D98" i="25"/>
  <c r="D99" i="25"/>
  <c r="D100" i="25"/>
  <c r="D101" i="25"/>
  <c r="D102" i="25"/>
  <c r="D103" i="25"/>
  <c r="D104" i="25"/>
  <c r="D105" i="25"/>
  <c r="D106" i="25"/>
  <c r="D107" i="25"/>
  <c r="D108" i="25"/>
  <c r="D109" i="25"/>
  <c r="D110" i="25"/>
  <c r="D111" i="25"/>
  <c r="D112" i="25"/>
  <c r="D113" i="25"/>
  <c r="D114" i="25"/>
  <c r="D115" i="25"/>
  <c r="D116" i="25"/>
  <c r="D117" i="25"/>
  <c r="D118" i="25"/>
  <c r="D119" i="25"/>
  <c r="D120" i="25"/>
  <c r="D121" i="25"/>
  <c r="D122" i="25"/>
  <c r="D123" i="25"/>
  <c r="D124" i="25"/>
  <c r="D125" i="25"/>
  <c r="D126" i="25"/>
  <c r="D127" i="25"/>
  <c r="D128" i="25"/>
  <c r="D129" i="25"/>
  <c r="D130" i="25"/>
  <c r="D131" i="25"/>
  <c r="D132" i="25"/>
  <c r="D133" i="25"/>
  <c r="D134" i="25"/>
  <c r="D135" i="25"/>
  <c r="D136" i="25"/>
  <c r="D137" i="25"/>
  <c r="D138" i="25"/>
  <c r="D139" i="25"/>
  <c r="D140" i="25"/>
  <c r="D141" i="25"/>
  <c r="D142" i="25"/>
  <c r="D143" i="25"/>
  <c r="D144" i="25"/>
  <c r="D145" i="25"/>
  <c r="D146" i="25"/>
  <c r="D147" i="25"/>
  <c r="D148" i="25"/>
  <c r="D149" i="25"/>
  <c r="D150" i="25"/>
  <c r="D151" i="25"/>
  <c r="D152" i="25"/>
  <c r="D153" i="25"/>
  <c r="D154" i="25"/>
  <c r="D155" i="25"/>
  <c r="D156" i="25"/>
  <c r="D157" i="25"/>
  <c r="D158" i="25"/>
  <c r="D159" i="25"/>
  <c r="D160" i="25"/>
  <c r="D161" i="25"/>
  <c r="D162" i="25"/>
  <c r="D163" i="25"/>
  <c r="D164" i="25"/>
  <c r="D165" i="25"/>
  <c r="D166" i="25"/>
  <c r="D167" i="25"/>
  <c r="D168" i="25"/>
  <c r="D169" i="25"/>
  <c r="D170" i="25"/>
  <c r="D171" i="25"/>
  <c r="D172" i="25"/>
  <c r="D173" i="25"/>
  <c r="D174" i="25"/>
  <c r="D175" i="25"/>
  <c r="D176" i="25"/>
  <c r="D177" i="25"/>
  <c r="D178" i="25"/>
  <c r="D179" i="25"/>
  <c r="D180" i="25"/>
  <c r="D181" i="25"/>
  <c r="D182" i="25"/>
  <c r="D183" i="25"/>
  <c r="D184" i="25"/>
  <c r="D185" i="25"/>
  <c r="D186" i="25"/>
  <c r="D187" i="25"/>
  <c r="D188" i="25"/>
  <c r="D189" i="25"/>
  <c r="D190" i="25"/>
  <c r="D191" i="25"/>
  <c r="D192" i="25"/>
  <c r="D193" i="25"/>
  <c r="D194" i="25"/>
  <c r="D195" i="25"/>
  <c r="D196" i="25"/>
  <c r="D197" i="25"/>
  <c r="D198" i="25"/>
  <c r="D199" i="25"/>
  <c r="D200" i="25"/>
  <c r="D201" i="25"/>
  <c r="D202" i="25"/>
  <c r="D203" i="25"/>
  <c r="D204" i="25"/>
  <c r="D205" i="25"/>
  <c r="D206" i="25"/>
  <c r="D207" i="25"/>
  <c r="D208" i="25"/>
  <c r="D209" i="25"/>
  <c r="D210" i="25"/>
  <c r="D211" i="25"/>
  <c r="D212" i="25"/>
  <c r="D213" i="25"/>
  <c r="D214" i="25"/>
  <c r="D215" i="25"/>
  <c r="D216" i="25"/>
  <c r="D217" i="25"/>
  <c r="D218" i="25"/>
  <c r="D219" i="25"/>
  <c r="D220" i="25"/>
  <c r="D221" i="25"/>
  <c r="D222" i="25"/>
  <c r="D223" i="25"/>
  <c r="D224" i="25"/>
  <c r="D225" i="25"/>
  <c r="D226" i="25"/>
  <c r="D227" i="25"/>
  <c r="D228" i="25"/>
  <c r="D229" i="25"/>
  <c r="D230" i="25"/>
  <c r="D231" i="25"/>
  <c r="D232" i="25"/>
  <c r="D233" i="25"/>
  <c r="D234" i="25"/>
  <c r="D235" i="25"/>
  <c r="D236" i="25"/>
  <c r="D237" i="25"/>
  <c r="D238" i="25"/>
  <c r="D239" i="25"/>
  <c r="D240" i="25"/>
  <c r="D241" i="25"/>
  <c r="D242" i="25"/>
  <c r="D243" i="25"/>
  <c r="D244" i="25"/>
  <c r="D245" i="25"/>
  <c r="D246" i="25"/>
  <c r="D247" i="25"/>
  <c r="D248" i="25"/>
  <c r="D249" i="25"/>
  <c r="D250" i="25"/>
  <c r="D251" i="25"/>
  <c r="D252" i="25"/>
  <c r="D253" i="25"/>
  <c r="D254" i="25"/>
  <c r="D255" i="25"/>
  <c r="D256" i="25"/>
  <c r="D257" i="25"/>
  <c r="D258" i="25"/>
  <c r="D259" i="25"/>
  <c r="D260" i="25"/>
  <c r="D261" i="25"/>
  <c r="D262" i="25"/>
  <c r="D263" i="25"/>
  <c r="D264" i="25"/>
  <c r="D265" i="25"/>
  <c r="D266" i="25"/>
  <c r="D267" i="25"/>
  <c r="D268" i="25"/>
  <c r="D269" i="25"/>
  <c r="D270" i="25"/>
  <c r="D271" i="25"/>
  <c r="D272" i="25"/>
  <c r="D273" i="25"/>
  <c r="D274" i="25"/>
  <c r="D275" i="25"/>
  <c r="D276" i="25"/>
  <c r="D277" i="25"/>
  <c r="D278" i="25"/>
  <c r="D279" i="25"/>
  <c r="D280" i="25"/>
  <c r="D281" i="25"/>
  <c r="D282" i="25"/>
  <c r="D283" i="25"/>
  <c r="D284" i="25"/>
  <c r="D285" i="25"/>
  <c r="D286" i="25"/>
  <c r="D287" i="25"/>
  <c r="D288" i="25"/>
  <c r="D289" i="25"/>
  <c r="D290" i="25"/>
  <c r="D291" i="25"/>
  <c r="D292" i="25"/>
  <c r="D293" i="25"/>
  <c r="D294" i="25"/>
  <c r="D295" i="25"/>
  <c r="D296" i="25"/>
  <c r="D297" i="25"/>
  <c r="D298" i="25"/>
  <c r="D299" i="25"/>
  <c r="D300" i="25"/>
  <c r="D301" i="25"/>
  <c r="D302" i="25"/>
  <c r="D303" i="25"/>
  <c r="D304" i="25"/>
  <c r="D305" i="25"/>
  <c r="D306" i="25"/>
  <c r="D307" i="25"/>
  <c r="D308" i="25"/>
  <c r="D309" i="25"/>
  <c r="D310" i="25"/>
  <c r="D311" i="25"/>
  <c r="D312" i="25"/>
  <c r="D313" i="25"/>
  <c r="D314" i="25"/>
  <c r="D315" i="25"/>
  <c r="D316" i="25"/>
  <c r="D317" i="25"/>
  <c r="D318" i="25"/>
  <c r="D319" i="25"/>
  <c r="D320" i="25"/>
  <c r="D321" i="25"/>
  <c r="D322" i="25"/>
  <c r="D323" i="25"/>
  <c r="D324" i="25"/>
  <c r="D325" i="25"/>
  <c r="D326" i="25"/>
  <c r="D327" i="25"/>
  <c r="D328" i="25"/>
  <c r="D329" i="25"/>
  <c r="D330" i="25"/>
  <c r="D331" i="25"/>
  <c r="D332" i="25"/>
  <c r="D333" i="25"/>
  <c r="D334" i="25"/>
  <c r="D335" i="25"/>
  <c r="D336" i="25"/>
  <c r="D337" i="25"/>
  <c r="D338" i="25"/>
  <c r="D339" i="25"/>
  <c r="D340" i="25"/>
  <c r="D341" i="25"/>
  <c r="D342" i="25"/>
  <c r="D343" i="25"/>
  <c r="D344" i="25"/>
  <c r="D345" i="25"/>
  <c r="D346" i="25"/>
  <c r="D347" i="25"/>
  <c r="D348" i="25"/>
  <c r="D349" i="25"/>
  <c r="D350" i="25"/>
  <c r="D351" i="25"/>
  <c r="D352" i="25"/>
  <c r="D353" i="25"/>
  <c r="D354" i="25"/>
  <c r="D355" i="25"/>
  <c r="D356" i="25"/>
  <c r="D357" i="25"/>
  <c r="D358" i="25"/>
  <c r="D359" i="25"/>
  <c r="D360" i="25"/>
  <c r="D361" i="25"/>
  <c r="D362" i="25"/>
  <c r="D363" i="25"/>
  <c r="D364" i="25"/>
  <c r="D365" i="25"/>
  <c r="D366" i="25"/>
  <c r="D367" i="25"/>
  <c r="D368" i="25"/>
  <c r="D369" i="25"/>
  <c r="D370" i="25"/>
  <c r="D371" i="25"/>
  <c r="D372" i="25"/>
  <c r="D373" i="25"/>
  <c r="D374" i="25"/>
  <c r="D375" i="25"/>
  <c r="D376" i="25"/>
  <c r="D377" i="25"/>
  <c r="D378" i="25"/>
  <c r="D379" i="25"/>
  <c r="D380" i="25"/>
  <c r="D381" i="25"/>
  <c r="D382" i="25"/>
  <c r="D383" i="25"/>
  <c r="D384" i="25"/>
  <c r="D385" i="25"/>
  <c r="D386" i="25"/>
  <c r="D387" i="25"/>
  <c r="D388" i="25"/>
  <c r="D389" i="25"/>
  <c r="D390" i="25"/>
  <c r="D391" i="25"/>
  <c r="D392" i="25"/>
  <c r="D393" i="25"/>
  <c r="D394" i="25"/>
  <c r="D395" i="25"/>
  <c r="D396" i="25"/>
  <c r="D397" i="25"/>
  <c r="D398" i="25"/>
  <c r="D399" i="25"/>
  <c r="D400" i="25"/>
  <c r="D401" i="25"/>
  <c r="D402" i="25"/>
  <c r="D403" i="25"/>
  <c r="D404" i="25"/>
  <c r="D405" i="25"/>
  <c r="D406" i="25"/>
  <c r="D407" i="25"/>
  <c r="D408" i="25"/>
  <c r="D409" i="25"/>
  <c r="D410" i="25"/>
  <c r="D411" i="25"/>
  <c r="D412" i="25"/>
  <c r="D413" i="25"/>
  <c r="D414" i="25"/>
  <c r="D415" i="25"/>
  <c r="D416" i="25"/>
  <c r="D417" i="25"/>
  <c r="D418" i="25"/>
  <c r="D419" i="25"/>
  <c r="D420" i="25"/>
  <c r="D421" i="25"/>
  <c r="D422" i="25"/>
  <c r="D423" i="25"/>
  <c r="D424" i="25"/>
  <c r="D425" i="25"/>
  <c r="D426" i="25"/>
  <c r="D427" i="25"/>
  <c r="D428" i="25"/>
  <c r="D429" i="25"/>
  <c r="D430" i="25"/>
  <c r="D431" i="25"/>
  <c r="D432" i="25"/>
  <c r="D433" i="25"/>
  <c r="D434" i="25"/>
  <c r="D435" i="25"/>
  <c r="D436" i="25"/>
  <c r="D437" i="25"/>
  <c r="D438" i="25"/>
  <c r="D439" i="25"/>
  <c r="D440" i="25"/>
  <c r="D441" i="25"/>
  <c r="D442" i="25"/>
  <c r="D443" i="25"/>
  <c r="D444" i="25"/>
  <c r="D445" i="25"/>
  <c r="D446" i="25"/>
  <c r="D447" i="25"/>
  <c r="D448" i="25"/>
  <c r="D449" i="25"/>
  <c r="D450" i="25"/>
  <c r="D451" i="25"/>
  <c r="D452" i="25"/>
  <c r="D453" i="25"/>
  <c r="D454" i="25"/>
  <c r="D455" i="25"/>
  <c r="D456" i="25"/>
  <c r="D457" i="25"/>
  <c r="D458" i="25"/>
  <c r="D459" i="25"/>
  <c r="D460" i="25"/>
  <c r="D461" i="25"/>
  <c r="D462" i="25"/>
  <c r="D463" i="25"/>
  <c r="D464" i="25"/>
  <c r="D465" i="25"/>
  <c r="D466" i="25"/>
  <c r="D467" i="25"/>
  <c r="D468" i="25"/>
  <c r="D469" i="25"/>
  <c r="D470" i="25"/>
  <c r="D471" i="25"/>
  <c r="D472" i="25"/>
  <c r="D473" i="25"/>
  <c r="D474" i="25"/>
  <c r="D475" i="25"/>
  <c r="D476" i="25"/>
  <c r="D477" i="25"/>
  <c r="D478" i="25"/>
  <c r="D479" i="25"/>
  <c r="D480" i="25"/>
  <c r="D481" i="25"/>
  <c r="D482" i="25"/>
  <c r="D483" i="25"/>
  <c r="D484" i="25"/>
  <c r="D485" i="25"/>
  <c r="D486" i="25"/>
  <c r="D487" i="25"/>
  <c r="D488" i="25"/>
  <c r="D489" i="25"/>
  <c r="D490" i="25"/>
  <c r="D491" i="25"/>
  <c r="D492" i="25"/>
  <c r="D493" i="25"/>
  <c r="D494" i="25"/>
  <c r="D495" i="25"/>
  <c r="D496" i="25"/>
  <c r="D497" i="25"/>
  <c r="D498" i="25"/>
  <c r="D499" i="25"/>
  <c r="D500" i="25"/>
  <c r="D501" i="25"/>
  <c r="D502" i="25"/>
  <c r="D503" i="25"/>
  <c r="D504" i="25"/>
  <c r="D505" i="25"/>
  <c r="D506" i="25"/>
  <c r="D507" i="25"/>
  <c r="D508" i="25"/>
  <c r="D509" i="25"/>
  <c r="D510" i="25"/>
  <c r="D511" i="25"/>
  <c r="D512" i="25"/>
  <c r="D513" i="25"/>
  <c r="D514" i="25"/>
  <c r="D515" i="25"/>
  <c r="D516" i="25"/>
  <c r="D517" i="25"/>
  <c r="D518" i="25"/>
  <c r="D519" i="25"/>
  <c r="D520" i="25"/>
  <c r="D5" i="25"/>
  <c r="I7" i="25"/>
  <c r="I8" i="25"/>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0" i="25"/>
  <c r="I171" i="25"/>
  <c r="I172" i="25"/>
  <c r="I173" i="25"/>
  <c r="I174" i="25"/>
  <c r="I175" i="25"/>
  <c r="I176" i="25"/>
  <c r="I177" i="25"/>
  <c r="I178" i="25"/>
  <c r="I179" i="25"/>
  <c r="I180" i="25"/>
  <c r="I181" i="25"/>
  <c r="I182" i="25"/>
  <c r="I183" i="25"/>
  <c r="I184" i="25"/>
  <c r="I185" i="25"/>
  <c r="I186" i="25"/>
  <c r="I187" i="25"/>
  <c r="I188" i="25"/>
  <c r="I189" i="25"/>
  <c r="I190" i="25"/>
  <c r="I191" i="25"/>
  <c r="I192" i="25"/>
  <c r="I193" i="25"/>
  <c r="I194" i="25"/>
  <c r="I195" i="25"/>
  <c r="I196" i="25"/>
  <c r="I197" i="25"/>
  <c r="I198" i="25"/>
  <c r="I199" i="25"/>
  <c r="I200" i="25"/>
  <c r="I201" i="25"/>
  <c r="I202" i="25"/>
  <c r="I203" i="25"/>
  <c r="I204" i="25"/>
  <c r="I205" i="25"/>
  <c r="I206" i="25"/>
  <c r="I207" i="25"/>
  <c r="I208" i="25"/>
  <c r="I209" i="25"/>
  <c r="I210" i="25"/>
  <c r="I211" i="25"/>
  <c r="I212" i="25"/>
  <c r="I213" i="25"/>
  <c r="I214" i="25"/>
  <c r="I215" i="25"/>
  <c r="I216" i="25"/>
  <c r="I217" i="25"/>
  <c r="I218" i="25"/>
  <c r="I219" i="25"/>
  <c r="I220" i="25"/>
  <c r="I221" i="25"/>
  <c r="I222" i="25"/>
  <c r="I223" i="25"/>
  <c r="I224" i="25"/>
  <c r="I225" i="25"/>
  <c r="I226" i="25"/>
  <c r="I227" i="25"/>
  <c r="I228" i="25"/>
  <c r="I229" i="25"/>
  <c r="I230" i="25"/>
  <c r="I231" i="25"/>
  <c r="I232" i="25"/>
  <c r="I233" i="25"/>
  <c r="I234" i="25"/>
  <c r="I235" i="25"/>
  <c r="I236" i="25"/>
  <c r="I237" i="25"/>
  <c r="I238" i="25"/>
  <c r="I239" i="25"/>
  <c r="I240" i="25"/>
  <c r="I241" i="25"/>
  <c r="I242" i="25"/>
  <c r="I243" i="25"/>
  <c r="I244" i="25"/>
  <c r="I245" i="25"/>
  <c r="I246" i="25"/>
  <c r="I247" i="25"/>
  <c r="I248" i="25"/>
  <c r="I249" i="25"/>
  <c r="I250" i="25"/>
  <c r="I251" i="25"/>
  <c r="I252" i="25"/>
  <c r="I253" i="25"/>
  <c r="I254" i="25"/>
  <c r="I255" i="25"/>
  <c r="I256" i="25"/>
  <c r="I257" i="25"/>
  <c r="I258" i="25"/>
  <c r="I259" i="25"/>
  <c r="I260" i="25"/>
  <c r="I261" i="25"/>
  <c r="I262" i="25"/>
  <c r="I263" i="25"/>
  <c r="I264" i="25"/>
  <c r="I265" i="25"/>
  <c r="I266" i="25"/>
  <c r="I267" i="25"/>
  <c r="I268" i="25"/>
  <c r="I269" i="25"/>
  <c r="I270" i="25"/>
  <c r="I271" i="25"/>
  <c r="I272" i="25"/>
  <c r="I273" i="25"/>
  <c r="I274" i="25"/>
  <c r="I275" i="25"/>
  <c r="I276" i="25"/>
  <c r="I277" i="25"/>
  <c r="I278" i="25"/>
  <c r="I279" i="25"/>
  <c r="I280" i="25"/>
  <c r="I281" i="25"/>
  <c r="I282" i="25"/>
  <c r="I283" i="25"/>
  <c r="I284" i="25"/>
  <c r="I285" i="25"/>
  <c r="I286" i="25"/>
  <c r="I287" i="25"/>
  <c r="I288" i="25"/>
  <c r="I289" i="25"/>
  <c r="I290" i="25"/>
  <c r="I291" i="25"/>
  <c r="I292" i="25"/>
  <c r="I293" i="25"/>
  <c r="I294" i="25"/>
  <c r="I295" i="25"/>
  <c r="I296" i="25"/>
  <c r="I297" i="25"/>
  <c r="I298" i="25"/>
  <c r="I299" i="25"/>
  <c r="I300" i="25"/>
  <c r="I301" i="25"/>
  <c r="I302" i="25"/>
  <c r="I303" i="25"/>
  <c r="I304" i="25"/>
  <c r="I305" i="25"/>
  <c r="I306" i="25"/>
  <c r="I307" i="25"/>
  <c r="I308" i="25"/>
  <c r="I309" i="25"/>
  <c r="I310" i="25"/>
  <c r="I311" i="25"/>
  <c r="I312" i="25"/>
  <c r="I313" i="25"/>
  <c r="I314" i="25"/>
  <c r="I315" i="25"/>
  <c r="I316" i="25"/>
  <c r="I317" i="25"/>
  <c r="I318" i="25"/>
  <c r="I319" i="25"/>
  <c r="I320" i="25"/>
  <c r="I321" i="25"/>
  <c r="I322" i="25"/>
  <c r="I323" i="25"/>
  <c r="I324" i="25"/>
  <c r="I325" i="25"/>
  <c r="I326" i="25"/>
  <c r="I327" i="25"/>
  <c r="I328" i="25"/>
  <c r="I329" i="25"/>
  <c r="I330" i="25"/>
  <c r="I331" i="25"/>
  <c r="I332" i="25"/>
  <c r="I333" i="25"/>
  <c r="I334" i="25"/>
  <c r="I335" i="25"/>
  <c r="I336" i="25"/>
  <c r="I337" i="25"/>
  <c r="I338" i="25"/>
  <c r="I339" i="25"/>
  <c r="I340" i="25"/>
  <c r="I341" i="25"/>
  <c r="I342" i="25"/>
  <c r="I343" i="25"/>
  <c r="I344" i="25"/>
  <c r="I345" i="25"/>
  <c r="I346" i="25"/>
  <c r="I347" i="25"/>
  <c r="I348" i="25"/>
  <c r="I349" i="25"/>
  <c r="I350" i="25"/>
  <c r="I351" i="25"/>
  <c r="I352" i="25"/>
  <c r="I353" i="25"/>
  <c r="I354" i="25"/>
  <c r="I355" i="25"/>
  <c r="I356" i="25"/>
  <c r="I357" i="25"/>
  <c r="I358" i="25"/>
  <c r="I359" i="25"/>
  <c r="I360" i="25"/>
  <c r="I361" i="25"/>
  <c r="I362" i="25"/>
  <c r="I363" i="25"/>
  <c r="I364" i="25"/>
  <c r="I365" i="25"/>
  <c r="I366" i="25"/>
  <c r="I367" i="25"/>
  <c r="I368" i="25"/>
  <c r="I369" i="25"/>
  <c r="I370" i="25"/>
  <c r="I371" i="25"/>
  <c r="I372" i="25"/>
  <c r="I373" i="25"/>
  <c r="I374" i="25"/>
  <c r="I375" i="25"/>
  <c r="I376" i="25"/>
  <c r="I377" i="25"/>
  <c r="I378" i="25"/>
  <c r="I379" i="25"/>
  <c r="I380" i="25"/>
  <c r="I381" i="25"/>
  <c r="I382" i="25"/>
  <c r="I383" i="25"/>
  <c r="I384" i="25"/>
  <c r="I385" i="25"/>
  <c r="I386" i="25"/>
  <c r="I387" i="25"/>
  <c r="I388" i="25"/>
  <c r="I389" i="25"/>
  <c r="I390" i="25"/>
  <c r="I391" i="25"/>
  <c r="I392" i="25"/>
  <c r="I393" i="25"/>
  <c r="I394" i="25"/>
  <c r="I395" i="25"/>
  <c r="I396" i="25"/>
  <c r="I397" i="25"/>
  <c r="I398" i="25"/>
  <c r="I399" i="25"/>
  <c r="I400" i="25"/>
  <c r="I401" i="25"/>
  <c r="I402" i="25"/>
  <c r="I403" i="25"/>
  <c r="I404" i="25"/>
  <c r="I405" i="25"/>
  <c r="I406" i="25"/>
  <c r="I407" i="25"/>
  <c r="I408" i="25"/>
  <c r="I409" i="25"/>
  <c r="I410" i="25"/>
  <c r="I411" i="25"/>
  <c r="M14" i="25" s="1"/>
  <c r="I412" i="25"/>
  <c r="I413" i="25"/>
  <c r="I414" i="25"/>
  <c r="I415" i="25"/>
  <c r="I416" i="25"/>
  <c r="I417" i="25"/>
  <c r="I418" i="25"/>
  <c r="I419" i="25"/>
  <c r="I420" i="25"/>
  <c r="I421" i="25"/>
  <c r="I422" i="25"/>
  <c r="I423" i="25"/>
  <c r="I424" i="25"/>
  <c r="I425" i="25"/>
  <c r="I426" i="25"/>
  <c r="I427" i="25"/>
  <c r="I428" i="25"/>
  <c r="I429" i="25"/>
  <c r="I430" i="25"/>
  <c r="I431" i="25"/>
  <c r="I432" i="25"/>
  <c r="I433" i="25"/>
  <c r="I434" i="25"/>
  <c r="I435" i="25"/>
  <c r="I436" i="25"/>
  <c r="I437" i="25"/>
  <c r="I438" i="25"/>
  <c r="I439" i="25"/>
  <c r="I440" i="25"/>
  <c r="I441" i="25"/>
  <c r="I442" i="25"/>
  <c r="I443" i="25"/>
  <c r="I444" i="25"/>
  <c r="I445" i="25"/>
  <c r="I446" i="25"/>
  <c r="I447" i="25"/>
  <c r="I448" i="25"/>
  <c r="I449" i="25"/>
  <c r="I450" i="25"/>
  <c r="I451" i="25"/>
  <c r="I452" i="25"/>
  <c r="I453" i="25"/>
  <c r="I454" i="25"/>
  <c r="I455" i="25"/>
  <c r="I456" i="25"/>
  <c r="I457" i="25"/>
  <c r="I458" i="25"/>
  <c r="I459" i="25"/>
  <c r="I460" i="25"/>
  <c r="I461" i="25"/>
  <c r="I462" i="25"/>
  <c r="I463" i="25"/>
  <c r="I464" i="25"/>
  <c r="I465" i="25"/>
  <c r="I466" i="25"/>
  <c r="I467" i="25"/>
  <c r="I468" i="25"/>
  <c r="I469" i="25"/>
  <c r="I470" i="25"/>
  <c r="I471" i="25"/>
  <c r="I472" i="25"/>
  <c r="I473" i="25"/>
  <c r="I474" i="25"/>
  <c r="I475" i="25"/>
  <c r="I476" i="25"/>
  <c r="I477" i="25"/>
  <c r="I478" i="25"/>
  <c r="I479" i="25"/>
  <c r="I480" i="25"/>
  <c r="I481" i="25"/>
  <c r="I482" i="25"/>
  <c r="I483" i="25"/>
  <c r="I484" i="25"/>
  <c r="I485" i="25"/>
  <c r="I486" i="25"/>
  <c r="I487" i="25"/>
  <c r="I488" i="25"/>
  <c r="I489" i="25"/>
  <c r="I490" i="25"/>
  <c r="I491" i="25"/>
  <c r="I492" i="25"/>
  <c r="I493" i="25"/>
  <c r="I494" i="25"/>
  <c r="I495" i="25"/>
  <c r="I496" i="25"/>
  <c r="I497" i="25"/>
  <c r="I498" i="25"/>
  <c r="I499" i="25"/>
  <c r="I500" i="25"/>
  <c r="I501" i="25"/>
  <c r="I502" i="25"/>
  <c r="I503" i="25"/>
  <c r="I504" i="25"/>
  <c r="I505" i="25"/>
  <c r="I506" i="25"/>
  <c r="I507" i="25"/>
  <c r="I508" i="25"/>
  <c r="I509" i="25"/>
  <c r="I510" i="25"/>
  <c r="I511" i="25"/>
  <c r="I512" i="25"/>
  <c r="I513" i="25"/>
  <c r="I514" i="25"/>
  <c r="I515" i="25"/>
  <c r="I516" i="25"/>
  <c r="I517" i="25"/>
  <c r="I518" i="25"/>
  <c r="I519" i="25"/>
  <c r="I520" i="25"/>
  <c r="I5" i="25"/>
  <c r="I6" i="25"/>
  <c r="J6" i="31" l="1"/>
  <c r="J3" i="31"/>
  <c r="C4" i="36"/>
  <c r="E4" i="36" s="1"/>
  <c r="G4" i="36" s="1"/>
  <c r="J8" i="31"/>
  <c r="J18" i="31"/>
  <c r="C18" i="7" s="1"/>
  <c r="J9" i="31"/>
  <c r="J17" i="31"/>
  <c r="J25" i="31"/>
  <c r="J11" i="31"/>
  <c r="J35" i="31"/>
  <c r="J10" i="31"/>
  <c r="J26" i="31"/>
  <c r="J34" i="31"/>
  <c r="J42" i="31"/>
  <c r="J27" i="31"/>
  <c r="J43" i="31"/>
  <c r="J19" i="31"/>
  <c r="J4" i="31"/>
  <c r="J12" i="31"/>
  <c r="J20" i="31"/>
  <c r="J28" i="31"/>
  <c r="J36" i="31"/>
  <c r="J44" i="31"/>
  <c r="J24" i="31"/>
  <c r="J5" i="31"/>
  <c r="J13" i="31"/>
  <c r="J21" i="31"/>
  <c r="J29" i="31"/>
  <c r="J37" i="31"/>
  <c r="J45" i="31"/>
  <c r="J32" i="31"/>
  <c r="C6" i="7"/>
  <c r="J14" i="31"/>
  <c r="J22" i="31"/>
  <c r="J30" i="31"/>
  <c r="J38" i="31"/>
  <c r="J46" i="31"/>
  <c r="J40" i="31"/>
  <c r="J7" i="31"/>
  <c r="J15" i="31"/>
  <c r="J23" i="31"/>
  <c r="J31" i="31"/>
  <c r="J39" i="31"/>
  <c r="J47" i="31"/>
  <c r="J16" i="31"/>
  <c r="B17" i="36" s="1"/>
  <c r="J4" i="25"/>
  <c r="M4" i="25"/>
  <c r="J520" i="25"/>
  <c r="J519" i="25"/>
  <c r="J518" i="25"/>
  <c r="J517" i="25"/>
  <c r="J516" i="25"/>
  <c r="J515" i="25"/>
  <c r="J514" i="25"/>
  <c r="J513" i="25"/>
  <c r="J512" i="25"/>
  <c r="J511" i="25"/>
  <c r="J510" i="25"/>
  <c r="J509" i="25"/>
  <c r="J508" i="25"/>
  <c r="J507" i="25"/>
  <c r="J506" i="25"/>
  <c r="J505" i="25"/>
  <c r="J504" i="25"/>
  <c r="J503" i="25"/>
  <c r="J502" i="25"/>
  <c r="J501" i="25"/>
  <c r="J500" i="25"/>
  <c r="J499" i="25"/>
  <c r="J498" i="25"/>
  <c r="J497" i="25"/>
  <c r="J496" i="25"/>
  <c r="J495" i="25"/>
  <c r="J494" i="25"/>
  <c r="J493" i="25"/>
  <c r="J492" i="25"/>
  <c r="J491" i="25"/>
  <c r="J490" i="25"/>
  <c r="J489" i="25"/>
  <c r="J488" i="25"/>
  <c r="J487" i="25"/>
  <c r="J486" i="25"/>
  <c r="J485" i="25"/>
  <c r="J484" i="25"/>
  <c r="J483" i="25"/>
  <c r="J482" i="25"/>
  <c r="J481" i="25"/>
  <c r="J480" i="25"/>
  <c r="J479" i="25"/>
  <c r="J478" i="25"/>
  <c r="J477" i="25"/>
  <c r="J476" i="25"/>
  <c r="J475" i="25"/>
  <c r="J474" i="25"/>
  <c r="J473" i="25"/>
  <c r="J472" i="25"/>
  <c r="J471" i="25"/>
  <c r="J470" i="25"/>
  <c r="J469" i="25"/>
  <c r="J468" i="25"/>
  <c r="J467" i="25"/>
  <c r="J466" i="25"/>
  <c r="J465" i="25"/>
  <c r="J464" i="25"/>
  <c r="J463" i="25"/>
  <c r="J462" i="25"/>
  <c r="J461" i="25"/>
  <c r="J460" i="25"/>
  <c r="J459" i="25"/>
  <c r="J458" i="25"/>
  <c r="J457" i="25"/>
  <c r="J456" i="25"/>
  <c r="J455" i="25"/>
  <c r="J454" i="25"/>
  <c r="J453" i="25"/>
  <c r="J452" i="25"/>
  <c r="J451" i="25"/>
  <c r="J450" i="25"/>
  <c r="J449" i="25"/>
  <c r="J448" i="25"/>
  <c r="J447" i="25"/>
  <c r="J446" i="25"/>
  <c r="J445" i="25"/>
  <c r="J444" i="25"/>
  <c r="J443" i="25"/>
  <c r="J442" i="25"/>
  <c r="J441" i="25"/>
  <c r="J440" i="25"/>
  <c r="J439" i="25"/>
  <c r="J438" i="25"/>
  <c r="J437" i="25"/>
  <c r="J436" i="25"/>
  <c r="J435" i="25"/>
  <c r="J434" i="25"/>
  <c r="J433" i="25"/>
  <c r="J432" i="25"/>
  <c r="J431" i="25"/>
  <c r="J430" i="25"/>
  <c r="J429" i="25"/>
  <c r="J428" i="25"/>
  <c r="J427" i="25"/>
  <c r="J426" i="25"/>
  <c r="J425" i="25"/>
  <c r="J424" i="25"/>
  <c r="J423" i="25"/>
  <c r="J422" i="25"/>
  <c r="J421" i="25"/>
  <c r="J420" i="25"/>
  <c r="J419" i="25"/>
  <c r="J418" i="25"/>
  <c r="J417" i="25"/>
  <c r="J416" i="25"/>
  <c r="J415" i="25"/>
  <c r="J414" i="25"/>
  <c r="J413" i="25"/>
  <c r="J412" i="25"/>
  <c r="J411" i="25"/>
  <c r="N14" i="25" s="1"/>
  <c r="P14" i="25" s="1"/>
  <c r="S14" i="25" s="1"/>
  <c r="J410" i="25"/>
  <c r="J409" i="25"/>
  <c r="J408" i="25"/>
  <c r="J407" i="25"/>
  <c r="J406" i="25"/>
  <c r="J405" i="25"/>
  <c r="J404" i="25"/>
  <c r="J403" i="25"/>
  <c r="J402" i="25"/>
  <c r="J401" i="25"/>
  <c r="J400" i="25"/>
  <c r="J399" i="25"/>
  <c r="J398" i="25"/>
  <c r="J397" i="25"/>
  <c r="J396" i="25"/>
  <c r="J395" i="25"/>
  <c r="J394" i="25"/>
  <c r="J393" i="25"/>
  <c r="J392" i="25"/>
  <c r="J391" i="25"/>
  <c r="J390" i="25"/>
  <c r="J389" i="25"/>
  <c r="J388" i="25"/>
  <c r="J387" i="25"/>
  <c r="J386" i="25"/>
  <c r="J385" i="25"/>
  <c r="J384" i="25"/>
  <c r="J383" i="25"/>
  <c r="J382" i="25"/>
  <c r="J381" i="25"/>
  <c r="J380" i="25"/>
  <c r="J379" i="25"/>
  <c r="J378" i="25"/>
  <c r="J377" i="25"/>
  <c r="J376" i="25"/>
  <c r="J375" i="25"/>
  <c r="J374" i="25"/>
  <c r="J373" i="25"/>
  <c r="J372" i="25"/>
  <c r="J371" i="25"/>
  <c r="J370" i="25"/>
  <c r="J369" i="25"/>
  <c r="J368" i="25"/>
  <c r="J367" i="25"/>
  <c r="J366" i="25"/>
  <c r="J365" i="25"/>
  <c r="J364" i="25"/>
  <c r="J363" i="25"/>
  <c r="J362" i="25"/>
  <c r="J361" i="25"/>
  <c r="J360" i="25"/>
  <c r="J359" i="25"/>
  <c r="J358" i="25"/>
  <c r="J357" i="25"/>
  <c r="J356" i="25"/>
  <c r="J355" i="25"/>
  <c r="J354" i="25"/>
  <c r="J353" i="25"/>
  <c r="J352" i="25"/>
  <c r="J351" i="25"/>
  <c r="J350" i="25"/>
  <c r="J349" i="25"/>
  <c r="J348" i="25"/>
  <c r="J347" i="25"/>
  <c r="J346" i="25"/>
  <c r="J345" i="25"/>
  <c r="J344" i="25"/>
  <c r="J343" i="25"/>
  <c r="J342" i="25"/>
  <c r="J341" i="25"/>
  <c r="J340" i="25"/>
  <c r="J339" i="25"/>
  <c r="J338" i="25"/>
  <c r="J337" i="25"/>
  <c r="J336" i="25"/>
  <c r="J335" i="25"/>
  <c r="J334" i="25"/>
  <c r="J333" i="25"/>
  <c r="J332" i="25"/>
  <c r="J331" i="25"/>
  <c r="J330" i="25"/>
  <c r="J329" i="25"/>
  <c r="J328" i="25"/>
  <c r="J327" i="25"/>
  <c r="J326" i="25"/>
  <c r="J325" i="25"/>
  <c r="J324" i="25"/>
  <c r="J323" i="25"/>
  <c r="J322" i="25"/>
  <c r="J321" i="25"/>
  <c r="J320" i="25"/>
  <c r="J319" i="25"/>
  <c r="J318" i="25"/>
  <c r="J317" i="25"/>
  <c r="J316" i="25"/>
  <c r="J315" i="25"/>
  <c r="J314" i="25"/>
  <c r="J313" i="25"/>
  <c r="J312" i="25"/>
  <c r="J311" i="25"/>
  <c r="J310" i="25"/>
  <c r="J309" i="25"/>
  <c r="J308" i="25"/>
  <c r="J307" i="25"/>
  <c r="J306" i="25"/>
  <c r="J305" i="25"/>
  <c r="J304" i="25"/>
  <c r="J303" i="25"/>
  <c r="J302" i="25"/>
  <c r="J301" i="25"/>
  <c r="J300" i="25"/>
  <c r="J299" i="25"/>
  <c r="J298" i="25"/>
  <c r="J297" i="25"/>
  <c r="J296" i="25"/>
  <c r="J295" i="25"/>
  <c r="J294" i="25"/>
  <c r="J293" i="25"/>
  <c r="J292" i="25"/>
  <c r="J291" i="25"/>
  <c r="J290" i="25"/>
  <c r="J289" i="25"/>
  <c r="J288" i="25"/>
  <c r="J287" i="25"/>
  <c r="J286" i="25"/>
  <c r="J285" i="25"/>
  <c r="J284" i="25"/>
  <c r="J283" i="25"/>
  <c r="J282" i="25"/>
  <c r="J281" i="25"/>
  <c r="J280" i="25"/>
  <c r="J279" i="25"/>
  <c r="J278" i="25"/>
  <c r="J277" i="25"/>
  <c r="J276" i="25"/>
  <c r="J275" i="25"/>
  <c r="J274" i="25"/>
  <c r="J273" i="25"/>
  <c r="J272" i="25"/>
  <c r="J271" i="25"/>
  <c r="J270" i="25"/>
  <c r="J269" i="25"/>
  <c r="J268" i="25"/>
  <c r="J267" i="25"/>
  <c r="J266" i="25"/>
  <c r="J265" i="25"/>
  <c r="J264" i="25"/>
  <c r="J263" i="25"/>
  <c r="J262" i="25"/>
  <c r="J261" i="25"/>
  <c r="J260" i="25"/>
  <c r="J259" i="25"/>
  <c r="J258" i="25"/>
  <c r="J257" i="25"/>
  <c r="J256" i="25"/>
  <c r="J255" i="25"/>
  <c r="J254" i="25"/>
  <c r="J253" i="25"/>
  <c r="J252" i="25"/>
  <c r="J251" i="25"/>
  <c r="J250" i="25"/>
  <c r="J249" i="25"/>
  <c r="J248" i="25"/>
  <c r="J247" i="25"/>
  <c r="J246" i="25"/>
  <c r="J245" i="25"/>
  <c r="J244" i="25"/>
  <c r="J243" i="25"/>
  <c r="J242" i="25"/>
  <c r="J241" i="25"/>
  <c r="J240" i="25"/>
  <c r="J239" i="25"/>
  <c r="J238" i="25"/>
  <c r="J237" i="25"/>
  <c r="J236" i="25"/>
  <c r="J235" i="25"/>
  <c r="J234" i="25"/>
  <c r="J233" i="25"/>
  <c r="J232" i="25"/>
  <c r="J231" i="25"/>
  <c r="J230" i="25"/>
  <c r="J229" i="25"/>
  <c r="J228" i="25"/>
  <c r="J227" i="25"/>
  <c r="J226" i="25"/>
  <c r="J225" i="25"/>
  <c r="J224" i="25"/>
  <c r="J223" i="25"/>
  <c r="J222" i="25"/>
  <c r="J221" i="25"/>
  <c r="J220" i="25"/>
  <c r="J219" i="25"/>
  <c r="J218" i="25"/>
  <c r="J217" i="25"/>
  <c r="J216" i="25"/>
  <c r="J215" i="25"/>
  <c r="J214" i="25"/>
  <c r="J213" i="25"/>
  <c r="J212" i="25"/>
  <c r="J211" i="25"/>
  <c r="J210" i="25"/>
  <c r="J209" i="25"/>
  <c r="J208" i="25"/>
  <c r="J207" i="25"/>
  <c r="J206" i="25"/>
  <c r="J205" i="25"/>
  <c r="J204" i="25"/>
  <c r="J203" i="25"/>
  <c r="J202" i="25"/>
  <c r="J201" i="25"/>
  <c r="J200" i="25"/>
  <c r="J199" i="25"/>
  <c r="J198" i="25"/>
  <c r="J197" i="25"/>
  <c r="J196" i="25"/>
  <c r="J195" i="25"/>
  <c r="J194" i="25"/>
  <c r="J193" i="25"/>
  <c r="J192" i="25"/>
  <c r="J191" i="25"/>
  <c r="J190" i="25"/>
  <c r="J189" i="25"/>
  <c r="J188" i="25"/>
  <c r="J187" i="25"/>
  <c r="J186" i="25"/>
  <c r="J185" i="25"/>
  <c r="J184" i="25"/>
  <c r="J183" i="25"/>
  <c r="J182" i="25"/>
  <c r="J181" i="25"/>
  <c r="J180" i="25"/>
  <c r="J179" i="25"/>
  <c r="J178" i="25"/>
  <c r="J177" i="25"/>
  <c r="J176" i="25"/>
  <c r="J175" i="25"/>
  <c r="J174" i="25"/>
  <c r="J173" i="25"/>
  <c r="J172" i="25"/>
  <c r="J171" i="25"/>
  <c r="J170" i="25"/>
  <c r="J169" i="25"/>
  <c r="J168" i="25"/>
  <c r="J167" i="25"/>
  <c r="J166" i="25"/>
  <c r="J165" i="25"/>
  <c r="J164" i="25"/>
  <c r="J163" i="25"/>
  <c r="J162" i="25"/>
  <c r="J161" i="25"/>
  <c r="J160" i="25"/>
  <c r="J159" i="25"/>
  <c r="J158" i="25"/>
  <c r="J157" i="25"/>
  <c r="J156" i="25"/>
  <c r="J155" i="25"/>
  <c r="J154" i="25"/>
  <c r="J153" i="25"/>
  <c r="J152" i="25"/>
  <c r="J151" i="25"/>
  <c r="J150" i="25"/>
  <c r="J149" i="25"/>
  <c r="J148" i="25"/>
  <c r="J147" i="25"/>
  <c r="J146" i="25"/>
  <c r="J145" i="25"/>
  <c r="J144" i="25"/>
  <c r="J143" i="25"/>
  <c r="J142" i="25"/>
  <c r="J141" i="25"/>
  <c r="J140" i="25"/>
  <c r="J139" i="25"/>
  <c r="J138" i="25"/>
  <c r="J137" i="25"/>
  <c r="J136" i="25"/>
  <c r="J135" i="25"/>
  <c r="J134" i="25"/>
  <c r="J133" i="25"/>
  <c r="J132" i="25"/>
  <c r="J131" i="25"/>
  <c r="J130" i="25"/>
  <c r="J129" i="25"/>
  <c r="J128" i="25"/>
  <c r="J127" i="25"/>
  <c r="J126" i="25"/>
  <c r="J125" i="25"/>
  <c r="J124" i="25"/>
  <c r="J123" i="25"/>
  <c r="J122" i="25"/>
  <c r="J121" i="25"/>
  <c r="N7" i="25" s="1"/>
  <c r="P7" i="25" s="1"/>
  <c r="S7" i="25" s="1"/>
  <c r="J120" i="25"/>
  <c r="J119" i="25"/>
  <c r="J118" i="25"/>
  <c r="J117" i="25"/>
  <c r="J116" i="25"/>
  <c r="J115" i="25"/>
  <c r="J114" i="25"/>
  <c r="J113" i="25"/>
  <c r="J112" i="25"/>
  <c r="J111" i="25"/>
  <c r="J110" i="25"/>
  <c r="J109" i="25"/>
  <c r="J108" i="25"/>
  <c r="J107" i="25"/>
  <c r="J106" i="25"/>
  <c r="J105" i="25"/>
  <c r="J104" i="25"/>
  <c r="J103" i="25"/>
  <c r="J102" i="25"/>
  <c r="J101" i="25"/>
  <c r="J100" i="25"/>
  <c r="J99" i="25"/>
  <c r="J98" i="25"/>
  <c r="J97" i="25"/>
  <c r="J96" i="25"/>
  <c r="J95" i="25"/>
  <c r="J94" i="25"/>
  <c r="J93" i="25"/>
  <c r="J92" i="25"/>
  <c r="J91" i="25"/>
  <c r="J90" i="25"/>
  <c r="J89" i="25"/>
  <c r="J88" i="25"/>
  <c r="J87" i="25"/>
  <c r="J86" i="25"/>
  <c r="J85" i="25"/>
  <c r="J84" i="25"/>
  <c r="J83" i="25"/>
  <c r="J82" i="25"/>
  <c r="J81" i="25"/>
  <c r="J80" i="25"/>
  <c r="J79" i="25"/>
  <c r="J78" i="25"/>
  <c r="J77" i="25"/>
  <c r="J76" i="25"/>
  <c r="J75" i="25"/>
  <c r="J74" i="25"/>
  <c r="J73" i="25"/>
  <c r="J72" i="25"/>
  <c r="J71" i="25"/>
  <c r="J70" i="25"/>
  <c r="J69" i="25"/>
  <c r="J68" i="25"/>
  <c r="J67" i="25"/>
  <c r="J66" i="25"/>
  <c r="J65" i="25"/>
  <c r="J64" i="25"/>
  <c r="J63" i="25"/>
  <c r="J62" i="25"/>
  <c r="J61" i="25"/>
  <c r="J60" i="25"/>
  <c r="J59" i="25"/>
  <c r="J58" i="25"/>
  <c r="J57" i="25"/>
  <c r="J56" i="25"/>
  <c r="J55" i="25"/>
  <c r="J54" i="25"/>
  <c r="J53" i="25"/>
  <c r="J52" i="25"/>
  <c r="J51" i="25"/>
  <c r="J50" i="25"/>
  <c r="J49" i="25"/>
  <c r="J48" i="25"/>
  <c r="J47" i="25"/>
  <c r="J46" i="25"/>
  <c r="J45" i="25"/>
  <c r="J44" i="25"/>
  <c r="J43" i="25"/>
  <c r="J42" i="25"/>
  <c r="J41" i="25"/>
  <c r="J40" i="25"/>
  <c r="J39" i="25"/>
  <c r="J38" i="25"/>
  <c r="J37" i="25"/>
  <c r="J36" i="25"/>
  <c r="J35" i="25"/>
  <c r="J34" i="25"/>
  <c r="J33" i="25"/>
  <c r="J32" i="25"/>
  <c r="J31" i="25"/>
  <c r="J30" i="25"/>
  <c r="J29" i="25"/>
  <c r="J28" i="25"/>
  <c r="J27" i="25"/>
  <c r="J26" i="25"/>
  <c r="J25" i="25"/>
  <c r="J24" i="25"/>
  <c r="J23" i="25"/>
  <c r="J22" i="25"/>
  <c r="J21" i="25"/>
  <c r="J20" i="25"/>
  <c r="J19" i="25"/>
  <c r="J18" i="25"/>
  <c r="J17" i="25"/>
  <c r="J16" i="25"/>
  <c r="J15" i="25"/>
  <c r="J14" i="25"/>
  <c r="J13" i="25"/>
  <c r="J12" i="25"/>
  <c r="J11" i="25"/>
  <c r="J10" i="25"/>
  <c r="J9" i="25"/>
  <c r="J8" i="25"/>
  <c r="J7" i="25"/>
  <c r="J6" i="25"/>
  <c r="J5" i="25"/>
  <c r="M19" i="25"/>
  <c r="M18" i="25"/>
  <c r="M20" i="25"/>
  <c r="M17" i="25"/>
  <c r="M16" i="25"/>
  <c r="M15" i="25"/>
  <c r="M13" i="25"/>
  <c r="M12" i="25"/>
  <c r="M11" i="25"/>
  <c r="M10" i="25"/>
  <c r="M9" i="25"/>
  <c r="M8" i="25"/>
  <c r="M7" i="25"/>
  <c r="M6" i="25"/>
  <c r="M5" i="25"/>
  <c r="E29" i="7"/>
  <c r="E20" i="7"/>
  <c r="E21" i="7"/>
  <c r="E22" i="7"/>
  <c r="E23" i="7"/>
  <c r="E25" i="7"/>
  <c r="E30" i="7"/>
  <c r="E34" i="7"/>
  <c r="E35" i="7"/>
  <c r="E36" i="7"/>
  <c r="E38" i="7"/>
  <c r="E39" i="7"/>
  <c r="E10" i="7"/>
  <c r="E11" i="7"/>
  <c r="E12" i="7"/>
  <c r="E15" i="7"/>
  <c r="E16" i="7"/>
  <c r="E24" i="7"/>
  <c r="E40" i="7"/>
  <c r="B4" i="36" l="1"/>
  <c r="D4" i="36" s="1"/>
  <c r="B25" i="36"/>
  <c r="C25" i="36"/>
  <c r="C17" i="36"/>
  <c r="E17" i="36" s="1"/>
  <c r="B47" i="36"/>
  <c r="D47" i="36" s="1"/>
  <c r="C47" i="36"/>
  <c r="E47" i="36" s="1"/>
  <c r="B38" i="36"/>
  <c r="D38" i="36" s="1"/>
  <c r="C38" i="36"/>
  <c r="E38" i="36" s="1"/>
  <c r="B29" i="36"/>
  <c r="D29" i="36" s="1"/>
  <c r="C29" i="36"/>
  <c r="B35" i="36"/>
  <c r="D35" i="36" s="1"/>
  <c r="C35" i="36"/>
  <c r="E35" i="36" s="1"/>
  <c r="D18" i="7"/>
  <c r="B19" i="36"/>
  <c r="D19" i="36" s="1"/>
  <c r="C19" i="36"/>
  <c r="E19" i="36" s="1"/>
  <c r="B27" i="36"/>
  <c r="D27" i="36" s="1"/>
  <c r="C27" i="36"/>
  <c r="E27" i="36" s="1"/>
  <c r="C3" i="7"/>
  <c r="B33" i="36"/>
  <c r="C33" i="36"/>
  <c r="E33" i="36" s="1"/>
  <c r="B18" i="36"/>
  <c r="D18" i="36" s="1"/>
  <c r="C18" i="36"/>
  <c r="E18" i="36" s="1"/>
  <c r="B30" i="36"/>
  <c r="D30" i="36" s="1"/>
  <c r="C30" i="36"/>
  <c r="E30" i="36" s="1"/>
  <c r="B40" i="36"/>
  <c r="D40" i="36" s="1"/>
  <c r="C40" i="36"/>
  <c r="B31" i="36"/>
  <c r="D31" i="36" s="1"/>
  <c r="C31" i="36"/>
  <c r="E31" i="36" s="1"/>
  <c r="B22" i="36"/>
  <c r="D22" i="36" s="1"/>
  <c r="C22" i="36"/>
  <c r="E22" i="36" s="1"/>
  <c r="B13" i="36"/>
  <c r="D13" i="36" s="1"/>
  <c r="C13" i="36"/>
  <c r="E13" i="36" s="1"/>
  <c r="B32" i="36"/>
  <c r="C32" i="36"/>
  <c r="B23" i="36"/>
  <c r="D23" i="36" s="1"/>
  <c r="C23" i="36"/>
  <c r="E23" i="36" s="1"/>
  <c r="B14" i="36"/>
  <c r="D14" i="36" s="1"/>
  <c r="C14" i="36"/>
  <c r="E14" i="36" s="1"/>
  <c r="B36" i="36"/>
  <c r="D36" i="36" s="1"/>
  <c r="C36" i="36"/>
  <c r="E36" i="36" s="1"/>
  <c r="B16" i="36"/>
  <c r="D16" i="36" s="1"/>
  <c r="C16" i="36"/>
  <c r="B28" i="36"/>
  <c r="D28" i="36" s="1"/>
  <c r="C28" i="36"/>
  <c r="E28" i="36" s="1"/>
  <c r="B41" i="36"/>
  <c r="D41" i="36" s="1"/>
  <c r="C41" i="36"/>
  <c r="E41" i="36" s="1"/>
  <c r="B37" i="36"/>
  <c r="D37" i="36" s="1"/>
  <c r="C37" i="36"/>
  <c r="E37" i="36" s="1"/>
  <c r="B48" i="36"/>
  <c r="C48" i="36"/>
  <c r="E48" i="36" s="1"/>
  <c r="B39" i="36"/>
  <c r="C39" i="36"/>
  <c r="E39" i="36" s="1"/>
  <c r="B21" i="36"/>
  <c r="D21" i="36" s="1"/>
  <c r="C21" i="36"/>
  <c r="E21" i="36" s="1"/>
  <c r="B11" i="36"/>
  <c r="D11" i="36" s="1"/>
  <c r="C11" i="36"/>
  <c r="E11" i="36" s="1"/>
  <c r="B24" i="36"/>
  <c r="D24" i="36" s="1"/>
  <c r="C24" i="36"/>
  <c r="B15" i="36"/>
  <c r="C15" i="36"/>
  <c r="E15" i="36" s="1"/>
  <c r="B20" i="36"/>
  <c r="D20" i="36" s="1"/>
  <c r="C20" i="36"/>
  <c r="E20" i="36" s="1"/>
  <c r="B12" i="36"/>
  <c r="D12" i="36" s="1"/>
  <c r="C12" i="36"/>
  <c r="E12" i="36" s="1"/>
  <c r="B9" i="36"/>
  <c r="C9" i="36"/>
  <c r="B26" i="36"/>
  <c r="D26" i="36" s="1"/>
  <c r="C26" i="36"/>
  <c r="E26" i="36" s="1"/>
  <c r="C6" i="36"/>
  <c r="E6" i="36" s="1"/>
  <c r="G6" i="36" s="1"/>
  <c r="B6" i="36"/>
  <c r="D6" i="36" s="1"/>
  <c r="B7" i="36"/>
  <c r="D7" i="36" s="1"/>
  <c r="C7" i="36"/>
  <c r="E7" i="36" s="1"/>
  <c r="G7" i="36" s="1"/>
  <c r="B44" i="36"/>
  <c r="D44" i="36" s="1"/>
  <c r="C44" i="36"/>
  <c r="B8" i="36"/>
  <c r="D8" i="36" s="1"/>
  <c r="C8" i="36"/>
  <c r="E8" i="36" s="1"/>
  <c r="B45" i="36"/>
  <c r="D45" i="36" s="1"/>
  <c r="C45" i="36"/>
  <c r="E45" i="36" s="1"/>
  <c r="C46" i="36"/>
  <c r="E46" i="36" s="1"/>
  <c r="B46" i="36"/>
  <c r="D46" i="36" s="1"/>
  <c r="B43" i="36"/>
  <c r="D43" i="36" s="1"/>
  <c r="C43" i="36"/>
  <c r="E43" i="36" s="1"/>
  <c r="C10" i="36"/>
  <c r="B10" i="36"/>
  <c r="B5" i="36"/>
  <c r="C5" i="36"/>
  <c r="C41" i="7"/>
  <c r="C48" i="7"/>
  <c r="D48" i="36"/>
  <c r="C13" i="7"/>
  <c r="C9" i="7"/>
  <c r="E40" i="36"/>
  <c r="C32" i="7"/>
  <c r="D33" i="36"/>
  <c r="C5" i="7"/>
  <c r="C27" i="7"/>
  <c r="C14" i="7"/>
  <c r="D15" i="36"/>
  <c r="C45" i="7"/>
  <c r="C17" i="7"/>
  <c r="E24" i="36"/>
  <c r="C43" i="7"/>
  <c r="C42" i="7"/>
  <c r="E16" i="36"/>
  <c r="C8" i="7"/>
  <c r="C46" i="7"/>
  <c r="C28" i="7"/>
  <c r="E29" i="36"/>
  <c r="C4" i="7"/>
  <c r="C7" i="7"/>
  <c r="C37" i="7"/>
  <c r="C19" i="7"/>
  <c r="C26" i="7"/>
  <c r="D39" i="36"/>
  <c r="E25" i="36"/>
  <c r="D25" i="36"/>
  <c r="D17" i="36"/>
  <c r="C47" i="7"/>
  <c r="C44" i="7"/>
  <c r="E44" i="36"/>
  <c r="N13" i="25"/>
  <c r="P13" i="25" s="1"/>
  <c r="S13" i="25" s="1"/>
  <c r="N15" i="25"/>
  <c r="P15" i="25" s="1"/>
  <c r="S15" i="25" s="1"/>
  <c r="N20" i="25"/>
  <c r="P20" i="25" s="1"/>
  <c r="S20" i="25" s="1"/>
  <c r="N4" i="25"/>
  <c r="P4" i="25" s="1"/>
  <c r="N17" i="25"/>
  <c r="P17" i="25" s="1"/>
  <c r="S17" i="25" s="1"/>
  <c r="N5" i="25"/>
  <c r="P5" i="25" s="1"/>
  <c r="S5" i="25" s="1"/>
  <c r="N9" i="25"/>
  <c r="P9" i="25" s="1"/>
  <c r="S9" i="25" s="1"/>
  <c r="N10" i="25"/>
  <c r="P10" i="25" s="1"/>
  <c r="S10" i="25" s="1"/>
  <c r="N11" i="25"/>
  <c r="P11" i="25" s="1"/>
  <c r="S11" i="25" s="1"/>
  <c r="N12" i="25"/>
  <c r="P12" i="25" s="1"/>
  <c r="S12" i="25" s="1"/>
  <c r="N16" i="25"/>
  <c r="P16" i="25" s="1"/>
  <c r="S16" i="25" s="1"/>
  <c r="N18" i="25"/>
  <c r="P18" i="25" s="1"/>
  <c r="S18" i="25" s="1"/>
  <c r="N19" i="25"/>
  <c r="P19" i="25" s="1"/>
  <c r="S19" i="25" s="1"/>
  <c r="N6" i="25"/>
  <c r="P6" i="25" s="1"/>
  <c r="S6" i="25" s="1"/>
  <c r="N8" i="25"/>
  <c r="P8" i="25" s="1"/>
  <c r="S8" i="25" s="1"/>
  <c r="G40" i="7"/>
  <c r="H40" i="7" s="1"/>
  <c r="G20" i="7"/>
  <c r="H20" i="7" s="1"/>
  <c r="G38" i="7"/>
  <c r="H38" i="7" s="1"/>
  <c r="G24" i="7"/>
  <c r="H24" i="7" s="1"/>
  <c r="G35" i="7"/>
  <c r="H35" i="7" s="1"/>
  <c r="G29" i="7"/>
  <c r="H29" i="7" s="1"/>
  <c r="G21" i="7"/>
  <c r="H21" i="7" s="1"/>
  <c r="G36" i="7"/>
  <c r="H36" i="7" s="1"/>
  <c r="G16" i="7"/>
  <c r="H16" i="7" s="1"/>
  <c r="G15" i="7"/>
  <c r="H15" i="7" s="1"/>
  <c r="G34" i="7"/>
  <c r="H34" i="7" s="1"/>
  <c r="G30" i="7"/>
  <c r="H30" i="7" s="1"/>
  <c r="G11" i="7"/>
  <c r="H11" i="7" s="1"/>
  <c r="G25" i="7"/>
  <c r="H25" i="7" s="1"/>
  <c r="G12" i="7"/>
  <c r="H12" i="7" s="1"/>
  <c r="G10" i="7"/>
  <c r="H10" i="7" s="1"/>
  <c r="G23" i="7"/>
  <c r="H23" i="7" s="1"/>
  <c r="G39" i="7"/>
  <c r="H39" i="7" s="1"/>
  <c r="G22" i="7"/>
  <c r="H22" i="7" s="1"/>
  <c r="C13" i="43" l="1"/>
  <c r="E13" i="43" s="1"/>
  <c r="G13" i="43" s="1"/>
  <c r="C46" i="43"/>
  <c r="E46" i="43" s="1"/>
  <c r="G46" i="43" s="1"/>
  <c r="C17" i="43"/>
  <c r="E17" i="43" s="1"/>
  <c r="G17" i="43" s="1"/>
  <c r="C44" i="43"/>
  <c r="E44" i="43" s="1"/>
  <c r="G44" i="43" s="1"/>
  <c r="C43" i="43"/>
  <c r="E43" i="43" s="1"/>
  <c r="G43" i="43" s="1"/>
  <c r="C11" i="43"/>
  <c r="E11" i="43" s="1"/>
  <c r="G11" i="43" s="1"/>
  <c r="C10" i="43"/>
  <c r="E10" i="43" s="1"/>
  <c r="G10" i="43" s="1"/>
  <c r="C12" i="43"/>
  <c r="E12" i="43" s="1"/>
  <c r="G12" i="43" s="1"/>
  <c r="C45" i="43"/>
  <c r="C18" i="43"/>
  <c r="E18" i="43" s="1"/>
  <c r="G18" i="43" s="1"/>
  <c r="C16" i="11"/>
  <c r="C15" i="11"/>
  <c r="C14" i="43"/>
  <c r="E14" i="43" s="1"/>
  <c r="G14" i="43" s="1"/>
  <c r="C15" i="43"/>
  <c r="E15" i="43" s="1"/>
  <c r="G15" i="43" s="1"/>
  <c r="C42" i="43"/>
  <c r="E42" i="43" s="1"/>
  <c r="G42" i="43" s="1"/>
  <c r="C47" i="43"/>
  <c r="E47" i="43" s="1"/>
  <c r="G47" i="43" s="1"/>
  <c r="C16" i="43"/>
  <c r="E16" i="43" s="1"/>
  <c r="G16" i="43" s="1"/>
  <c r="B16" i="11"/>
  <c r="B15" i="11"/>
  <c r="G9" i="36"/>
  <c r="E9" i="36"/>
  <c r="F9" i="36"/>
  <c r="D9" i="36"/>
  <c r="F10" i="36"/>
  <c r="D10" i="36"/>
  <c r="G10" i="36"/>
  <c r="E10" i="36"/>
  <c r="E5" i="36"/>
  <c r="G5" i="36"/>
  <c r="D5" i="36"/>
  <c r="B11" i="11" s="1"/>
  <c r="F5" i="36"/>
  <c r="R2" i="19"/>
  <c r="Q2" i="19"/>
  <c r="B19" i="11"/>
  <c r="B21" i="11"/>
  <c r="B20" i="11"/>
  <c r="M2" i="19"/>
  <c r="N2" i="19"/>
  <c r="F2" i="19"/>
  <c r="C2" i="19"/>
  <c r="O2" i="19"/>
  <c r="P2" i="19"/>
  <c r="D2" i="19"/>
  <c r="E2" i="19"/>
  <c r="L2" i="19"/>
  <c r="S4" i="25"/>
  <c r="S28" i="25" s="1"/>
  <c r="C30" i="7"/>
  <c r="C10" i="7"/>
  <c r="C36" i="7"/>
  <c r="C24" i="7"/>
  <c r="C22" i="7"/>
  <c r="C12" i="7"/>
  <c r="C34" i="7"/>
  <c r="C21" i="7"/>
  <c r="C38" i="7"/>
  <c r="C39" i="7"/>
  <c r="C25" i="7"/>
  <c r="C15" i="7"/>
  <c r="C29" i="7"/>
  <c r="C20" i="7"/>
  <c r="C11" i="7"/>
  <c r="C16" i="7"/>
  <c r="C40" i="7"/>
  <c r="C23" i="7"/>
  <c r="C35" i="7"/>
  <c r="H2" i="19"/>
  <c r="G2" i="19"/>
  <c r="B46" i="42" l="1"/>
  <c r="B44" i="42"/>
  <c r="C11" i="11"/>
  <c r="C3" i="43"/>
  <c r="E3" i="43" s="1"/>
  <c r="G3" i="43" s="1"/>
  <c r="B40" i="42"/>
  <c r="B41" i="42"/>
  <c r="C9" i="43"/>
  <c r="E9" i="43" s="1"/>
  <c r="G9" i="43" s="1"/>
  <c r="D9" i="43"/>
  <c r="F9" i="43" s="1"/>
  <c r="C7" i="43"/>
  <c r="C6" i="43"/>
  <c r="C5" i="43"/>
  <c r="C4" i="43"/>
  <c r="C12" i="11"/>
  <c r="D4" i="43"/>
  <c r="F4" i="43" s="1"/>
  <c r="C8" i="43"/>
  <c r="E8" i="43" s="1"/>
  <c r="G8" i="43" s="1"/>
  <c r="D8" i="43"/>
  <c r="F8" i="43" s="1"/>
  <c r="D3" i="43"/>
  <c r="F3" i="43" s="1"/>
  <c r="D6" i="43"/>
  <c r="F6" i="43" s="1"/>
  <c r="D5" i="43"/>
  <c r="F5" i="43" s="1"/>
  <c r="I2" i="19"/>
  <c r="C20" i="11"/>
  <c r="C21" i="11"/>
  <c r="C19" i="11"/>
  <c r="B12" i="11"/>
  <c r="C13" i="11"/>
  <c r="C14" i="11"/>
  <c r="B13" i="11"/>
  <c r="B14" i="11"/>
  <c r="B39" i="42" l="1"/>
  <c r="E4" i="43"/>
  <c r="G4" i="43" s="1"/>
  <c r="E5" i="43"/>
  <c r="G5" i="43" s="1"/>
  <c r="E6" i="43"/>
  <c r="G6" i="43" s="1"/>
  <c r="E7" i="43"/>
  <c r="B25" i="42"/>
  <c r="C23" i="11"/>
  <c r="C24" i="11" s="1"/>
  <c r="B23" i="11"/>
  <c r="B37" i="42" l="1"/>
  <c r="G7" i="43"/>
  <c r="H11" i="37"/>
  <c r="Q11" i="37" s="1"/>
  <c r="F11" i="37"/>
  <c r="O12" i="37" s="1"/>
  <c r="G11" i="37"/>
  <c r="P11" i="37" s="1"/>
  <c r="E11" i="37"/>
  <c r="N11" i="37" s="1"/>
  <c r="I11" i="37"/>
  <c r="R12" i="37" s="1"/>
  <c r="B38" i="42" l="1"/>
  <c r="Q12" i="37"/>
  <c r="P12" i="37"/>
  <c r="R11" i="37"/>
  <c r="O11" i="37"/>
  <c r="N12" i="37"/>
  <c r="M11" i="37" l="1"/>
  <c r="M12" i="37"/>
  <c r="L12" i="37"/>
  <c r="L11" i="37"/>
  <c r="B56" i="37" s="1"/>
  <c r="B58" i="37" l="1"/>
  <c r="B41" i="43" l="1"/>
  <c r="B33" i="43" l="1"/>
  <c r="B49" i="29"/>
  <c r="C49" i="29" s="1"/>
  <c r="J49" i="29" s="1"/>
  <c r="J41" i="31"/>
  <c r="B41" i="29"/>
  <c r="C41" i="29" s="1"/>
  <c r="J33" i="31"/>
  <c r="B42" i="36" l="1"/>
  <c r="D42" i="36" s="1"/>
  <c r="C42" i="36"/>
  <c r="E42" i="36" s="1"/>
  <c r="B34" i="36"/>
  <c r="D34" i="36" s="1"/>
  <c r="C34" i="36"/>
  <c r="E34" i="36" s="1"/>
  <c r="M49" i="29"/>
  <c r="L49" i="29"/>
  <c r="O49" i="29"/>
  <c r="N49" i="29"/>
  <c r="K49" i="29"/>
  <c r="C33" i="7"/>
  <c r="M41" i="29"/>
  <c r="C6" i="29" s="1"/>
  <c r="K41" i="29"/>
  <c r="J41" i="29"/>
  <c r="C3" i="29" s="1"/>
  <c r="O41" i="29"/>
  <c r="N41" i="29"/>
  <c r="L41" i="29"/>
  <c r="C31" i="43" l="1"/>
  <c r="C29" i="43"/>
  <c r="C39" i="43"/>
  <c r="E39" i="43" s="1"/>
  <c r="G39" i="43" s="1"/>
  <c r="C34" i="43"/>
  <c r="C26" i="43"/>
  <c r="C28" i="43"/>
  <c r="E28" i="43" s="1"/>
  <c r="G28" i="43" s="1"/>
  <c r="C23" i="43"/>
  <c r="E23" i="43" s="1"/>
  <c r="C25" i="43"/>
  <c r="E25" i="43" s="1"/>
  <c r="G25" i="43" s="1"/>
  <c r="C36" i="43"/>
  <c r="C38" i="43"/>
  <c r="C24" i="43"/>
  <c r="E24" i="43" s="1"/>
  <c r="C37" i="43"/>
  <c r="C27" i="43"/>
  <c r="E27" i="43" s="1"/>
  <c r="G27" i="43" s="1"/>
  <c r="C20" i="43"/>
  <c r="E20" i="43" s="1"/>
  <c r="G20" i="43" s="1"/>
  <c r="C19" i="43"/>
  <c r="E19" i="43" s="1"/>
  <c r="G19" i="43" s="1"/>
  <c r="C40" i="43"/>
  <c r="E40" i="43" s="1"/>
  <c r="G40" i="43" s="1"/>
  <c r="C21" i="43"/>
  <c r="C35" i="43"/>
  <c r="C22" i="43"/>
  <c r="E22" i="43" s="1"/>
  <c r="G22" i="43" s="1"/>
  <c r="C30" i="43"/>
  <c r="E30" i="43" s="1"/>
  <c r="G30" i="43" s="1"/>
  <c r="C32" i="43"/>
  <c r="E32" i="43" s="1"/>
  <c r="G32" i="43" s="1"/>
  <c r="C17" i="11"/>
  <c r="E37" i="43"/>
  <c r="G37" i="43" s="1"/>
  <c r="E36" i="43"/>
  <c r="G36" i="43" s="1"/>
  <c r="E21" i="43"/>
  <c r="G21" i="43" s="1"/>
  <c r="E29" i="43"/>
  <c r="G29" i="43" s="1"/>
  <c r="C4" i="29"/>
  <c r="E35" i="43"/>
  <c r="G35" i="43" s="1"/>
  <c r="E31" i="43"/>
  <c r="G31" i="43" s="1"/>
  <c r="C41" i="43"/>
  <c r="E41" i="43" s="1"/>
  <c r="G41" i="43" s="1"/>
  <c r="E38" i="43"/>
  <c r="G38" i="43" s="1"/>
  <c r="C33" i="43"/>
  <c r="E33" i="43" s="1"/>
  <c r="G33" i="43" s="1"/>
  <c r="C5" i="29"/>
  <c r="E50" i="36"/>
  <c r="E49" i="36"/>
  <c r="C18" i="11"/>
  <c r="B17" i="11"/>
  <c r="B18" i="11"/>
  <c r="J2" i="19"/>
  <c r="K2" i="19"/>
  <c r="E34" i="43" l="1"/>
  <c r="G34" i="43" s="1"/>
  <c r="E26" i="43"/>
  <c r="C50" i="36"/>
  <c r="C49" i="43"/>
  <c r="C49" i="36"/>
  <c r="D49" i="7" s="1"/>
  <c r="C48" i="43"/>
  <c r="B23" i="19"/>
  <c r="B55" i="11" s="1"/>
  <c r="G24" i="43"/>
  <c r="K2" i="44" s="1"/>
  <c r="G23" i="43"/>
  <c r="B6" i="19"/>
  <c r="B39" i="11" s="1"/>
  <c r="B12" i="19"/>
  <c r="B44" i="11" s="1"/>
  <c r="B18" i="19"/>
  <c r="B50" i="11" s="1"/>
  <c r="B5" i="19"/>
  <c r="B38" i="11" s="1"/>
  <c r="B13" i="19"/>
  <c r="B45" i="11" s="1"/>
  <c r="B17" i="19"/>
  <c r="B49" i="11" s="1"/>
  <c r="B25" i="11"/>
  <c r="B27" i="11" s="1"/>
  <c r="C25" i="11"/>
  <c r="B15" i="19"/>
  <c r="B47" i="11" s="1"/>
  <c r="B16" i="19"/>
  <c r="B48" i="11" s="1"/>
  <c r="B7" i="19"/>
  <c r="B40" i="11" s="1"/>
  <c r="B9" i="19"/>
  <c r="B41" i="11" s="1"/>
  <c r="B19" i="19"/>
  <c r="B51" i="11" s="1"/>
  <c r="B20" i="19"/>
  <c r="B52" i="11" s="1"/>
  <c r="B25" i="19"/>
  <c r="B24" i="19"/>
  <c r="B8" i="19"/>
  <c r="B32" i="11" s="1"/>
  <c r="B22" i="19"/>
  <c r="B54" i="11" s="1"/>
  <c r="B14" i="19"/>
  <c r="B46" i="11" s="1"/>
  <c r="B26" i="19"/>
  <c r="B21" i="19"/>
  <c r="B53" i="11" s="1"/>
  <c r="B10" i="19"/>
  <c r="B42" i="11" s="1"/>
  <c r="B2" i="19"/>
  <c r="B11" i="19"/>
  <c r="B33" i="11" s="1"/>
  <c r="B4" i="19"/>
  <c r="B37" i="11" s="1"/>
  <c r="C22" i="11"/>
  <c r="B42" i="42" l="1"/>
  <c r="B48" i="43"/>
  <c r="G26" i="43"/>
  <c r="B43" i="42" s="1"/>
  <c r="B34" i="11"/>
  <c r="B43" i="11"/>
  <c r="D50" i="7"/>
  <c r="C26" i="11"/>
  <c r="C28" i="11" s="1"/>
  <c r="C27" i="11"/>
  <c r="E45" i="43" l="1"/>
  <c r="G45" i="43" s="1"/>
  <c r="T2" i="38"/>
  <c r="B49" i="43"/>
  <c r="G49" i="43" s="1"/>
  <c r="S2" i="38"/>
  <c r="B45" i="42" l="1"/>
  <c r="E49" i="43"/>
  <c r="G48" i="43"/>
  <c r="C21" i="40"/>
  <c r="C14" i="40"/>
  <c r="C22" i="40"/>
  <c r="B22" i="40"/>
  <c r="C20" i="40"/>
  <c r="F8" i="40"/>
  <c r="J17" i="40" s="1"/>
  <c r="G8" i="40"/>
  <c r="F10" i="40"/>
  <c r="J18" i="40" s="1"/>
  <c r="C16" i="40"/>
  <c r="B20" i="40"/>
  <c r="B18" i="40"/>
  <c r="B21" i="40"/>
  <c r="B17" i="40"/>
  <c r="B16" i="40"/>
  <c r="C18" i="40"/>
  <c r="C15" i="40"/>
  <c r="G10" i="40"/>
  <c r="B15" i="40"/>
  <c r="J2" i="40" s="1"/>
  <c r="F9" i="40"/>
  <c r="J13" i="40" s="1"/>
  <c r="C17" i="40"/>
  <c r="B19" i="40"/>
  <c r="G9" i="40"/>
  <c r="C19" i="40"/>
  <c r="J6" i="40" l="1"/>
  <c r="E48" i="43"/>
  <c r="J4" i="40"/>
  <c r="J7" i="40"/>
  <c r="J3" i="40"/>
  <c r="J5" i="40"/>
  <c r="J9" i="40"/>
  <c r="J8" i="40"/>
  <c r="L4" i="26"/>
  <c r="O4" i="26" s="1"/>
  <c r="L5" i="26"/>
  <c r="O5" i="26" s="1"/>
  <c r="H6" i="43" s="1"/>
  <c r="J21" i="40"/>
  <c r="L13" i="26" s="1"/>
  <c r="O13" i="26" s="1"/>
  <c r="J20" i="40"/>
  <c r="L12" i="26" s="1"/>
  <c r="O12" i="26" s="1"/>
  <c r="J19" i="40"/>
  <c r="L11" i="26" s="1"/>
  <c r="O11" i="26" s="1"/>
  <c r="J14" i="40"/>
  <c r="L6" i="26" s="1"/>
  <c r="O6" i="26" s="1"/>
  <c r="J16" i="40"/>
  <c r="J15" i="40"/>
  <c r="J10" i="40"/>
  <c r="H8" i="43" l="1"/>
  <c r="H9" i="43"/>
  <c r="H43" i="43"/>
  <c r="H42" i="43"/>
  <c r="H44" i="43"/>
  <c r="H45" i="43"/>
  <c r="H46" i="43"/>
  <c r="H47" i="43"/>
  <c r="H49" i="43"/>
  <c r="H48" i="43"/>
  <c r="H3" i="43"/>
  <c r="C2" i="44" s="1"/>
  <c r="H5" i="43"/>
  <c r="H4" i="43"/>
  <c r="D3" i="7"/>
  <c r="C2" i="38" s="1"/>
  <c r="S2" i="44"/>
  <c r="T2" i="44"/>
  <c r="L7" i="26"/>
  <c r="O7" i="26" s="1"/>
  <c r="L8" i="26"/>
  <c r="O8" i="26" s="1"/>
  <c r="G2" i="44"/>
  <c r="H2" i="44"/>
  <c r="D8" i="7"/>
  <c r="G2" i="38" s="1"/>
  <c r="D9" i="7"/>
  <c r="H2" i="38" s="1"/>
  <c r="L9" i="26"/>
  <c r="O9" i="26" s="1"/>
  <c r="L10" i="26"/>
  <c r="O10" i="26" s="1"/>
  <c r="D44" i="7"/>
  <c r="O2" i="38" s="1"/>
  <c r="D42" i="7"/>
  <c r="M2" i="38" s="1"/>
  <c r="D43" i="7"/>
  <c r="N2" i="38" s="1"/>
  <c r="D41" i="7"/>
  <c r="L2" i="38" s="1"/>
  <c r="D46" i="7"/>
  <c r="D45" i="7"/>
  <c r="P2" i="38" s="1"/>
  <c r="D48" i="7"/>
  <c r="D47" i="7"/>
  <c r="E2" i="44"/>
  <c r="D6" i="7"/>
  <c r="E2" i="38" s="1"/>
  <c r="D5" i="7"/>
  <c r="D4" i="7"/>
  <c r="H18" i="43" l="1"/>
  <c r="H7" i="43"/>
  <c r="H33" i="43"/>
  <c r="H34" i="43"/>
  <c r="H29" i="43"/>
  <c r="H24" i="43"/>
  <c r="H25" i="43"/>
  <c r="H32" i="43"/>
  <c r="H27" i="43"/>
  <c r="H16" i="43"/>
  <c r="H15" i="43"/>
  <c r="H14" i="43"/>
  <c r="H12" i="43"/>
  <c r="H10" i="43"/>
  <c r="H11" i="43"/>
  <c r="H17" i="43"/>
  <c r="H13" i="43"/>
  <c r="H20" i="43"/>
  <c r="H38" i="43"/>
  <c r="H41" i="43"/>
  <c r="H28" i="43"/>
  <c r="H30" i="43"/>
  <c r="H31" i="43"/>
  <c r="H35" i="43"/>
  <c r="H39" i="43"/>
  <c r="H21" i="43"/>
  <c r="H22" i="43"/>
  <c r="H36" i="43"/>
  <c r="H37" i="43"/>
  <c r="H40" i="43"/>
  <c r="H23" i="43"/>
  <c r="H26" i="43"/>
  <c r="H19" i="43"/>
  <c r="P2" i="44"/>
  <c r="D2" i="38"/>
  <c r="N2" i="44"/>
  <c r="M2" i="44"/>
  <c r="L2" i="44"/>
  <c r="D2" i="44"/>
  <c r="Q2" i="38"/>
  <c r="R2" i="38"/>
  <c r="R2" i="44"/>
  <c r="Q2" i="44"/>
  <c r="F2" i="44"/>
  <c r="D7" i="7"/>
  <c r="F2" i="38" s="1"/>
  <c r="D32" i="7"/>
  <c r="D37" i="7"/>
  <c r="D28" i="7"/>
  <c r="D19" i="7"/>
  <c r="D27" i="7"/>
  <c r="D26" i="7"/>
  <c r="D29" i="7"/>
  <c r="D30" i="7"/>
  <c r="D24" i="7"/>
  <c r="D22" i="7"/>
  <c r="D34" i="7"/>
  <c r="D38" i="7"/>
  <c r="D20" i="7"/>
  <c r="D25" i="7"/>
  <c r="D23" i="7"/>
  <c r="D40" i="7"/>
  <c r="D39" i="7"/>
  <c r="D36" i="7"/>
  <c r="D35" i="7"/>
  <c r="D21" i="7"/>
  <c r="D33" i="7"/>
  <c r="D14" i="7"/>
  <c r="D13" i="7"/>
  <c r="D17" i="7"/>
  <c r="D11" i="7"/>
  <c r="D15" i="7"/>
  <c r="D16" i="7"/>
  <c r="D10" i="7"/>
  <c r="D12" i="7"/>
  <c r="K2" i="38" l="1"/>
  <c r="J2" i="44"/>
  <c r="I2" i="38"/>
  <c r="J2" i="38"/>
  <c r="I2" i="44"/>
  <c r="B8" i="38" l="1"/>
  <c r="B4" i="44"/>
  <c r="B32" i="42" s="1"/>
  <c r="B9" i="38"/>
  <c r="B14" i="38"/>
  <c r="B5" i="38"/>
  <c r="B25" i="38"/>
  <c r="B22" i="38"/>
  <c r="B10" i="38"/>
  <c r="B19" i="38"/>
  <c r="B7" i="38"/>
  <c r="B11" i="38"/>
  <c r="C33" i="11" s="1"/>
  <c r="B24" i="38"/>
  <c r="B15" i="38"/>
  <c r="B26" i="38"/>
  <c r="B6" i="38"/>
  <c r="B23" i="38"/>
  <c r="B18" i="38"/>
  <c r="B16" i="38"/>
  <c r="B13" i="38"/>
  <c r="B2" i="38"/>
  <c r="B12" i="38"/>
  <c r="B20" i="38"/>
  <c r="B21" i="38"/>
  <c r="B17" i="38"/>
  <c r="B4" i="38"/>
  <c r="B2" i="44"/>
  <c r="B6" i="44"/>
  <c r="B34" i="42" s="1"/>
  <c r="B5" i="44"/>
  <c r="B33" i="42" s="1"/>
  <c r="C32" i="11" l="1"/>
  <c r="C34" i="11"/>
  <c r="B47"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tc={3E97CC5E-701B-4609-BAD8-F52F3D61A4DF}</author>
  </authors>
  <commentList>
    <comment ref="A44" authorId="0" shapeId="0" xr:uid="{3E97CC5E-701B-4609-BAD8-F52F3D61A4DF}">
      <text>
        <t>[Threaded comment]
Your version of Excel allows you to read this threaded comment; however, any edits to it will get removed if the file is opened in a newer version of Excel. Learn more: https://go.microsoft.com/fwlink/?linkid=870924
Comment:
    https://anrcatalog.ucanr.edu/pdf/7218.pdf</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tc={5FF6C2B5-D766-42B4-B4D6-3497BAC6F581}</author>
    <author>tc={D08CC906-B41B-4301-97CA-4FFA1BFB0A3A}</author>
  </authors>
  <commentList>
    <comment ref="N3" authorId="0" shapeId="0" xr:uid="{5FF6C2B5-D766-42B4-B4D6-3497BAC6F581}">
      <text>
        <t>[Threaded comment]
Your version of Excel allows you to read this threaded comment; however, any edits to it will get removed if the file is opened in a newer version of Excel. Learn more: https://go.microsoft.com/fwlink/?linkid=870924
Comment:
    large numbers: divided kg by ha</t>
      </text>
    </comment>
    <comment ref="R12" authorId="1" shapeId="0" xr:uid="{D08CC906-B41B-4301-97CA-4FFA1BFB0A3A}">
      <text>
        <t xml:space="preserve">[Threaded comment]
Your version of Excel allows you to read this threaded comment; however, any edits to it will get removed if the file is opened in a newer version of Excel. Learn more: https://go.microsoft.com/fwlink/?linkid=870924
Comment:
    https://www.nass.usda.gov/Publications/Todays_Reports/reports/vegean20.pdf </t>
      </text>
    </comment>
  </commentList>
</comments>
</file>

<file path=xl/sharedStrings.xml><?xml version="1.0" encoding="utf-8"?>
<sst xmlns="http://schemas.openxmlformats.org/spreadsheetml/2006/main" count="4112" uniqueCount="1399">
  <si>
    <t>Iowa UrbanFEWS LCA</t>
  </si>
  <si>
    <t>Localized Food System LCA (Midwest US)</t>
  </si>
  <si>
    <t>Tab Name</t>
  </si>
  <si>
    <t>Description</t>
  </si>
  <si>
    <t>Scenarios</t>
  </si>
  <si>
    <t>README</t>
  </si>
  <si>
    <t>Description of tables, scenarios, and key equations</t>
  </si>
  <si>
    <t>BASE</t>
  </si>
  <si>
    <t>Current food production and consumption conditions to meet 50% of dietary needs for the DM-MSA</t>
  </si>
  <si>
    <t>1. LCA Contols</t>
  </si>
  <si>
    <t xml:space="preserve">A control panel where the year (2020 - 2050) can be selected and model results are displayed for two scenarios: the baseline 50% food consumption (BASE) and 50% local diet (LOCAL) food system scenarios. </t>
  </si>
  <si>
    <t>LOCAL</t>
  </si>
  <si>
    <t>Food production with 50% of dietary needs for the DM-MSA grown within the DM-MSA under current consumption conditions</t>
  </si>
  <si>
    <t>Table 1.1</t>
  </si>
  <si>
    <t>Model Inputs: identify year of simulation (population values auto-populate)</t>
  </si>
  <si>
    <t>ABM-LOCAL</t>
  </si>
  <si>
    <t>A scenario with land use for food grown within the DM-MSA  determined based on an Agent Based Model (ABM) for the  DM-MSA under current consumption conditions</t>
  </si>
  <si>
    <t>Table 1.2</t>
  </si>
  <si>
    <t>Land use for table food by food group and scenario</t>
  </si>
  <si>
    <t>Table 1.3</t>
  </si>
  <si>
    <t>Environmental impacts by scenario</t>
  </si>
  <si>
    <t>Summary Table: % of each food group included in the 50% modeled diet (details in 11. Diets tab)</t>
  </si>
  <si>
    <t>2. ABM-LCA Controls</t>
  </si>
  <si>
    <t>A control panel where the year (2020 - 2050) can be selected and model results are displayed for one scenario: table food land use in the DM-MSA come from an Agent Based Model (ABM) and the amount of current consumption this amount of land use would produce is displayed.</t>
  </si>
  <si>
    <t>Food groups</t>
  </si>
  <si>
    <t>% included by food group</t>
  </si>
  <si>
    <t>servings /person/day</t>
  </si>
  <si>
    <t>Table 2.1</t>
  </si>
  <si>
    <t xml:space="preserve">Protein </t>
  </si>
  <si>
    <t>Table 2.2</t>
  </si>
  <si>
    <t xml:space="preserve">Protein - Legumes </t>
  </si>
  <si>
    <t>Table 2.3</t>
  </si>
  <si>
    <t>Dairy</t>
  </si>
  <si>
    <t>Table 2.4</t>
  </si>
  <si>
    <r>
      <t xml:space="preserve">Percentage of 50% Local consumption land use listed in </t>
    </r>
    <r>
      <rPr>
        <b/>
        <sz val="11"/>
        <color theme="1"/>
        <rFont val="Calibri"/>
        <family val="2"/>
        <scheme val="minor"/>
      </rPr>
      <t>Table 2.1</t>
    </r>
    <r>
      <rPr>
        <sz val="11"/>
        <color theme="1"/>
        <rFont val="Calibri"/>
        <family val="2"/>
        <scheme val="minor"/>
      </rPr>
      <t xml:space="preserve"> will provide by food group</t>
    </r>
  </si>
  <si>
    <t>Fruits</t>
  </si>
  <si>
    <t>3. Outputs BASE</t>
  </si>
  <si>
    <t>The USEEIO dataset converts $/MSA/year into environmental outputs by category for the BASE food system scenario using the functional unit of kg /MSA/year.</t>
  </si>
  <si>
    <t>Vegetables</t>
  </si>
  <si>
    <t>Table 3.1</t>
  </si>
  <si>
    <t>Outputs of the BASE scenario</t>
  </si>
  <si>
    <t>Vegetable - Dark Green</t>
  </si>
  <si>
    <t>4. Outputs LOCAL</t>
  </si>
  <si>
    <t>A modified USEEIO for a local food system (LOCAL) scenario calculating environmental outputs first by category for the LOCAL scenario using the functional unit of kg/MSA/year</t>
  </si>
  <si>
    <t>Vegetable - Red Orange</t>
  </si>
  <si>
    <t xml:space="preserve">Table 4.1 </t>
  </si>
  <si>
    <t>Outputs of the LOCAL scenario</t>
  </si>
  <si>
    <t>Vegetable - Starchy</t>
  </si>
  <si>
    <t>5. Outputs ABM-LOCAL</t>
  </si>
  <si>
    <t>USEEIO outputs for the ABM scenario</t>
  </si>
  <si>
    <t>Vegetable - Legumes</t>
  </si>
  <si>
    <t>Table 5.1</t>
  </si>
  <si>
    <t>Outputs of the ABM-LOCAL scenario</t>
  </si>
  <si>
    <t>Vegetable - Other</t>
  </si>
  <si>
    <t>6. ABM Inputs</t>
  </si>
  <si>
    <t>Inputs for the ABM scenario</t>
  </si>
  <si>
    <t>Grains</t>
  </si>
  <si>
    <t>Table 6.1</t>
  </si>
  <si>
    <t xml:space="preserve"> ABM-LCA model Inputs</t>
  </si>
  <si>
    <t>Oil</t>
  </si>
  <si>
    <t>Table 6.2</t>
  </si>
  <si>
    <t>Local livestock feed proportions</t>
  </si>
  <si>
    <t>Sugar</t>
  </si>
  <si>
    <t>7. BASE  to LOCAL</t>
  </si>
  <si>
    <t>Adjustments made from BASE to LOCAL by food system stage based on adjustment factors in Local Prod through Waste, Losses tabs</t>
  </si>
  <si>
    <t>Table 7.1</t>
  </si>
  <si>
    <t>Proportional difference between BASE and LOCAL scenarios</t>
  </si>
  <si>
    <t>Full name for modeled foods</t>
  </si>
  <si>
    <t>Short food name</t>
  </si>
  <si>
    <t>Table 7.2</t>
  </si>
  <si>
    <t>Proportion emissions by food system stage</t>
  </si>
  <si>
    <t>311615/packaged poultry/us</t>
  </si>
  <si>
    <t>Chicken</t>
  </si>
  <si>
    <t>8. Prices</t>
  </si>
  <si>
    <t xml:space="preserve">Average food costs by USEEIO category with BASE to LOCAL adjustments integrated. Prices are inputs to Outputs tabs. </t>
  </si>
  <si>
    <t>31161a/packaged meat (except poultry)/us</t>
  </si>
  <si>
    <t>Beef</t>
  </si>
  <si>
    <t>Table 8.1</t>
  </si>
  <si>
    <t>Food prices</t>
  </si>
  <si>
    <t>Pork</t>
  </si>
  <si>
    <t>Table 8.2</t>
  </si>
  <si>
    <t>Food prices within sub-groups</t>
  </si>
  <si>
    <t>112300/poultry farms/us</t>
  </si>
  <si>
    <t>Eggs</t>
  </si>
  <si>
    <t>9. Price adj</t>
  </si>
  <si>
    <t>Price adjustments to change year (inflation corrected) and convert from consumer to producer prices</t>
  </si>
  <si>
    <t>1111b0/fresh wheat, corn, rice, and other grains/us</t>
  </si>
  <si>
    <t>Beans, dry</t>
  </si>
  <si>
    <t>Table 9.1</t>
  </si>
  <si>
    <t>Price adjustment ratios by year</t>
  </si>
  <si>
    <t>311513/cheese/us</t>
  </si>
  <si>
    <t>Cheese</t>
  </si>
  <si>
    <t>10. Population</t>
  </si>
  <si>
    <t>Current and projected future population for the MSA  the model adjusts consumption requirements accordingly.</t>
  </si>
  <si>
    <t>31151a/fluid milk and butter/us</t>
  </si>
  <si>
    <t>Milk</t>
  </si>
  <si>
    <t>Table 10.1</t>
  </si>
  <si>
    <t xml:space="preserve">Population projections for the DM-MSA </t>
  </si>
  <si>
    <t>111300/fresh fruits and tree nuts/us</t>
  </si>
  <si>
    <t>Apple</t>
  </si>
  <si>
    <t>11. Diets</t>
  </si>
  <si>
    <t>Foods are grouped into categories and 50% of consumption for the current diet is quantified. Consumption amounts in kg/MSA/year inform the 8. Prices tab which are used in the Outputs tabs (3-5).</t>
  </si>
  <si>
    <t>Melon</t>
  </si>
  <si>
    <t>Table 11.1</t>
  </si>
  <si>
    <t>Diet composition</t>
  </si>
  <si>
    <t>Blueberries</t>
  </si>
  <si>
    <t>Table 11.2</t>
  </si>
  <si>
    <t>Preserved fruit/ vegetable weights</t>
  </si>
  <si>
    <t>Cherries</t>
  </si>
  <si>
    <t>Table 11.3</t>
  </si>
  <si>
    <t>Processed grain weights</t>
  </si>
  <si>
    <t>Grapes</t>
  </si>
  <si>
    <t>Table 11.4</t>
  </si>
  <si>
    <t>Percent of consumption for each food type included in each food category</t>
  </si>
  <si>
    <t>Pears</t>
  </si>
  <si>
    <t>Table 11.5</t>
  </si>
  <si>
    <t>ABM-LCA preserved fruit/ vegetable weights</t>
  </si>
  <si>
    <t>Raspberries</t>
  </si>
  <si>
    <t>12. Nutrition</t>
  </si>
  <si>
    <t>The macronutritional value of the current modeled diet to check that the diet meets 50% of the nutritional requirements for the MSA.</t>
  </si>
  <si>
    <t>Strawberries</t>
  </si>
  <si>
    <t>Table 12.1</t>
  </si>
  <si>
    <t>Dietary marconutrient summary</t>
  </si>
  <si>
    <t>311420/fruit and vegetable preservation/us</t>
  </si>
  <si>
    <t>Preserved, Fruit</t>
  </si>
  <si>
    <t>Table 12.2</t>
  </si>
  <si>
    <t>Dietary macronutrients</t>
  </si>
  <si>
    <t>111200/fresh vegetables, melons, and potatoes/us</t>
  </si>
  <si>
    <t>Broccoli</t>
  </si>
  <si>
    <t>13. Yields</t>
  </si>
  <si>
    <t xml:space="preserve">Crop and feed yields which connect to 14. Land Req </t>
  </si>
  <si>
    <t>Collard Greens</t>
  </si>
  <si>
    <t xml:space="preserve">Table 13.1 </t>
  </si>
  <si>
    <t>Agricultural yields</t>
  </si>
  <si>
    <t>Kale</t>
  </si>
  <si>
    <t>Table 13.2</t>
  </si>
  <si>
    <t>Preserved fruit and vegetable yields</t>
  </si>
  <si>
    <t>Lettuce, loose-leaf</t>
  </si>
  <si>
    <t>14. Land Req</t>
  </si>
  <si>
    <t>The total land use for the scenarios required for each scenario</t>
  </si>
  <si>
    <t>Spinach</t>
  </si>
  <si>
    <t>Table 14.1</t>
  </si>
  <si>
    <t>Agricultural land requirements</t>
  </si>
  <si>
    <t>Preserved, Dark Green</t>
  </si>
  <si>
    <t>15. Ag Prod</t>
  </si>
  <si>
    <t>Local production practices are quantified</t>
  </si>
  <si>
    <t>Carrots</t>
  </si>
  <si>
    <t>Table 15.1</t>
  </si>
  <si>
    <t>Agricultural production BASE to LOCAL GWP and energy</t>
  </si>
  <si>
    <t>Pumpkin</t>
  </si>
  <si>
    <t>Table 15.2</t>
  </si>
  <si>
    <t>Agricultural production BASE to LOCAL land use</t>
  </si>
  <si>
    <t>Sweet Potatoes</t>
  </si>
  <si>
    <t>Table 15.3</t>
  </si>
  <si>
    <t>Adjustment factors for local production practices</t>
  </si>
  <si>
    <t>Tomatoes</t>
  </si>
  <si>
    <t>16. Processing, Market</t>
  </si>
  <si>
    <t>Current and future market and processing assumptions are quantified</t>
  </si>
  <si>
    <t>Preserved, Orange &amp; Red</t>
  </si>
  <si>
    <t>Table 16.1</t>
  </si>
  <si>
    <t>Packaging emissions for BASE and LOCAL scenarios</t>
  </si>
  <si>
    <t xml:space="preserve">Corn, Sweet </t>
  </si>
  <si>
    <t>Table 16.2</t>
  </si>
  <si>
    <t>Retail emissions for BASE and LOCAL scenarios</t>
  </si>
  <si>
    <t>Green Peas</t>
  </si>
  <si>
    <t>Table 16.3</t>
  </si>
  <si>
    <t>Adjustment factor for local packaging</t>
  </si>
  <si>
    <t>Potatoes</t>
  </si>
  <si>
    <t>Table 16.4</t>
  </si>
  <si>
    <t>Adjustment factor for local retail</t>
  </si>
  <si>
    <t>Preserved, Starchy</t>
  </si>
  <si>
    <t>Table 16.5</t>
  </si>
  <si>
    <t xml:space="preserve">Wholesale market share </t>
  </si>
  <si>
    <t xml:space="preserve">Table 16.6 </t>
  </si>
  <si>
    <t>Local wholesale market channels (% of total)</t>
  </si>
  <si>
    <t xml:space="preserve">Beans, Snap </t>
  </si>
  <si>
    <t>17. Tranport</t>
  </si>
  <si>
    <t xml:space="preserve"> Transportation distances by scenario and food type</t>
  </si>
  <si>
    <t>Cabbage</t>
  </si>
  <si>
    <t xml:space="preserve">Table 17.1 </t>
  </si>
  <si>
    <t>Food transport for BASE and LOCAL scenarios</t>
  </si>
  <si>
    <t>Cucumber</t>
  </si>
  <si>
    <t>18. Losses, Waste</t>
  </si>
  <si>
    <t>Losses and waste to account for the amount of food production to meet consumption needs, as well as conversion factors for value-added foods (e.g., cheese, high fructose corn syrup)</t>
  </si>
  <si>
    <t>Lettuce, Iceberg</t>
  </si>
  <si>
    <t>Table 18.1</t>
  </si>
  <si>
    <t>Food waste and losses</t>
  </si>
  <si>
    <t>Onions</t>
  </si>
  <si>
    <t>Table 18.2</t>
  </si>
  <si>
    <t>Local adjustment factor for losses and waste by food group</t>
  </si>
  <si>
    <t>Squash</t>
  </si>
  <si>
    <t>Preserved, Other</t>
  </si>
  <si>
    <t>Key Equations</t>
  </si>
  <si>
    <t>311210/flours and malts/us</t>
  </si>
  <si>
    <t>Wheat flour</t>
  </si>
  <si>
    <r>
      <rPr>
        <b/>
        <sz val="11"/>
        <rFont val="Calibri"/>
        <family val="2"/>
      </rPr>
      <t>Adjustment factor equation: Table 15.3, 16.3, 16.4, 17.2, 18.2.</t>
    </r>
    <r>
      <rPr>
        <sz val="11"/>
        <rFont val="Calibri"/>
        <family val="2"/>
      </rPr>
      <t xml:space="preserve"> Average difference between BASE and LOCAL for each food type weighted by contribution to the food group</t>
    </r>
  </si>
  <si>
    <t>Corn flour</t>
  </si>
  <si>
    <t>(Adjustment factor (BASE/LOCAL) food type 1 total GWP * (Food type 1 consumption (unit/capita/day) / Food group consumption (unit/capita/day))) + (Adjustment factor (BASE/LOCAL) food 2 total GWP * (Food type 1 consumption (unit/capita/day) / Food group consumption (unit/capita/day))) ... food 3... food 4... etc.</t>
  </si>
  <si>
    <t>311225/refined vegetable, olive, and seed oils/us</t>
  </si>
  <si>
    <t>Soybean Oil</t>
  </si>
  <si>
    <t>Outputs USEEIO equation: Table 3.1, 4.1, 5.1</t>
  </si>
  <si>
    <t>Canola Oil</t>
  </si>
  <si>
    <t xml:space="preserve">(MSA FS LOCAL ($/MSA/year) by food category 1 * environmental impact 1) + (MSA FS LOCAL ($/MSA/year) by food category 2 * environmental impact 1) .... food category 3...4...5 </t>
  </si>
  <si>
    <t>311300/sugar, candy, and chocolate/us, 312110/soft drinks, bottled water, and ice/us</t>
  </si>
  <si>
    <t>Corn Syrup</t>
  </si>
  <si>
    <t>Sugar,cane and beet</t>
  </si>
  <si>
    <t>Notes</t>
  </si>
  <si>
    <t>Corn, Commodity</t>
  </si>
  <si>
    <t>Fruit and Vegetables Preserved catergories are all a weighted average by food type (based on 50% diet inclusion) with proportions found in Table 11.2</t>
  </si>
  <si>
    <t>1111a0/fresh soybeans, canola, flaxseeds, and other oilseeds/us</t>
  </si>
  <si>
    <t>Soybean, Commodity</t>
  </si>
  <si>
    <t>1. LCA control panel</t>
  </si>
  <si>
    <t xml:space="preserve"> Iowa UrbanFEWS LCA model of the Des Moines Metropolitan Statistical Area (MSA) Food System generates LCA outputs which vary by scenario for food systems under current production and consumpion and in a future scenario where 50% of the nutritional requirements are produced locally within the MSA</t>
  </si>
  <si>
    <t>Table 1.1: Model inputs</t>
  </si>
  <si>
    <t xml:space="preserve">Model Year </t>
  </si>
  <si>
    <t>Range: 2020 - 2050</t>
  </si>
  <si>
    <t>Model Population</t>
  </si>
  <si>
    <t>Auto-populates from 10. Population</t>
  </si>
  <si>
    <t>Model outputs</t>
  </si>
  <si>
    <t>Table 1.2: Land use for table food by food group and scenario</t>
  </si>
  <si>
    <t>Total agricultural land use (ha)</t>
  </si>
  <si>
    <t>Protein (cropland)</t>
  </si>
  <si>
    <t>Protein (pasture/forage)</t>
  </si>
  <si>
    <t>Dairy (cropland)</t>
  </si>
  <si>
    <t>Dairy (pasture/forage)</t>
  </si>
  <si>
    <t>Fruit (orchard/vineyard)</t>
  </si>
  <si>
    <t>Fruit (berry/melon)</t>
  </si>
  <si>
    <t>Vegetables (specialty)</t>
  </si>
  <si>
    <t>Vegetables (field)</t>
  </si>
  <si>
    <t>Commodity crops (corn/soy)</t>
  </si>
  <si>
    <t>Pasture LU (ha)</t>
  </si>
  <si>
    <t>% MSA agricultural (ag) land in pasture</t>
  </si>
  <si>
    <t>Cropland LU (ha)</t>
  </si>
  <si>
    <t>% of MSA ag land in crop production</t>
  </si>
  <si>
    <t>Total LU (ha)</t>
  </si>
  <si>
    <t xml:space="preserve">Total % </t>
  </si>
  <si>
    <t>Table 1.3: Environmental impacts by scenario</t>
  </si>
  <si>
    <t>Environmental impacts</t>
  </si>
  <si>
    <t>Energy Use (MJ)</t>
  </si>
  <si>
    <t>Freshwater withdrawals (m3)</t>
  </si>
  <si>
    <t>Global Warming Potential (kg co2 eq)</t>
  </si>
  <si>
    <t>BASE only environmental impacts</t>
  </si>
  <si>
    <t>Acid Rain Potential (kg so2-eq)</t>
  </si>
  <si>
    <t>Commercial Construction and Demolition Debris</t>
  </si>
  <si>
    <t>Commercial Municipal Solid Waste</t>
  </si>
  <si>
    <t>Commercial RCRA Hazardous Waste</t>
  </si>
  <si>
    <t>Eutrophication Potential (kg n eq)</t>
  </si>
  <si>
    <t>Freshwater Aquatic Ecotoxicity Potential (ctue)</t>
  </si>
  <si>
    <t>Hazardous Air Pollutants Release (kg)</t>
  </si>
  <si>
    <t>Human Health - Cancer Potential (ctuh)</t>
  </si>
  <si>
    <t>Human Health - Noncancer Potential              (ctuh - disease cases/kg emitted)</t>
  </si>
  <si>
    <t>Human Health - Respiratory Effects Potential (kg pm2.5 eq)</t>
  </si>
  <si>
    <t>Human Health - Toxicity Potential (ctuh)</t>
  </si>
  <si>
    <t>Jobs Supported (# of jobs)</t>
  </si>
  <si>
    <t>Mineral and metals use (kg)</t>
  </si>
  <si>
    <t>Nonnrenewsable Energy Use (MJ)</t>
  </si>
  <si>
    <t>Ozone Depletion Potential (kg cfc11-eq)</t>
  </si>
  <si>
    <t>Pesticide Release (kg)</t>
  </si>
  <si>
    <t>Renewable Energy Use (MJ)</t>
  </si>
  <si>
    <t>Smog Formation Potential (kg o3 eq)</t>
  </si>
  <si>
    <t>Value Added ($)</t>
  </si>
  <si>
    <t>Fruit (orchard/vineyard) includes all perennial fruits - apple, cherry, grape, pear</t>
  </si>
  <si>
    <t>Fruit (berry/melon) includes melon, blueberry, raspberry, strawberry</t>
  </si>
  <si>
    <t>Vegetable (field) include sweet corn, pumpkin, snap beans, dried beans, and pea, all other vegetables are listed as specialty</t>
  </si>
  <si>
    <t>2. ABM-LCA control panel</t>
  </si>
  <si>
    <t xml:space="preserve"> Iowa UrbanFEWS LCA model of the Des Moines Metropolitan Statistical Area (MSA) Food System generates LCA outputs which vary by scenario for food system based on land use supplied by an Agent Based Model (ABM) of MSA producers. The percentage of nutritional requirements produced locally within the MSA are then tabulated.</t>
  </si>
  <si>
    <t>Table 2.1: Model inputs</t>
  </si>
  <si>
    <t>Table 2.2: Land use for table food by food group and scenario</t>
  </si>
  <si>
    <t>Protein (pasture/forages)</t>
  </si>
  <si>
    <t>Table 2.3: Environmental impacts by scenario</t>
  </si>
  <si>
    <t>Environmental Impacts</t>
  </si>
  <si>
    <t>Table 2.4: Percent nutritional intake by food group</t>
  </si>
  <si>
    <t>Proportion local of 50% Diet by ABM-LCA food group (%)</t>
  </si>
  <si>
    <t>Protein (animal-based)</t>
  </si>
  <si>
    <t>Protein (plant-based)</t>
  </si>
  <si>
    <t>Proportion of 50% Diet produced in the MSA (% local)</t>
  </si>
  <si>
    <t>Fruit (orchard/vineyard) includes all perennial fruits - Apple, Cherry, Grape, Pear</t>
  </si>
  <si>
    <t>Fruit (berry/melon) includes Melon, Blueberry, Raspberry, Strawberry</t>
  </si>
  <si>
    <t>Vegetable (field) include sweet corn, pumpkin, snap beans, dried beans, and pea, all other vegetables are listed as Vegetable (specialty)</t>
  </si>
  <si>
    <t>3.1 Outputs of the BASE scenario</t>
  </si>
  <si>
    <t>MSA FS BASE ($/MSA/year) by food category</t>
  </si>
  <si>
    <t xml:space="preserve">Environmental Impacts </t>
  </si>
  <si>
    <t>311230/breakfast cereals/us</t>
  </si>
  <si>
    <t>311810/bread and other baked goods/us</t>
  </si>
  <si>
    <t>3118a0/cookies, crackers, pastas, and tortillas/us</t>
  </si>
  <si>
    <t>311300/sugar, candy, and chocolate/us</t>
  </si>
  <si>
    <t>312110/soft drinks, bottled water, and ice/us</t>
  </si>
  <si>
    <t>Acidification Potential</t>
  </si>
  <si>
    <t>Energy Use</t>
  </si>
  <si>
    <t>Eutrophication Potential</t>
  </si>
  <si>
    <t>Freshwater Ecotoxicity Potential</t>
  </si>
  <si>
    <t>Freshwater withdrawals</t>
  </si>
  <si>
    <t>Greenhouse Gases</t>
  </si>
  <si>
    <t>Hazardous Air Pollutants</t>
  </si>
  <si>
    <t>Human Health - Cancer</t>
  </si>
  <si>
    <t>Human Health - Noncancer</t>
  </si>
  <si>
    <t>Human Health - Respiratory Effects</t>
  </si>
  <si>
    <t>Human Health Toxicity</t>
  </si>
  <si>
    <t>Jobs Supported</t>
  </si>
  <si>
    <t>Land use</t>
  </si>
  <si>
    <t>Minerals and Metals Use</t>
  </si>
  <si>
    <t>Nonrenewable Energy Use</t>
  </si>
  <si>
    <t>Ozone Depletion</t>
  </si>
  <si>
    <t>Pesticides</t>
  </si>
  <si>
    <t>Renewable Energy Use</t>
  </si>
  <si>
    <t>Smog Formation Potential</t>
  </si>
  <si>
    <t>Value Added</t>
  </si>
  <si>
    <t>Sources</t>
  </si>
  <si>
    <r>
      <rPr>
        <sz val="11"/>
        <color rgb="FF000000"/>
        <rFont val="Calibri"/>
        <family val="2"/>
      </rPr>
      <t xml:space="preserve">Yang, Yi, Wesley W. Ingwersen, Troy R. Hawkins, Michael Srocka, and David E. Meyer. 2017. USEEIO: A new and transparent United States environmentally-extended input-output model. Journal of Cleaner Production 158. Elsevier Ltd: 308–318. https://doi.org/10.1016/j.jclepro.2017.04.150.
</t>
    </r>
    <r>
      <rPr>
        <sz val="11"/>
        <color rgb="FFFF0000"/>
        <rFont val="Calibri"/>
        <family val="2"/>
      </rPr>
      <t xml:space="preserve">
</t>
    </r>
  </si>
  <si>
    <r>
      <rPr>
        <sz val="11"/>
        <color rgb="FF222222"/>
        <rFont val="Calibri"/>
        <family val="2"/>
      </rPr>
      <t>Ingwersen, W. W., Li, M., Young, B., Vendries, J., &amp; Birney, C. (2022). USEEIO v2. 0, The US Environmentally-Extended Input-Output Model v2. 0. </t>
    </r>
    <r>
      <rPr>
        <i/>
        <sz val="11"/>
        <color rgb="FF222222"/>
        <rFont val="Calibri"/>
        <family val="2"/>
      </rPr>
      <t>Scientific Data</t>
    </r>
    <r>
      <rPr>
        <sz val="11"/>
        <color rgb="FF222222"/>
        <rFont val="Calibri"/>
        <family val="2"/>
      </rPr>
      <t>, </t>
    </r>
    <r>
      <rPr>
        <i/>
        <sz val="11"/>
        <color rgb="FF222222"/>
        <rFont val="Calibri"/>
        <family val="2"/>
      </rPr>
      <t>9</t>
    </r>
    <r>
      <rPr>
        <sz val="11"/>
        <color rgb="FF222222"/>
        <rFont val="Calibri"/>
        <family val="2"/>
      </rPr>
      <t>(1), 1-24. https://doi.org/10.1038/s41597-022-01293-7.</t>
    </r>
  </si>
  <si>
    <t>Heller, M. C., Willits-Smith, A., Meyer, R., Keoleian, G. A., &amp; Rose, D. (2018). Greenhouse gas emissions and energy use associated with production of individual self-selected US diets. Environmental Research Letters, 13(4), 044004. https://doi.org/10.1088/1748-9326/aab0ac.</t>
  </si>
  <si>
    <t>Clune, S., Crossin, E., &amp; Verghese, K. (2017). Systematic review of greenhouse gas emissions for different fresh food categories. Journal of Cleaner Production, 140, 766-783. https://doi.org/10.1016/j.jclepro.2016.04.082.</t>
  </si>
  <si>
    <t>All inputs by food category per dollar are based on the US Environmentally Extended Input Output Model (USEEIO) Version 2.0 (Yang et al. 2017; Ingwersen et al. 2022)</t>
  </si>
  <si>
    <t>Fruit and vegetable preservation does not include the environmental impacts of production. Thus, 85% of the impacts for preserved fruit and vegetables are allocated to the fresh fruit and vegetable categories to account for production. Percentages were selected based on review LCA studies for which post-farm gate (including processing) made up approximately 15% of total GWP for both studies (Clune et al. 2017; Heller et al 2018)</t>
  </si>
  <si>
    <t>Equations</t>
  </si>
  <si>
    <t>Table 3.1 : BASE</t>
  </si>
  <si>
    <r>
      <rPr>
        <sz val="11"/>
        <color rgb="FF000000"/>
        <rFont val="Calibri"/>
        <family val="2"/>
      </rPr>
      <t>(</t>
    </r>
    <r>
      <rPr>
        <b/>
        <sz val="11"/>
        <color rgb="FF000000"/>
        <rFont val="Calibri"/>
        <family val="2"/>
      </rPr>
      <t xml:space="preserve">3.1 </t>
    </r>
    <r>
      <rPr>
        <sz val="11"/>
        <color rgb="FF000000"/>
        <rFont val="Calibri"/>
        <family val="2"/>
      </rPr>
      <t xml:space="preserve">MSA FS BASE ($/MSA/year) by food category 1 * </t>
    </r>
    <r>
      <rPr>
        <b/>
        <sz val="11"/>
        <color rgb="FF000000"/>
        <rFont val="Calibri"/>
        <family val="2"/>
      </rPr>
      <t>3.1</t>
    </r>
    <r>
      <rPr>
        <sz val="11"/>
        <color rgb="FF000000"/>
        <rFont val="Calibri"/>
        <family val="2"/>
      </rPr>
      <t xml:space="preserve"> Environmental impacts by food category 1) + ... food category 2...3....4</t>
    </r>
  </si>
  <si>
    <t>4.1 Outputs of the LOCAL scenario</t>
  </si>
  <si>
    <t>MSA FS LOCAL $/MSA/year</t>
  </si>
  <si>
    <t>Table 4.1 : LOCAL</t>
  </si>
  <si>
    <r>
      <rPr>
        <sz val="11"/>
        <color rgb="FF000000"/>
        <rFont val="Calibri"/>
        <family val="2"/>
      </rPr>
      <t>(</t>
    </r>
    <r>
      <rPr>
        <b/>
        <sz val="11"/>
        <color rgb="FF000000"/>
        <rFont val="Calibri"/>
        <family val="2"/>
      </rPr>
      <t xml:space="preserve">4.1 </t>
    </r>
    <r>
      <rPr>
        <sz val="11"/>
        <color rgb="FF000000"/>
        <rFont val="Calibri"/>
        <family val="2"/>
      </rPr>
      <t xml:space="preserve">MSA FS BASE ($/MSA/year) by food category 1 * </t>
    </r>
    <r>
      <rPr>
        <b/>
        <sz val="11"/>
        <color rgb="FF000000"/>
        <rFont val="Calibri"/>
        <family val="2"/>
      </rPr>
      <t>4.1</t>
    </r>
    <r>
      <rPr>
        <sz val="11"/>
        <color rgb="FF000000"/>
        <rFont val="Calibri"/>
        <family val="2"/>
      </rPr>
      <t xml:space="preserve"> Environmental impacts by food category 1) + ... food category 2...3....4</t>
    </r>
  </si>
  <si>
    <t>5.1 Outputs of the ABM-LCA scenario</t>
  </si>
  <si>
    <t>Table 5.1: ABM-LOCAL</t>
  </si>
  <si>
    <r>
      <rPr>
        <sz val="11"/>
        <color rgb="FF000000"/>
        <rFont val="Calibri"/>
        <family val="2"/>
      </rPr>
      <t>(</t>
    </r>
    <r>
      <rPr>
        <b/>
        <sz val="11"/>
        <color rgb="FF000000"/>
        <rFont val="Calibri"/>
        <family val="2"/>
      </rPr>
      <t xml:space="preserve">5.1 </t>
    </r>
    <r>
      <rPr>
        <sz val="11"/>
        <color rgb="FF000000"/>
        <rFont val="Calibri"/>
        <family val="2"/>
      </rPr>
      <t xml:space="preserve">MSA FS BASE ($/MSA/year) by food category 1 * </t>
    </r>
    <r>
      <rPr>
        <b/>
        <sz val="11"/>
        <color rgb="FF000000"/>
        <rFont val="Calibri"/>
        <family val="2"/>
      </rPr>
      <t>5.1</t>
    </r>
    <r>
      <rPr>
        <sz val="11"/>
        <color rgb="FF000000"/>
        <rFont val="Calibri"/>
        <family val="2"/>
      </rPr>
      <t xml:space="preserve"> Environmental impacts by food category 1) + ... food category 2...3....4</t>
    </r>
  </si>
  <si>
    <t>Table 6.1: ABM-LCA model Inputs</t>
  </si>
  <si>
    <t>Food type</t>
  </si>
  <si>
    <t xml:space="preserve">50% LOCAL Diet (kg/MSA/yr) </t>
  </si>
  <si>
    <t xml:space="preserve">Proportion of cropland for ABM-LCA food group </t>
  </si>
  <si>
    <t>Proportion of pasture for ABM-LCA food group</t>
  </si>
  <si>
    <t>Total cropland use by food type</t>
  </si>
  <si>
    <t>Total pasture land use by food type</t>
  </si>
  <si>
    <t>ABM scenario LOCAL 50% diet (kg/MSA/yr)</t>
  </si>
  <si>
    <t>Price ($/kg MSA consumption/yr)</t>
  </si>
  <si>
    <t>Sugar, cane and beet</t>
  </si>
  <si>
    <t>Table 6.2: Local livestock feed proportions</t>
  </si>
  <si>
    <t>Corn (kg as consumed/ kg liveweight)</t>
  </si>
  <si>
    <t>Soybean (kg as consumed/ kg  liveweight)</t>
  </si>
  <si>
    <t>Grass (kg as consumed/ kg liveweight)</t>
  </si>
  <si>
    <t>Corn silage (kg as consumed/ kg liveweight)</t>
  </si>
  <si>
    <t>Grazed forage (kg dry basis/ kg liveweight)</t>
  </si>
  <si>
    <t>Dairy (whole milk)</t>
  </si>
  <si>
    <t xml:space="preserve">Peters, C.J., Picardy, J., Darrouzet-Nardi, A.F., Wilkins, J.L., Griffin, T.S., Fick, G.W., 2016. Carrying capacity of U.S. agricultural land: Ten diet scenarios. Elementa 2016. https://doi.org/10.12952/journal.elementa.000116					</t>
  </si>
  <si>
    <t>The ABM scenario production combines the input of LU by category multiplied by the proportion to convert to individual food types multiplied by the LOCAL scenario yield</t>
  </si>
  <si>
    <t>LOCAL 50% diet includes loss adjustments</t>
  </si>
  <si>
    <t>Proportion of cropland for ABM-LCA food group includes preserved fruit and vegetables across the two ABM LCA food groups</t>
  </si>
  <si>
    <t xml:space="preserve">Table 6.1: Proportion of cropland [column C], Proportion [column D] for ABM-LCA food group </t>
  </si>
  <si>
    <r>
      <rPr>
        <b/>
        <sz val="11"/>
        <rFont val="Calibri"/>
        <family val="2"/>
        <scheme val="minor"/>
      </rPr>
      <t xml:space="preserve">14.1 </t>
    </r>
    <r>
      <rPr>
        <sz val="11"/>
        <rFont val="Calibri"/>
        <family val="2"/>
        <scheme val="minor"/>
      </rPr>
      <t xml:space="preserve">Land Req LOCAL food type 1 (ha/MSA/yr) / </t>
    </r>
    <r>
      <rPr>
        <b/>
        <sz val="11"/>
        <rFont val="Calibri"/>
        <family val="2"/>
        <scheme val="minor"/>
      </rPr>
      <t>14.1</t>
    </r>
    <r>
      <rPr>
        <sz val="11"/>
        <rFont val="Calibri"/>
        <family val="2"/>
        <scheme val="minor"/>
      </rPr>
      <t xml:space="preserve"> Land Land Req LOCAL ABM-LCA food group total</t>
    </r>
  </si>
  <si>
    <t>Table 6.1: ABM scenario LOCAL 50% diet (kg/MSA/yr) Protein (animal-based) equation</t>
  </si>
  <si>
    <r>
      <t>((</t>
    </r>
    <r>
      <rPr>
        <b/>
        <sz val="11"/>
        <rFont val="Calibri"/>
        <family val="2"/>
      </rPr>
      <t xml:space="preserve">6.1 </t>
    </r>
    <r>
      <rPr>
        <sz val="11"/>
        <rFont val="Calibri"/>
        <family val="2"/>
      </rPr>
      <t>Total cropland use by food type [column E] * ((</t>
    </r>
    <r>
      <rPr>
        <b/>
        <sz val="11"/>
        <rFont val="Calibri"/>
        <family val="2"/>
      </rPr>
      <t>13.1</t>
    </r>
    <r>
      <rPr>
        <sz val="11"/>
        <rFont val="Calibri"/>
        <family val="2"/>
      </rPr>
      <t xml:space="preserve"> Modeled MSA yield [corn] (kg/ha/yr) * </t>
    </r>
    <r>
      <rPr>
        <b/>
        <sz val="11"/>
        <rFont val="Calibri"/>
        <family val="2"/>
      </rPr>
      <t>6.2</t>
    </r>
    <r>
      <rPr>
        <sz val="11"/>
        <rFont val="Calibri"/>
        <family val="2"/>
      </rPr>
      <t xml:space="preserve"> kg corn/kg liveweight) + (</t>
    </r>
    <r>
      <rPr>
        <b/>
        <sz val="11"/>
        <rFont val="Calibri"/>
        <family val="2"/>
      </rPr>
      <t>13.1</t>
    </r>
    <r>
      <rPr>
        <sz val="11"/>
        <rFont val="Calibri"/>
        <family val="2"/>
      </rPr>
      <t xml:space="preserve"> Modeled MSA yield soybean * </t>
    </r>
    <r>
      <rPr>
        <b/>
        <sz val="11"/>
        <rFont val="Calibri"/>
        <family val="2"/>
      </rPr>
      <t>6.2</t>
    </r>
    <r>
      <rPr>
        <sz val="11"/>
        <rFont val="Calibri"/>
        <family val="2"/>
      </rPr>
      <t xml:space="preserve"> kg soybean/kg liveweight)) / </t>
    </r>
    <r>
      <rPr>
        <b/>
        <sz val="11"/>
        <rFont val="Calibri"/>
        <family val="2"/>
      </rPr>
      <t>15.2</t>
    </r>
    <r>
      <rPr>
        <sz val="11"/>
        <rFont val="Calibri"/>
        <family val="2"/>
      </rPr>
      <t xml:space="preserve"> Cropland adjustment factor (BASE to LOCAL))) / (</t>
    </r>
    <r>
      <rPr>
        <b/>
        <sz val="11"/>
        <rFont val="Calibri"/>
        <family val="2"/>
      </rPr>
      <t>18.1</t>
    </r>
    <r>
      <rPr>
        <sz val="11"/>
        <rFont val="Calibri"/>
        <family val="2"/>
      </rPr>
      <t xml:space="preserve"> Conversion (kg farm commodity / kg product) + </t>
    </r>
    <r>
      <rPr>
        <b/>
        <sz val="11"/>
        <rFont val="Calibri"/>
        <family val="2"/>
      </rPr>
      <t xml:space="preserve">18.1 </t>
    </r>
    <r>
      <rPr>
        <sz val="11"/>
        <rFont val="Calibri"/>
        <family val="2"/>
      </rPr>
      <t>LOCAL Loss adjustment factors [H5:L5])</t>
    </r>
  </si>
  <si>
    <t>Table 6.1: ABM scenario LOCAL 50% diet (kg/MSA/yr) Dairy equation</t>
  </si>
  <si>
    <r>
      <t>((</t>
    </r>
    <r>
      <rPr>
        <b/>
        <sz val="11"/>
        <rFont val="Calibri"/>
        <family val="2"/>
      </rPr>
      <t xml:space="preserve">6.1 </t>
    </r>
    <r>
      <rPr>
        <sz val="11"/>
        <rFont val="Calibri"/>
        <family val="2"/>
      </rPr>
      <t>Total cropland use by food type [column E] * ((</t>
    </r>
    <r>
      <rPr>
        <b/>
        <sz val="11"/>
        <rFont val="Calibri"/>
        <family val="2"/>
      </rPr>
      <t>13.1</t>
    </r>
    <r>
      <rPr>
        <sz val="11"/>
        <rFont val="Calibri"/>
        <family val="2"/>
      </rPr>
      <t xml:space="preserve"> Modeled MSA yield [corn] (kg/ha/yr) * </t>
    </r>
    <r>
      <rPr>
        <b/>
        <sz val="11"/>
        <rFont val="Calibri"/>
        <family val="2"/>
      </rPr>
      <t>6.2</t>
    </r>
    <r>
      <rPr>
        <sz val="11"/>
        <rFont val="Calibri"/>
        <family val="2"/>
      </rPr>
      <t xml:space="preserve"> kg corn/kg liveweight) + (</t>
    </r>
    <r>
      <rPr>
        <b/>
        <sz val="11"/>
        <rFont val="Calibri"/>
        <family val="2"/>
      </rPr>
      <t>13.1</t>
    </r>
    <r>
      <rPr>
        <sz val="11"/>
        <rFont val="Calibri"/>
        <family val="2"/>
      </rPr>
      <t xml:space="preserve"> Modeled MSA yield soybean * </t>
    </r>
    <r>
      <rPr>
        <b/>
        <sz val="11"/>
        <rFont val="Calibri"/>
        <family val="2"/>
      </rPr>
      <t>6.2</t>
    </r>
    <r>
      <rPr>
        <sz val="11"/>
        <rFont val="Calibri"/>
        <family val="2"/>
      </rPr>
      <t xml:space="preserve"> kg soybean/kg liveweight) + (</t>
    </r>
    <r>
      <rPr>
        <b/>
        <sz val="11"/>
        <rFont val="Calibri"/>
        <family val="2"/>
      </rPr>
      <t>13.1</t>
    </r>
    <r>
      <rPr>
        <sz val="11"/>
        <rFont val="Calibri"/>
        <family val="2"/>
      </rPr>
      <t xml:space="preserve"> Modeled MSA yield [corn silage] (kg/ha/yr) * </t>
    </r>
    <r>
      <rPr>
        <b/>
        <sz val="11"/>
        <rFont val="Calibri"/>
        <family val="2"/>
      </rPr>
      <t>6.2</t>
    </r>
    <r>
      <rPr>
        <sz val="11"/>
        <rFont val="Calibri"/>
        <family val="2"/>
      </rPr>
      <t xml:space="preserve"> kg corn silage/kg liveweight) / </t>
    </r>
    <r>
      <rPr>
        <b/>
        <sz val="11"/>
        <rFont val="Calibri"/>
        <family val="2"/>
      </rPr>
      <t>15.2</t>
    </r>
    <r>
      <rPr>
        <sz val="11"/>
        <rFont val="Calibri"/>
        <family val="2"/>
      </rPr>
      <t xml:space="preserve"> Cropland adjustment factor (BASE to LOCAL))) / (</t>
    </r>
    <r>
      <rPr>
        <b/>
        <sz val="11"/>
        <rFont val="Calibri"/>
        <family val="2"/>
      </rPr>
      <t>18.1</t>
    </r>
    <r>
      <rPr>
        <sz val="11"/>
        <rFont val="Calibri"/>
        <family val="2"/>
      </rPr>
      <t xml:space="preserve"> Conversion (kg farm commodity / kg product) + </t>
    </r>
    <r>
      <rPr>
        <b/>
        <sz val="11"/>
        <rFont val="Calibri"/>
        <family val="2"/>
      </rPr>
      <t xml:space="preserve">18.1 </t>
    </r>
    <r>
      <rPr>
        <sz val="11"/>
        <rFont val="Calibri"/>
        <family val="2"/>
      </rPr>
      <t>LOCAL Loss adjustment factors [H5:L5])</t>
    </r>
  </si>
  <si>
    <t>Table 6.1: ABM scenario LOCAL 50% diet (kg/MSA/yr) All plant-based foods</t>
  </si>
  <si>
    <r>
      <t>(</t>
    </r>
    <r>
      <rPr>
        <b/>
        <sz val="11"/>
        <rFont val="Calibri"/>
        <family val="2"/>
      </rPr>
      <t>6.1</t>
    </r>
    <r>
      <rPr>
        <sz val="11"/>
        <rFont val="Calibri"/>
        <family val="2"/>
      </rPr>
      <t xml:space="preserve"> Total cropland use by food type [column E] * </t>
    </r>
    <r>
      <rPr>
        <b/>
        <sz val="11"/>
        <rFont val="Calibri"/>
        <family val="2"/>
      </rPr>
      <t>13.1</t>
    </r>
    <r>
      <rPr>
        <sz val="11"/>
        <rFont val="Calibri"/>
        <family val="2"/>
      </rPr>
      <t xml:space="preserve"> Modeled MSA yield (kg/ha/yr)) / (18.1 Conversion (kg farm commodity / kg product) + 18.1 LOCAL Loss adjustment factors [H5:L5])</t>
    </r>
  </si>
  <si>
    <t>Table 7.1: Proportional change between BASE and LOCAL scenarios</t>
  </si>
  <si>
    <t>Summary Table by food group</t>
  </si>
  <si>
    <t>production (%)</t>
  </si>
  <si>
    <t>processing (%)</t>
  </si>
  <si>
    <t>transport (%)</t>
  </si>
  <si>
    <t>retail (%)</t>
  </si>
  <si>
    <t>food service (%)</t>
  </si>
  <si>
    <t>institution (%)</t>
  </si>
  <si>
    <t>retail (% )</t>
  </si>
  <si>
    <t xml:space="preserve">Adjustment factor </t>
  </si>
  <si>
    <t>meat</t>
  </si>
  <si>
    <t>eggs</t>
  </si>
  <si>
    <t>milk</t>
  </si>
  <si>
    <t>fruit and vegetables, fresh</t>
  </si>
  <si>
    <t>roots and tubers, fresh</t>
  </si>
  <si>
    <t>fruit and vegetables, processed</t>
  </si>
  <si>
    <t>roots and tubers, processed</t>
  </si>
  <si>
    <t>grains</t>
  </si>
  <si>
    <t>oil</t>
  </si>
  <si>
    <t xml:space="preserve">sugar </t>
  </si>
  <si>
    <t>Table 7.2: Proportion emissions by food system stage</t>
  </si>
  <si>
    <t>Proportion industry output by food commodity group</t>
  </si>
  <si>
    <t>Source</t>
  </si>
  <si>
    <t>BEA industry code</t>
  </si>
  <si>
    <t>Industry name</t>
  </si>
  <si>
    <t>Food supply chain stage</t>
  </si>
  <si>
    <t>Food system proportion of industry output</t>
  </si>
  <si>
    <t>cereals</t>
  </si>
  <si>
    <t>oilseeds and pulses</t>
  </si>
  <si>
    <t>fruits and vegetables, fresh</t>
  </si>
  <si>
    <t>fruits and vegetables, processed</t>
  </si>
  <si>
    <t>fish, fresh</t>
  </si>
  <si>
    <t>fish, processed</t>
  </si>
  <si>
    <t>sugar</t>
  </si>
  <si>
    <t>beverages</t>
  </si>
  <si>
    <t>Food supply chain proportion</t>
  </si>
  <si>
    <t>Commodity proportion</t>
  </si>
  <si>
    <t>1111A0</t>
  </si>
  <si>
    <t>Fresh soybeans, canola, flaxseeds, and other oilseeds</t>
  </si>
  <si>
    <t>production</t>
  </si>
  <si>
    <t>—</t>
  </si>
  <si>
    <t>1111B0</t>
  </si>
  <si>
    <t>Fresh wheat, corn, rice, and other grains</t>
  </si>
  <si>
    <t>Fresh vegetables, melons, and potatoes</t>
  </si>
  <si>
    <t>a</t>
  </si>
  <si>
    <t>Fresh fruits and tree nuts</t>
  </si>
  <si>
    <t>Greenhouse crops, mushrooms, nurseries, and flowers</t>
  </si>
  <si>
    <t>Tobacco, cotton, sugarcane, peanuts, sugar beets, herbs and spices, and other crops</t>
  </si>
  <si>
    <t>Dairies</t>
  </si>
  <si>
    <t>1121A0</t>
  </si>
  <si>
    <t>Cattle ranches and feedlots</t>
  </si>
  <si>
    <t>Poultry farms</t>
  </si>
  <si>
    <t>112A00</t>
  </si>
  <si>
    <t>Animal farms and aquaculture ponds (except cattle and poultry)</t>
  </si>
  <si>
    <t>Flours and malts</t>
  </si>
  <si>
    <t>processing</t>
  </si>
  <si>
    <t>Corn products</t>
  </si>
  <si>
    <t>c, d</t>
  </si>
  <si>
    <t>Refined vegetable, olive, and seed oils</t>
  </si>
  <si>
    <t>31122A</t>
  </si>
  <si>
    <t>Vegetable oils and by-products</t>
  </si>
  <si>
    <t>Breakfast cereals</t>
  </si>
  <si>
    <t>Sugar, candy, and chocolate</t>
  </si>
  <si>
    <t>Frozen food</t>
  </si>
  <si>
    <t>c, e</t>
  </si>
  <si>
    <t>Fruit and vegetable preservation</t>
  </si>
  <si>
    <t>Dry, condensed, and evaporated dairy</t>
  </si>
  <si>
    <t>31151A</t>
  </si>
  <si>
    <t>Fluid milk and butter</t>
  </si>
  <si>
    <t>Ice cream and frozen desserts</t>
  </si>
  <si>
    <t>Packaged poultry</t>
  </si>
  <si>
    <t>31161A</t>
  </si>
  <si>
    <t>Packaged meat (except poultry)</t>
  </si>
  <si>
    <t>Bread and other baked goods</t>
  </si>
  <si>
    <t>3118A0</t>
  </si>
  <si>
    <t>Cookies, crackers, pastas, and tortillas</t>
  </si>
  <si>
    <t>Snack foods</t>
  </si>
  <si>
    <t>c, e, f</t>
  </si>
  <si>
    <t>Coffee and tea</t>
  </si>
  <si>
    <t>Flavored drink concentrates</t>
  </si>
  <si>
    <t>Seasonings and dressings</t>
  </si>
  <si>
    <t>c, f</t>
  </si>
  <si>
    <t>All other foods</t>
  </si>
  <si>
    <t>Soft drinks, bottled water, and ice</t>
  </si>
  <si>
    <t>Breweries and beer</t>
  </si>
  <si>
    <t>Wineries and wine</t>
  </si>
  <si>
    <t>Distilleries and spirits</t>
  </si>
  <si>
    <t>Air transport</t>
  </si>
  <si>
    <t>transport</t>
  </si>
  <si>
    <t>Rail transport</t>
  </si>
  <si>
    <t>Water transport (boats, ships, ferries)</t>
  </si>
  <si>
    <t>Truck transport</t>
  </si>
  <si>
    <t>Passenger ground transport</t>
  </si>
  <si>
    <t>48A000</t>
  </si>
  <si>
    <t>Scenic and sightseeing transportation and support activities for transportation</t>
  </si>
  <si>
    <t>Wholesale trade</t>
  </si>
  <si>
    <t>retail</t>
  </si>
  <si>
    <t>b</t>
  </si>
  <si>
    <t>General merchandise stores</t>
  </si>
  <si>
    <t>4A0000</t>
  </si>
  <si>
    <t>Other retail</t>
  </si>
  <si>
    <t>Warehousing</t>
  </si>
  <si>
    <t>Food and beverage stores</t>
  </si>
  <si>
    <t>Full-service restaurants</t>
  </si>
  <si>
    <t>foodservice</t>
  </si>
  <si>
    <t>Limited-service restaurants</t>
  </si>
  <si>
    <t>722A00</t>
  </si>
  <si>
    <t>All other food and drinking places</t>
  </si>
  <si>
    <t>Movies and film</t>
  </si>
  <si>
    <t>Performances</t>
  </si>
  <si>
    <t>Sports</t>
  </si>
  <si>
    <t>711A00</t>
  </si>
  <si>
    <t>Promoters and agents</t>
  </si>
  <si>
    <t>Museums, historical sites, zoos, and parks</t>
  </si>
  <si>
    <t>Amusement parks and arcades</t>
  </si>
  <si>
    <t>Gambling establishments (except casino hotels)</t>
  </si>
  <si>
    <t>Golf courses, marinas, ski resorts, fitness and other rec centers and industries</t>
  </si>
  <si>
    <t>Hotels and campgrounds</t>
  </si>
  <si>
    <t>Elementary and secondary schools</t>
  </si>
  <si>
    <t>institutional</t>
  </si>
  <si>
    <t>611A00</t>
  </si>
  <si>
    <t>Colleges, universities, junior colleges, and professional schools</t>
  </si>
  <si>
    <t>611B00</t>
  </si>
  <si>
    <t>Other educational services</t>
  </si>
  <si>
    <t>Hospitals</t>
  </si>
  <si>
    <t>623A00</t>
  </si>
  <si>
    <t>Nursing and community care facilities</t>
  </si>
  <si>
    <t>623B00</t>
  </si>
  <si>
    <t>Residential mental retardation, mental health, substance abuse and other facilities</t>
  </si>
  <si>
    <t>Individual and family services</t>
  </si>
  <si>
    <t>Child day care</t>
  </si>
  <si>
    <t>624A00</t>
  </si>
  <si>
    <t>Community food, housing, and other relief services, including rehabilitation services</t>
  </si>
  <si>
    <t>Religious organizations</t>
  </si>
  <si>
    <t>813A00</t>
  </si>
  <si>
    <t>Grantmaking, giving, and social advocacy organizations</t>
  </si>
  <si>
    <t>813B00</t>
  </si>
  <si>
    <t>Civic, social, professional, and similar organizations</t>
  </si>
  <si>
    <t>S00102</t>
  </si>
  <si>
    <t>Other federal government enterprises</t>
  </si>
  <si>
    <t>S00203</t>
  </si>
  <si>
    <t>Other state and local government enterprises</t>
  </si>
  <si>
    <t>S00500</t>
  </si>
  <si>
    <t>Federal general government (defense)</t>
  </si>
  <si>
    <t>S00700</t>
  </si>
  <si>
    <t>State and local general government</t>
  </si>
  <si>
    <t>Read, Q.D., Brown, S., Cuéllar, A.D., Finn, S.M., Gephart, J.A., Marston, L.T., Meyer, E., Weitz, K.A., Muth, M.K., 2020. Assessing the environmental impacts of halving food loss and waste along the food supply chain. Sci. Total Environ. 712. https://doi.org/10.1016/j.scitotenv.2019.136255</t>
  </si>
  <si>
    <t>Modified from original to  exclude seafood sectors not used in this model</t>
  </si>
  <si>
    <t>fruit and vegetables, processed and roots and tubers, processed include only post-production stages. This change is accounted for in the Outputs LOCAL tab by allocating the price of fresh produce for the production stage only (73.38% of fresh prices) and then the remaining price difference between the fresh production stage was allocated to the processed fruit and vegetable category.</t>
  </si>
  <si>
    <t>Processing, food service and institution not adjusted between BASE and LOCAL scenarios</t>
  </si>
  <si>
    <t>Disaggregated waste sectors added (USEEIO V2) - LOCAL waste and losses require further validation</t>
  </si>
  <si>
    <t xml:space="preserve">Dried beans are included as fruit and vegetable, processed </t>
  </si>
  <si>
    <t>Quarterly Census of Employment and Wages (QCEW, U.S. Bureau of Labor Statistics)</t>
  </si>
  <si>
    <t>Statistics of United States Businesses (SUSB, U.S. Census Bureau)</t>
  </si>
  <si>
    <t>c</t>
  </si>
  <si>
    <t>Input-output table (U.S. Bureau of Economic Analysis)</t>
  </si>
  <si>
    <t>d</t>
  </si>
  <si>
    <t>Proportions assuming that relative inputs from upstream industries are equal to relative outputs</t>
  </si>
  <si>
    <t>e</t>
  </si>
  <si>
    <t>Internal correction of proportions made from BEA industry 111200: 16.5% roots and tubers, 83.5% fruits and vegetables</t>
  </si>
  <si>
    <t>f</t>
  </si>
  <si>
    <t>Internal correction of proportions made from BEA industry 111900: 14.7% fruits and vegetables (peanuts), 85.3% sugar</t>
  </si>
  <si>
    <t>Table 8.1: Food prices</t>
  </si>
  <si>
    <t>Food types</t>
  </si>
  <si>
    <t>Food sub-groups</t>
  </si>
  <si>
    <t>BASE ($/MSA)</t>
  </si>
  <si>
    <t>LOCAL ($/MSA)</t>
  </si>
  <si>
    <t>Avg Retail Price ($/ kg or L)</t>
  </si>
  <si>
    <t>Retail price year</t>
  </si>
  <si>
    <t>Avg retail price 2012 ($/kg or L)</t>
  </si>
  <si>
    <t>Producer price 2012 ($/kg or L)</t>
  </si>
  <si>
    <t>Reference number or source</t>
  </si>
  <si>
    <t>Avg: Chicken-Fresh, Whole &amp; Boneless Chicken Breast</t>
  </si>
  <si>
    <t>APU0200706111, APU0200FF1101</t>
  </si>
  <si>
    <t>average across beef cuts: ground beef, steak, roast beef, all other</t>
  </si>
  <si>
    <t>USDA-ERS</t>
  </si>
  <si>
    <t>All Pork (excluding canned and luncheon)</t>
  </si>
  <si>
    <t>APU0200FD4101</t>
  </si>
  <si>
    <t>Grade A Eggs</t>
  </si>
  <si>
    <t>APU0200708111</t>
  </si>
  <si>
    <t xml:space="preserve">Dry Beans  </t>
  </si>
  <si>
    <t>Beans-Dried, any type</t>
  </si>
  <si>
    <t>APU0200714233</t>
  </si>
  <si>
    <t>Cheddar Cheese-Natural</t>
  </si>
  <si>
    <t>APU0200710212</t>
  </si>
  <si>
    <t>Avg: Whole Milk, Skim Milk</t>
  </si>
  <si>
    <t>APU0200709112, APU0200FJ1101</t>
  </si>
  <si>
    <t xml:space="preserve">Apples </t>
  </si>
  <si>
    <t>Watermelon, Cantaloupe, Honeydew</t>
  </si>
  <si>
    <t>APU0200711418</t>
  </si>
  <si>
    <t>Grapes-Seedless</t>
  </si>
  <si>
    <t>APU0200711417</t>
  </si>
  <si>
    <t>Strawberries-Dry Pint</t>
  </si>
  <si>
    <t>APU0200711415</t>
  </si>
  <si>
    <t>Fruits preserved</t>
  </si>
  <si>
    <t>canned, frozen and juice</t>
  </si>
  <si>
    <t>APU0200712412</t>
  </si>
  <si>
    <t>avg fresh collard green</t>
  </si>
  <si>
    <t>avg fresh kale</t>
  </si>
  <si>
    <t>Lettuce-Romaine</t>
  </si>
  <si>
    <t>APU0200FL2101</t>
  </si>
  <si>
    <t>Spinach -Raw</t>
  </si>
  <si>
    <t>Vegetables preserved</t>
  </si>
  <si>
    <t>Frozen Broccoli &amp; Kale</t>
  </si>
  <si>
    <t>Carrot-short trimmed and topped</t>
  </si>
  <si>
    <t>APU0200712403</t>
  </si>
  <si>
    <t xml:space="preserve">Pumpkin </t>
  </si>
  <si>
    <t>Sweet Potato</t>
  </si>
  <si>
    <t>APU0200712311</t>
  </si>
  <si>
    <t>Canned tomato</t>
  </si>
  <si>
    <t>Sweet Corn</t>
  </si>
  <si>
    <t xml:space="preserve"> </t>
  </si>
  <si>
    <t>Potato-White</t>
  </si>
  <si>
    <t>APU0200712112</t>
  </si>
  <si>
    <t>Frozen green peas, Frozen potato/french fry</t>
  </si>
  <si>
    <t>Green Beans</t>
  </si>
  <si>
    <t>Green Cabbage</t>
  </si>
  <si>
    <t>Cucumbers</t>
  </si>
  <si>
    <t>Lettuce-Iceberg</t>
  </si>
  <si>
    <t>APU0200712211</t>
  </si>
  <si>
    <t>Summer Squash</t>
  </si>
  <si>
    <t>Frozen green beans</t>
  </si>
  <si>
    <t>Wheat - Cereal</t>
  </si>
  <si>
    <t>Breakfast cereal</t>
  </si>
  <si>
    <t>Wheat - Bread</t>
  </si>
  <si>
    <t>75% white, 25% whole wheat bread</t>
  </si>
  <si>
    <t>Wheat - Cookies, Crackers, Pasta, Tortillas</t>
  </si>
  <si>
    <t>includes cookies (25%) and pasta (75%) prices (missing tortilla and crackers)</t>
  </si>
  <si>
    <t>Corn Flour</t>
  </si>
  <si>
    <t>Soybean oil</t>
  </si>
  <si>
    <t>Corn syrup dry</t>
  </si>
  <si>
    <t>White Sugar</t>
  </si>
  <si>
    <t>APU0200715211</t>
  </si>
  <si>
    <t>Table 8.2: Food prices within sub-groups</t>
  </si>
  <si>
    <t>Fruits preserved prices</t>
  </si>
  <si>
    <t>Fruit cocktail (average $ of packed in juice and syrup/water)</t>
  </si>
  <si>
    <t>Apple sauce</t>
  </si>
  <si>
    <t>Frozen strawberries</t>
  </si>
  <si>
    <t>Apple juice</t>
  </si>
  <si>
    <t>Wheat prices</t>
  </si>
  <si>
    <t>Wheat - bread (whole)</t>
  </si>
  <si>
    <t>Wheat - bread (white)</t>
  </si>
  <si>
    <t>crackers and cookies</t>
  </si>
  <si>
    <t>pasta and tortillas</t>
  </si>
  <si>
    <t>Midwest prices (Reference APU number)</t>
  </si>
  <si>
    <t>U.S. Bureau of Labor Statistics, 2018. CPI Average Price Data [WWW Document]. United States Department of Labor. URL https://data.bls.gov/cgi-bin/dsrv?ap (accessed 5.17.22).</t>
  </si>
  <si>
    <t>Fruit and vegetable prices (USA)</t>
  </si>
  <si>
    <t>USDA-ERS, 2018. Fruit and Vegetable Prices [WWW Document]. United States Department of Agriculture Economic Research Service. URL https://www.ers.usda.gov/data-products/fruit-and-vegetable-prices.aspx (accessed 5.17.22).</t>
  </si>
  <si>
    <t>Fruit and vegetable densities (USA)</t>
  </si>
  <si>
    <t>Haytowitz, D., Ahuja, J., Wu, X., Somanchi, M., Nickle, M., Nguyen, Q., Roseland, J., Williams, J., Patterson, K., Li, Y., Pehrsson, P., 2022. USDA National Nutrient Database for Standard Reference, Legacy Release [WWW Document]. United States Department of Agriculture Agricultural Research Service. URL https://data.nal.usda.gov/dataset/usda-national-nutrient-database-standard-reference-legacy-release (accessed 5.17.22).</t>
  </si>
  <si>
    <t>USDA-NASS, n.d. Quick Stats Carrots [WWW Document]. Unnited States Department of Agriculture National Agricultural Statistics Service. URL https://quickstats.nass.usda.gov/results/7700140D-4226-3004-82C5-EE0A30C7FB32 (accessed 5.17.22).</t>
  </si>
  <si>
    <t>Pumpkin prices</t>
  </si>
  <si>
    <t>USDA-ERS, 2022. Pumpkins: Background and Statistics [WWW Document]. United States Department of Agriculture Economic Research Service. URL https://www.ers.usda.gov/newsroom/trending-topics/pumpkins-background-statistics/ (accessed 5.17.22).</t>
  </si>
  <si>
    <t>Sweet potato prices</t>
  </si>
  <si>
    <t>USDA-ERS, 2016. Sweet Potatoes- Average retail Price per pound and per cup equivilant [WWW Document]. United States Department of Agriculture Economic Research Service. URL https://www.ers.usda.gov/webdocs/DataFiles/51035/sweet_potatoes.xlsx?v=115.1 (accessed 5.17.22).</t>
  </si>
  <si>
    <t>Sweet potato servings</t>
  </si>
  <si>
    <t>Shanthy, B., John, C., James, F., Krystal, L., Alanna, M., 2017. Food Patterns Equivalents Data 2013-14: Methodology and User Guide [WWW Document]. United States Department of Agriculture Agricultural Research Service. URL https://www.ars.usda.gov/ARSUserFiles/80400530/pdf/fped/FPED_1314.pdf (accessed 5.17.22).</t>
  </si>
  <si>
    <t>USDA-ERS, 2019. Price Spreads from Farm to Consumer [WWW Document]. United States Department of Agriculture Economic Research Service. URL https://www.ers.usda.gov/data-products/price-spreads-from-farm-to-consumer/price-spreads-from-farm-to-consumer/#Field%20crops (accessed 5.17.22).</t>
  </si>
  <si>
    <t>Wheat- Bread</t>
  </si>
  <si>
    <t>USDA-ERS, 2020. Price Spreads from Farm to Consumer [WWW Document]. United States Department of Agriculture Economic Research Services. URL https://www.ers.usda.gov/data-products/price-spreads-from-farm-to-consumer (accessed 5.17.22).</t>
  </si>
  <si>
    <t>Pasta and tortilla prices</t>
  </si>
  <si>
    <t>Mid-Atlantic Information Office, 2022. Average retail Food and Energy Prices [WWW Document]. United States Bureau of Labor Statistics. URL https://www.bls.gov/regions/mid-atlantic/data/averageretailfoodandenergyprices_usandmidwest_table.htm (accessed 5.17.22).</t>
  </si>
  <si>
    <t xml:space="preserve">Crackers and cookie prices </t>
  </si>
  <si>
    <t>USDA-ERS, 2010. Snacks—average retail price and cost per portion for calorie-dense snack foods [WWW Document]. 2010 Nielsen Homescan data, 2005-08 National Health and Nutrition Examination Survey, and various USDA data sets. URL https://www.ers.usda.gov/webdocs/DataFiles/51035/snackprices.xls?v=0 (accessed 7.29.21).</t>
  </si>
  <si>
    <t>Cereal prices</t>
  </si>
  <si>
    <t>Statista Research Department, 2016. Average Price per Unit of Breakfast Food in the United States [WWW Document]. Statista Research Department. URL https://www.statista.com/statistics/378915/us-breakfast-food-average-price-category/ (accessed 5.17.22).</t>
  </si>
  <si>
    <t>Corn flour prices</t>
  </si>
  <si>
    <t>Selina Wamucii, 2022. US Maize (corn) flour Prices [WWW Document]. URL https://www.selinawamucii.com/insights/prices/united-states-of-america/maize-corn-flour/ (accessed 5.17.22).</t>
  </si>
  <si>
    <t>Oil (Canola and Soybean) prices</t>
  </si>
  <si>
    <t>Gatewood, J., n.d. Vegetable Oils - Comparison, Cost, and Nutrition [WWW Document]. Iowa State Extension and Outreach. URL https://blogs.extension.iastate.edu/spendsmart/2013/08/19/vegetable-oils-comparison-cost-and-nutrition/ (accessed 5.17.22).</t>
  </si>
  <si>
    <t>Oil (Canola and Soybean) proportions</t>
  </si>
  <si>
    <t>USDA-ERS, 2022b. Oil Crops Yearbook [WWW Document]. United States Department of Agriculture Economic Research Service. URL https://www.ers.usda.gov/data-products/oil-crops-yearbook/ (accessed 5.17.22).</t>
  </si>
  <si>
    <t>Justification for oil inclusion</t>
  </si>
  <si>
    <t>M., S., 2021. Consumption of edible oils in the United States [WWW Document]. Statista Research Department. URL https://www.statista.com/statistics/301044/edible-oils-consumption-united-states-by-type/ (accessed 5.17.22).</t>
  </si>
  <si>
    <t>Corn syrup prices</t>
  </si>
  <si>
    <t>USDA-ERS, 2022c. Sugar and Sweeteners Yearbook Tables [WWW Document]. United States Department of Agriculture Economic Research Service. URL https://www.ers.usda.gov/data-products/sugar-and-sweeteners-yearbook-tables/sugar-and-sweeteners-yearbook-tables/#World%20and%20U.S.%20Sugar%20and%20Corn%20Sweetener%20Prices (accessed 5.17.22).</t>
  </si>
  <si>
    <t>Sugar / Sweetener prices</t>
  </si>
  <si>
    <t>USDA-ERS, 2021. Sugar and Sweeteners Yearbook Tables [WWW Document]. United States Departments of Agriculture Economic Research Service. URL https://www.ers.usda.gov/data-products/sugar-and-sweeteners-yearbook-tables/ (accessed 5.17.22).</t>
  </si>
  <si>
    <t>Corn and Soybean Commodity Prices</t>
  </si>
  <si>
    <t xml:space="preserve">Ag Decision Maker, 2022c. Iowa Cash Corn and Soybean Prices [WWW Document]. Iowa State Extension and Outreach. URL https://www.extension.iastate.edu/agdm/crops/pdf/a2-11.pdf (accessed 5.17.22).								</t>
  </si>
  <si>
    <t>2021 and 2020 inflation adjustments</t>
  </si>
  <si>
    <t>US Inflation Calculator, 2022. Inflation Calculator [WWW Document]. United States Inflation Calculator. URL https://www.usinflationcalculator.com/ (accessed 5.17.22).</t>
  </si>
  <si>
    <t>LOCAL $/MSA</t>
  </si>
  <si>
    <t>Prices are assumed constant for each food type in the Base and Local scenarios. Prices for Local are adjusted to incorporate differences in environmental impacts per dollar.</t>
  </si>
  <si>
    <t>Retail price for 2020 Howden pumpkin - avg in season (1st week sept - 4th week oct)= $4.08 for a 7.5 lbs (3.4 kg) pumpkin (producer price in states like Indiana, Michigan, and Virginia received prices ranging from about $136 per 1,000 pounds to $183 in 2018 to 2020.</t>
  </si>
  <si>
    <t>Cereal</t>
  </si>
  <si>
    <t>Price per box in 2016 at an average of 500 g /box</t>
  </si>
  <si>
    <t>24 oz = minimum net weight / dozen for large eggs, 35.27396 oz/kg</t>
  </si>
  <si>
    <t>Peas</t>
  </si>
  <si>
    <t>Only processed (canned and frozen)</t>
  </si>
  <si>
    <t>$0.60/ kg in 2018</t>
  </si>
  <si>
    <t>Bread</t>
  </si>
  <si>
    <t>25% consumption whole wheat, 75% white</t>
  </si>
  <si>
    <t>Inflation adjustments</t>
  </si>
  <si>
    <t xml:space="preserve">From 2021 to 2012 for pumpkin, cookies, corn flour, canola oil. From 2020 to 2012 for corn syrup </t>
  </si>
  <si>
    <t>Table 8.1 Column C, Base ($/MSA)</t>
  </si>
  <si>
    <r>
      <t xml:space="preserve">Producer price 2012 ($/kg or L) * </t>
    </r>
    <r>
      <rPr>
        <b/>
        <sz val="11"/>
        <color theme="1"/>
        <rFont val="Calibri"/>
        <family val="2"/>
        <scheme val="minor"/>
      </rPr>
      <t>11.1</t>
    </r>
    <r>
      <rPr>
        <sz val="11"/>
        <color theme="1"/>
        <rFont val="Calibri"/>
        <family val="2"/>
        <scheme val="minor"/>
      </rPr>
      <t xml:space="preserve"> Diet 50% MSA consumption (kg/MSA/yr) </t>
    </r>
  </si>
  <si>
    <t>Table 8.1 Column D, LOCAL ($/MSA)</t>
  </si>
  <si>
    <r>
      <t xml:space="preserve">Producer price 2012 ($/kg or L) * </t>
    </r>
    <r>
      <rPr>
        <b/>
        <sz val="11"/>
        <color theme="1"/>
        <rFont val="Calibri"/>
        <family val="2"/>
        <scheme val="minor"/>
      </rPr>
      <t xml:space="preserve">11.1 </t>
    </r>
    <r>
      <rPr>
        <sz val="11"/>
        <color theme="1"/>
        <rFont val="Calibri"/>
        <family val="2"/>
        <scheme val="minor"/>
      </rPr>
      <t>Diet 50% MSA consumption (kg/MSA/yr) * BASE to LOCAL Adjustment factor by food group</t>
    </r>
  </si>
  <si>
    <t>Table 8.1 Column G, Avg retail price 2012 ($/kg or L)</t>
  </si>
  <si>
    <r>
      <t xml:space="preserve">Price ($/kg or L) * </t>
    </r>
    <r>
      <rPr>
        <b/>
        <sz val="11"/>
        <color theme="1"/>
        <rFont val="Calibri"/>
        <family val="2"/>
        <scheme val="minor"/>
      </rPr>
      <t xml:space="preserve">9.1 </t>
    </r>
    <r>
      <rPr>
        <sz val="11"/>
        <color theme="1"/>
        <rFont val="Calibri"/>
        <family val="2"/>
        <scheme val="minor"/>
      </rPr>
      <t>Price Adj Annual price adjustment (inflation)</t>
    </r>
  </si>
  <si>
    <t>Table 8.1 Column H, Producer price 2012 ($/kg or L)</t>
  </si>
  <si>
    <r>
      <t xml:space="preserve">Avg retail price 2012 ($/kg or L) * </t>
    </r>
    <r>
      <rPr>
        <b/>
        <sz val="11"/>
        <color theme="1"/>
        <rFont val="Calibri"/>
        <family val="2"/>
        <scheme val="minor"/>
      </rPr>
      <t xml:space="preserve">9.1 </t>
    </r>
    <r>
      <rPr>
        <sz val="11"/>
        <color theme="1"/>
        <rFont val="Calibri"/>
        <family val="2"/>
        <scheme val="minor"/>
      </rPr>
      <t>Price Adj Purchaser to Producer price adjustment</t>
    </r>
  </si>
  <si>
    <t>Table 9.1: Price adjustment ratios by year</t>
  </si>
  <si>
    <t>Annual price adjustment (inflation)</t>
  </si>
  <si>
    <t>Purchaser to Producer price adjustment</t>
  </si>
  <si>
    <t>1111A0/US</t>
  </si>
  <si>
    <t>1111B0/US</t>
  </si>
  <si>
    <t>111200/US</t>
  </si>
  <si>
    <t>111300/US</t>
  </si>
  <si>
    <t>111400/US</t>
  </si>
  <si>
    <t>111900/US</t>
  </si>
  <si>
    <t>112120/US</t>
  </si>
  <si>
    <t>1121A0/US</t>
  </si>
  <si>
    <t>112300/US</t>
  </si>
  <si>
    <t>112A00/US</t>
  </si>
  <si>
    <t>311119/US</t>
  </si>
  <si>
    <t>Other animal food</t>
  </si>
  <si>
    <t>311210/US</t>
  </si>
  <si>
    <t>311221/US</t>
  </si>
  <si>
    <t>311224/US</t>
  </si>
  <si>
    <t>311225/US</t>
  </si>
  <si>
    <t>311230/US</t>
  </si>
  <si>
    <t>311300/US</t>
  </si>
  <si>
    <t>311410/US</t>
  </si>
  <si>
    <t>311420/US</t>
  </si>
  <si>
    <t>311513/US</t>
  </si>
  <si>
    <t>311514/US</t>
  </si>
  <si>
    <t>31151A/US</t>
  </si>
  <si>
    <t>311520/US</t>
  </si>
  <si>
    <t>311615/US</t>
  </si>
  <si>
    <t>31161A/US</t>
  </si>
  <si>
    <t>311700/US</t>
  </si>
  <si>
    <t>Seafood</t>
  </si>
  <si>
    <t>311810/US</t>
  </si>
  <si>
    <t>3118A0/US</t>
  </si>
  <si>
    <t>311910/US</t>
  </si>
  <si>
    <t>311920/US</t>
  </si>
  <si>
    <t>311930/US</t>
  </si>
  <si>
    <t>311940/US</t>
  </si>
  <si>
    <t>311990/US</t>
  </si>
  <si>
    <t>312110/US</t>
  </si>
  <si>
    <t>312120/US</t>
  </si>
  <si>
    <t>312130/US</t>
  </si>
  <si>
    <t>312140/US</t>
  </si>
  <si>
    <t>Ingwersen, W.W., Li, M., Young, B., Vendries, J., Birney, C., 2022. USEEIO v2.0, The US Environmentally-Extended Input-Output Model v2.0. Scientific Data 9, 194. https://doi.org/10.1038/s41597-022-01293-7</t>
  </si>
  <si>
    <t>Adjustment factors to 2018 - We will either need to find inflation adjustments to adjust back from 2021, 2020 and 2019 to 2012 or find data for before 2018 so they are all prices for the same year (2012).</t>
  </si>
  <si>
    <t>Table 10.1: Population projections for the DM-MSA</t>
  </si>
  <si>
    <t>Year</t>
  </si>
  <si>
    <t xml:space="preserve">Total MSA Population </t>
  </si>
  <si>
    <t>Woods and Poole, n.d. Data Pamphlet Des Moines - West Des Moines [WWW Document]. Woods and Poole Economics. URL https://www.woodsandpoole.com/product/data-pamphlet-des-moines-west-des-moines-ia-msa-fips-19780/ (accessed 5.17.22).</t>
  </si>
  <si>
    <t>Table 11.1: Diet Compositions</t>
  </si>
  <si>
    <t>BASE &amp; LOCAL Diets</t>
  </si>
  <si>
    <t>Unit Conversions</t>
  </si>
  <si>
    <t>Food group</t>
  </si>
  <si>
    <t>Unit</t>
  </si>
  <si>
    <t>Consumption (unit/capita/day)</t>
  </si>
  <si>
    <t>Fresh</t>
  </si>
  <si>
    <t>Canned</t>
  </si>
  <si>
    <t>Frozen</t>
  </si>
  <si>
    <t>Juice</t>
  </si>
  <si>
    <t>50% consumption (unit/capita/day)</t>
  </si>
  <si>
    <t>50% MSA consumption (kg/MSA/yr)</t>
  </si>
  <si>
    <r>
      <rPr>
        <b/>
        <sz val="10"/>
        <color rgb="FF000000"/>
        <rFont val="Calibri"/>
        <family val="2"/>
      </rPr>
      <t xml:space="preserve">Fresh </t>
    </r>
    <r>
      <rPr>
        <sz val="10"/>
        <color rgb="FF000000"/>
        <rFont val="Calibri"/>
        <family val="2"/>
      </rPr>
      <t>(g/unit)</t>
    </r>
  </si>
  <si>
    <r>
      <rPr>
        <b/>
        <sz val="10"/>
        <color rgb="FF000000"/>
        <rFont val="Calibri"/>
        <family val="2"/>
      </rPr>
      <t>Canned</t>
    </r>
    <r>
      <rPr>
        <sz val="10"/>
        <color rgb="FF000000"/>
        <rFont val="Calibri"/>
        <family val="2"/>
      </rPr>
      <t xml:space="preserve"> (g/unit)</t>
    </r>
  </si>
  <si>
    <r>
      <rPr>
        <b/>
        <sz val="10"/>
        <color rgb="FF000000"/>
        <rFont val="Calibri"/>
        <family val="2"/>
      </rPr>
      <t xml:space="preserve">Frozen </t>
    </r>
    <r>
      <rPr>
        <sz val="10"/>
        <color rgb="FF000000"/>
        <rFont val="Calibri"/>
        <family val="2"/>
      </rPr>
      <t>(g/unit)</t>
    </r>
  </si>
  <si>
    <r>
      <rPr>
        <b/>
        <sz val="10"/>
        <color rgb="FF000000"/>
        <rFont val="Calibri"/>
        <family val="2"/>
      </rPr>
      <t>Juice</t>
    </r>
    <r>
      <rPr>
        <sz val="10"/>
        <color rgb="FF000000"/>
        <rFont val="Calibri"/>
        <family val="2"/>
      </rPr>
      <t xml:space="preserve"> (g/unit)</t>
    </r>
  </si>
  <si>
    <t>Protein</t>
  </si>
  <si>
    <t>oz eq</t>
  </si>
  <si>
    <t>cup eq</t>
  </si>
  <si>
    <t>Fruit/Berries</t>
  </si>
  <si>
    <t>Melon (all types)</t>
  </si>
  <si>
    <t>Vegetables: Dark Green</t>
  </si>
  <si>
    <t>Vegetables: Red &amp; Orange</t>
  </si>
  <si>
    <t>Vegetables: Starchy</t>
  </si>
  <si>
    <t>Vegetables: Legumes</t>
  </si>
  <si>
    <t>Vegetables: Other</t>
  </si>
  <si>
    <t>Whole Wheat / All Purpose Flour</t>
  </si>
  <si>
    <t>grams</t>
  </si>
  <si>
    <t>teaspoons</t>
  </si>
  <si>
    <t>Table 11.2: Preserved Fruit/ Vegetable Weights</t>
  </si>
  <si>
    <t>Table 11.4: Percent of consumption for each food type included in each food category</t>
  </si>
  <si>
    <t>Food Categories</t>
  </si>
  <si>
    <t>% of total consumption included in 50% diet</t>
  </si>
  <si>
    <t>Canned Apples &amp; Applesauce</t>
  </si>
  <si>
    <t xml:space="preserve">Protein (animal based) </t>
  </si>
  <si>
    <t>Frozen Apples</t>
  </si>
  <si>
    <t>Protein (plant based)</t>
  </si>
  <si>
    <t>Juiced Apples</t>
  </si>
  <si>
    <t xml:space="preserve">Cheese </t>
  </si>
  <si>
    <t>Frozen Blueberries</t>
  </si>
  <si>
    <t>Frozen Cherries</t>
  </si>
  <si>
    <t xml:space="preserve">Fruit </t>
  </si>
  <si>
    <t>Juiced Grapes</t>
  </si>
  <si>
    <t>Vegetable (Legumes: Dried Beans not included)</t>
  </si>
  <si>
    <t>Canned Pears</t>
  </si>
  <si>
    <t xml:space="preserve">Grain </t>
  </si>
  <si>
    <t xml:space="preserve">Oil </t>
  </si>
  <si>
    <t>Frozen Strawberries</t>
  </si>
  <si>
    <t>Table 11.5: ABM-LCA preserved fruit/ vegetable weights</t>
  </si>
  <si>
    <t>Spinach, Frozen</t>
  </si>
  <si>
    <t>Starchy vegetables (specialty)</t>
  </si>
  <si>
    <t>Carrot, Canned</t>
  </si>
  <si>
    <t>Starchy vegetables (field)</t>
  </si>
  <si>
    <t>Carrot, Frozen</t>
  </si>
  <si>
    <t>Other vegetables (specialty)</t>
  </si>
  <si>
    <t>Tomatoes, Canned</t>
  </si>
  <si>
    <t>Other vegetables (field)</t>
  </si>
  <si>
    <t>Dark green (specialty)</t>
  </si>
  <si>
    <t>Corn, Sweet, Canned</t>
  </si>
  <si>
    <t>Red &amp; Orange (specialty)</t>
  </si>
  <si>
    <t>Corn, Sweet, Frozen</t>
  </si>
  <si>
    <t>Green Peas, Canned</t>
  </si>
  <si>
    <t>Green Peas, Frozen</t>
  </si>
  <si>
    <t>Potatoes, Canned</t>
  </si>
  <si>
    <t>Potatoes, Frozen</t>
  </si>
  <si>
    <t>Snap Beans, Canned</t>
  </si>
  <si>
    <t>Snap Beans, Frozen</t>
  </si>
  <si>
    <t xml:space="preserve">Cabbage, Canned </t>
  </si>
  <si>
    <t>Cucumber, Canned</t>
  </si>
  <si>
    <t>Table 11.3: Processed Grain Weights</t>
  </si>
  <si>
    <t>Cookies, Crackers, Pasta, Tortillas</t>
  </si>
  <si>
    <t>Table 1</t>
  </si>
  <si>
    <t xml:space="preserve">United States Department of Agriculture Economic Research Service, 2016. Food availability (per capita) data system [WWW Document]. USDA ERS. URL https://www.ers.usda.gov/data-products/food-availability-per-capita-data-system/											</t>
  </si>
  <si>
    <t xml:space="preserve">HHS-USDA, 2015. 2015 – 2020 Dietary Guidelines for Americans, 2015 – 2020 Dietary Guidelines for Americans (8th edition). https://doi.org/10.1097/NT.0b013e31826c50af											</t>
  </si>
  <si>
    <t>USDA, 2022. Oil Crops Data: Yearbook Tables [WWW Document]. URL https://www.ers.usda.gov/data-products/oil-crops-yearbook/ (accessed 1.5.22).</t>
  </si>
  <si>
    <t>Table 3</t>
  </si>
  <si>
    <t>AgMRC, 2022. Wheat [WWW Document]. Agricultureal Marketing Resource Center. URL https://www.agmrc.org/commodities-products/grains-oilseeds/wheat (accessed 5.17.22).</t>
  </si>
  <si>
    <t>USDA, 2019b. How is the county average yield determined? [WWW Document]. United States Department of Agriculture. URL https://ask.usda.gov/s/article/How-is-the-county-average-yield-determined (accessed 5.17.22).</t>
  </si>
  <si>
    <t>Bread is 25% white, 75% whole wheat and the Cookies, Crackers, Pasta, Tortilla category is 25% cookies and crackers, 75% pasta and tortillas</t>
  </si>
  <si>
    <t>For the sugar category, Corn Syrup is modeled as HFCS and all consumption is included, while for Cane and Beet Sugar only 12% is included</t>
  </si>
  <si>
    <t>Iceburg is used as a proxy for all head lettuce</t>
  </si>
  <si>
    <t>Squash is modeled as zuchinni (summer squash)</t>
  </si>
  <si>
    <t>Whole wheat and white consumption were not differentiated</t>
  </si>
  <si>
    <t>The modeled diet excluded potato consumption via chips/shoestring (0.166 cup eq/person/day), or dehydration for potato (0.063 cup eq/person/day) and onion (0.007 cup eq/person/day)</t>
  </si>
  <si>
    <t>Grain Category</t>
  </si>
  <si>
    <t>Production</t>
  </si>
  <si>
    <t>Proportion</t>
  </si>
  <si>
    <t>%</t>
  </si>
  <si>
    <t>bread flour</t>
  </si>
  <si>
    <t>bread flours and high-protein blending</t>
  </si>
  <si>
    <t>cakes, cookies, crackers</t>
  </si>
  <si>
    <t>noodles, crackers, cereal</t>
  </si>
  <si>
    <t>pasta</t>
  </si>
  <si>
    <t>2018 Production total</t>
  </si>
  <si>
    <r>
      <rPr>
        <b/>
        <sz val="11"/>
        <color rgb="FF000000"/>
        <rFont val="Calibri"/>
        <family val="2"/>
      </rPr>
      <t xml:space="preserve">Table 11.1 </t>
    </r>
    <r>
      <rPr>
        <sz val="11"/>
        <color rgb="FF000000"/>
        <rFont val="Calibri"/>
        <family val="2"/>
      </rPr>
      <t>[column I], 50% Current Consumption</t>
    </r>
  </si>
  <si>
    <r>
      <rPr>
        <b/>
        <sz val="11"/>
        <color rgb="FFFF0000"/>
        <rFont val="Calibri"/>
        <family val="2"/>
      </rPr>
      <t>11.1</t>
    </r>
    <r>
      <rPr>
        <sz val="11"/>
        <color rgb="FFFF0000"/>
        <rFont val="Calibri"/>
        <family val="2"/>
      </rPr>
      <t xml:space="preserve"> Consumption (unit/capita/day) * Percent of total consumption by food group [ADD TABLE # B100:106]</t>
    </r>
  </si>
  <si>
    <r>
      <rPr>
        <b/>
        <sz val="11"/>
        <color rgb="FF000000"/>
        <rFont val="Calibri"/>
        <family val="2"/>
      </rPr>
      <t xml:space="preserve">Table 11.1 </t>
    </r>
    <r>
      <rPr>
        <sz val="11"/>
        <color rgb="FF000000"/>
        <rFont val="Calibri"/>
        <family val="2"/>
      </rPr>
      <t>[column J], 50% MSA Consumption (kg/MSA/yr)</t>
    </r>
  </si>
  <si>
    <r>
      <rPr>
        <sz val="11"/>
        <color rgb="FF000000"/>
        <rFont val="Calibri"/>
        <family val="2"/>
      </rPr>
      <t>(</t>
    </r>
    <r>
      <rPr>
        <b/>
        <sz val="11"/>
        <color rgb="FF000000"/>
        <rFont val="Calibri"/>
        <family val="2"/>
      </rPr>
      <t>11.1</t>
    </r>
    <r>
      <rPr>
        <sz val="11"/>
        <color rgb="FF000000"/>
        <rFont val="Calibri"/>
        <family val="2"/>
      </rPr>
      <t xml:space="preserve"> 50% Current Consumption*(grams/unit/1000 [conversion to kg])) * 365 [conversion day to year] * MSA population [</t>
    </r>
    <r>
      <rPr>
        <b/>
        <sz val="11"/>
        <color rgb="FF000000"/>
        <rFont val="Calibri"/>
        <family val="2"/>
      </rPr>
      <t>1.1</t>
    </r>
    <r>
      <rPr>
        <sz val="11"/>
        <color rgb="FF000000"/>
        <rFont val="Calibri"/>
        <family val="2"/>
      </rPr>
      <t xml:space="preserve"> B6]</t>
    </r>
  </si>
  <si>
    <t>Table 12.1: Dietary macronutrient summary</t>
  </si>
  <si>
    <t>Table 1: Dietary nutrient summary</t>
  </si>
  <si>
    <t>Units</t>
  </si>
  <si>
    <t>BASE/ LOCAL Diet</t>
  </si>
  <si>
    <t>Total energy</t>
  </si>
  <si>
    <t>Kcal/day</t>
  </si>
  <si>
    <t>g/day</t>
  </si>
  <si>
    <t>Fat</t>
  </si>
  <si>
    <t>Carbohydrate</t>
  </si>
  <si>
    <t>Table 12.2: Dietary macronutrients</t>
  </si>
  <si>
    <t>Per 100 g</t>
  </si>
  <si>
    <t>BASE/LOCAL</t>
  </si>
  <si>
    <t>Food</t>
  </si>
  <si>
    <t xml:space="preserve">g /Serving </t>
  </si>
  <si>
    <t>BASE (g)</t>
  </si>
  <si>
    <t>Calories (g)</t>
  </si>
  <si>
    <t>Protein (g)</t>
  </si>
  <si>
    <t>Fat (g)</t>
  </si>
  <si>
    <t>Carbohydrates (g)</t>
  </si>
  <si>
    <t>Total Fat (% kcal)</t>
  </si>
  <si>
    <t>Sat Fat (% kcal)</t>
  </si>
  <si>
    <t>Calories (Kcal)</t>
  </si>
  <si>
    <t xml:space="preserve">Carbs (g) </t>
  </si>
  <si>
    <t>USA average nutritional values</t>
  </si>
  <si>
    <t xml:space="preserve">USDA, 2021. Food Central Data [WWW Document]. United States Department of Agriculture. URL https://fdc.nal.usda.gov/ (accessed 7.16.21).								</t>
  </si>
  <si>
    <t xml:space="preserve">Average current consumption </t>
  </si>
  <si>
    <t>USDA-ERS, 2016. Food availability (per capita) data system [WWW Document]. USDA ERS. URL https://www.ers.usda.gov/data-products/food-availability-per-capita-data-system/ (assessed 6.6.20).</t>
  </si>
  <si>
    <t>Oil Soybean oil, USA</t>
  </si>
  <si>
    <t>USDA-ERS, 2021.Soybean and oil crops. https://www.ers.usda.gov/topics/crops/soybeans-oil-crops/#:~:text=The%20United%20States%20is%20the,flax%E2%80%94make%20up%20the%20remainder (assessed 9.3.21)</t>
  </si>
  <si>
    <t>Oil cooking/salad oil, USA</t>
  </si>
  <si>
    <t>Wunsch, Nils-Gerrit, Statista. U.S. Consumption of edible oils by type 2020. (2020). https://www.statista.com/statistics/301044/edible-oils-consumption-united-states-by-type/ (assessed 8.3.21).</t>
  </si>
  <si>
    <t>Nutritional content from USDA using SR Legacy or Survey data.</t>
  </si>
  <si>
    <t>Wheat Flour</t>
  </si>
  <si>
    <t>No SR legacy or survey data avaiable, used Bob's Red Mill Natural Foods, Inc.</t>
  </si>
  <si>
    <r>
      <rPr>
        <b/>
        <sz val="11"/>
        <color rgb="FF000000"/>
        <rFont val="Calibri"/>
        <family val="2"/>
      </rPr>
      <t xml:space="preserve">Table 12.2 </t>
    </r>
    <r>
      <rPr>
        <sz val="11"/>
        <color rgb="FF000000"/>
        <rFont val="Calibri"/>
        <family val="2"/>
      </rPr>
      <t>BASE/LOCAL [columns J:O]</t>
    </r>
  </si>
  <si>
    <t>BASE (g) * (Per 100 g [Table 12.2 Columns E:I]/100)</t>
  </si>
  <si>
    <t xml:space="preserve">Table 13.1: Agricultural yields </t>
  </si>
  <si>
    <t>Feed/ Fuel</t>
  </si>
  <si>
    <t>Peters (Ibs/year)</t>
  </si>
  <si>
    <t>Peters  (ac)</t>
  </si>
  <si>
    <t>US yield (lbs/ac/yr)</t>
  </si>
  <si>
    <t>US yield (kg/m2/yr)</t>
  </si>
  <si>
    <t>2020 US yield (kg/hectare/yr)</t>
  </si>
  <si>
    <t>US to MSA yield conversion factor</t>
  </si>
  <si>
    <t>MSA yield (kg/m2/yr)</t>
  </si>
  <si>
    <t>2020 MSA yield (kg/ha/yr)</t>
  </si>
  <si>
    <t>Modeled MSA yield (kg/ha/yr)</t>
  </si>
  <si>
    <t>Corn grain</t>
  </si>
  <si>
    <t>Soybean meal</t>
  </si>
  <si>
    <t>Hay/halage (excluding alfalfa)</t>
  </si>
  <si>
    <t>Grazing land</t>
  </si>
  <si>
    <t>Alfalfa hay/haylage</t>
  </si>
  <si>
    <t>Corn silage</t>
  </si>
  <si>
    <t xml:space="preserve">Lettuce, Loose leaf </t>
  </si>
  <si>
    <t>Lettuce, Iceberg (head lettuce)</t>
  </si>
  <si>
    <t>Corn Syrup (HFCS)</t>
  </si>
  <si>
    <t xml:space="preserve">Sugar,cane and beet </t>
  </si>
  <si>
    <t>Ag Dallas County</t>
  </si>
  <si>
    <t xml:space="preserve">Corn, Commodity </t>
  </si>
  <si>
    <t>Soybean , Commodity</t>
  </si>
  <si>
    <t>Ag Guthrie County</t>
  </si>
  <si>
    <t>Ag Jasper County</t>
  </si>
  <si>
    <t>Ag Madison County</t>
  </si>
  <si>
    <t>Ag Polk County</t>
  </si>
  <si>
    <t>Ag Warren County</t>
  </si>
  <si>
    <t>Table 13.2: Preserved fruit and vegetable yields</t>
  </si>
  <si>
    <t>Apples &amp; Applesauce</t>
  </si>
  <si>
    <t>Frozen Raspberries</t>
  </si>
  <si>
    <t>Broccoli, Frozen</t>
  </si>
  <si>
    <t>Carrots, Canned</t>
  </si>
  <si>
    <t>Carrots, Frozen</t>
  </si>
  <si>
    <t>Tomato, Canned</t>
  </si>
  <si>
    <t>Canned Cabbage</t>
  </si>
  <si>
    <t>Cucumbers, Canned</t>
  </si>
  <si>
    <t>Dried Peas (and lentils)</t>
  </si>
  <si>
    <t>Peters, C.J., Picardy, J., Darrouzet-Nardi, A.F., Wilkins, J.L., Griffin, T.S., Fick, G.W., 2016. Carrying capacity of U.S. agricultural land: Ten diet scenarios. Elementa 2016. https://doi.org/10.12952/journal.elementa.000116</t>
  </si>
  <si>
    <t>USDA, n.d. Conversion Factors and Tables [WWW Document]. United States Department of Agriculture. URL https://efotg.sc.egov.usda.gov/references/Delete/2017-1-21/Archived_Conversion_Factor_Tables_170118.pdf (accessed 5.31.21b).</t>
  </si>
  <si>
    <t>Eklund, B., 2020. 2019 Blueberry Statistics [WWW Document]. URL https://www.nass.usda.gov/Statistics_by_State/New_Jersey/Publications/Blueberry_Statistics/NJ%202019%20Blueberry%20Summary.pdf (accessed 5.31.22).</t>
  </si>
  <si>
    <t>Flachowsky, G., Meyer, U., &amp; Südekum, K. H., 2017. Land use for edible protein of animal origin—A review. Animals, 7(3), 1–19. https://doi.org/10.3390/ani7030025</t>
  </si>
  <si>
    <t>Pelletier, Nathan, Pirog, R., &amp; Rasmussen, R. (2010a). Comparative life cycle environmental impacts of three beef production strategies in the Upper Midwestern United States. Agricultural Systems, 103(6), 380–389. https://doi.org/10.1016/j.agsy.2010.03.009</t>
  </si>
  <si>
    <t>2020 MSA yield (kg/ha/yr) [column J] differs from Modeled MSA yield (kg/ha/yr) [column K] based on future climate conditions changing yields</t>
  </si>
  <si>
    <t>All yield values are average marketable yields (not total yield)</t>
  </si>
  <si>
    <t>Modeled MSA Yields (Column K) into the future are based on the Soil and Water Assessment Tool (SWAT) model yield estimates</t>
  </si>
  <si>
    <t>Land use for livestock follows Flachowsky et al. (2017) grazing land to cultivated crop proportions based on average daily gains of 40 g for chicken, 500 g for beef, 500 g for pork and 70% laying performance egg production</t>
  </si>
  <si>
    <t>Assumptions for corn, soy, grazing, forages and hay feed proportions in the BASE scenario are based on Peters et al. 2014</t>
  </si>
  <si>
    <t>LOCAL grazing, forages and hay for beef and dairy are based on yields from managed pasture and forage in Iowa/the Upper Midwest from Pelletier et al. 2010a</t>
  </si>
  <si>
    <t>Iowa fruit and vegetable yields were determined based on available data and Iowa State University horticulture specialist recommendations Ajay Nair for vegetables, Gail Nonnecke &amp; Suzanne Slack for fruits</t>
  </si>
  <si>
    <t>Apples: based on current USDA fancy grade only 8,064 lbs /ac are marketable (0.277 conversion factor), however an additional 8,064 lbs/ac would be available for processing or for markets with more flexible standards</t>
  </si>
  <si>
    <t>Melon is an average of honeydew and cantaloupe</t>
  </si>
  <si>
    <t>Grapes: 4,000 lbs/ac of table quality, and 2,000 lbs/ac of processing quality (juice, jam)</t>
  </si>
  <si>
    <t xml:space="preserve">Blueberries: average yield was 6,630 lbs/acre in 2019. (Michigan 2019 yield = 4,120 lbs/ac) 373 million lbs for fresh market, 300 million lbs for processing </t>
  </si>
  <si>
    <t>Strawberries: all are assumed June bearing because producers in Iowa rarely grow day-neutral varieties at scale due to seasonal labor requirements</t>
  </si>
  <si>
    <t>Lettuce, Iceberg includes all head lettuce</t>
  </si>
  <si>
    <t>Commodity corn and soybean are all 2020 prices, except for Jasper (2019 prices)</t>
  </si>
  <si>
    <t>Conversions</t>
  </si>
  <si>
    <t>lbs/ac/yr to kg /m2/yr</t>
  </si>
  <si>
    <t>lbs/ac/yr to kg/ha/yr</t>
  </si>
  <si>
    <t>Soybean crop to soybean meal (feed)</t>
  </si>
  <si>
    <t>Grass Hay crop to feed</t>
  </si>
  <si>
    <t>Alfalfa crop to feed</t>
  </si>
  <si>
    <r>
      <rPr>
        <b/>
        <sz val="11"/>
        <color rgb="FF000000"/>
        <rFont val="Calibri"/>
        <family val="2"/>
      </rPr>
      <t xml:space="preserve">Table 13.1: </t>
    </r>
    <r>
      <rPr>
        <sz val="11"/>
        <color rgb="FF000000"/>
        <rFont val="Calibri"/>
        <family val="2"/>
      </rPr>
      <t>MSA yield (kg/m2/yr) [column I]</t>
    </r>
  </si>
  <si>
    <r>
      <rPr>
        <b/>
        <sz val="11"/>
        <color rgb="FF000000"/>
        <rFont val="Calibri"/>
        <family val="2"/>
      </rPr>
      <t xml:space="preserve">13.1 </t>
    </r>
    <r>
      <rPr>
        <sz val="11"/>
        <color rgb="FF000000"/>
        <rFont val="Calibri"/>
        <family val="2"/>
      </rPr>
      <t>US yield (kg/m2/yr) * Conversion: US to MSA yield</t>
    </r>
  </si>
  <si>
    <r>
      <rPr>
        <b/>
        <sz val="11"/>
        <color rgb="FF000000"/>
        <rFont val="Calibri"/>
        <family val="2"/>
      </rPr>
      <t>Table 13.1:</t>
    </r>
    <r>
      <rPr>
        <sz val="11"/>
        <color rgb="FF000000"/>
        <rFont val="Calibri"/>
        <family val="2"/>
      </rPr>
      <t xml:space="preserve"> MSA yield (kg/ha/yr) [column J &amp; K]</t>
    </r>
  </si>
  <si>
    <r>
      <rPr>
        <b/>
        <sz val="11"/>
        <color rgb="FF000000"/>
        <rFont val="Calibri"/>
        <family val="2"/>
      </rPr>
      <t xml:space="preserve">13.1 </t>
    </r>
    <r>
      <rPr>
        <sz val="11"/>
        <color rgb="FF000000"/>
        <rFont val="Calibri"/>
        <family val="2"/>
      </rPr>
      <t>US yield (kg/ha/yr) * Conversion: US to MSA yield</t>
    </r>
  </si>
  <si>
    <t>Table 14.1: Agricultural land requirements</t>
  </si>
  <si>
    <t>Ag production nationwide for 50% MSA (includes waste/loss)</t>
  </si>
  <si>
    <t>Ag production in MSA for 50% MSA (includes waste/loss)</t>
  </si>
  <si>
    <t>Cropland</t>
  </si>
  <si>
    <t>Grazing/forage land</t>
  </si>
  <si>
    <t>BASE (kg/MSA/yr)</t>
  </si>
  <si>
    <t>LOCAL (kg/MSA/yr)</t>
  </si>
  <si>
    <t>BASE (ha/MSA/yr)</t>
  </si>
  <si>
    <t>LOCAL  (ha/MSA/yr)</t>
  </si>
  <si>
    <t>Table 14.2: Corn and soybeans by county (ha)</t>
  </si>
  <si>
    <t>Corn, commodity (ha)</t>
  </si>
  <si>
    <t>Soybean, commodity (ha)</t>
  </si>
  <si>
    <t>Dallas</t>
  </si>
  <si>
    <t>Guthrie</t>
  </si>
  <si>
    <t>Jasper</t>
  </si>
  <si>
    <t>Madison</t>
  </si>
  <si>
    <t>Polk</t>
  </si>
  <si>
    <t>Warren</t>
  </si>
  <si>
    <t>*Land Availability data from Ag Census 2017</t>
  </si>
  <si>
    <t>Peters, C.J., Picardy, J.A., Darrouzet-Nardi, A., Griffin, T.S., 2014. Feed conversions, ration compositions, and land use efficiencies of major livestock products in U.S. agricultural systems. Agric. Syst. 130, 35–43. https://doi.org/10.1016/j.agsy.2014.06.005</t>
  </si>
  <si>
    <t>Total farmland in MSA</t>
  </si>
  <si>
    <t>Total cropland in MSA</t>
  </si>
  <si>
    <t>Conversion: Ac to Ha</t>
  </si>
  <si>
    <t>Land use adjustments for animal products in the  LOCAL scenario are added in this tab based on land use assumptions from Flachowsky et al. (2017) in the Ag Prod tab.</t>
  </si>
  <si>
    <r>
      <rPr>
        <b/>
        <sz val="11"/>
        <color rgb="FF000000"/>
        <rFont val="Calibri"/>
        <family val="2"/>
      </rPr>
      <t xml:space="preserve">Table 14.1 </t>
    </r>
    <r>
      <rPr>
        <sz val="11"/>
        <color rgb="FF000000"/>
        <rFont val="Calibri"/>
        <family val="2"/>
      </rPr>
      <t>column B, Ag production nationwide for 50% MSA (includes waste/loss) BASE (kg/MSA/yr)</t>
    </r>
  </si>
  <si>
    <r>
      <rPr>
        <b/>
        <sz val="11"/>
        <color rgb="FF000000"/>
        <rFont val="Calibri"/>
        <family val="2"/>
      </rPr>
      <t>11.1</t>
    </r>
    <r>
      <rPr>
        <sz val="11"/>
        <color rgb="FF000000"/>
        <rFont val="Calibri"/>
        <family val="2"/>
      </rPr>
      <t xml:space="preserve"> 50% MSA consumption (kg/MSA/yr) * (</t>
    </r>
    <r>
      <rPr>
        <b/>
        <sz val="11"/>
        <color rgb="FF000000"/>
        <rFont val="Calibri"/>
        <family val="2"/>
      </rPr>
      <t>18.1</t>
    </r>
    <r>
      <rPr>
        <sz val="11"/>
        <color rgb="FF000000"/>
        <rFont val="Calibri"/>
        <family val="2"/>
      </rPr>
      <t xml:space="preserve"> Conversion (kg farm commodity / kg product) + </t>
    </r>
    <r>
      <rPr>
        <b/>
        <sz val="11"/>
        <color rgb="FF000000"/>
        <rFont val="Calibri"/>
        <family val="2"/>
      </rPr>
      <t>18.1</t>
    </r>
    <r>
      <rPr>
        <sz val="11"/>
        <color rgb="FF000000"/>
        <rFont val="Calibri"/>
        <family val="2"/>
      </rPr>
      <t xml:space="preserve"> LOCAL/LOCALDIET: Loss Adjustment Factors)</t>
    </r>
  </si>
  <si>
    <r>
      <rPr>
        <b/>
        <sz val="11"/>
        <color rgb="FF000000"/>
        <rFont val="Calibri"/>
        <family val="2"/>
      </rPr>
      <t xml:space="preserve">Table 14.1 </t>
    </r>
    <r>
      <rPr>
        <sz val="11"/>
        <color rgb="FF000000"/>
        <rFont val="Calibri"/>
        <family val="2"/>
      </rPr>
      <t>column C, Ag production in MSA for 50% MSA (includes waste/loss) LOCAL (kg/MSA/yr)</t>
    </r>
  </si>
  <si>
    <r>
      <rPr>
        <b/>
        <sz val="11"/>
        <color rgb="FF000000"/>
        <rFont val="Calibri"/>
        <family val="2"/>
      </rPr>
      <t xml:space="preserve">11.1 </t>
    </r>
    <r>
      <rPr>
        <sz val="11"/>
        <color rgb="FF000000"/>
        <rFont val="Calibri"/>
        <family val="2"/>
      </rPr>
      <t>50% MSA consumption (kg/MSA/yr) * (</t>
    </r>
    <r>
      <rPr>
        <b/>
        <sz val="11"/>
        <color rgb="FF000000"/>
        <rFont val="Calibri"/>
        <family val="2"/>
      </rPr>
      <t>18.1</t>
    </r>
    <r>
      <rPr>
        <sz val="11"/>
        <color rgb="FF000000"/>
        <rFont val="Calibri"/>
        <family val="2"/>
      </rPr>
      <t xml:space="preserve"> Conversion (kg farm commodity / kg product) + </t>
    </r>
    <r>
      <rPr>
        <b/>
        <sz val="11"/>
        <color rgb="FF000000"/>
        <rFont val="Calibri"/>
        <family val="2"/>
      </rPr>
      <t xml:space="preserve">18.1 </t>
    </r>
    <r>
      <rPr>
        <sz val="11"/>
        <color rgb="FF000000"/>
        <rFont val="Calibri"/>
        <family val="2"/>
      </rPr>
      <t>LOCAL/LOCALDIET: Loss Adjustment Factors )</t>
    </r>
  </si>
  <si>
    <r>
      <rPr>
        <b/>
        <sz val="11"/>
        <color rgb="FF000000"/>
        <rFont val="Calibri"/>
        <family val="2"/>
      </rPr>
      <t xml:space="preserve">Table 14.1 </t>
    </r>
    <r>
      <rPr>
        <sz val="11"/>
        <color rgb="FF000000"/>
        <rFont val="Calibri"/>
        <family val="2"/>
      </rPr>
      <t>column D, Cropland BASE (ha/MSA/yr)</t>
    </r>
  </si>
  <si>
    <r>
      <rPr>
        <b/>
        <sz val="11"/>
        <rFont val="Calibri"/>
        <family val="2"/>
      </rPr>
      <t xml:space="preserve">14.1 </t>
    </r>
    <r>
      <rPr>
        <sz val="11"/>
        <rFont val="Calibri"/>
        <family val="2"/>
      </rPr>
      <t>BASE (kg/MSA/yr) / (</t>
    </r>
    <r>
      <rPr>
        <b/>
        <sz val="11"/>
        <rFont val="Calibri"/>
        <family val="2"/>
      </rPr>
      <t>13.1</t>
    </r>
    <r>
      <rPr>
        <sz val="11"/>
        <rFont val="Calibri"/>
        <family val="2"/>
      </rPr>
      <t xml:space="preserve"> 2020 US yield (kg/hectare/yr) feed 1 / </t>
    </r>
    <r>
      <rPr>
        <b/>
        <sz val="11"/>
        <rFont val="Calibri"/>
        <family val="2"/>
      </rPr>
      <t>6.2</t>
    </r>
    <r>
      <rPr>
        <sz val="11"/>
        <rFont val="Calibri"/>
        <family val="2"/>
      </rPr>
      <t xml:space="preserve"> feed 1 feed to liveweight conversion</t>
    </r>
    <r>
      <rPr>
        <b/>
        <sz val="11"/>
        <rFont val="Calibri"/>
        <family val="2"/>
      </rPr>
      <t xml:space="preserve">) </t>
    </r>
    <r>
      <rPr>
        <sz val="11"/>
        <rFont val="Calibri"/>
        <family val="2"/>
      </rPr>
      <t xml:space="preserve"> + ... feed 2... )</t>
    </r>
  </si>
  <si>
    <r>
      <rPr>
        <b/>
        <sz val="11"/>
        <color rgb="FF000000"/>
        <rFont val="Calibri"/>
        <family val="2"/>
      </rPr>
      <t xml:space="preserve">Table 14.1 </t>
    </r>
    <r>
      <rPr>
        <sz val="11"/>
        <color rgb="FF000000"/>
        <rFont val="Calibri"/>
        <family val="2"/>
      </rPr>
      <t>column E, Cropland LOCAL (ha/MSA/yr)</t>
    </r>
  </si>
  <si>
    <r>
      <rPr>
        <b/>
        <sz val="11"/>
        <rFont val="Calibri"/>
        <family val="2"/>
      </rPr>
      <t>(14.1</t>
    </r>
    <r>
      <rPr>
        <sz val="11"/>
        <rFont val="Calibri"/>
        <family val="2"/>
      </rPr>
      <t xml:space="preserve"> LOCAL (kg/MSA/yr) / (</t>
    </r>
    <r>
      <rPr>
        <b/>
        <sz val="11"/>
        <rFont val="Calibri"/>
        <family val="2"/>
      </rPr>
      <t>13.1</t>
    </r>
    <r>
      <rPr>
        <sz val="11"/>
        <rFont val="Calibri"/>
        <family val="2"/>
      </rPr>
      <t xml:space="preserve"> Modeled MSA yield (kg/ha/yr) feed 1 /</t>
    </r>
    <r>
      <rPr>
        <b/>
        <sz val="11"/>
        <rFont val="Calibri"/>
        <family val="2"/>
      </rPr>
      <t xml:space="preserve"> 6.2 </t>
    </r>
    <r>
      <rPr>
        <sz val="11"/>
        <rFont val="Calibri"/>
        <family val="2"/>
      </rPr>
      <t xml:space="preserve">feed 1 feed to liveweight conversion) +... feed 2...)) * </t>
    </r>
    <r>
      <rPr>
        <b/>
        <sz val="11"/>
        <rFont val="Calibri"/>
        <family val="2"/>
      </rPr>
      <t xml:space="preserve">15.2 </t>
    </r>
    <r>
      <rPr>
        <sz val="11"/>
        <rFont val="Calibri"/>
        <family val="2"/>
      </rPr>
      <t>Cropland adjustment factor (BASE to LOCAL)</t>
    </r>
  </si>
  <si>
    <r>
      <rPr>
        <b/>
        <sz val="11"/>
        <color rgb="FF000000"/>
        <rFont val="Calibri"/>
        <family val="2"/>
      </rPr>
      <t xml:space="preserve">Table 14.1 </t>
    </r>
    <r>
      <rPr>
        <sz val="11"/>
        <color rgb="FF000000"/>
        <rFont val="Calibri"/>
        <family val="2"/>
      </rPr>
      <t>column G, Grazing / forage land LOCAL (ha/MSA/yr) - Chicken, Pork, Eggs</t>
    </r>
  </si>
  <si>
    <r>
      <rPr>
        <b/>
        <sz val="11"/>
        <rFont val="Calibri"/>
        <family val="2"/>
      </rPr>
      <t>14.1</t>
    </r>
    <r>
      <rPr>
        <sz val="11"/>
        <rFont val="Calibri"/>
        <family val="2"/>
      </rPr>
      <t xml:space="preserve"> Cropland LOCAL (ha/MSA/yr) * (</t>
    </r>
    <r>
      <rPr>
        <b/>
        <sz val="11"/>
        <rFont val="Calibri"/>
        <family val="2"/>
      </rPr>
      <t xml:space="preserve">15.2 </t>
    </r>
    <r>
      <rPr>
        <sz val="11"/>
        <rFont val="Calibri"/>
        <family val="2"/>
      </rPr>
      <t>LOCAL Grassland (m2/kg protein) /</t>
    </r>
    <r>
      <rPr>
        <b/>
        <sz val="11"/>
        <rFont val="Calibri"/>
        <family val="2"/>
      </rPr>
      <t xml:space="preserve">15.2 </t>
    </r>
    <r>
      <rPr>
        <sz val="11"/>
        <rFont val="Calibri"/>
        <family val="2"/>
      </rPr>
      <t>LOCAL Grassland (m2/kg protein))</t>
    </r>
  </si>
  <si>
    <r>
      <rPr>
        <b/>
        <sz val="11"/>
        <color rgb="FF000000"/>
        <rFont val="Calibri"/>
        <family val="2"/>
      </rPr>
      <t xml:space="preserve">Table 14.1 </t>
    </r>
    <r>
      <rPr>
        <sz val="11"/>
        <color rgb="FF000000"/>
        <rFont val="Calibri"/>
        <family val="2"/>
      </rPr>
      <t>column G, Grazing / forage land LOCAL (ha/MSA/yr) -Beef, Cheese, Milk</t>
    </r>
  </si>
  <si>
    <r>
      <rPr>
        <b/>
        <sz val="11"/>
        <rFont val="Calibri"/>
        <family val="2"/>
      </rPr>
      <t xml:space="preserve">(14.1 </t>
    </r>
    <r>
      <rPr>
        <sz val="11"/>
        <rFont val="Calibri"/>
        <family val="2"/>
      </rPr>
      <t>Ag production: LOCAL (kg/MSA/yr) / ((</t>
    </r>
    <r>
      <rPr>
        <b/>
        <sz val="11"/>
        <rFont val="Calibri"/>
        <family val="2"/>
      </rPr>
      <t>13.1</t>
    </r>
    <r>
      <rPr>
        <sz val="11"/>
        <rFont val="Calibri"/>
        <family val="2"/>
      </rPr>
      <t xml:space="preserve"> yield forage 1 / </t>
    </r>
    <r>
      <rPr>
        <b/>
        <sz val="11"/>
        <rFont val="Calibri"/>
        <family val="2"/>
      </rPr>
      <t xml:space="preserve">6.2 </t>
    </r>
    <r>
      <rPr>
        <sz val="11"/>
        <rFont val="Calibri"/>
        <family val="2"/>
      </rPr>
      <t>forage 1 feed to liveweight conversion) + … grazing pasture yield …))</t>
    </r>
    <r>
      <rPr>
        <b/>
        <sz val="11"/>
        <rFont val="Calibri"/>
        <family val="2"/>
      </rPr>
      <t xml:space="preserve"> </t>
    </r>
    <r>
      <rPr>
        <sz val="11"/>
        <rFont val="Calibri"/>
        <family val="2"/>
      </rPr>
      <t xml:space="preserve">* </t>
    </r>
    <r>
      <rPr>
        <b/>
        <sz val="11"/>
        <rFont val="Calibri"/>
        <family val="2"/>
      </rPr>
      <t xml:space="preserve">15.2 </t>
    </r>
    <r>
      <rPr>
        <sz val="11"/>
        <rFont val="Calibri"/>
        <family val="2"/>
      </rPr>
      <t>Forage/grazing adjustment factor (BASE to LOCAL)</t>
    </r>
  </si>
  <si>
    <r>
      <rPr>
        <b/>
        <sz val="11"/>
        <color rgb="FF000000"/>
        <rFont val="Calibri"/>
        <family val="2"/>
      </rPr>
      <t>Table 14.1</t>
    </r>
    <r>
      <rPr>
        <sz val="11"/>
        <color rgb="FF000000"/>
        <rFont val="Calibri"/>
        <family val="2"/>
      </rPr>
      <t xml:space="preserve"> column C, Ag production in MSA for 50% MSA (includes waste/loss) LOCAL (kg/MSA/yr) - Corn, Commodity &amp; Soybean, Commodity</t>
    </r>
  </si>
  <si>
    <r>
      <t>(</t>
    </r>
    <r>
      <rPr>
        <b/>
        <sz val="11"/>
        <rFont val="Calibri"/>
        <family val="2"/>
      </rPr>
      <t>14.1</t>
    </r>
    <r>
      <rPr>
        <sz val="11"/>
        <rFont val="Calibri"/>
        <family val="2"/>
      </rPr>
      <t xml:space="preserve"> Ag production: BASE (kg/MSA/yr) / </t>
    </r>
    <r>
      <rPr>
        <b/>
        <sz val="11"/>
        <rFont val="Calibri"/>
        <family val="2"/>
      </rPr>
      <t>14.1</t>
    </r>
    <r>
      <rPr>
        <sz val="11"/>
        <rFont val="Calibri"/>
        <family val="2"/>
      </rPr>
      <t xml:space="preserve"> Cropland: BASE (ha/MSA/yr)) * </t>
    </r>
    <r>
      <rPr>
        <b/>
        <sz val="11"/>
        <rFont val="Calibri"/>
        <family val="2"/>
      </rPr>
      <t>14.1</t>
    </r>
    <r>
      <rPr>
        <sz val="11"/>
        <rFont val="Calibri"/>
        <family val="2"/>
      </rPr>
      <t xml:space="preserve"> Cropland: LOCAL (ha/MSA/yr)</t>
    </r>
  </si>
  <si>
    <r>
      <rPr>
        <b/>
        <sz val="11"/>
        <color rgb="FF000000"/>
        <rFont val="Calibri"/>
        <family val="2"/>
      </rPr>
      <t>Table 14.1</t>
    </r>
    <r>
      <rPr>
        <sz val="11"/>
        <color rgb="FF000000"/>
        <rFont val="Calibri"/>
        <family val="2"/>
      </rPr>
      <t xml:space="preserve"> column E, Cropland LOCAL (kg/MSA/yr) - Corn, Commodity &amp; Soybean, Commodity</t>
    </r>
  </si>
  <si>
    <r>
      <rPr>
        <sz val="11"/>
        <color rgb="FF000000"/>
        <rFont val="Calibri"/>
        <family val="2"/>
      </rPr>
      <t xml:space="preserve"> </t>
    </r>
    <r>
      <rPr>
        <b/>
        <sz val="11"/>
        <color rgb="FF000000"/>
        <rFont val="Calibri"/>
        <family val="2"/>
      </rPr>
      <t>14.1</t>
    </r>
    <r>
      <rPr>
        <sz val="11"/>
        <color rgb="FF000000"/>
        <rFont val="Calibri"/>
        <family val="2"/>
      </rPr>
      <t xml:space="preserve"> Cropland: BASE (ha/MSA/yr) [Corn, commodity or Soybean, commodity] * (</t>
    </r>
    <r>
      <rPr>
        <b/>
        <sz val="11"/>
        <color rgb="FF000000"/>
        <rFont val="Calibri"/>
        <family val="2"/>
      </rPr>
      <t>14.1</t>
    </r>
    <r>
      <rPr>
        <sz val="11"/>
        <color rgb="FF000000"/>
        <rFont val="Calibri"/>
        <family val="2"/>
      </rPr>
      <t xml:space="preserve"> Cropland: LOCAL (ha/MSA/yr) [Sum - Corn or Soybean commodity] / </t>
    </r>
    <r>
      <rPr>
        <b/>
        <sz val="11"/>
        <color rgb="FF000000"/>
        <rFont val="Calibri"/>
        <family val="2"/>
      </rPr>
      <t>14.1</t>
    </r>
    <r>
      <rPr>
        <sz val="11"/>
        <color rgb="FF000000"/>
        <rFont val="Calibri"/>
        <family val="2"/>
      </rPr>
      <t xml:space="preserve"> Cropland: BASE (ha/MSA/yr) [Sum - Corn or Soybean commodity]) </t>
    </r>
  </si>
  <si>
    <t>Table 15.1: Agricultural production BASE to LOCAL GWP and energy</t>
  </si>
  <si>
    <t xml:space="preserve">BASE  </t>
  </si>
  <si>
    <t xml:space="preserve">LOCAL </t>
  </si>
  <si>
    <t>Total energy (MJ)</t>
  </si>
  <si>
    <t>Total GWP (CO2eq)</t>
  </si>
  <si>
    <t>Fertilizer (CO2eq)</t>
  </si>
  <si>
    <t>Pesticide (CO2eq)</t>
  </si>
  <si>
    <t>Other farm input (CO2eq)</t>
  </si>
  <si>
    <t>Electricity (CO2eq)</t>
  </si>
  <si>
    <t>Fuel (CO2eq)</t>
  </si>
  <si>
    <t>Water (CO2eq)</t>
  </si>
  <si>
    <t>Production (%)</t>
  </si>
  <si>
    <t>Adjustment factor (BASE to LOCAL) GWP</t>
  </si>
  <si>
    <t>Table 15.2: Agricultural production BASE to LOCAL land use</t>
  </si>
  <si>
    <t>Land use for pasture-based production</t>
  </si>
  <si>
    <t>BASE Grassland (m2/kg protein)</t>
  </si>
  <si>
    <t>BASE Cultivated crop (m2/kg protein)</t>
  </si>
  <si>
    <t>LOCAL Average daily gains (kg/day)</t>
  </si>
  <si>
    <t>LOCAL Grassland (m2/kg protein)</t>
  </si>
  <si>
    <t>LOCAL Cultivated crop (m2/kg protein)</t>
  </si>
  <si>
    <t>Cropland adjustment factor (BASE to LOCAL)</t>
  </si>
  <si>
    <t>Forage/grazing adjustment factor (BASE to LOCAL)</t>
  </si>
  <si>
    <t>Lit based BASE LU (ha/kg)</t>
  </si>
  <si>
    <t>Lit based LOCAL LU (ha/kg)</t>
  </si>
  <si>
    <t>Lit based % difference BASE to LOCAL LU</t>
  </si>
  <si>
    <t>40 g ADG</t>
  </si>
  <si>
    <t>500 g ADG</t>
  </si>
  <si>
    <t>Pelletier et al., 2010a</t>
  </si>
  <si>
    <t>Pelletier, 2010b</t>
  </si>
  <si>
    <t>70% laying performance</t>
  </si>
  <si>
    <t>Pelletier, 2017</t>
  </si>
  <si>
    <t>20 kg per day</t>
  </si>
  <si>
    <t>Table 15.3: Adjustment factor for local production practices</t>
  </si>
  <si>
    <t>Fruit</t>
  </si>
  <si>
    <t>Fruit &amp; Vegetables</t>
  </si>
  <si>
    <t>Processed Fruit &amp; Vegetable</t>
  </si>
  <si>
    <t>Chicken, BASE</t>
  </si>
  <si>
    <t>Pelletier, N. (2008). Environmental performance in the US broiler poultry sector: Life cycle energy use and greenhouse gas, ozone depleting, acidifying and eutrophying emissions. Agricultural Systems, 98(2), 67–73. https://doi.org/10.1016/j.agsy.2008.03.007</t>
  </si>
  <si>
    <t>Chicken, LOCAL (UK to US proportions)</t>
  </si>
  <si>
    <t>Leinonen, I., Williams, A. G., Wiseman, J., Guy, J., &amp; Kyriazakis, I. (2012). Predicting the environmental impacts of chicken systems in the United Kingdom through a life cycle assessment: Broiler production systems. Poultry Science, 91(1), 8–25. https://doi.org/10.3382/ps.2011-01634</t>
  </si>
  <si>
    <t>Pelletier, N., Lammers, P., Stender, D., &amp; Pirog, R. (2010b). Life cycle assessment of high- and low-profitability commodity and deep-bedded niche swine production systems in the Upper Midwestern United States. Agricultural Systems, 103(9), 599–608. https://doi.org/10.1016/j.agsy.2010.07.001</t>
  </si>
  <si>
    <t>Pelletier, Nathan. (2017). Life cycle assessment of Canadian egg products, with differentiation by hen housing system type. Journal of Cleaner Production, 152, 167–180. https://doi.org/10.1016/j.jclepro.2017.03.050</t>
  </si>
  <si>
    <t>Milk and Cheese</t>
  </si>
  <si>
    <t>Rotz, C. A., Holly, M., de Long, A., Egan, F., &amp; Kleinman, P. J. A. (2020). An environmental assessment of grass-based dairy production in the northeastern United States. Agricultural Systems, 184(May), 102887. https://doi.org/10.1016/j.agsy.2020.102887</t>
  </si>
  <si>
    <t>Stone, T.F., Thompson, J.R., Rosentrater, K.A., Nair, A., 2021. A life cycle assessment approach for vegetables in large-, mid-, and small-scale food systems in the midwest US. Sustainability (Switzerland) 13. https://doi.org/10.3390/su132011368</t>
  </si>
  <si>
    <r>
      <rPr>
        <b/>
        <sz val="11"/>
        <color rgb="FF000000"/>
        <rFont val="Calibri"/>
        <family val="2"/>
      </rPr>
      <t xml:space="preserve">Under Review: </t>
    </r>
    <r>
      <rPr>
        <sz val="11"/>
        <color rgb="FF000000"/>
        <rFont val="Calibri"/>
        <family val="2"/>
      </rPr>
      <t xml:space="preserve">Stone, T. F., Thompson, J. R., Rosentrater, K. A., Liebman M. (2022). Modeling a Localized Metropolitan Food System in the Midwest USA: Life Cycle Impacts of Scenarios for Des Moines, Iowa. </t>
    </r>
    <r>
      <rPr>
        <i/>
        <sz val="11"/>
        <color rgb="FF000000"/>
        <rFont val="Calibri"/>
        <family val="2"/>
      </rPr>
      <t xml:space="preserve">Science of The Total Environment. </t>
    </r>
  </si>
  <si>
    <t>Land use for chicken, milk and cheese</t>
  </si>
  <si>
    <t>Flachowsky, G., Meyer, U., &amp; Südekum, K. H. (2017). Land use for edible protein of animal origin—A review. Animals, 7(3), 1–19. https://doi.org/10.3390/ani7030025</t>
  </si>
  <si>
    <t>All animal production are based on LCA comparisons from cradle to farm gate</t>
  </si>
  <si>
    <t>Chicken: BASE is confinement and LOCAL is free range</t>
  </si>
  <si>
    <t>Beef: BASE is feedlot and LOCAL is pasture raised</t>
  </si>
  <si>
    <t>Pork: BASE is commodity high production (slat confined feeding) and LOCAL is deep-bedded high production (niche)</t>
  </si>
  <si>
    <t>Eggs: BASE is conventional cage and LOCAL is free range</t>
  </si>
  <si>
    <t>Milk and Cheese: BASE is confinement and LOCAL is grass fed</t>
  </si>
  <si>
    <t>Finished pig weight estimated at 109 to 122 lbs/pig, 116 kg/pig was utilized</t>
  </si>
  <si>
    <t>Broiler feed = 80% of supply chain energy use, 82% of GHG emissions (cradle-to-farm gate)</t>
  </si>
  <si>
    <t>All functional units are per kg animal product except Milk and Cheese which is per kg FPCM (milk corrected to 4% fat and 3.3% protein)</t>
  </si>
  <si>
    <t>Adjustments based on production irrigation, energy use, pesticide, and fuel use differences between national production practices and local Iowa production. No adjustments were made for agricultural production of grains, oil and sugar crops.</t>
  </si>
  <si>
    <t>Potato was used as a sweet potato local production proxy</t>
  </si>
  <si>
    <t>Snap bean was used as a dry bean local production proxy</t>
  </si>
  <si>
    <t>Local fruit production was all set at the average adjustment factor for all vegetables</t>
  </si>
  <si>
    <t>For animal products, literature based land use was used for all available cases (all except broilers and dairy)</t>
  </si>
  <si>
    <t>All fruits included the same percent of emissions from the production stage (16%) while all vegetables included an individual calculation by type in column K</t>
  </si>
  <si>
    <t>Table 15.2 is based on Flachowsky et al. 2017 and the forage to concentrate ratios were: broiler 10/90, laying hen 10/90, and dairy cow 75/25 Assuming medium plant yields for grassland and cultivated crops for land use</t>
  </si>
  <si>
    <t>The m2/kg protein was converted m2/kg food type by multiplying the kg protein output by: 5.26 for Chicken, 6.67 for Beef, 5.00 for Pork and Eggs and 30.60 for Milk</t>
  </si>
  <si>
    <t>Production %: vegetables [column K]</t>
  </si>
  <si>
    <t>Fertilizer CO2eq + Pesticide CO2eq + ... [columns E:J])/(Total GWP (CO2eq))</t>
  </si>
  <si>
    <t>Adjustment factor (BASE to LOCAL) GWP [column L]: Meat and Dairy</t>
  </si>
  <si>
    <t>LOCAL: Total GWP (CO2eq) / BASE: Total GWP (CO2eq)</t>
  </si>
  <si>
    <t>Adjustment factor (BASE to LOCAL) GWP [column L]: Fruits and Vegetables</t>
  </si>
  <si>
    <t>1 - ((LOCAL GWP inputs Fertilizer + Pesticide + ... [columns N:S]) / (BASE GWP inputs Fertilizer + Pesticide + ... [columns E:J])) * (Production (%))</t>
  </si>
  <si>
    <t>Table 16.1: Packaging emissions for BASE and LOCAL scenarios</t>
  </si>
  <si>
    <t>Table 16.2: Retail emissions for BASE and LOCAL scenarios</t>
  </si>
  <si>
    <t>Table 16.3: Adjustment factor for local packaging</t>
  </si>
  <si>
    <t>Table 16.6: Local wholesale market channels (% of total)</t>
  </si>
  <si>
    <t>Packaging Categories</t>
  </si>
  <si>
    <t>Avg kg CO2eq/kg retail weight</t>
  </si>
  <si>
    <t>Avg MJ/kg retail weight</t>
  </si>
  <si>
    <t>Retail Categories</t>
  </si>
  <si>
    <t>Meat/ fish</t>
  </si>
  <si>
    <t>Fresh (fruit, veg)</t>
  </si>
  <si>
    <t>Chilled (meat, cheese, eggs, cheese, tofu, beer)</t>
  </si>
  <si>
    <t>Beans/ pulses</t>
  </si>
  <si>
    <t>Ambient (bread, roots, oils, other)</t>
  </si>
  <si>
    <t>Fruits &amp; vegetables</t>
  </si>
  <si>
    <t>Cheese/ tofu</t>
  </si>
  <si>
    <t>Processed fruits &amp; vegetables</t>
  </si>
  <si>
    <t>Durable fresh fruit, vegetables, roots</t>
  </si>
  <si>
    <t>Delicate fresh fruit, vegetables, roots</t>
  </si>
  <si>
    <t>Oatmeal, nuts, rice, sugar, other</t>
  </si>
  <si>
    <t>Table 16.4: Adjustment factor for local retail</t>
  </si>
  <si>
    <t>Table 16.5: Wholesale Market Share (Iowa Horticulture Survey)</t>
  </si>
  <si>
    <t>Annual wholesale increase (%)</t>
  </si>
  <si>
    <t xml:space="preserve">Poore, J., Nemecek, T., 2018. Reducing food’s environmental impacts through producers and consumers. Science (1979) 360, 987–992. https://doi.org/10.1126/science.aaq0216					</t>
  </si>
  <si>
    <t>LCA Control - Model year (% wholesale)</t>
  </si>
  <si>
    <t>Enderton, A., Bregendahl, C., Swenson, D., Adcock, L., Alexa, W., Topaloff, A., 2017. Iowa commercial horticulture food crop survey results 2015.</t>
  </si>
  <si>
    <t>ABM-LCA Controls - Model year (% wholesale)</t>
  </si>
  <si>
    <t>2020 (% mixed - wholesale and direct-to-consumer)</t>
  </si>
  <si>
    <t>2020 (% wholesale)</t>
  </si>
  <si>
    <t>Percent of wholesale markets in the future local scenario is based on a market trend for fruit and vegetable producers (between 2000-2015 producers using wholesale markets only rose from 9% to 19%) according to the 2015 Iowa Horticulture Survey (Enderton et al., 2017). Numbers reported in Table 5 incorporate wholesale only, as well as 50% of producers using mix markets which was held constant based on trends between 2000 and 2015 (or 13.5% of 27% total).</t>
  </si>
  <si>
    <t>Preserved fruit and vegetables were modeled as beans/pulses - which are dried or canned for preservation</t>
  </si>
  <si>
    <t>Conversion: CO2eq/kg retail to MJ/kg retail</t>
  </si>
  <si>
    <t>BASE includes 95% of foods packaged and sold in retail (decimal %)</t>
  </si>
  <si>
    <t>Tables 16.1 &amp; 16.2 BASE</t>
  </si>
  <si>
    <r>
      <rPr>
        <sz val="11"/>
        <color rgb="FF000000"/>
        <rFont val="Calibri"/>
        <family val="2"/>
      </rPr>
      <t>(</t>
    </r>
    <r>
      <rPr>
        <b/>
        <sz val="11"/>
        <color rgb="FF000000"/>
        <rFont val="Calibri"/>
        <family val="2"/>
      </rPr>
      <t>16.1 &amp; 16.2</t>
    </r>
    <r>
      <rPr>
        <sz val="11"/>
        <color rgb="FF000000"/>
        <rFont val="Calibri"/>
        <family val="2"/>
      </rPr>
      <t xml:space="preserve"> BASE Avg MJ/kg retail weight) / ([Conversion: CO2eq/kg retail to MJ/kg retail])</t>
    </r>
  </si>
  <si>
    <t>Tables 16.1 &amp; 16.2 LOCAL</t>
  </si>
  <si>
    <r>
      <rPr>
        <sz val="11"/>
        <color rgb="FF000000"/>
        <rFont val="Calibri"/>
        <family val="2"/>
      </rPr>
      <t>(</t>
    </r>
    <r>
      <rPr>
        <b/>
        <sz val="11"/>
        <color rgb="FF000000"/>
        <rFont val="Calibri"/>
        <family val="2"/>
      </rPr>
      <t>16.1</t>
    </r>
    <r>
      <rPr>
        <sz val="11"/>
        <color rgb="FF000000"/>
        <rFont val="Calibri"/>
        <family val="2"/>
      </rPr>
      <t xml:space="preserve"> BASE Avg MJ/kg retail weight) * </t>
    </r>
    <r>
      <rPr>
        <b/>
        <sz val="11"/>
        <color rgb="FF000000"/>
        <rFont val="Calibri"/>
        <family val="2"/>
      </rPr>
      <t>16.5</t>
    </r>
    <r>
      <rPr>
        <sz val="11"/>
        <color rgb="FF000000"/>
        <rFont val="Calibri"/>
        <family val="2"/>
      </rPr>
      <t xml:space="preserve"> LCA Control - Model year (% wholesale)</t>
    </r>
  </si>
  <si>
    <t>Table 16.5 LCA Control [J25] &amp; ABM-LCA Controls [J26]- Model year (% wholesale)</t>
  </si>
  <si>
    <r>
      <rPr>
        <sz val="11"/>
        <color rgb="FF000000"/>
        <rFont val="Calibri"/>
        <family val="2"/>
      </rPr>
      <t>VLOOKUP</t>
    </r>
    <r>
      <rPr>
        <b/>
        <sz val="11"/>
        <color rgb="FF000000"/>
        <rFont val="Calibri"/>
        <family val="2"/>
      </rPr>
      <t xml:space="preserve"> </t>
    </r>
    <r>
      <rPr>
        <sz val="11"/>
        <color rgb="FF000000"/>
        <rFont val="Calibri"/>
        <family val="2"/>
      </rPr>
      <t xml:space="preserve">[value lookup] for </t>
    </r>
    <r>
      <rPr>
        <b/>
        <sz val="11"/>
        <color rgb="FF000000"/>
        <rFont val="Calibri"/>
        <family val="2"/>
      </rPr>
      <t xml:space="preserve">2.1 </t>
    </r>
    <r>
      <rPr>
        <sz val="11"/>
        <color rgb="FF000000"/>
        <rFont val="Calibri"/>
        <family val="2"/>
      </rPr>
      <t xml:space="preserve">Model year, </t>
    </r>
    <r>
      <rPr>
        <b/>
        <sz val="11"/>
        <color rgb="FF000000"/>
        <rFont val="Calibri"/>
        <family val="2"/>
      </rPr>
      <t>16.6</t>
    </r>
    <r>
      <rPr>
        <sz val="11"/>
        <color rgb="FF000000"/>
        <rFont val="Calibri"/>
        <family val="2"/>
      </rPr>
      <t xml:space="preserve"> Year and Local wholesale market channels (% of total) [L2:M32]</t>
    </r>
  </si>
  <si>
    <t>Table 16.6</t>
  </si>
  <si>
    <r>
      <rPr>
        <b/>
        <sz val="11"/>
        <color rgb="FF000000"/>
        <rFont val="Calibri"/>
        <family val="2"/>
      </rPr>
      <t>Table 16.6</t>
    </r>
    <r>
      <rPr>
        <sz val="11"/>
        <color rgb="FF000000"/>
        <rFont val="Calibri"/>
        <family val="2"/>
      </rPr>
      <t xml:space="preserve"> Local wholesale market channels (% of total) [previous year row] + </t>
    </r>
    <r>
      <rPr>
        <b/>
        <sz val="11"/>
        <color rgb="FF000000"/>
        <rFont val="Calibri"/>
        <family val="2"/>
      </rPr>
      <t>Table 16.5</t>
    </r>
    <r>
      <rPr>
        <sz val="11"/>
        <color rgb="FF000000"/>
        <rFont val="Calibri"/>
        <family val="2"/>
      </rPr>
      <t xml:space="preserve"> Annual wholesale increase (%)</t>
    </r>
  </si>
  <si>
    <t>Table 17.1: Food transport for BASE and LOCAL scenarios</t>
  </si>
  <si>
    <t xml:space="preserve">States with highest production - top 50% ($) </t>
  </si>
  <si>
    <t>State share of US reciepts for food type</t>
  </si>
  <si>
    <t>State Capital</t>
  </si>
  <si>
    <t>Food transport (miles)</t>
  </si>
  <si>
    <t xml:space="preserve">Food transport- by truck (km) </t>
  </si>
  <si>
    <t xml:space="preserve">Food transport - by train (km) </t>
  </si>
  <si>
    <t>Table 17.2: Adjustment factor for local transport</t>
  </si>
  <si>
    <t>Arkansas</t>
  </si>
  <si>
    <t>Little Rock</t>
  </si>
  <si>
    <t>Georgia</t>
  </si>
  <si>
    <t>Atlanta</t>
  </si>
  <si>
    <t>North Carolina</t>
  </si>
  <si>
    <t>Raleigh</t>
  </si>
  <si>
    <t>Alabama</t>
  </si>
  <si>
    <t>Montgomery</t>
  </si>
  <si>
    <t xml:space="preserve">Total </t>
  </si>
  <si>
    <t>Nebraska</t>
  </si>
  <si>
    <t>Lincoln</t>
  </si>
  <si>
    <t>Texas</t>
  </si>
  <si>
    <t>Austin</t>
  </si>
  <si>
    <t>Kansas</t>
  </si>
  <si>
    <t>Topeka</t>
  </si>
  <si>
    <t>Iowa</t>
  </si>
  <si>
    <t>Des Moines</t>
  </si>
  <si>
    <t>Colorado</t>
  </si>
  <si>
    <t>Denver</t>
  </si>
  <si>
    <t>Minnesota</t>
  </si>
  <si>
    <t>Saint Paul</t>
  </si>
  <si>
    <t>Egg</t>
  </si>
  <si>
    <t>Indiana</t>
  </si>
  <si>
    <t>Indianapolis</t>
  </si>
  <si>
    <t>Ohio</t>
  </si>
  <si>
    <t>Columbus</t>
  </si>
  <si>
    <t>Pennsylvania</t>
  </si>
  <si>
    <t>Harrisburg</t>
  </si>
  <si>
    <t>Bean, dry</t>
  </si>
  <si>
    <t>North Dakota</t>
  </si>
  <si>
    <t>Bismarck</t>
  </si>
  <si>
    <t>Michigan</t>
  </si>
  <si>
    <t>Lansing</t>
  </si>
  <si>
    <t>Wisconsin</t>
  </si>
  <si>
    <t>California</t>
  </si>
  <si>
    <t>Sacramento</t>
  </si>
  <si>
    <t>New York</t>
  </si>
  <si>
    <t>Albany</t>
  </si>
  <si>
    <t>Idaho</t>
  </si>
  <si>
    <t>Boise</t>
  </si>
  <si>
    <t>Washington</t>
  </si>
  <si>
    <t>Olympia</t>
  </si>
  <si>
    <t>Watermelon</t>
  </si>
  <si>
    <t>Florida</t>
  </si>
  <si>
    <t>Tallahassee</t>
  </si>
  <si>
    <t>Cantaloupe</t>
  </si>
  <si>
    <t>Oregon</t>
  </si>
  <si>
    <t>Salem</t>
  </si>
  <si>
    <t>Kale/ Collard greens</t>
  </si>
  <si>
    <t>NA</t>
  </si>
  <si>
    <t>Lettuce, leaf</t>
  </si>
  <si>
    <t>Lettuce, romaine</t>
  </si>
  <si>
    <t>Tomatoes, For Processing</t>
  </si>
  <si>
    <t>Corn, sweet</t>
  </si>
  <si>
    <t>Beans, Snap Beans</t>
  </si>
  <si>
    <t>Squash, Summer Squash</t>
  </si>
  <si>
    <t>All Purpose Flour</t>
  </si>
  <si>
    <t>Bismark</t>
  </si>
  <si>
    <t>Montana</t>
  </si>
  <si>
    <t>Helena</t>
  </si>
  <si>
    <t>Illinois</t>
  </si>
  <si>
    <t>Springfield</t>
  </si>
  <si>
    <t>Licoln</t>
  </si>
  <si>
    <t>USDA, 2019. Cash Receipts by Commodity State Ranking [WWW Document]. URL https://data.ers.usda.gov/reports.aspx?ID=17844#P306e5f77c69a4c35b7a3455c55ef73d6_2_251iT0R0x137 (accessed 3.3.21).</t>
  </si>
  <si>
    <t xml:space="preserve">AgMRC, 2021. Cheese Industry Profile [WWW Document]. Agriculture Marketing Resource Center. URL https://www.agmrc.org/commodities-products/livestock/dairy/cheese-industry-profile (accessed 5.4.21).					</t>
  </si>
  <si>
    <t>DOT, 2021. Analyze Freight Flows between States [WWW Document]. United States Department of Transportation. URL https://explore.dot.gov/views/FAF_Dashboard_451/FAFStateOverview?iframeSizedToWindow=true&amp;%3Aembed=y&amp;%3AshowAppBanner=false&amp;%3Adisplay_count=no&amp;%3AshowVizHome=no#2 (accessed 8.4.21).</t>
  </si>
  <si>
    <t>Association of American Railroads (AAR), 2021 Food Products: Helping Achieve Food Security [WWW Document]. Association of American Railroads. URL https://www.aar.org/article/freight-rail-food-products/ (accessed 8.8.21).</t>
  </si>
  <si>
    <t>AAR, 2022. Freight Rail &amp; Preserving the Environment [WWW Document]. URL https://www.aar.org/wp-content/uploads/2020/06/AAR-Sustainability-Fact-Sheet.pdf (accessed 7.5.22)</t>
  </si>
  <si>
    <t>NOPA, 2015. NOPA Plant Locations [WWW Document]. National Oilseed Processors Association. URL https://www.nopa.org/oilseed-processing/nopa-plant-locations/ (accessed 5.31.22).</t>
  </si>
  <si>
    <t>CRA, 2012. Made in America: Corn Refined Products Helps U.S. Industries Thrive. Washington D.C.</t>
  </si>
  <si>
    <t>USDA, 2017a. Table 25. Field Crops: 2017 and 2012 [WWW Document]. Census of Agriculture. URL https://www.nass.usda.gov/Publications/AgCensus/2017/Full_Report/Volume_1,_Chapter_2_County_Level/Florida/st12_2_0025_0025.pdf (accessed 5.16.22).</t>
  </si>
  <si>
    <t>USDA, 2017b. Cash Receipts by Commodity State Ranking [WWW Document]. United States Department of Agriculture. URL https://data.ers.usda.gov/reports.aspx?ID=17844#P306e5f77c69a4c35b7a3455c55ef73d6_2_251iT0R0x137 (accessed 5.31.22).</t>
  </si>
  <si>
    <t xml:space="preserve">USDA-NASS, 2017. Census Volume 1, Chapter 2: County Level [WWW Document]. Untied Stated Department of Agriculture National Agriculture Statistical Services. URL https://www.nass.usda.gov/Publications/AgCensus/2017/Full_Report/Volume_1,_Chapter_2_County_Level/ (accessed 5.31.22).						</t>
  </si>
  <si>
    <t>ISU Dairy Team, 2015. Milk Cows in Iowa [WWW Document]. Iowa State University Extension and Outreach. URL https://www.extension.iastate.edu/dairyteam/milk-cows-iowa (accessed 5.31.22).</t>
  </si>
  <si>
    <t>USDA-ERS. (2017) Cash Receipts by commodity, state ranking, 2017 Nominal (current dollars) Broilers. data.ers.usda.gov/reports.aspx?ID=17844#P649f296df6c44a7491ba86b7e55984ff_3_251iT0R0x3</t>
  </si>
  <si>
    <t xml:space="preserve">USDA-NASS, 2015. Poultry and Egg Production [WWW Document]. United States Department of Agriculture National Agricultural Statistics Service. URL https://www.nass.usda.gov/Publications/Highlights/2015/Poultry_and_Egg_Production.pdf (accessed 5.31.22).						</t>
  </si>
  <si>
    <t xml:space="preserve">USDA-ERS, 2017b. Cash Receipts by Commodity State Ranking Chicken Eggs [WWW Document]. United States Department of Agriculture Economic Research Service. URL https://data.ers.usda.gov/reports.aspx?ID=17844#P649f296df6c44a7491ba86b7e55984ff_3_251iT0R0x3 (accessed 5.31.22).						</t>
  </si>
  <si>
    <t>50% of corn syrup from IA, 50% soybean oil from IA, Collard greens shipped from CA like all dark green vegetables</t>
  </si>
  <si>
    <t>The only slaughter house facility with a current license in Iowa is in Butler County, Iowa (Personal Communication, ). All transport distance were by semi-truck trailer from there, 188 km.</t>
  </si>
  <si>
    <t>Based on the Economic Impact of Beef report in Iowa, the counties with the largest number of cattle were Sioux (786 km), Lyon (852 km), and Carroll (310 km). The average was taken and 319 km used as the transportation distance for beef.</t>
  </si>
  <si>
    <t xml:space="preserve">Pork </t>
  </si>
  <si>
    <t>The original calculation for pork transport was 390 km, about the same as the distance from Des Moines to the three top pork producing counties  in Iowa ( Washington at 409 km, Sioux county at 381 km and Lyon at 430 km).</t>
  </si>
  <si>
    <t xml:space="preserve">Eggs </t>
  </si>
  <si>
    <t xml:space="preserve">The majority of egg production is centered in northwest Iowa, as a proxy, transport was assumed to be by semi-truck trailer from Sioux County to Des Moines, 788 km one way. </t>
  </si>
  <si>
    <t>Sioux (km, Dubuque (628), Winneshiek (640), Allamekee (714), Delaware (506) are the top dairy producing counties in Iowa</t>
  </si>
  <si>
    <t>Impacts from rail transport were discounted 75% compared to truck transport (AAR, 2022).</t>
  </si>
  <si>
    <t>Conversion: miles to km</t>
  </si>
  <si>
    <t>Grains % by truck</t>
  </si>
  <si>
    <t>Grains % by train</t>
  </si>
  <si>
    <t>Oil and Sugar &amp; by truck</t>
  </si>
  <si>
    <t>Oil and Sugar &amp; by train</t>
  </si>
  <si>
    <t>17.1 BASE food transport by truck [column F]</t>
  </si>
  <si>
    <r>
      <rPr>
        <b/>
        <sz val="11"/>
        <color rgb="FF000000"/>
        <rFont val="Calibri"/>
        <family val="2"/>
      </rPr>
      <t>17.1</t>
    </r>
    <r>
      <rPr>
        <sz val="11"/>
        <color rgb="FF000000"/>
        <rFont val="Calibri"/>
        <family val="2"/>
      </rPr>
      <t xml:space="preserve"> Food transport (miles) * [Conversion: miles to km] * % by truck [B154 or B156]</t>
    </r>
  </si>
  <si>
    <t>17.1 BASE food transport by train [column G]</t>
  </si>
  <si>
    <r>
      <t xml:space="preserve">17.1 </t>
    </r>
    <r>
      <rPr>
        <sz val="11"/>
        <color rgb="FF000000"/>
        <rFont val="Calibri"/>
        <family val="2"/>
      </rPr>
      <t>Food transport (miles) * [Conversion: miles to km] * % by train [B155 or B157]</t>
    </r>
  </si>
  <si>
    <t>Source: https://data.practicalfarmers.org/crops</t>
  </si>
  <si>
    <t>PFI</t>
  </si>
  <si>
    <t>Midwest Growers Guide</t>
  </si>
  <si>
    <t>USDA</t>
  </si>
  <si>
    <t>Crop</t>
  </si>
  <si>
    <t>Variety</t>
  </si>
  <si>
    <t>Area (ft2)</t>
  </si>
  <si>
    <t>Area (hectares)</t>
  </si>
  <si>
    <t>Yield (lbs)</t>
  </si>
  <si>
    <t>Yield (kg)</t>
  </si>
  <si>
    <t>Transplanted (Y/N)</t>
  </si>
  <si>
    <t>Seeded/Y Date(s)</t>
  </si>
  <si>
    <t>Yield(lbs/ft2)</t>
  </si>
  <si>
    <t>Yield(kg/ha)</t>
  </si>
  <si>
    <t>Average IA Yield (lbs/ft2)</t>
  </si>
  <si>
    <t>Average IA Yield (kg/ha)</t>
  </si>
  <si>
    <t># of harvest / yr</t>
  </si>
  <si>
    <t>Average IA Yield (kg/ha/yr)</t>
  </si>
  <si>
    <t>Avg Midwest Yield (kg/ha)</t>
  </si>
  <si>
    <t>Avg US Yield (kg/ha/yr)</t>
  </si>
  <si>
    <t>% difference (MSA to US yields)</t>
  </si>
  <si>
    <t>Belstar</t>
  </si>
  <si>
    <t>Y</t>
  </si>
  <si>
    <t>broccoli</t>
  </si>
  <si>
    <t xml:space="preserve">cabbage </t>
  </si>
  <si>
    <t>Category</t>
  </si>
  <si>
    <t>carrot</t>
  </si>
  <si>
    <t>sweet corn</t>
  </si>
  <si>
    <t>high-protein blending</t>
  </si>
  <si>
    <t>cucumber</t>
  </si>
  <si>
    <t>kale</t>
  </si>
  <si>
    <t>lettuce</t>
  </si>
  <si>
    <t>onion</t>
  </si>
  <si>
    <t>green peas</t>
  </si>
  <si>
    <t>potato</t>
  </si>
  <si>
    <t>Sources:</t>
  </si>
  <si>
    <t>pumpkin</t>
  </si>
  <si>
    <t>Agricultural Marketing Resource Center. (n.d.). Wheat. Retrieved September 13, 2021, from https://www.agmrc.org/commodities-products/grains-oilseeds/wheat.</t>
  </si>
  <si>
    <t>spinach</t>
  </si>
  <si>
    <t>How is the county average yield determined? (usda.gov)</t>
  </si>
  <si>
    <t>squash</t>
  </si>
  <si>
    <t>sweet potato</t>
  </si>
  <si>
    <t>melon</t>
  </si>
  <si>
    <t>strawberries</t>
  </si>
  <si>
    <t>N</t>
  </si>
  <si>
    <t>tomato</t>
  </si>
  <si>
    <t>Avg IA Yield</t>
  </si>
  <si>
    <t>Avg Midwest Yield subset (kg/ha)</t>
  </si>
  <si>
    <t>Avg US Yield subset (kg/ha/yr)</t>
  </si>
  <si>
    <t>Avg US Yield</t>
  </si>
  <si>
    <t>% Difference</t>
  </si>
  <si>
    <t>Gypsy</t>
  </si>
  <si>
    <t>AVG Yield Difference (MSA to National)</t>
  </si>
  <si>
    <t xml:space="preserve">Sources: </t>
  </si>
  <si>
    <t xml:space="preserve">Practical Farmers of Iowa. (n.d.). practicalfarmers.org. Farmer to Farmer Crop Data. Retrieved September 13, 2021, from https://data.practicalfarmers.org/crops. </t>
  </si>
  <si>
    <t xml:space="preserve">Iowa State University. (2013). Planting and harvesting times for garden vegetables. Ames, IA; Iowa State University Extension and Outreach. </t>
  </si>
  <si>
    <t>United States Department of Agriculture. (2020). Vegetables 2019 Summary. National Agricultural Statistics Service. Pg. 61</t>
  </si>
  <si>
    <t>Imperial</t>
  </si>
  <si>
    <t>Alcosa</t>
  </si>
  <si>
    <t>Capture</t>
  </si>
  <si>
    <t>Caraflex</t>
  </si>
  <si>
    <t>Copenhagen</t>
  </si>
  <si>
    <t>Early Jersey Wakefield</t>
  </si>
  <si>
    <t xml:space="preserve">Famosa </t>
  </si>
  <si>
    <t xml:space="preserve">Farao </t>
  </si>
  <si>
    <t>Gonzales</t>
  </si>
  <si>
    <t>Kaboko</t>
  </si>
  <si>
    <t>Primo Vantage</t>
  </si>
  <si>
    <t>Storage #4</t>
  </si>
  <si>
    <t>Super Red 80</t>
  </si>
  <si>
    <t>Tendersweet</t>
  </si>
  <si>
    <t>Tiara</t>
  </si>
  <si>
    <t>Carrot</t>
  </si>
  <si>
    <t>Adelaide</t>
  </si>
  <si>
    <t>Mokum</t>
  </si>
  <si>
    <t>Napoli</t>
  </si>
  <si>
    <t>Nelson</t>
  </si>
  <si>
    <t>Purple Haze</t>
  </si>
  <si>
    <t>Resistafly F1</t>
  </si>
  <si>
    <t xml:space="preserve">Sugar Snax 54 </t>
  </si>
  <si>
    <t>Variety Not Listed</t>
  </si>
  <si>
    <t>Yaya</t>
  </si>
  <si>
    <t>Corn, Sweet</t>
  </si>
  <si>
    <t>Luscious F1</t>
  </si>
  <si>
    <t>My Fair Lady F1</t>
  </si>
  <si>
    <t xml:space="preserve">A And C </t>
  </si>
  <si>
    <t>Boothby Blonde</t>
  </si>
  <si>
    <t xml:space="preserve">Green Fingers </t>
  </si>
  <si>
    <t xml:space="preserve">Lemon (Apple Shaped, Garden Lemon) </t>
  </si>
  <si>
    <t xml:space="preserve">Marketmore </t>
  </si>
  <si>
    <t>Parade</t>
  </si>
  <si>
    <t>Taurus</t>
  </si>
  <si>
    <t>Tyria F1</t>
  </si>
  <si>
    <t>Lacinato</t>
  </si>
  <si>
    <t>Ripbor</t>
  </si>
  <si>
    <t>Siberian</t>
  </si>
  <si>
    <t>Starbor</t>
  </si>
  <si>
    <t>Westlander</t>
  </si>
  <si>
    <t>Winterbor</t>
  </si>
  <si>
    <t>Lettuce</t>
  </si>
  <si>
    <t xml:space="preserve">BergamÃµs Green </t>
  </si>
  <si>
    <t>Cherokee</t>
  </si>
  <si>
    <t>Coastal Star</t>
  </si>
  <si>
    <t xml:space="preserve">Concept (Box 9052) </t>
  </si>
  <si>
    <t>Green Butter</t>
  </si>
  <si>
    <t>Green Oakleaf</t>
  </si>
  <si>
    <t>Hampton</t>
  </si>
  <si>
    <t>Magenta</t>
  </si>
  <si>
    <t>Muir</t>
  </si>
  <si>
    <t xml:space="preserve">Nevada </t>
  </si>
  <si>
    <t>Red Oakleaf</t>
  </si>
  <si>
    <t>Salvius</t>
  </si>
  <si>
    <t>Skyphos</t>
  </si>
  <si>
    <t>Sparx</t>
  </si>
  <si>
    <t>Onion</t>
  </si>
  <si>
    <t>Ailsa Craig</t>
  </si>
  <si>
    <t>Big Daddy (163 540)</t>
  </si>
  <si>
    <t>Candy (Psx 3688)</t>
  </si>
  <si>
    <t>Copra</t>
  </si>
  <si>
    <t>Cortland F1</t>
  </si>
  <si>
    <t>Dakota Tears</t>
  </si>
  <si>
    <t xml:space="preserve">Granex 429 (Xp 429)  </t>
  </si>
  <si>
    <t>Red Long Of Tropea</t>
  </si>
  <si>
    <t>Redwing</t>
  </si>
  <si>
    <t>Red Wing F1</t>
  </si>
  <si>
    <t xml:space="preserve">Red Zeppelin (Xp 15300)   </t>
  </si>
  <si>
    <t>Ringmaster</t>
  </si>
  <si>
    <t>Rossa Di Milano</t>
  </si>
  <si>
    <t>Sedona F1</t>
  </si>
  <si>
    <t xml:space="preserve">Sierra Blanca (Ps 25294)   </t>
  </si>
  <si>
    <t>Texas Supersweet</t>
  </si>
  <si>
    <t>Walla Walla</t>
  </si>
  <si>
    <t>White Sweet Spanish</t>
  </si>
  <si>
    <t>White Wing</t>
  </si>
  <si>
    <t>Peas, Green</t>
  </si>
  <si>
    <t>Oregon Giant</t>
  </si>
  <si>
    <t xml:space="preserve">Sugar Ann </t>
  </si>
  <si>
    <t xml:space="preserve">Sugar Snap </t>
  </si>
  <si>
    <t>Potato</t>
  </si>
  <si>
    <t>Adirondack Blue</t>
  </si>
  <si>
    <t>Adirondack Red</t>
  </si>
  <si>
    <t>Austrian Crescent</t>
  </si>
  <si>
    <t>Carola</t>
  </si>
  <si>
    <t>Colorado Rose</t>
  </si>
  <si>
    <t>Dark Red Norland</t>
  </si>
  <si>
    <t>French Fingerling</t>
  </si>
  <si>
    <t>German Butterball</t>
  </si>
  <si>
    <t>Kennebec</t>
  </si>
  <si>
    <t>Lasoda</t>
  </si>
  <si>
    <t>Magic Molly</t>
  </si>
  <si>
    <t>Mountain Rose</t>
  </si>
  <si>
    <t>Nicola</t>
  </si>
  <si>
    <t>Norland (Nd2906 1r)</t>
  </si>
  <si>
    <t>Oneida (W623)</t>
  </si>
  <si>
    <t>Purple Majesty</t>
  </si>
  <si>
    <t>Purple Viking</t>
  </si>
  <si>
    <t>Red Endeavor</t>
  </si>
  <si>
    <t>Red Gold (G7015 11ry)</t>
  </si>
  <si>
    <t>Red Norland</t>
  </si>
  <si>
    <t>Red Thumb</t>
  </si>
  <si>
    <t>Russet Norkotah (Nd1534 4russ)</t>
  </si>
  <si>
    <t>Sangre (Ac67560 1)</t>
  </si>
  <si>
    <t>Superior (Ag29)</t>
  </si>
  <si>
    <t>Viking (Nd 3815 Ir)</t>
  </si>
  <si>
    <t>Viking Red</t>
  </si>
  <si>
    <t>Villetta</t>
  </si>
  <si>
    <t>Yellow Fin</t>
  </si>
  <si>
    <t>Yukon Gold</t>
  </si>
  <si>
    <t>Seminole</t>
  </si>
  <si>
    <t>Black Beauty</t>
  </si>
  <si>
    <t>Burpee Golden Zucchini</t>
  </si>
  <si>
    <t>Buttercup</t>
  </si>
  <si>
    <t>Cocozelle</t>
  </si>
  <si>
    <t>Costata Romanesco</t>
  </si>
  <si>
    <t xml:space="preserve">Delicata </t>
  </si>
  <si>
    <t>Dunja</t>
  </si>
  <si>
    <t>Early Acorn</t>
  </si>
  <si>
    <t>Green Kabocha</t>
  </si>
  <si>
    <t>Midnight Lightning</t>
  </si>
  <si>
    <t>Raven (Nvh 3771)</t>
  </si>
  <si>
    <t>Red Kabocha</t>
  </si>
  <si>
    <t>Success Pm Straightneck</t>
  </si>
  <si>
    <t xml:space="preserve">Vegetable Spaghetti </t>
  </si>
  <si>
    <t xml:space="preserve">Waltham Butternut </t>
  </si>
  <si>
    <t>Beauregard</t>
  </si>
  <si>
    <t>Tomato</t>
  </si>
  <si>
    <t xml:space="preserve">Bellini </t>
  </si>
  <si>
    <t xml:space="preserve">Big Beef </t>
  </si>
  <si>
    <t>Bigdena</t>
  </si>
  <si>
    <t>Black Cherry</t>
  </si>
  <si>
    <t>Black Krim</t>
  </si>
  <si>
    <t>Italian Heirloom</t>
  </si>
  <si>
    <t xml:space="preserve">Jet Star </t>
  </si>
  <si>
    <t>Juliet</t>
  </si>
  <si>
    <t xml:space="preserve">Mountain Fresh Plus </t>
  </si>
  <si>
    <t>Mountain Magic</t>
  </si>
  <si>
    <t>Nebraska Wedding</t>
  </si>
  <si>
    <t xml:space="preserve">Primo Red </t>
  </si>
  <si>
    <t>Rebelski</t>
  </si>
  <si>
    <t>Sun Gold</t>
  </si>
  <si>
    <t>Crimson Sweet (Kan. 60 6)</t>
  </si>
  <si>
    <t>Sunshine</t>
  </si>
  <si>
    <t xml:space="preserve">Minnesota Midget (Set. 56) </t>
  </si>
  <si>
    <t>Pmr Delicious 51</t>
  </si>
  <si>
    <t>Strawberry</t>
  </si>
  <si>
    <t>Archer</t>
  </si>
  <si>
    <t>Cavendish</t>
  </si>
  <si>
    <t>Jewel</t>
  </si>
  <si>
    <t>Valley Sunset</t>
  </si>
  <si>
    <t xml:space="preserve">Table 18.1: Food waste and losses  </t>
  </si>
  <si>
    <t>BASE Loss Adjustment Factors</t>
  </si>
  <si>
    <t xml:space="preserve">LOCAL Loss Adjustment Factors </t>
  </si>
  <si>
    <t>BASE food waste (%)</t>
  </si>
  <si>
    <t>LOCAL food waste (%)</t>
  </si>
  <si>
    <t>Consumer level -  Cooking loss &amp; uneaten food</t>
  </si>
  <si>
    <t>Consumer level - Nonedible Share</t>
  </si>
  <si>
    <t>Retail/ institutional to consumer level</t>
  </si>
  <si>
    <t>Primary to retail weight</t>
  </si>
  <si>
    <t>Conversion (kg farm commodity / kg product)</t>
  </si>
  <si>
    <t>Preserved Fruit and Vegetables</t>
  </si>
  <si>
    <t>Apples, Frozen</t>
  </si>
  <si>
    <t xml:space="preserve">Apples, Juiced </t>
  </si>
  <si>
    <t xml:space="preserve">Blueberries, Frozen </t>
  </si>
  <si>
    <t xml:space="preserve">Cherries, Frozen </t>
  </si>
  <si>
    <t xml:space="preserve">Grapes, Juiced </t>
  </si>
  <si>
    <t xml:space="preserve">Pears, Canned </t>
  </si>
  <si>
    <t>Raspberries, Frozen</t>
  </si>
  <si>
    <t xml:space="preserve">Strawberries,Frozen </t>
  </si>
  <si>
    <t>Table 18.2: Local adjustment factor for losses and waste by food group</t>
  </si>
  <si>
    <t xml:space="preserve"> Buzby, J.C., Wells, H.F., Hyman, J., 2014. The Estimated Amount, Value, and Calories of Postharvest Food Losses at the Retail and Consumer Levels in the United States, EIB-121.									</t>
  </si>
  <si>
    <t>Loss adjustment factors are used to correct calculations for the amount of food production needed based on the food losses and waste at each food system stage. The loss adjustments factors are multiplied by the total food production needed in the Diet tab to generate the amount of food production needed in the Land Req tab.</t>
  </si>
  <si>
    <t>FoodPrint data from Peters et al. (2016) estimates of losses that occur from the production of primary food commodities to the retail level, from the retail/institutional level to the consumer level, and at the consumer level. These "losses" include waste and spoilage of food as well as the removal of inedible portions and some weight changes that occur due to shrinkage or processing. Data are from the USDA Economic Research Service (ERS) and are used in the tabulation of the Loss-Adjusted Food Supply Data maintained by ERS.</t>
  </si>
  <si>
    <t>FoodPrint data from Peters et al. (2016) also estimates conversion factors needed to estimate the quantity of agricultural commodities required to produce each primary food commodity. Data come principally from USDA-ERS Agricultural Handbook 697: Weights, Measures, and Conversion Factors for Agricultural Commodities and their Products (ERS, 1992).</t>
  </si>
  <si>
    <t>Green peas are frozen only (none for fresh market)</t>
  </si>
  <si>
    <t>BASE and LOCAL food waste (%) is based on Buzby 2014 food waste by food group and stage. All stages were included in the Base scenario, retail waste was not included in the Local scenario.</t>
  </si>
  <si>
    <t xml:space="preserve">Equations </t>
  </si>
  <si>
    <t>LOCAL Loss Adjustment Factors [columns I:L]</t>
  </si>
  <si>
    <r>
      <rPr>
        <b/>
        <sz val="11"/>
        <color rgb="FF000000"/>
        <rFont val="Calibri"/>
        <family val="2"/>
      </rPr>
      <t xml:space="preserve">1 / (1 - </t>
    </r>
    <r>
      <rPr>
        <sz val="11"/>
        <color rgb="FF000000"/>
        <rFont val="Calibri"/>
        <family val="2"/>
      </rPr>
      <t>(</t>
    </r>
    <r>
      <rPr>
        <b/>
        <sz val="11"/>
        <color rgb="FF000000"/>
        <rFont val="Calibri"/>
        <family val="2"/>
      </rPr>
      <t xml:space="preserve">18.1 </t>
    </r>
    <r>
      <rPr>
        <sz val="11"/>
        <color rgb="FF000000"/>
        <rFont val="Calibri"/>
        <family val="2"/>
      </rPr>
      <t xml:space="preserve">LOCAL food waste (%) / </t>
    </r>
    <r>
      <rPr>
        <b/>
        <sz val="11"/>
        <color rgb="FF000000"/>
        <rFont val="Calibri"/>
        <family val="2"/>
      </rPr>
      <t>18.1</t>
    </r>
    <r>
      <rPr>
        <sz val="11"/>
        <color rgb="FF000000"/>
        <rFont val="Calibri"/>
        <family val="2"/>
      </rPr>
      <t xml:space="preserve"> BASE food waste (%)) * (1 - </t>
    </r>
    <r>
      <rPr>
        <b/>
        <sz val="11"/>
        <color rgb="FF000000"/>
        <rFont val="Calibri"/>
        <family val="2"/>
      </rPr>
      <t>18.1</t>
    </r>
    <r>
      <rPr>
        <sz val="11"/>
        <color rgb="FF000000"/>
        <rFont val="Calibri"/>
        <family val="2"/>
      </rPr>
      <t xml:space="preserve"> BASE Loss Adjustment Factors [columns D:G])</t>
    </r>
  </si>
  <si>
    <t>This spreadsheet models the Des Moines, Iowa, US, Statistical Metropolitan Area (DM-MSA) food system under three scenarios. (1) current food production and consumption conditions (BASE), (2) 50% of the nutritional requirements are produced locally within the MSA under current consumption conditions (LOCAL), and (3) a local scenario where land use is based on an Agent Based Model (ABM-LCA) of producers in the DM-MSA. The Model Controls tabs (1. LCA Controls &amp; 2. ABM-LCA Controls) can be used to generate Life Cycle Assessment (LCA) model results which vary by scenario. LCA outputs quantify the environmental impacts of the food system generated at a metropolitan scale (DM-MSA) which are connected with additional models as part of the Iowa Urban FEWS project. All tabs in this spreadsheet besides the control panel are the dataset, sources and equations supporting this model. The underlying LCA model is modified from the US Environmentally-Extended Input-Output Model (USEEIO) v2.0.1-411 model as described in Ingwersen et al. 2022 (https://doi.org/10.1038/s41597-022-01293-7), and Yang et al., 2017 (https://doi.org/10.1016/j.jclepro.2017.04.150).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</si>
</sst>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00_);[Red]\(&quot;$&quot;#,##0.00\)"/>
    <numFmt numFmtId="165" formatCode="_(&quot;$&quot;* #,##0.00_);_(&quot;$&quot;* \(#,##0.00\);_(&quot;$&quot;* &quot;-&quot;??_);_(@_)"/>
    <numFmt numFmtId="166" formatCode="_(* #,##0.00_);_(* \(#,##0.00\);_(* &quot;-&quot;??_);_(@_)"/>
    <numFmt numFmtId="167" formatCode="0.000"/>
    <numFmt numFmtId="168" formatCode="&quot;$&quot;#,##0.00"/>
    <numFmt numFmtId="169" formatCode="_(* #,##0_);_(* \(#,##0\);_(* &quot;-&quot;??_);_(@_)"/>
    <numFmt numFmtId="170" formatCode="0.0000"/>
    <numFmt numFmtId="171" formatCode="_(&quot;$&quot;* #,##0_);_(&quot;$&quot;* \(#,##0\);_(&quot;$&quot;* &quot;-&quot;??_);_(@_)"/>
    <numFmt numFmtId="172" formatCode="_(* #,##0.000_);_(* \(#,##0.000\);_(* &quot;-&quot;??_);_(@_)"/>
    <numFmt numFmtId="173" formatCode="&quot;$&quot;#,##0.00000_);[Red]\(&quot;$&quot;#,##0.00000\)"/>
    <numFmt numFmtId="174" formatCode="0.00000"/>
    <numFmt numFmtId="175" formatCode="_(* #,##0.000000000_);_(* \(#,##0.000000000\);_(* &quot;-&quot;??_);_(@_)"/>
    <numFmt numFmtId="176" formatCode="_(* #,##0.0_);_(* \(#,##0.0\);_(* &quot;-&quot;??_);_(@_)"/>
  </numFmts>
  <fonts count="88" x14ac:knownFonts="1">
    <font>
      <sz val="11"/>
      <color theme="1"/>
      <name val="Calibri"/>
      <family val="2"/>
      <scheme val="minor"/>
    </font>
    <font>
      <b/>
      <sz val="11"/>
      <color theme="1"/>
      <name val="Calibri"/>
      <family val="2"/>
      <scheme val="minor"/>
    </font>
    <font>
      <sz val="10"/>
      <color theme="1"/>
      <name val="Calibri"/>
      <family val="2"/>
      <scheme val="minor"/>
    </font>
    <font>
      <sz val="10"/>
      <name val="Calibri"/>
      <family val="2"/>
      <scheme val="minor"/>
    </font>
    <font>
      <sz val="10"/>
      <name val="Arial"/>
      <family val="2"/>
    </font>
    <font>
      <b/>
      <sz val="10"/>
      <color rgb="FF000000"/>
      <name val="Arial"/>
      <family val="2"/>
    </font>
    <font>
      <sz val="10"/>
      <color rgb="FF000000"/>
      <name val="Arial"/>
      <family val="2"/>
    </font>
    <font>
      <sz val="10"/>
      <color rgb="FF000000"/>
      <name val="Calibri"/>
      <family val="2"/>
      <scheme val="minor"/>
    </font>
    <font>
      <sz val="11"/>
      <color theme="1"/>
      <name val="Calibri"/>
      <family val="2"/>
      <scheme val="minor"/>
    </font>
    <font>
      <b/>
      <sz val="10"/>
      <name val="Arial"/>
      <family val="2"/>
    </font>
    <font>
      <sz val="11"/>
      <name val="Calibri"/>
      <family val="2"/>
      <scheme val="minor"/>
    </font>
    <font>
      <sz val="11"/>
      <color rgb="FFC00000"/>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color theme="1"/>
      <name val="Calibri"/>
      <family val="2"/>
      <scheme val="minor"/>
    </font>
    <font>
      <u/>
      <sz val="12"/>
      <color theme="10"/>
      <name val="Calibri"/>
      <family val="2"/>
      <scheme val="minor"/>
    </font>
    <font>
      <sz val="12"/>
      <color rgb="FF222222"/>
      <name val="Calibri"/>
      <family val="2"/>
    </font>
    <font>
      <sz val="11"/>
      <color rgb="FF000000"/>
      <name val="Calibri"/>
      <family val="2"/>
      <scheme val="minor"/>
    </font>
    <font>
      <b/>
      <sz val="11"/>
      <color rgb="FF000000"/>
      <name val="Calibri"/>
      <family val="2"/>
    </font>
    <font>
      <sz val="10"/>
      <color theme="1"/>
      <name val="Arial"/>
      <family val="2"/>
    </font>
    <font>
      <sz val="11"/>
      <color rgb="FF000000"/>
      <name val="Calibri"/>
      <family val="2"/>
    </font>
    <font>
      <sz val="10"/>
      <color rgb="FFFF0000"/>
      <name val="Calibri"/>
      <family val="2"/>
      <scheme val="minor"/>
    </font>
    <font>
      <b/>
      <sz val="10"/>
      <color theme="1"/>
      <name val="Arial"/>
      <family val="2"/>
    </font>
    <font>
      <b/>
      <sz val="10"/>
      <color theme="1"/>
      <name val="Calibri"/>
      <family val="2"/>
      <scheme val="minor"/>
    </font>
    <font>
      <sz val="10"/>
      <color theme="7" tint="-0.249977111117893"/>
      <name val="Calibri"/>
      <family val="2"/>
      <scheme val="minor"/>
    </font>
    <font>
      <b/>
      <sz val="10"/>
      <name val="Calibri"/>
      <family val="2"/>
      <scheme val="minor"/>
    </font>
    <font>
      <sz val="11"/>
      <color rgb="FF444444"/>
      <name val="Calibri"/>
      <family val="2"/>
      <charset val="1"/>
    </font>
    <font>
      <sz val="9"/>
      <color rgb="FF000000"/>
      <name val="Arial"/>
      <family val="2"/>
    </font>
    <font>
      <b/>
      <sz val="10"/>
      <color rgb="FF000000"/>
      <name val="Calibri"/>
      <family val="2"/>
      <scheme val="minor"/>
    </font>
    <font>
      <b/>
      <sz val="10"/>
      <color rgb="FFFF0000"/>
      <name val="Calibri"/>
      <family val="2"/>
      <scheme val="minor"/>
    </font>
    <font>
      <sz val="9"/>
      <color theme="1"/>
      <name val="Segoe UI"/>
      <family val="2"/>
    </font>
    <font>
      <b/>
      <sz val="11"/>
      <color rgb="FFFF0000"/>
      <name val="Calibri"/>
      <family val="2"/>
      <scheme val="minor"/>
    </font>
    <font>
      <sz val="11"/>
      <color rgb="FF70AD47"/>
      <name val="Calibri"/>
      <family val="2"/>
      <scheme val="minor"/>
    </font>
    <font>
      <b/>
      <sz val="11"/>
      <color rgb="FF000000"/>
      <name val="Calibri"/>
      <family val="2"/>
      <scheme val="minor"/>
    </font>
    <font>
      <b/>
      <i/>
      <sz val="9"/>
      <color rgb="FF000000"/>
      <name val="Times New Roman"/>
      <family val="1"/>
    </font>
    <font>
      <b/>
      <sz val="11"/>
      <name val="Calibri"/>
      <family val="2"/>
      <scheme val="minor"/>
    </font>
    <font>
      <b/>
      <sz val="11"/>
      <color rgb="FF000000"/>
      <name val="Times New Roman"/>
      <family val="1"/>
    </font>
    <font>
      <i/>
      <sz val="11"/>
      <color rgb="FF000000"/>
      <name val="Calibri"/>
      <family val="2"/>
      <scheme val="minor"/>
    </font>
    <font>
      <sz val="8"/>
      <name val="Calibri"/>
      <family val="2"/>
      <scheme val="minor"/>
    </font>
    <font>
      <sz val="11"/>
      <name val="Calibri"/>
      <family val="2"/>
    </font>
    <font>
      <sz val="11"/>
      <color rgb="FF000000"/>
      <name val="Calibri"/>
      <family val="2"/>
      <charset val="1"/>
    </font>
    <font>
      <sz val="11"/>
      <color theme="1"/>
      <name val="Calibri"/>
      <family val="2"/>
      <charset val="1"/>
    </font>
    <font>
      <u/>
      <sz val="11"/>
      <color theme="10"/>
      <name val="Calibri"/>
      <family val="2"/>
      <scheme val="minor"/>
    </font>
    <font>
      <u/>
      <sz val="12"/>
      <color rgb="FFFF0000"/>
      <name val="Calibri"/>
      <family val="2"/>
      <scheme val="minor"/>
    </font>
    <font>
      <sz val="8"/>
      <color rgb="FF000000"/>
      <name val="Arial"/>
      <family val="2"/>
    </font>
    <font>
      <u/>
      <sz val="11"/>
      <name val="Calibri"/>
      <family val="2"/>
      <scheme val="minor"/>
    </font>
    <font>
      <sz val="11"/>
      <color rgb="FF212121"/>
      <name val="Calibri"/>
      <family val="2"/>
      <scheme val="minor"/>
    </font>
    <font>
      <b/>
      <i/>
      <sz val="11"/>
      <color rgb="FF000000"/>
      <name val="Calibri"/>
      <family val="2"/>
      <scheme val="minor"/>
    </font>
    <font>
      <b/>
      <sz val="10"/>
      <color rgb="FFFF0000"/>
      <name val="Arial"/>
      <family val="2"/>
    </font>
    <font>
      <u/>
      <sz val="11"/>
      <color rgb="FF000000"/>
      <name val="Calibri"/>
      <family val="2"/>
      <scheme val="minor"/>
    </font>
    <font>
      <sz val="10"/>
      <color theme="1"/>
      <name val="Calibri"/>
      <family val="2"/>
    </font>
    <font>
      <sz val="10"/>
      <color rgb="FF000000"/>
      <name val="Calibri"/>
      <family val="2"/>
    </font>
    <font>
      <sz val="10"/>
      <name val="Calibri"/>
      <family val="2"/>
    </font>
    <font>
      <sz val="11"/>
      <color theme="1"/>
      <name val="Calibri"/>
      <family val="2"/>
    </font>
    <font>
      <b/>
      <sz val="16"/>
      <color theme="1"/>
      <name val="Calibri"/>
      <family val="2"/>
      <scheme val="minor"/>
    </font>
    <font>
      <b/>
      <sz val="11"/>
      <color rgb="FF444444"/>
      <name val="Calibri"/>
      <family val="2"/>
      <charset val="1"/>
    </font>
    <font>
      <b/>
      <sz val="16"/>
      <color rgb="FF000000"/>
      <name val="Calibri"/>
      <family val="2"/>
      <charset val="1"/>
    </font>
    <font>
      <b/>
      <sz val="16"/>
      <color rgb="FF000000"/>
      <name val="Calibri"/>
      <family val="2"/>
    </font>
    <font>
      <b/>
      <sz val="11"/>
      <name val="Calibri"/>
      <family val="2"/>
    </font>
    <font>
      <sz val="11"/>
      <color rgb="FFFF0000"/>
      <name val="Calibri"/>
      <family val="2"/>
    </font>
    <font>
      <b/>
      <sz val="10"/>
      <color theme="1"/>
      <name val="Calibri"/>
      <family val="2"/>
    </font>
    <font>
      <b/>
      <sz val="10"/>
      <color rgb="FF000000"/>
      <name val="Calibri"/>
      <family val="2"/>
    </font>
    <font>
      <b/>
      <sz val="10"/>
      <name val="Calibri"/>
      <family val="2"/>
    </font>
    <font>
      <sz val="10"/>
      <color rgb="FFFF0000"/>
      <name val="Calibri"/>
      <family val="2"/>
    </font>
    <font>
      <sz val="11"/>
      <color theme="9"/>
      <name val="Calibri"/>
      <family val="2"/>
    </font>
    <font>
      <sz val="10"/>
      <color theme="2"/>
      <name val="Calibri"/>
      <family val="2"/>
    </font>
    <font>
      <b/>
      <sz val="11"/>
      <color theme="1"/>
      <name val="Calibri"/>
      <family val="2"/>
    </font>
    <font>
      <b/>
      <sz val="11"/>
      <color rgb="FFFF0000"/>
      <name val="Calibri"/>
      <family val="2"/>
    </font>
    <font>
      <sz val="8"/>
      <color rgb="FF444444"/>
      <name val="Segoe UI"/>
      <family val="2"/>
    </font>
    <font>
      <sz val="11"/>
      <color rgb="FF222222"/>
      <name val="Calibri"/>
      <family val="2"/>
    </font>
    <font>
      <i/>
      <sz val="11"/>
      <color rgb="FF222222"/>
      <name val="Calibri"/>
      <family val="2"/>
    </font>
    <font>
      <i/>
      <sz val="11"/>
      <color rgb="FF000000"/>
      <name val="Calibri"/>
      <family val="2"/>
    </font>
    <font>
      <b/>
      <sz val="11"/>
      <color rgb="FF000000"/>
      <name val="Calibri"/>
      <family val="2"/>
      <charset val="1"/>
    </font>
    <font>
      <sz val="11"/>
      <name val="Calibri"/>
      <family val="2"/>
      <charset val="1"/>
    </font>
    <font>
      <b/>
      <sz val="11"/>
      <name val="Calibri"/>
      <family val="2"/>
      <charset val="1"/>
    </font>
  </fonts>
  <fills count="72">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rgb="FFE2EFDA"/>
        <bgColor indexed="64"/>
      </patternFill>
    </fill>
    <fill>
      <patternFill patternType="solid">
        <fgColor rgb="FFFFD966"/>
        <bgColor indexed="64"/>
      </patternFill>
    </fill>
    <fill>
      <patternFill patternType="solid">
        <fgColor rgb="FFF8CBAD"/>
        <bgColor indexed="64"/>
      </patternFill>
    </fill>
    <fill>
      <patternFill patternType="solid">
        <fgColor rgb="FFFFE699"/>
        <bgColor indexed="64"/>
      </patternFill>
    </fill>
    <fill>
      <patternFill patternType="solid">
        <fgColor rgb="FFFFF2CC"/>
        <bgColor rgb="FF000000"/>
      </patternFill>
    </fill>
    <fill>
      <patternFill patternType="solid">
        <fgColor rgb="FFA9D08E"/>
        <bgColor rgb="FF000000"/>
      </patternFill>
    </fill>
    <fill>
      <patternFill patternType="solid">
        <fgColor rgb="FFE2EFDA"/>
        <bgColor rgb="FF000000"/>
      </patternFill>
    </fill>
    <fill>
      <patternFill patternType="solid">
        <fgColor rgb="FFFFD966"/>
        <bgColor rgb="FF000000"/>
      </patternFill>
    </fill>
    <fill>
      <patternFill patternType="solid">
        <fgColor rgb="FFDDEBF7"/>
        <bgColor rgb="FF000000"/>
      </patternFill>
    </fill>
    <fill>
      <patternFill patternType="solid">
        <fgColor rgb="FF9BC2E6"/>
        <bgColor rgb="FF000000"/>
      </patternFill>
    </fill>
    <fill>
      <patternFill patternType="solid">
        <fgColor rgb="FF70AD47"/>
        <bgColor indexed="64"/>
      </patternFill>
    </fill>
    <fill>
      <patternFill patternType="solid">
        <fgColor rgb="FFC6E0B4"/>
        <bgColor indexed="64"/>
      </patternFill>
    </fill>
    <fill>
      <patternFill patternType="solid">
        <fgColor rgb="FFD9E1F2"/>
        <bgColor indexed="64"/>
      </patternFill>
    </fill>
    <fill>
      <patternFill patternType="solid">
        <fgColor rgb="FFFFFFFF"/>
        <bgColor indexed="64"/>
      </patternFill>
    </fill>
    <fill>
      <patternFill patternType="solid">
        <fgColor rgb="FFFFFF00"/>
        <bgColor indexed="64"/>
      </patternFill>
    </fill>
    <fill>
      <patternFill patternType="solid">
        <fgColor theme="5" tint="0.39997558519241921"/>
        <bgColor indexed="64"/>
      </patternFill>
    </fill>
    <fill>
      <patternFill patternType="solid">
        <fgColor theme="2"/>
        <bgColor rgb="FF000000"/>
      </patternFill>
    </fill>
    <fill>
      <patternFill patternType="solid">
        <fgColor theme="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CE4D6"/>
        <bgColor indexed="64"/>
      </patternFill>
    </fill>
    <fill>
      <patternFill patternType="solid">
        <fgColor rgb="FFF4B084"/>
        <bgColor indexed="64"/>
      </patternFill>
    </fill>
    <fill>
      <patternFill patternType="solid">
        <fgColor rgb="FFF2F2F2"/>
        <bgColor indexed="64"/>
      </patternFill>
    </fill>
    <fill>
      <patternFill patternType="solid">
        <fgColor rgb="FFA9D08E"/>
        <bgColor indexed="64"/>
      </patternFill>
    </fill>
    <fill>
      <patternFill patternType="solid">
        <fgColor rgb="FFB4C6E7"/>
        <bgColor indexed="64"/>
      </patternFill>
    </fill>
    <fill>
      <patternFill patternType="solid">
        <fgColor rgb="FFC9C9C9"/>
        <bgColor indexed="64"/>
      </patternFill>
    </fill>
    <fill>
      <patternFill patternType="solid">
        <fgColor rgb="FFEDEDED"/>
        <bgColor indexed="64"/>
      </patternFill>
    </fill>
  </fills>
  <borders count="104">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E7E6E6"/>
      </left>
      <right style="thin">
        <color rgb="FFE7E6E6"/>
      </right>
      <top style="thin">
        <color rgb="FFE7E6E6"/>
      </top>
      <bottom style="thin">
        <color rgb="FFE7E6E6"/>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style="thin">
        <color auto="1"/>
      </top>
      <bottom style="thin">
        <color auto="1"/>
      </bottom>
      <diagonal/>
    </border>
    <border>
      <left/>
      <right/>
      <top style="medium">
        <color auto="1"/>
      </top>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indexed="64"/>
      </left>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double">
        <color indexed="64"/>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right/>
      <top style="medium">
        <color indexed="64"/>
      </top>
      <bottom style="thin">
        <color rgb="FF000000"/>
      </bottom>
      <diagonal/>
    </border>
    <border>
      <left style="medium">
        <color indexed="64"/>
      </left>
      <right/>
      <top style="medium">
        <color indexed="64"/>
      </top>
      <bottom style="thin">
        <color rgb="FF000000"/>
      </bottom>
      <diagonal/>
    </border>
    <border>
      <left/>
      <right/>
      <top style="thin">
        <color rgb="FF000000"/>
      </top>
      <bottom style="medium">
        <color indexed="64"/>
      </bottom>
      <diagonal/>
    </border>
    <border>
      <left style="medium">
        <color indexed="64"/>
      </left>
      <right/>
      <top style="thin">
        <color rgb="FF000000"/>
      </top>
      <bottom style="medium">
        <color indexed="64"/>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E7E6E6"/>
      </left>
      <right style="thin">
        <color rgb="FFE7E6E6"/>
      </right>
      <top style="thin">
        <color indexed="64"/>
      </top>
      <bottom style="thin">
        <color rgb="FFE7E6E6"/>
      </bottom>
      <diagonal/>
    </border>
    <border>
      <left style="medium">
        <color indexed="64"/>
      </left>
      <right/>
      <top/>
      <bottom style="thin">
        <color rgb="FF000000"/>
      </bottom>
      <diagonal/>
    </border>
    <border>
      <left/>
      <right style="thin">
        <color rgb="FF000000"/>
      </right>
      <top style="thin">
        <color rgb="FF000000"/>
      </top>
      <bottom style="medium">
        <color indexed="64"/>
      </bottom>
      <diagonal/>
    </border>
    <border>
      <left/>
      <right style="thin">
        <color rgb="FF000000"/>
      </right>
      <top/>
      <bottom style="medium">
        <color rgb="FF000000"/>
      </bottom>
      <diagonal/>
    </border>
    <border>
      <left/>
      <right style="thin">
        <color indexed="64"/>
      </right>
      <top style="thin">
        <color rgb="FF000000"/>
      </top>
      <bottom/>
      <diagonal/>
    </border>
    <border>
      <left style="thin">
        <color rgb="FF000000"/>
      </left>
      <right/>
      <top style="thin">
        <color indexed="64"/>
      </top>
      <bottom style="thin">
        <color indexed="64"/>
      </bottom>
      <diagonal/>
    </border>
    <border>
      <left style="thin">
        <color indexed="64"/>
      </left>
      <right/>
      <top style="thin">
        <color rgb="FF000000"/>
      </top>
      <bottom/>
      <diagonal/>
    </border>
    <border>
      <left/>
      <right style="medium">
        <color indexed="64"/>
      </right>
      <top style="thin">
        <color rgb="FF000000"/>
      </top>
      <bottom/>
      <diagonal/>
    </border>
    <border>
      <left/>
      <right style="medium">
        <color indexed="64"/>
      </right>
      <top/>
      <bottom style="thin">
        <color rgb="FF000000"/>
      </bottom>
      <diagonal/>
    </border>
    <border>
      <left/>
      <right style="medium">
        <color rgb="FF000000"/>
      </right>
      <top style="medium">
        <color rgb="FF000000"/>
      </top>
      <bottom/>
      <diagonal/>
    </border>
    <border>
      <left style="medium">
        <color rgb="FF000000"/>
      </left>
      <right/>
      <top style="thin">
        <color indexed="64"/>
      </top>
      <bottom style="thin">
        <color indexed="64"/>
      </bottom>
      <diagonal/>
    </border>
    <border>
      <left/>
      <right style="medium">
        <color rgb="FF000000"/>
      </right>
      <top style="thin">
        <color auto="1"/>
      </top>
      <bottom style="thin">
        <color auto="1"/>
      </bottom>
      <diagonal/>
    </border>
    <border>
      <left/>
      <right style="medium">
        <color rgb="FF000000"/>
      </right>
      <top/>
      <bottom/>
      <diagonal/>
    </border>
    <border>
      <left/>
      <right style="medium">
        <color rgb="FF000000"/>
      </right>
      <top/>
      <bottom style="medium">
        <color rgb="FF000000"/>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thin">
        <color rgb="FF000000"/>
      </top>
      <bottom style="thin">
        <color indexed="64"/>
      </bottom>
      <diagonal/>
    </border>
    <border>
      <left style="thin">
        <color rgb="FF000000"/>
      </left>
      <right style="thin">
        <color rgb="FF000000"/>
      </right>
      <top style="thin">
        <color rgb="FF000000"/>
      </top>
      <bottom style="thin">
        <color auto="1"/>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rgb="FF000000"/>
      </right>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s>
  <cellStyleXfs count="61">
    <xf numFmtId="0" fontId="0" fillId="0" borderId="0"/>
    <xf numFmtId="9" fontId="8" fillId="0" borderId="0" applyFont="0" applyFill="0" applyBorder="0" applyAlignment="0" applyProtection="0"/>
    <xf numFmtId="165" fontId="8" fillId="0" borderId="0" applyFont="0" applyFill="0" applyBorder="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0" borderId="10" applyNumberFormat="0" applyFill="0" applyAlignment="0" applyProtection="0"/>
    <xf numFmtId="0" fontId="16" fillId="0" borderId="11" applyNumberFormat="0" applyFill="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0" applyNumberFormat="0" applyBorder="0" applyAlignment="0" applyProtection="0"/>
    <xf numFmtId="0" fontId="20" fillId="8" borderId="12" applyNumberFormat="0" applyAlignment="0" applyProtection="0"/>
    <xf numFmtId="0" fontId="21" fillId="9" borderId="13" applyNumberFormat="0" applyAlignment="0" applyProtection="0"/>
    <xf numFmtId="0" fontId="22" fillId="9" borderId="12" applyNumberFormat="0" applyAlignment="0" applyProtection="0"/>
    <xf numFmtId="0" fontId="23" fillId="0" borderId="14" applyNumberFormat="0" applyFill="0" applyAlignment="0" applyProtection="0"/>
    <xf numFmtId="0" fontId="24" fillId="10" borderId="15" applyNumberFormat="0" applyAlignment="0" applyProtection="0"/>
    <xf numFmtId="0" fontId="12" fillId="0" borderId="0" applyNumberFormat="0" applyFill="0" applyBorder="0" applyAlignment="0" applyProtection="0"/>
    <xf numFmtId="0" fontId="25" fillId="0" borderId="0" applyNumberFormat="0" applyFill="0" applyBorder="0" applyAlignment="0" applyProtection="0"/>
    <xf numFmtId="0" fontId="1" fillId="0" borderId="17" applyNumberFormat="0" applyFill="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6"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27" fillId="0" borderId="0"/>
    <xf numFmtId="0" fontId="28" fillId="0" borderId="0" applyNumberFormat="0" applyFill="0" applyBorder="0" applyAlignment="0" applyProtection="0"/>
    <xf numFmtId="0" fontId="4" fillId="0" borderId="0"/>
    <xf numFmtId="0" fontId="8" fillId="0" borderId="0"/>
    <xf numFmtId="0" fontId="4" fillId="0" borderId="0"/>
    <xf numFmtId="0" fontId="8" fillId="11" borderId="16" applyNumberFormat="0" applyFont="0" applyAlignment="0" applyProtection="0"/>
    <xf numFmtId="0" fontId="8" fillId="0" borderId="0"/>
    <xf numFmtId="0" fontId="8" fillId="0" borderId="0"/>
    <xf numFmtId="166" fontId="8" fillId="0" borderId="0" applyFont="0" applyFill="0" applyBorder="0" applyAlignment="0" applyProtection="0"/>
    <xf numFmtId="0" fontId="4" fillId="0" borderId="0"/>
    <xf numFmtId="0" fontId="4" fillId="0" borderId="0"/>
    <xf numFmtId="0" fontId="4" fillId="11" borderId="16"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7" fillId="0" borderId="0"/>
    <xf numFmtId="0" fontId="55" fillId="0" borderId="0" applyNumberFormat="0" applyFill="0" applyBorder="0" applyAlignment="0" applyProtection="0"/>
    <xf numFmtId="0" fontId="28" fillId="0" borderId="0" applyNumberFormat="0" applyFill="0" applyBorder="0" applyAlignment="0" applyProtection="0"/>
  </cellStyleXfs>
  <cellXfs count="1253">
    <xf numFmtId="0" fontId="0" fillId="0" borderId="0" xfId="0"/>
    <xf numFmtId="0" fontId="4" fillId="0" borderId="0" xfId="0" applyFont="1"/>
    <xf numFmtId="0" fontId="6" fillId="0" borderId="0" xfId="0" applyFont="1" applyAlignment="1">
      <alignment vertical="top" wrapText="1"/>
    </xf>
    <xf numFmtId="0" fontId="0" fillId="0" borderId="0" xfId="0" applyAlignment="1">
      <alignment vertical="top"/>
    </xf>
    <xf numFmtId="0" fontId="6" fillId="4" borderId="0" xfId="0" applyFont="1" applyFill="1" applyAlignment="1">
      <alignment vertical="top" wrapText="1"/>
    </xf>
    <xf numFmtId="0" fontId="0" fillId="0" borderId="0" xfId="0" applyAlignment="1">
      <alignment wrapText="1"/>
    </xf>
    <xf numFmtId="0" fontId="12" fillId="0" borderId="0" xfId="0" applyFont="1" applyAlignment="1">
      <alignment wrapText="1"/>
    </xf>
    <xf numFmtId="0" fontId="1" fillId="0" borderId="0" xfId="0" applyFont="1"/>
    <xf numFmtId="0" fontId="28" fillId="0" borderId="0" xfId="44"/>
    <xf numFmtId="0" fontId="12" fillId="0" borderId="0" xfId="0" applyFont="1"/>
    <xf numFmtId="0" fontId="6" fillId="36" borderId="3" xfId="0" applyFont="1" applyFill="1" applyBorder="1" applyAlignment="1">
      <alignment vertical="top" wrapText="1"/>
    </xf>
    <xf numFmtId="0" fontId="6" fillId="36" borderId="0" xfId="0" applyFont="1" applyFill="1" applyAlignment="1">
      <alignment vertical="top" wrapText="1"/>
    </xf>
    <xf numFmtId="0" fontId="6" fillId="4" borderId="3" xfId="0" applyFont="1" applyFill="1" applyBorder="1" applyAlignment="1">
      <alignment vertical="top" wrapText="1"/>
    </xf>
    <xf numFmtId="0" fontId="6" fillId="38" borderId="5" xfId="0" applyFont="1" applyFill="1" applyBorder="1" applyAlignment="1">
      <alignment vertical="top" wrapText="1"/>
    </xf>
    <xf numFmtId="0" fontId="9" fillId="0" borderId="0" xfId="0" applyFont="1"/>
    <xf numFmtId="2" fontId="0" fillId="0" borderId="0" xfId="0" applyNumberFormat="1"/>
    <xf numFmtId="0" fontId="0" fillId="0" borderId="7" xfId="0" applyBorder="1"/>
    <xf numFmtId="0" fontId="0" fillId="0" borderId="22" xfId="0" applyBorder="1"/>
    <xf numFmtId="0" fontId="1" fillId="0" borderId="7" xfId="0" applyFont="1" applyBorder="1"/>
    <xf numFmtId="169" fontId="0" fillId="0" borderId="0" xfId="51" applyNumberFormat="1" applyFont="1"/>
    <xf numFmtId="9" fontId="0" fillId="0" borderId="0" xfId="1" applyFont="1"/>
    <xf numFmtId="166" fontId="0" fillId="0" borderId="0" xfId="0" applyNumberFormat="1"/>
    <xf numFmtId="9" fontId="1" fillId="0" borderId="0" xfId="1" applyFont="1"/>
    <xf numFmtId="0" fontId="4" fillId="4" borderId="0" xfId="0" applyFont="1" applyFill="1" applyAlignment="1">
      <alignment vertical="top" wrapText="1"/>
    </xf>
    <xf numFmtId="165" fontId="0" fillId="0" borderId="0" xfId="2" applyFont="1"/>
    <xf numFmtId="0" fontId="10" fillId="0" borderId="0" xfId="0" applyFont="1" applyAlignment="1">
      <alignment wrapText="1"/>
    </xf>
    <xf numFmtId="0" fontId="2" fillId="0" borderId="0" xfId="0" applyFont="1"/>
    <xf numFmtId="0" fontId="37" fillId="0" borderId="0" xfId="0" applyFont="1"/>
    <xf numFmtId="0" fontId="1" fillId="0" borderId="0" xfId="0" applyFont="1" applyAlignment="1">
      <alignment wrapText="1"/>
    </xf>
    <xf numFmtId="3" fontId="12" fillId="0" borderId="0" xfId="0" applyNumberFormat="1" applyFont="1"/>
    <xf numFmtId="0" fontId="1" fillId="0" borderId="27" xfId="0" applyFont="1" applyBorder="1"/>
    <xf numFmtId="0" fontId="33" fillId="0" borderId="0" xfId="0" applyFont="1" applyAlignment="1">
      <alignment wrapText="1"/>
    </xf>
    <xf numFmtId="0" fontId="43" fillId="0" borderId="0" xfId="0" applyFont="1" applyAlignment="1">
      <alignment vertical="center"/>
    </xf>
    <xf numFmtId="0" fontId="10" fillId="0" borderId="0" xfId="0" applyFont="1"/>
    <xf numFmtId="0" fontId="3" fillId="0" borderId="0" xfId="0" applyFont="1"/>
    <xf numFmtId="0" fontId="30" fillId="0" borderId="0" xfId="0" applyFont="1"/>
    <xf numFmtId="0" fontId="0" fillId="0" borderId="0" xfId="0" applyAlignment="1">
      <alignment horizontal="right"/>
    </xf>
    <xf numFmtId="0" fontId="5" fillId="0" borderId="0" xfId="0" applyFont="1" applyAlignment="1">
      <alignment wrapText="1"/>
    </xf>
    <xf numFmtId="0" fontId="33" fillId="0" borderId="0" xfId="0" applyFont="1"/>
    <xf numFmtId="0" fontId="0" fillId="55" borderId="39" xfId="0" applyFill="1" applyBorder="1"/>
    <xf numFmtId="0" fontId="0" fillId="0" borderId="45" xfId="0" applyBorder="1"/>
    <xf numFmtId="0" fontId="0" fillId="54" borderId="39" xfId="0" applyFill="1" applyBorder="1"/>
    <xf numFmtId="0" fontId="0" fillId="0" borderId="46" xfId="0" applyBorder="1"/>
    <xf numFmtId="0" fontId="0" fillId="0" borderId="27" xfId="0" applyBorder="1"/>
    <xf numFmtId="0" fontId="33" fillId="55" borderId="39" xfId="0" applyFont="1" applyFill="1" applyBorder="1"/>
    <xf numFmtId="0" fontId="33" fillId="54" borderId="39" xfId="0" applyFont="1" applyFill="1" applyBorder="1"/>
    <xf numFmtId="0" fontId="33" fillId="54" borderId="40" xfId="0" applyFont="1" applyFill="1" applyBorder="1"/>
    <xf numFmtId="0" fontId="33" fillId="0" borderId="27" xfId="0" applyFont="1" applyBorder="1"/>
    <xf numFmtId="0" fontId="0" fillId="56" borderId="0" xfId="0" applyFill="1"/>
    <xf numFmtId="0" fontId="39" fillId="0" borderId="0" xfId="0" applyFont="1"/>
    <xf numFmtId="0" fontId="31" fillId="56" borderId="32" xfId="0" applyFont="1" applyFill="1" applyBorder="1"/>
    <xf numFmtId="0" fontId="31" fillId="56" borderId="47" xfId="0" applyFont="1" applyFill="1" applyBorder="1"/>
    <xf numFmtId="0" fontId="1" fillId="56" borderId="47" xfId="0" applyFont="1" applyFill="1" applyBorder="1"/>
    <xf numFmtId="0" fontId="1" fillId="56" borderId="33" xfId="0" applyFont="1" applyFill="1" applyBorder="1"/>
    <xf numFmtId="0" fontId="44" fillId="0" borderId="0" xfId="0" applyFont="1"/>
    <xf numFmtId="0" fontId="1" fillId="47" borderId="28" xfId="0" applyFont="1" applyFill="1" applyBorder="1"/>
    <xf numFmtId="0" fontId="1" fillId="55" borderId="28" xfId="0" applyFont="1" applyFill="1" applyBorder="1" applyAlignment="1">
      <alignment wrapText="1"/>
    </xf>
    <xf numFmtId="0" fontId="0" fillId="0" borderId="27" xfId="0" applyBorder="1" applyAlignment="1">
      <alignment horizontal="right"/>
    </xf>
    <xf numFmtId="9" fontId="0" fillId="0" borderId="45" xfId="0" applyNumberFormat="1" applyBorder="1"/>
    <xf numFmtId="166" fontId="2" fillId="0" borderId="0" xfId="0" applyNumberFormat="1" applyFont="1"/>
    <xf numFmtId="9" fontId="12" fillId="0" borderId="45" xfId="0" applyNumberFormat="1" applyFont="1" applyBorder="1"/>
    <xf numFmtId="9" fontId="45" fillId="0" borderId="45" xfId="0" applyNumberFormat="1" applyFont="1" applyBorder="1"/>
    <xf numFmtId="9" fontId="1" fillId="0" borderId="0" xfId="0" applyNumberFormat="1" applyFont="1"/>
    <xf numFmtId="0" fontId="46" fillId="0" borderId="0" xfId="0" applyFont="1"/>
    <xf numFmtId="0" fontId="0" fillId="0" borderId="39" xfId="0" applyBorder="1"/>
    <xf numFmtId="0" fontId="0" fillId="0" borderId="40" xfId="0" applyBorder="1"/>
    <xf numFmtId="0" fontId="0" fillId="55" borderId="32" xfId="0" applyFill="1" applyBorder="1"/>
    <xf numFmtId="0" fontId="0" fillId="55" borderId="47" xfId="0" applyFill="1" applyBorder="1"/>
    <xf numFmtId="0" fontId="0" fillId="55" borderId="33" xfId="0" applyFill="1" applyBorder="1"/>
    <xf numFmtId="2" fontId="0" fillId="0" borderId="45" xfId="0" applyNumberFormat="1" applyBorder="1"/>
    <xf numFmtId="0" fontId="1" fillId="47" borderId="28" xfId="0" applyFont="1" applyFill="1" applyBorder="1" applyAlignment="1">
      <alignment wrapText="1"/>
    </xf>
    <xf numFmtId="0" fontId="0" fillId="55" borderId="40" xfId="0" applyFill="1" applyBorder="1"/>
    <xf numFmtId="166" fontId="0" fillId="0" borderId="27" xfId="0" applyNumberFormat="1" applyBorder="1"/>
    <xf numFmtId="9" fontId="45" fillId="0" borderId="46" xfId="0" applyNumberFormat="1" applyFont="1" applyBorder="1"/>
    <xf numFmtId="0" fontId="30" fillId="55" borderId="39" xfId="0" applyFont="1" applyFill="1" applyBorder="1"/>
    <xf numFmtId="0" fontId="9" fillId="0" borderId="0" xfId="0" applyFont="1" applyAlignment="1">
      <alignment wrapText="1"/>
    </xf>
    <xf numFmtId="173" fontId="0" fillId="0" borderId="27" xfId="0" applyNumberFormat="1" applyBorder="1" applyAlignment="1">
      <alignment horizontal="right"/>
    </xf>
    <xf numFmtId="0" fontId="1" fillId="58" borderId="28" xfId="0" applyFont="1" applyFill="1" applyBorder="1" applyAlignment="1">
      <alignment wrapText="1"/>
    </xf>
    <xf numFmtId="166" fontId="0" fillId="0" borderId="30" xfId="0" applyNumberFormat="1" applyBorder="1"/>
    <xf numFmtId="166" fontId="0" fillId="0" borderId="31" xfId="0" applyNumberFormat="1" applyBorder="1"/>
    <xf numFmtId="0" fontId="1" fillId="55" borderId="32" xfId="0" applyFont="1" applyFill="1" applyBorder="1" applyAlignment="1">
      <alignment wrapText="1"/>
    </xf>
    <xf numFmtId="0" fontId="1" fillId="55" borderId="33" xfId="0" applyFont="1" applyFill="1" applyBorder="1" applyAlignment="1">
      <alignment wrapText="1"/>
    </xf>
    <xf numFmtId="166" fontId="1" fillId="0" borderId="30" xfId="0" applyNumberFormat="1" applyFont="1" applyBorder="1"/>
    <xf numFmtId="169" fontId="39" fillId="0" borderId="30" xfId="0" applyNumberFormat="1" applyFont="1" applyBorder="1"/>
    <xf numFmtId="166" fontId="12" fillId="0" borderId="30" xfId="0" applyNumberFormat="1" applyFont="1" applyBorder="1"/>
    <xf numFmtId="166" fontId="44" fillId="0" borderId="30" xfId="0" applyNumberFormat="1" applyFont="1" applyBorder="1"/>
    <xf numFmtId="166" fontId="44" fillId="0" borderId="0" xfId="0" applyNumberFormat="1" applyFont="1"/>
    <xf numFmtId="166" fontId="12" fillId="0" borderId="0" xfId="0" applyNumberFormat="1" applyFont="1"/>
    <xf numFmtId="0" fontId="38" fillId="0" borderId="48" xfId="0" applyFont="1" applyBorder="1"/>
    <xf numFmtId="0" fontId="38" fillId="0" borderId="4" xfId="0" applyFont="1" applyBorder="1"/>
    <xf numFmtId="0" fontId="33" fillId="48" borderId="53" xfId="0" applyFont="1" applyFill="1" applyBorder="1" applyAlignment="1">
      <alignment vertical="top"/>
    </xf>
    <xf numFmtId="0" fontId="33" fillId="49" borderId="52" xfId="0" applyFont="1" applyFill="1" applyBorder="1" applyAlignment="1">
      <alignment vertical="top"/>
    </xf>
    <xf numFmtId="0" fontId="33" fillId="49" borderId="53" xfId="0" applyFont="1" applyFill="1" applyBorder="1" applyAlignment="1">
      <alignment vertical="top"/>
    </xf>
    <xf numFmtId="0" fontId="33" fillId="50" borderId="52" xfId="0" applyFont="1" applyFill="1" applyBorder="1" applyAlignment="1">
      <alignment vertical="top"/>
    </xf>
    <xf numFmtId="0" fontId="33" fillId="50" borderId="53" xfId="0" applyFont="1" applyFill="1" applyBorder="1" applyAlignment="1">
      <alignment vertical="top"/>
    </xf>
    <xf numFmtId="0" fontId="33" fillId="51" borderId="52" xfId="0" applyFont="1" applyFill="1" applyBorder="1" applyAlignment="1">
      <alignment vertical="top"/>
    </xf>
    <xf numFmtId="0" fontId="33" fillId="51" borderId="53" xfId="0" applyFont="1" applyFill="1" applyBorder="1" applyAlignment="1">
      <alignment vertical="top"/>
    </xf>
    <xf numFmtId="0" fontId="33" fillId="52" borderId="52" xfId="0" applyFont="1" applyFill="1" applyBorder="1" applyAlignment="1">
      <alignment vertical="top"/>
    </xf>
    <xf numFmtId="0" fontId="33" fillId="52" borderId="53" xfId="0" applyFont="1" applyFill="1" applyBorder="1" applyAlignment="1">
      <alignment vertical="top"/>
    </xf>
    <xf numFmtId="0" fontId="33" fillId="53" borderId="52" xfId="0" applyFont="1" applyFill="1" applyBorder="1" applyAlignment="1">
      <alignment vertical="top"/>
    </xf>
    <xf numFmtId="0" fontId="30" fillId="0" borderId="0" xfId="0" applyFont="1" applyAlignment="1">
      <alignment wrapText="1"/>
    </xf>
    <xf numFmtId="0" fontId="0" fillId="59" borderId="2" xfId="0" applyFill="1" applyBorder="1"/>
    <xf numFmtId="167" fontId="30" fillId="0" borderId="0" xfId="0" applyNumberFormat="1" applyFont="1" applyAlignment="1">
      <alignment horizontal="left"/>
    </xf>
    <xf numFmtId="0" fontId="0" fillId="59" borderId="5" xfId="0" applyFill="1" applyBorder="1"/>
    <xf numFmtId="0" fontId="0" fillId="59" borderId="6" xfId="0" applyFill="1" applyBorder="1"/>
    <xf numFmtId="0" fontId="0" fillId="37" borderId="2" xfId="0" applyFill="1" applyBorder="1"/>
    <xf numFmtId="0" fontId="0" fillId="37" borderId="6" xfId="0" applyFill="1" applyBorder="1"/>
    <xf numFmtId="0" fontId="0" fillId="3" borderId="2" xfId="0" applyFill="1" applyBorder="1"/>
    <xf numFmtId="0" fontId="0" fillId="3" borderId="5" xfId="0" applyFill="1" applyBorder="1"/>
    <xf numFmtId="0" fontId="10" fillId="3" borderId="6" xfId="0" applyFont="1" applyFill="1" applyBorder="1"/>
    <xf numFmtId="0" fontId="0" fillId="38" borderId="2" xfId="0" applyFill="1" applyBorder="1"/>
    <xf numFmtId="0" fontId="0" fillId="38" borderId="5" xfId="0" applyFill="1" applyBorder="1"/>
    <xf numFmtId="0" fontId="10" fillId="38" borderId="6" xfId="0" applyFont="1" applyFill="1" applyBorder="1"/>
    <xf numFmtId="0" fontId="0" fillId="38" borderId="6" xfId="0" applyFill="1" applyBorder="1"/>
    <xf numFmtId="0" fontId="0" fillId="39" borderId="2" xfId="0" applyFill="1" applyBorder="1"/>
    <xf numFmtId="0" fontId="0" fillId="39" borderId="6" xfId="0" applyFill="1" applyBorder="1"/>
    <xf numFmtId="0" fontId="0" fillId="40" borderId="2" xfId="0" applyFill="1" applyBorder="1"/>
    <xf numFmtId="0" fontId="0" fillId="40" borderId="6" xfId="0" applyFill="1" applyBorder="1"/>
    <xf numFmtId="0" fontId="0" fillId="41" borderId="2" xfId="0" applyFill="1" applyBorder="1"/>
    <xf numFmtId="0" fontId="0" fillId="41" borderId="6" xfId="0" applyFill="1" applyBorder="1"/>
    <xf numFmtId="0" fontId="4" fillId="60" borderId="39" xfId="0" applyFont="1" applyFill="1" applyBorder="1"/>
    <xf numFmtId="169" fontId="1" fillId="0" borderId="0" xfId="51" applyNumberFormat="1" applyFont="1" applyFill="1" applyBorder="1"/>
    <xf numFmtId="0" fontId="4" fillId="60" borderId="40" xfId="0" applyFont="1" applyFill="1" applyBorder="1"/>
    <xf numFmtId="0" fontId="41" fillId="0" borderId="3" xfId="0" applyFont="1" applyBorder="1" applyAlignment="1">
      <alignment vertical="top" wrapText="1"/>
    </xf>
    <xf numFmtId="0" fontId="46" fillId="0" borderId="38" xfId="0" applyFont="1" applyBorder="1" applyAlignment="1">
      <alignment wrapText="1"/>
    </xf>
    <xf numFmtId="0" fontId="10" fillId="59" borderId="6" xfId="0" applyFont="1" applyFill="1" applyBorder="1"/>
    <xf numFmtId="0" fontId="0" fillId="3" borderId="6" xfId="0" applyFill="1" applyBorder="1"/>
    <xf numFmtId="0" fontId="30" fillId="0" borderId="3" xfId="0" applyFont="1" applyBorder="1"/>
    <xf numFmtId="0" fontId="11" fillId="0" borderId="0" xfId="0" applyFont="1"/>
    <xf numFmtId="2" fontId="0" fillId="0" borderId="0" xfId="0" applyNumberFormat="1" applyAlignment="1">
      <alignment horizontal="right"/>
    </xf>
    <xf numFmtId="2" fontId="0" fillId="0" borderId="0" xfId="1" applyNumberFormat="1" applyFont="1" applyBorder="1" applyAlignment="1">
      <alignment horizontal="right"/>
    </xf>
    <xf numFmtId="2" fontId="30" fillId="0" borderId="0" xfId="0" applyNumberFormat="1" applyFont="1" applyAlignment="1">
      <alignment horizontal="right"/>
    </xf>
    <xf numFmtId="2" fontId="10" fillId="0" borderId="0" xfId="0" applyNumberFormat="1" applyFont="1" applyAlignment="1">
      <alignment horizontal="right" vertical="top"/>
    </xf>
    <xf numFmtId="2" fontId="10" fillId="0" borderId="0" xfId="0" applyNumberFormat="1" applyFont="1" applyAlignment="1">
      <alignment horizontal="right"/>
    </xf>
    <xf numFmtId="10" fontId="0" fillId="0" borderId="0" xfId="1" applyNumberFormat="1" applyFont="1"/>
    <xf numFmtId="0" fontId="46" fillId="0" borderId="0" xfId="0" applyFont="1" applyAlignment="1">
      <alignment horizontal="left" wrapText="1"/>
    </xf>
    <xf numFmtId="0" fontId="49" fillId="0" borderId="0" xfId="0" applyFont="1" applyAlignment="1">
      <alignment wrapText="1"/>
    </xf>
    <xf numFmtId="169" fontId="12" fillId="0" borderId="0" xfId="51" applyNumberFormat="1" applyFont="1"/>
    <xf numFmtId="169" fontId="8" fillId="0" borderId="0" xfId="51" applyNumberFormat="1" applyFont="1"/>
    <xf numFmtId="169" fontId="10" fillId="0" borderId="0" xfId="51" applyNumberFormat="1" applyFont="1"/>
    <xf numFmtId="0" fontId="48" fillId="0" borderId="0" xfId="0" applyFont="1"/>
    <xf numFmtId="2" fontId="3" fillId="0" borderId="4" xfId="0" applyNumberFormat="1" applyFont="1" applyBorder="1" applyAlignment="1">
      <alignment horizontal="left" vertical="top"/>
    </xf>
    <xf numFmtId="2" fontId="3" fillId="0" borderId="8" xfId="0" applyNumberFormat="1" applyFont="1" applyBorder="1" applyAlignment="1">
      <alignment horizontal="left" vertical="top"/>
    </xf>
    <xf numFmtId="2" fontId="3" fillId="0" borderId="4" xfId="0" applyNumberFormat="1" applyFont="1" applyBorder="1" applyAlignment="1">
      <alignment horizontal="left" wrapText="1"/>
    </xf>
    <xf numFmtId="2" fontId="3" fillId="0" borderId="1" xfId="0" applyNumberFormat="1" applyFont="1" applyBorder="1" applyAlignment="1">
      <alignment horizontal="left" wrapText="1"/>
    </xf>
    <xf numFmtId="2" fontId="3" fillId="0" borderId="1" xfId="0" applyNumberFormat="1" applyFont="1" applyBorder="1" applyAlignment="1">
      <alignment horizontal="left" vertical="top"/>
    </xf>
    <xf numFmtId="0" fontId="11" fillId="0" borderId="0" xfId="0" applyFont="1" applyAlignment="1">
      <alignment wrapText="1"/>
    </xf>
    <xf numFmtId="0" fontId="6" fillId="37" borderId="0" xfId="0" applyFont="1" applyFill="1" applyAlignment="1">
      <alignment vertical="top"/>
    </xf>
    <xf numFmtId="0" fontId="6" fillId="3" borderId="0" xfId="0" applyFont="1" applyFill="1" applyAlignment="1">
      <alignment vertical="top"/>
    </xf>
    <xf numFmtId="0" fontId="6" fillId="38" borderId="0" xfId="0" applyFont="1" applyFill="1" applyAlignment="1">
      <alignment vertical="top"/>
    </xf>
    <xf numFmtId="0" fontId="0" fillId="39" borderId="0" xfId="0" applyFill="1"/>
    <xf numFmtId="0" fontId="0" fillId="40" borderId="0" xfId="0" applyFill="1"/>
    <xf numFmtId="0" fontId="0" fillId="41" borderId="0" xfId="0" applyFill="1"/>
    <xf numFmtId="0" fontId="46" fillId="0" borderId="0" xfId="0" applyFont="1" applyAlignment="1">
      <alignment wrapText="1"/>
    </xf>
    <xf numFmtId="2" fontId="0" fillId="0" borderId="0" xfId="0" applyNumberFormat="1" applyAlignment="1">
      <alignment horizontal="left"/>
    </xf>
    <xf numFmtId="0" fontId="0" fillId="0" borderId="35" xfId="0" applyBorder="1" applyAlignment="1">
      <alignment wrapText="1"/>
    </xf>
    <xf numFmtId="0" fontId="0" fillId="0" borderId="25" xfId="0" applyBorder="1" applyAlignment="1">
      <alignment wrapText="1"/>
    </xf>
    <xf numFmtId="1" fontId="10" fillId="0" borderId="0" xfId="0" applyNumberFormat="1" applyFont="1"/>
    <xf numFmtId="1" fontId="0" fillId="0" borderId="1" xfId="0" applyNumberFormat="1" applyBorder="1"/>
    <xf numFmtId="0" fontId="48" fillId="0" borderId="7" xfId="0" applyFont="1" applyBorder="1" applyAlignment="1">
      <alignment wrapText="1"/>
    </xf>
    <xf numFmtId="0" fontId="48" fillId="0" borderId="7" xfId="0" applyFont="1" applyBorder="1"/>
    <xf numFmtId="1" fontId="0" fillId="0" borderId="8" xfId="0" applyNumberFormat="1" applyBorder="1"/>
    <xf numFmtId="0" fontId="10" fillId="0" borderId="3" xfId="0" applyFont="1" applyBorder="1" applyAlignment="1">
      <alignment wrapText="1"/>
    </xf>
    <xf numFmtId="1" fontId="10" fillId="0" borderId="3" xfId="0" applyNumberFormat="1" applyFont="1" applyBorder="1"/>
    <xf numFmtId="1" fontId="0" fillId="0" borderId="4" xfId="0" applyNumberFormat="1" applyBorder="1"/>
    <xf numFmtId="0" fontId="48" fillId="0" borderId="0" xfId="0" applyFont="1" applyAlignment="1">
      <alignment wrapText="1"/>
    </xf>
    <xf numFmtId="0" fontId="46" fillId="0" borderId="21" xfId="0" applyFont="1" applyBorder="1" applyAlignment="1">
      <alignment wrapText="1"/>
    </xf>
    <xf numFmtId="0" fontId="1" fillId="0" borderId="21" xfId="0" applyFont="1" applyBorder="1"/>
    <xf numFmtId="1" fontId="0" fillId="0" borderId="34" xfId="0" applyNumberFormat="1" applyBorder="1"/>
    <xf numFmtId="0" fontId="46" fillId="0" borderId="21" xfId="0" applyFont="1" applyBorder="1"/>
    <xf numFmtId="0" fontId="46" fillId="0" borderId="7" xfId="0" applyFont="1" applyBorder="1"/>
    <xf numFmtId="0" fontId="30" fillId="0" borderId="7" xfId="0" applyFont="1" applyBorder="1" applyAlignment="1">
      <alignment wrapText="1"/>
    </xf>
    <xf numFmtId="0" fontId="30" fillId="0" borderId="3" xfId="0" applyFont="1" applyBorder="1" applyAlignment="1">
      <alignment wrapText="1"/>
    </xf>
    <xf numFmtId="0" fontId="30" fillId="0" borderId="22" xfId="0" applyFont="1" applyBorder="1" applyAlignment="1">
      <alignment wrapText="1"/>
    </xf>
    <xf numFmtId="1" fontId="0" fillId="0" borderId="36" xfId="0" applyNumberFormat="1" applyBorder="1"/>
    <xf numFmtId="0" fontId="30" fillId="0" borderId="35" xfId="0" applyFont="1" applyBorder="1" applyAlignment="1">
      <alignment wrapText="1"/>
    </xf>
    <xf numFmtId="1" fontId="0" fillId="0" borderId="25" xfId="0" applyNumberFormat="1" applyBorder="1"/>
    <xf numFmtId="0" fontId="0" fillId="0" borderId="7" xfId="0" applyBorder="1" applyAlignment="1">
      <alignment wrapText="1"/>
    </xf>
    <xf numFmtId="0" fontId="0" fillId="0" borderId="22" xfId="0" applyBorder="1" applyAlignment="1">
      <alignment wrapText="1"/>
    </xf>
    <xf numFmtId="0" fontId="0" fillId="0" borderId="3" xfId="0" applyBorder="1" applyAlignment="1">
      <alignment wrapText="1"/>
    </xf>
    <xf numFmtId="0" fontId="0" fillId="0" borderId="35" xfId="0" applyBorder="1"/>
    <xf numFmtId="1" fontId="1" fillId="0" borderId="8" xfId="0" applyNumberFormat="1" applyFont="1" applyBorder="1"/>
    <xf numFmtId="1" fontId="1" fillId="0" borderId="34" xfId="0" applyNumberFormat="1" applyFont="1" applyBorder="1"/>
    <xf numFmtId="1" fontId="10" fillId="0" borderId="7" xfId="0" applyNumberFormat="1" applyFont="1" applyBorder="1"/>
    <xf numFmtId="1" fontId="1" fillId="0" borderId="25" xfId="0" applyNumberFormat="1" applyFont="1" applyBorder="1"/>
    <xf numFmtId="0" fontId="5" fillId="0" borderId="20" xfId="0" applyFont="1" applyBorder="1" applyAlignment="1">
      <alignment wrapText="1"/>
    </xf>
    <xf numFmtId="0" fontId="6" fillId="4" borderId="5" xfId="0" applyFont="1" applyFill="1" applyBorder="1" applyAlignment="1">
      <alignment vertical="top" wrapText="1"/>
    </xf>
    <xf numFmtId="169" fontId="12" fillId="0" borderId="0" xfId="0" applyNumberFormat="1" applyFont="1"/>
    <xf numFmtId="169" fontId="0" fillId="0" borderId="0" xfId="0" applyNumberFormat="1"/>
    <xf numFmtId="0" fontId="4" fillId="4" borderId="5" xfId="0" applyFont="1" applyFill="1" applyBorder="1" applyAlignment="1">
      <alignment vertical="top" wrapText="1"/>
    </xf>
    <xf numFmtId="0" fontId="6" fillId="4" borderId="6" xfId="0" applyFont="1" applyFill="1" applyBorder="1" applyAlignment="1">
      <alignment vertical="top" wrapText="1"/>
    </xf>
    <xf numFmtId="0" fontId="6" fillId="37" borderId="2" xfId="0" applyFont="1" applyFill="1" applyBorder="1" applyAlignment="1">
      <alignment vertical="top" wrapText="1"/>
    </xf>
    <xf numFmtId="0" fontId="6" fillId="37" borderId="6" xfId="0" applyFont="1" applyFill="1" applyBorder="1" applyAlignment="1">
      <alignment vertical="top" wrapText="1"/>
    </xf>
    <xf numFmtId="0" fontId="6" fillId="3" borderId="2" xfId="0" applyFont="1" applyFill="1" applyBorder="1" applyAlignment="1">
      <alignment vertical="top" wrapText="1"/>
    </xf>
    <xf numFmtId="0" fontId="6" fillId="3" borderId="5" xfId="0" applyFont="1" applyFill="1" applyBorder="1" applyAlignment="1">
      <alignment vertical="top" wrapText="1"/>
    </xf>
    <xf numFmtId="0" fontId="6" fillId="3" borderId="5" xfId="0" applyFont="1" applyFill="1" applyBorder="1" applyAlignment="1">
      <alignment wrapText="1"/>
    </xf>
    <xf numFmtId="169" fontId="10" fillId="0" borderId="0" xfId="0" applyNumberFormat="1" applyFont="1"/>
    <xf numFmtId="0" fontId="32" fillId="3" borderId="6" xfId="0" applyFont="1" applyFill="1" applyBorder="1" applyAlignment="1">
      <alignment vertical="top"/>
    </xf>
    <xf numFmtId="0" fontId="4" fillId="38" borderId="2" xfId="0" applyFont="1" applyFill="1" applyBorder="1" applyAlignment="1">
      <alignment vertical="top" wrapText="1"/>
    </xf>
    <xf numFmtId="0" fontId="4" fillId="38" borderId="5" xfId="0" applyFont="1" applyFill="1" applyBorder="1" applyAlignment="1">
      <alignment vertical="top" wrapText="1"/>
    </xf>
    <xf numFmtId="0" fontId="32" fillId="38" borderId="6" xfId="0" applyFont="1" applyFill="1" applyBorder="1" applyAlignment="1">
      <alignment vertical="top"/>
    </xf>
    <xf numFmtId="0" fontId="32" fillId="38" borderId="5" xfId="0" applyFont="1" applyFill="1" applyBorder="1" applyAlignment="1">
      <alignment vertical="top"/>
    </xf>
    <xf numFmtId="0" fontId="4" fillId="38" borderId="26" xfId="0" applyFont="1" applyFill="1" applyBorder="1" applyAlignment="1">
      <alignment vertical="top"/>
    </xf>
    <xf numFmtId="0" fontId="6" fillId="39" borderId="2" xfId="0" applyFont="1" applyFill="1" applyBorder="1" applyAlignment="1">
      <alignment wrapText="1"/>
    </xf>
    <xf numFmtId="0" fontId="4" fillId="39" borderId="6" xfId="0" applyFont="1" applyFill="1" applyBorder="1" applyAlignment="1">
      <alignment wrapText="1"/>
    </xf>
    <xf numFmtId="0" fontId="4" fillId="40" borderId="2" xfId="0" applyFont="1" applyFill="1" applyBorder="1" applyAlignment="1">
      <alignment vertical="top" wrapText="1"/>
    </xf>
    <xf numFmtId="0" fontId="4" fillId="40" borderId="6" xfId="0" applyFont="1" applyFill="1" applyBorder="1" applyAlignment="1">
      <alignment vertical="top" wrapText="1"/>
    </xf>
    <xf numFmtId="0" fontId="6" fillId="41" borderId="2" xfId="0" applyFont="1" applyFill="1" applyBorder="1" applyAlignment="1">
      <alignment vertical="top" wrapText="1"/>
    </xf>
    <xf numFmtId="0" fontId="6" fillId="41" borderId="6" xfId="0" applyFont="1" applyFill="1" applyBorder="1" applyAlignment="1">
      <alignment vertical="top" wrapText="1"/>
    </xf>
    <xf numFmtId="170" fontId="10" fillId="0" borderId="37" xfId="0" applyNumberFormat="1" applyFont="1" applyBorder="1"/>
    <xf numFmtId="2" fontId="30" fillId="0" borderId="0" xfId="0" applyNumberFormat="1" applyFont="1" applyAlignment="1">
      <alignment horizontal="left"/>
    </xf>
    <xf numFmtId="2" fontId="10" fillId="0" borderId="0" xfId="0" applyNumberFormat="1" applyFont="1" applyAlignment="1">
      <alignment horizontal="left"/>
    </xf>
    <xf numFmtId="2" fontId="10" fillId="0" borderId="0" xfId="0" applyNumberFormat="1" applyFont="1" applyAlignment="1">
      <alignment horizontal="left" vertical="top"/>
    </xf>
    <xf numFmtId="0" fontId="38" fillId="0" borderId="0" xfId="0" applyFont="1"/>
    <xf numFmtId="0" fontId="10" fillId="0" borderId="27" xfId="0" applyFont="1" applyBorder="1"/>
    <xf numFmtId="164" fontId="10" fillId="0" borderId="27" xfId="0" applyNumberFormat="1" applyFont="1" applyBorder="1"/>
    <xf numFmtId="0" fontId="32" fillId="0" borderId="37" xfId="0" applyFont="1" applyBorder="1" applyAlignment="1">
      <alignment vertical="top"/>
    </xf>
    <xf numFmtId="0" fontId="6" fillId="0" borderId="37" xfId="0" applyFont="1" applyBorder="1" applyAlignment="1">
      <alignment vertical="top"/>
    </xf>
    <xf numFmtId="0" fontId="0" fillId="0" borderId="37" xfId="0" applyBorder="1"/>
    <xf numFmtId="0" fontId="6" fillId="0" borderId="37" xfId="0" applyFont="1" applyBorder="1" applyAlignment="1">
      <alignment vertical="top" wrapText="1"/>
    </xf>
    <xf numFmtId="10" fontId="30" fillId="0" borderId="0" xfId="1" applyNumberFormat="1" applyFont="1" applyBorder="1"/>
    <xf numFmtId="2" fontId="30" fillId="0" borderId="0" xfId="0" applyNumberFormat="1" applyFont="1"/>
    <xf numFmtId="10" fontId="30" fillId="0" borderId="0" xfId="0" applyNumberFormat="1" applyFont="1"/>
    <xf numFmtId="169" fontId="10" fillId="0" borderId="0" xfId="51" applyNumberFormat="1" applyFont="1" applyFill="1" applyBorder="1"/>
    <xf numFmtId="169" fontId="12" fillId="0" borderId="0" xfId="0" applyNumberFormat="1" applyFont="1" applyAlignment="1">
      <alignment horizontal="right"/>
    </xf>
    <xf numFmtId="169" fontId="10" fillId="0" borderId="0" xfId="0" applyNumberFormat="1" applyFont="1" applyAlignment="1">
      <alignment horizontal="right"/>
    </xf>
    <xf numFmtId="0" fontId="6" fillId="0" borderId="5" xfId="0" applyFont="1" applyBorder="1" applyAlignment="1">
      <alignment vertical="top" wrapText="1"/>
    </xf>
    <xf numFmtId="0" fontId="1" fillId="0" borderId="32" xfId="0" applyFont="1" applyBorder="1"/>
    <xf numFmtId="0" fontId="1" fillId="0" borderId="47" xfId="0" applyFont="1" applyBorder="1"/>
    <xf numFmtId="0" fontId="0" fillId="41" borderId="5" xfId="0" applyFill="1" applyBorder="1"/>
    <xf numFmtId="0" fontId="7" fillId="0" borderId="0" xfId="0" applyFont="1" applyAlignment="1">
      <alignment vertical="top" wrapText="1"/>
    </xf>
    <xf numFmtId="0" fontId="28" fillId="0" borderId="45" xfId="44" applyBorder="1" applyAlignment="1">
      <alignment wrapText="1"/>
    </xf>
    <xf numFmtId="0" fontId="0" fillId="0" borderId="45" xfId="0" applyBorder="1" applyAlignment="1">
      <alignment wrapText="1"/>
    </xf>
    <xf numFmtId="0" fontId="10" fillId="0" borderId="45" xfId="0" applyFont="1" applyBorder="1" applyAlignment="1">
      <alignment wrapText="1"/>
    </xf>
    <xf numFmtId="0" fontId="0" fillId="0" borderId="78" xfId="0" applyBorder="1" applyAlignment="1">
      <alignment wrapText="1"/>
    </xf>
    <xf numFmtId="0" fontId="0" fillId="0" borderId="79" xfId="0" applyBorder="1" applyAlignment="1">
      <alignment wrapText="1"/>
    </xf>
    <xf numFmtId="0" fontId="38" fillId="0" borderId="38" xfId="0" applyFont="1" applyBorder="1" applyAlignment="1">
      <alignment vertical="top" wrapText="1"/>
    </xf>
    <xf numFmtId="10" fontId="8" fillId="0" borderId="0" xfId="1" applyNumberFormat="1" applyFont="1"/>
    <xf numFmtId="10" fontId="30" fillId="0" borderId="0" xfId="0" applyNumberFormat="1" applyFont="1" applyAlignment="1">
      <alignment horizontal="center"/>
    </xf>
    <xf numFmtId="0" fontId="30" fillId="0" borderId="0" xfId="0" applyFont="1" applyAlignment="1">
      <alignment horizontal="center"/>
    </xf>
    <xf numFmtId="166" fontId="10" fillId="0" borderId="0" xfId="0" applyNumberFormat="1" applyFont="1" applyAlignment="1">
      <alignment horizontal="right"/>
    </xf>
    <xf numFmtId="166" fontId="0" fillId="0" borderId="0" xfId="0" applyNumberFormat="1" applyAlignment="1">
      <alignment horizontal="right"/>
    </xf>
    <xf numFmtId="2" fontId="10" fillId="0" borderId="0" xfId="1" applyNumberFormat="1" applyFont="1" applyBorder="1" applyAlignment="1">
      <alignment horizontal="right"/>
    </xf>
    <xf numFmtId="0" fontId="42" fillId="0" borderId="0" xfId="0" applyFont="1" applyAlignment="1">
      <alignment horizontal="center" vertical="top" wrapText="1"/>
    </xf>
    <xf numFmtId="0" fontId="3" fillId="0" borderId="37" xfId="0" applyFont="1" applyBorder="1" applyAlignment="1">
      <alignment horizontal="right" vertical="top" wrapText="1"/>
    </xf>
    <xf numFmtId="0" fontId="1" fillId="0" borderId="0" xfId="0" applyFont="1" applyAlignment="1">
      <alignment horizontal="center" wrapText="1"/>
    </xf>
    <xf numFmtId="165" fontId="1" fillId="0" borderId="0" xfId="2" applyFont="1"/>
    <xf numFmtId="10" fontId="10" fillId="0" borderId="0" xfId="0" applyNumberFormat="1" applyFont="1" applyAlignment="1">
      <alignment horizontal="center"/>
    </xf>
    <xf numFmtId="165" fontId="12" fillId="0" borderId="0" xfId="2" applyFont="1"/>
    <xf numFmtId="0" fontId="48" fillId="0" borderId="0" xfId="43" applyFont="1" applyAlignment="1">
      <alignment wrapText="1"/>
    </xf>
    <xf numFmtId="10" fontId="30" fillId="0" borderId="0" xfId="1" applyNumberFormat="1" applyFont="1" applyFill="1" applyBorder="1" applyAlignment="1">
      <alignment horizontal="center"/>
    </xf>
    <xf numFmtId="10" fontId="10" fillId="0" borderId="0" xfId="1" applyNumberFormat="1" applyFont="1" applyFill="1" applyBorder="1" applyAlignment="1">
      <alignment horizontal="center"/>
    </xf>
    <xf numFmtId="0" fontId="10" fillId="0" borderId="0" xfId="0" applyFont="1" applyAlignment="1">
      <alignment horizontal="right"/>
    </xf>
    <xf numFmtId="10" fontId="10" fillId="0" borderId="0" xfId="1" applyNumberFormat="1" applyFont="1"/>
    <xf numFmtId="166" fontId="10" fillId="0" borderId="0" xfId="0" applyNumberFormat="1" applyFont="1"/>
    <xf numFmtId="1" fontId="0" fillId="0" borderId="21" xfId="0" applyNumberFormat="1" applyBorder="1"/>
    <xf numFmtId="1" fontId="0" fillId="0" borderId="7" xfId="0" applyNumberFormat="1" applyBorder="1"/>
    <xf numFmtId="3" fontId="0" fillId="0" borderId="35" xfId="0" applyNumberFormat="1" applyBorder="1"/>
    <xf numFmtId="1" fontId="0" fillId="0" borderId="0" xfId="0" applyNumberFormat="1"/>
    <xf numFmtId="1" fontId="10" fillId="0" borderId="21" xfId="0" applyNumberFormat="1" applyFont="1" applyBorder="1"/>
    <xf numFmtId="1" fontId="0" fillId="0" borderId="3" xfId="0" applyNumberFormat="1" applyBorder="1"/>
    <xf numFmtId="1" fontId="10" fillId="0" borderId="22" xfId="0" applyNumberFormat="1" applyFont="1" applyBorder="1"/>
    <xf numFmtId="1" fontId="0" fillId="0" borderId="22" xfId="0" applyNumberFormat="1" applyBorder="1"/>
    <xf numFmtId="1" fontId="0" fillId="0" borderId="35" xfId="0" applyNumberFormat="1" applyBorder="1"/>
    <xf numFmtId="0" fontId="10" fillId="3" borderId="62" xfId="0" applyFont="1" applyFill="1" applyBorder="1" applyAlignment="1">
      <alignment vertical="top" wrapText="1"/>
    </xf>
    <xf numFmtId="0" fontId="10" fillId="3" borderId="19" xfId="0" applyFont="1" applyFill="1" applyBorder="1" applyAlignment="1">
      <alignment vertical="top" wrapText="1"/>
    </xf>
    <xf numFmtId="0" fontId="10" fillId="3" borderId="19" xfId="0" applyFont="1" applyFill="1" applyBorder="1" applyAlignment="1">
      <alignment wrapText="1"/>
    </xf>
    <xf numFmtId="0" fontId="10" fillId="3" borderId="60" xfId="0" applyFont="1" applyFill="1" applyBorder="1" applyAlignment="1">
      <alignment vertical="top"/>
    </xf>
    <xf numFmtId="0" fontId="48" fillId="0" borderId="0" xfId="0" applyFont="1" applyAlignment="1">
      <alignment horizontal="left" wrapText="1"/>
    </xf>
    <xf numFmtId="10" fontId="44" fillId="0" borderId="0" xfId="1" applyNumberFormat="1" applyFont="1" applyFill="1" applyBorder="1"/>
    <xf numFmtId="169" fontId="12" fillId="0" borderId="0" xfId="51" applyNumberFormat="1" applyFont="1" applyBorder="1"/>
    <xf numFmtId="10" fontId="12" fillId="0" borderId="0" xfId="1" applyNumberFormat="1" applyFont="1" applyBorder="1"/>
    <xf numFmtId="0" fontId="48" fillId="0" borderId="38" xfId="0" applyFont="1" applyBorder="1" applyAlignment="1">
      <alignment wrapText="1"/>
    </xf>
    <xf numFmtId="0" fontId="46" fillId="0" borderId="0" xfId="0" applyFont="1" applyAlignment="1">
      <alignment horizontal="center" wrapText="1"/>
    </xf>
    <xf numFmtId="2" fontId="30" fillId="0" borderId="0" xfId="0" applyNumberFormat="1" applyFont="1" applyAlignment="1">
      <alignment horizontal="center"/>
    </xf>
    <xf numFmtId="0" fontId="7" fillId="0" borderId="0" xfId="0" applyFont="1" applyAlignment="1">
      <alignment vertical="top"/>
    </xf>
    <xf numFmtId="169" fontId="0" fillId="0" borderId="0" xfId="51" applyNumberFormat="1" applyFont="1" applyAlignment="1">
      <alignment horizontal="right"/>
    </xf>
    <xf numFmtId="0" fontId="35" fillId="62" borderId="0" xfId="0" applyFont="1" applyFill="1" applyAlignment="1">
      <alignment wrapText="1"/>
    </xf>
    <xf numFmtId="0" fontId="0" fillId="2" borderId="0" xfId="0" applyFill="1"/>
    <xf numFmtId="0" fontId="47" fillId="0" borderId="0" xfId="0" applyFont="1" applyAlignment="1">
      <alignment wrapText="1"/>
    </xf>
    <xf numFmtId="0" fontId="47" fillId="0" borderId="0" xfId="0" applyFont="1" applyAlignment="1">
      <alignment horizontal="center"/>
    </xf>
    <xf numFmtId="0" fontId="56" fillId="0" borderId="0" xfId="44" applyFont="1"/>
    <xf numFmtId="2" fontId="12" fillId="0" borderId="0" xfId="0" applyNumberFormat="1" applyFont="1" applyAlignment="1">
      <alignment horizontal="right"/>
    </xf>
    <xf numFmtId="0" fontId="30" fillId="4" borderId="32" xfId="0" applyFont="1" applyFill="1" applyBorder="1" applyAlignment="1">
      <alignment vertical="top" wrapText="1"/>
    </xf>
    <xf numFmtId="0" fontId="0" fillId="46" borderId="28" xfId="0" applyFill="1" applyBorder="1" applyAlignment="1">
      <alignment vertical="top"/>
    </xf>
    <xf numFmtId="0" fontId="10" fillId="46" borderId="32" xfId="0" applyFont="1" applyFill="1" applyBorder="1" applyAlignment="1">
      <alignment horizontal="left" wrapText="1"/>
    </xf>
    <xf numFmtId="0" fontId="10" fillId="46" borderId="32" xfId="0" applyFont="1" applyFill="1" applyBorder="1" applyAlignment="1">
      <alignment horizontal="left"/>
    </xf>
    <xf numFmtId="0" fontId="30" fillId="4" borderId="28" xfId="0" applyFont="1" applyFill="1" applyBorder="1" applyAlignment="1">
      <alignment vertical="top" wrapText="1"/>
    </xf>
    <xf numFmtId="0" fontId="30" fillId="36" borderId="29" xfId="0" applyFont="1" applyFill="1" applyBorder="1" applyAlignment="1">
      <alignment vertical="top" wrapText="1"/>
    </xf>
    <xf numFmtId="0" fontId="10" fillId="47" borderId="32" xfId="0" applyFont="1" applyFill="1" applyBorder="1" applyAlignment="1">
      <alignment horizontal="left" wrapText="1"/>
    </xf>
    <xf numFmtId="0" fontId="10" fillId="47" borderId="32" xfId="0" applyFont="1" applyFill="1" applyBorder="1" applyAlignment="1">
      <alignment horizontal="left"/>
    </xf>
    <xf numFmtId="0" fontId="10" fillId="47" borderId="56" xfId="0" applyFont="1" applyFill="1" applyBorder="1" applyAlignment="1">
      <alignment horizontal="left"/>
    </xf>
    <xf numFmtId="0" fontId="30" fillId="3" borderId="73" xfId="0" applyFont="1" applyFill="1" applyBorder="1" applyAlignment="1">
      <alignment vertical="top" wrapText="1"/>
    </xf>
    <xf numFmtId="0" fontId="30" fillId="3" borderId="72" xfId="0" applyFont="1" applyFill="1" applyBorder="1" applyAlignment="1">
      <alignment vertical="top" wrapText="1"/>
    </xf>
    <xf numFmtId="0" fontId="30" fillId="3" borderId="32" xfId="0" applyFont="1" applyFill="1" applyBorder="1" applyAlignment="1">
      <alignment vertical="top" wrapText="1"/>
    </xf>
    <xf numFmtId="0" fontId="30" fillId="3" borderId="47" xfId="0" applyFont="1" applyFill="1" applyBorder="1" applyAlignment="1">
      <alignment vertical="top" wrapText="1"/>
    </xf>
    <xf numFmtId="0" fontId="30" fillId="3" borderId="32" xfId="0" applyFont="1" applyFill="1" applyBorder="1" applyAlignment="1">
      <alignment wrapText="1"/>
    </xf>
    <xf numFmtId="0" fontId="30" fillId="3" borderId="47" xfId="0" applyFont="1" applyFill="1" applyBorder="1" applyAlignment="1">
      <alignment wrapText="1"/>
    </xf>
    <xf numFmtId="0" fontId="10" fillId="3" borderId="32" xfId="0" applyFont="1" applyFill="1" applyBorder="1" applyAlignment="1">
      <alignment vertical="top"/>
    </xf>
    <xf numFmtId="0" fontId="48" fillId="3" borderId="47" xfId="0" applyFont="1" applyFill="1" applyBorder="1" applyAlignment="1">
      <alignment vertical="top"/>
    </xf>
    <xf numFmtId="0" fontId="10" fillId="38" borderId="32" xfId="0" applyFont="1" applyFill="1" applyBorder="1" applyAlignment="1">
      <alignment vertical="top" wrapText="1"/>
    </xf>
    <xf numFmtId="0" fontId="12" fillId="38" borderId="47" xfId="0" applyFont="1" applyFill="1" applyBorder="1" applyAlignment="1">
      <alignment vertical="top" wrapText="1"/>
    </xf>
    <xf numFmtId="0" fontId="10" fillId="38" borderId="47" xfId="0" applyFont="1" applyFill="1" applyBorder="1" applyAlignment="1">
      <alignment vertical="top" wrapText="1"/>
    </xf>
    <xf numFmtId="0" fontId="30" fillId="38" borderId="32" xfId="0" applyFont="1" applyFill="1" applyBorder="1" applyAlignment="1">
      <alignment vertical="top" wrapText="1"/>
    </xf>
    <xf numFmtId="0" fontId="30" fillId="38" borderId="47" xfId="0" applyFont="1" applyFill="1" applyBorder="1" applyAlignment="1">
      <alignment vertical="top" wrapText="1"/>
    </xf>
    <xf numFmtId="0" fontId="10" fillId="38" borderId="32" xfId="0" applyFont="1" applyFill="1" applyBorder="1" applyAlignment="1">
      <alignment vertical="top"/>
    </xf>
    <xf numFmtId="0" fontId="12" fillId="38" borderId="47" xfId="0" applyFont="1" applyFill="1" applyBorder="1" applyAlignment="1">
      <alignment vertical="top"/>
    </xf>
    <xf numFmtId="0" fontId="30" fillId="38" borderId="47" xfId="0" applyFont="1" applyFill="1" applyBorder="1" applyAlignment="1">
      <alignment vertical="top"/>
    </xf>
    <xf numFmtId="0" fontId="30" fillId="38" borderId="32" xfId="0" applyFont="1" applyFill="1" applyBorder="1" applyAlignment="1">
      <alignment vertical="top"/>
    </xf>
    <xf numFmtId="0" fontId="30" fillId="44" borderId="32" xfId="0" applyFont="1" applyFill="1" applyBorder="1"/>
    <xf numFmtId="0" fontId="30" fillId="44" borderId="47" xfId="0" applyFont="1" applyFill="1" applyBorder="1"/>
    <xf numFmtId="0" fontId="10" fillId="44" borderId="32" xfId="0" applyFont="1" applyFill="1" applyBorder="1" applyAlignment="1">
      <alignment wrapText="1"/>
    </xf>
    <xf numFmtId="0" fontId="12" fillId="44" borderId="47" xfId="0" applyFont="1" applyFill="1" applyBorder="1" applyAlignment="1">
      <alignment wrapText="1"/>
    </xf>
    <xf numFmtId="0" fontId="10" fillId="44" borderId="32" xfId="0" applyFont="1" applyFill="1" applyBorder="1" applyAlignment="1">
      <alignment vertical="top"/>
    </xf>
    <xf numFmtId="0" fontId="10" fillId="44" borderId="47" xfId="0" applyFont="1" applyFill="1" applyBorder="1" applyAlignment="1">
      <alignment vertical="top"/>
    </xf>
    <xf numFmtId="0" fontId="30" fillId="44" borderId="32" xfId="0" applyFont="1" applyFill="1" applyBorder="1" applyAlignment="1">
      <alignment vertical="top"/>
    </xf>
    <xf numFmtId="0" fontId="30" fillId="44" borderId="47" xfId="0" applyFont="1" applyFill="1" applyBorder="1" applyAlignment="1">
      <alignment vertical="top" wrapText="1"/>
    </xf>
    <xf numFmtId="0" fontId="10" fillId="44" borderId="32" xfId="0" applyFont="1" applyFill="1" applyBorder="1" applyAlignment="1">
      <alignment vertical="top" wrapText="1"/>
    </xf>
    <xf numFmtId="0" fontId="10" fillId="44" borderId="47" xfId="0" applyFont="1" applyFill="1" applyBorder="1" applyAlignment="1">
      <alignment vertical="top" wrapText="1"/>
    </xf>
    <xf numFmtId="0" fontId="30" fillId="44" borderId="32" xfId="0" applyFont="1" applyFill="1" applyBorder="1" applyAlignment="1">
      <alignment vertical="top" wrapText="1"/>
    </xf>
    <xf numFmtId="0" fontId="12" fillId="44" borderId="47" xfId="0" applyFont="1" applyFill="1" applyBorder="1" applyAlignment="1">
      <alignment vertical="top"/>
    </xf>
    <xf numFmtId="0" fontId="10" fillId="45" borderId="32" xfId="0" applyFont="1" applyFill="1" applyBorder="1" applyAlignment="1">
      <alignment vertical="top"/>
    </xf>
    <xf numFmtId="0" fontId="12" fillId="45" borderId="47" xfId="0" applyFont="1" applyFill="1" applyBorder="1" applyAlignment="1">
      <alignment vertical="top"/>
    </xf>
    <xf numFmtId="0" fontId="30" fillId="45" borderId="32" xfId="0" applyFont="1" applyFill="1" applyBorder="1" applyAlignment="1">
      <alignment vertical="top" wrapText="1"/>
    </xf>
    <xf numFmtId="0" fontId="30" fillId="45" borderId="47" xfId="0" applyFont="1" applyFill="1" applyBorder="1" applyAlignment="1">
      <alignment vertical="top" wrapText="1"/>
    </xf>
    <xf numFmtId="0" fontId="10" fillId="40" borderId="32" xfId="0" applyFont="1" applyFill="1" applyBorder="1" applyAlignment="1">
      <alignment vertical="top"/>
    </xf>
    <xf numFmtId="0" fontId="10" fillId="40" borderId="47" xfId="0" applyFont="1" applyFill="1" applyBorder="1" applyAlignment="1">
      <alignment vertical="top" wrapText="1"/>
    </xf>
    <xf numFmtId="0" fontId="10" fillId="40" borderId="32" xfId="0" applyFont="1" applyFill="1" applyBorder="1" applyAlignment="1">
      <alignment vertical="top" wrapText="1"/>
    </xf>
    <xf numFmtId="0" fontId="30" fillId="41" borderId="32" xfId="0" applyFont="1" applyFill="1" applyBorder="1" applyAlignment="1">
      <alignment vertical="top"/>
    </xf>
    <xf numFmtId="0" fontId="30" fillId="41" borderId="47" xfId="0" applyFont="1" applyFill="1" applyBorder="1" applyAlignment="1">
      <alignment vertical="top" wrapText="1"/>
    </xf>
    <xf numFmtId="0" fontId="30" fillId="41" borderId="56" xfId="0" applyFont="1" applyFill="1" applyBorder="1" applyAlignment="1">
      <alignment vertical="top"/>
    </xf>
    <xf numFmtId="0" fontId="30" fillId="41" borderId="38" xfId="0" applyFont="1" applyFill="1" applyBorder="1" applyAlignment="1">
      <alignment vertical="top" wrapText="1"/>
    </xf>
    <xf numFmtId="0" fontId="30" fillId="37" borderId="77" xfId="0" applyFont="1" applyFill="1" applyBorder="1" applyAlignment="1">
      <alignment vertical="top" wrapText="1"/>
    </xf>
    <xf numFmtId="0" fontId="30" fillId="37" borderId="27" xfId="0" applyFont="1" applyFill="1" applyBorder="1" applyAlignment="1">
      <alignment vertical="top" wrapText="1"/>
    </xf>
    <xf numFmtId="0" fontId="30" fillId="37" borderId="67" xfId="0" applyFont="1" applyFill="1" applyBorder="1" applyAlignment="1">
      <alignment vertical="top" wrapText="1"/>
    </xf>
    <xf numFmtId="0" fontId="30" fillId="37" borderId="47" xfId="0" applyFont="1" applyFill="1" applyBorder="1" applyAlignment="1">
      <alignment vertical="top" wrapText="1"/>
    </xf>
    <xf numFmtId="0" fontId="30" fillId="37" borderId="71" xfId="0" applyFont="1" applyFill="1" applyBorder="1" applyAlignment="1">
      <alignment vertical="top" wrapText="1"/>
    </xf>
    <xf numFmtId="0" fontId="30" fillId="37" borderId="70" xfId="0" applyFont="1" applyFill="1" applyBorder="1" applyAlignment="1">
      <alignment vertical="top" wrapText="1"/>
    </xf>
    <xf numFmtId="0" fontId="0" fillId="37" borderId="69" xfId="0" applyFill="1" applyBorder="1" applyAlignment="1">
      <alignment wrapText="1" readingOrder="1"/>
    </xf>
    <xf numFmtId="0" fontId="0" fillId="37" borderId="68" xfId="0" applyFill="1" applyBorder="1" applyAlignment="1">
      <alignment wrapText="1" readingOrder="1"/>
    </xf>
    <xf numFmtId="0" fontId="30" fillId="48" borderId="0" xfId="0" applyFont="1" applyFill="1" applyAlignment="1">
      <alignment vertical="top" wrapText="1"/>
    </xf>
    <xf numFmtId="0" fontId="30" fillId="37" borderId="0" xfId="0" applyFont="1" applyFill="1" applyAlignment="1">
      <alignment vertical="top" wrapText="1"/>
    </xf>
    <xf numFmtId="0" fontId="30" fillId="37" borderId="69" xfId="0" applyFont="1" applyFill="1" applyBorder="1" applyAlignment="1">
      <alignment vertical="top" wrapText="1"/>
    </xf>
    <xf numFmtId="0" fontId="30" fillId="37" borderId="68" xfId="0" applyFont="1" applyFill="1" applyBorder="1" applyAlignment="1">
      <alignment vertical="top" wrapText="1"/>
    </xf>
    <xf numFmtId="0" fontId="30" fillId="37" borderId="66" xfId="0" applyFont="1" applyFill="1" applyBorder="1" applyAlignment="1">
      <alignment vertical="top" wrapText="1"/>
    </xf>
    <xf numFmtId="0" fontId="30" fillId="37" borderId="38" xfId="0" applyFont="1" applyFill="1" applyBorder="1" applyAlignment="1">
      <alignment vertical="top" wrapText="1"/>
    </xf>
    <xf numFmtId="0" fontId="30" fillId="37" borderId="57" xfId="0" applyFont="1" applyFill="1" applyBorder="1" applyAlignment="1">
      <alignment vertical="top" wrapText="1"/>
    </xf>
    <xf numFmtId="0" fontId="30" fillId="37" borderId="58" xfId="0" applyFont="1" applyFill="1" applyBorder="1" applyAlignment="1">
      <alignment vertical="top" wrapText="1"/>
    </xf>
    <xf numFmtId="0" fontId="57" fillId="0" borderId="0" xfId="0" applyFont="1"/>
    <xf numFmtId="169" fontId="10" fillId="0" borderId="0" xfId="51" applyNumberFormat="1" applyFont="1" applyAlignment="1">
      <alignment horizontal="right"/>
    </xf>
    <xf numFmtId="166" fontId="12" fillId="0" borderId="0" xfId="0" applyNumberFormat="1" applyFont="1" applyAlignment="1">
      <alignment horizontal="right"/>
    </xf>
    <xf numFmtId="0" fontId="38" fillId="0" borderId="0" xfId="0" applyFont="1" applyAlignment="1">
      <alignment horizontal="left"/>
    </xf>
    <xf numFmtId="0" fontId="0" fillId="41" borderId="7" xfId="0" applyFill="1" applyBorder="1"/>
    <xf numFmtId="169" fontId="10" fillId="0" borderId="7" xfId="51" applyNumberFormat="1" applyFont="1" applyBorder="1"/>
    <xf numFmtId="10" fontId="30" fillId="0" borderId="0" xfId="1" applyNumberFormat="1" applyFont="1" applyFill="1" applyBorder="1"/>
    <xf numFmtId="0" fontId="50" fillId="0" borderId="0" xfId="0" applyFont="1"/>
    <xf numFmtId="2" fontId="50" fillId="0" borderId="0" xfId="0" applyNumberFormat="1" applyFont="1"/>
    <xf numFmtId="0" fontId="12" fillId="0" borderId="0" xfId="0" applyFont="1" applyAlignment="1">
      <alignment horizontal="right"/>
    </xf>
    <xf numFmtId="0" fontId="48" fillId="63" borderId="0" xfId="0" applyFont="1" applyFill="1"/>
    <xf numFmtId="169" fontId="10" fillId="0" borderId="0" xfId="51" applyNumberFormat="1" applyFont="1" applyAlignment="1">
      <alignment horizontal="right" vertical="top"/>
    </xf>
    <xf numFmtId="0" fontId="0" fillId="0" borderId="27" xfId="0" applyBorder="1" applyAlignment="1">
      <alignment wrapText="1"/>
    </xf>
    <xf numFmtId="0" fontId="10" fillId="0" borderId="27" xfId="0" applyFont="1" applyBorder="1" applyAlignment="1">
      <alignment horizontal="right"/>
    </xf>
    <xf numFmtId="0" fontId="30" fillId="0" borderId="0" xfId="0" applyFont="1" applyAlignment="1">
      <alignment horizontal="right"/>
    </xf>
    <xf numFmtId="168" fontId="10" fillId="0" borderId="0" xfId="0" applyNumberFormat="1" applyFont="1" applyAlignment="1">
      <alignment horizontal="right"/>
    </xf>
    <xf numFmtId="0" fontId="10" fillId="0" borderId="0" xfId="0" applyFont="1" applyAlignment="1">
      <alignment vertical="top"/>
    </xf>
    <xf numFmtId="165" fontId="10" fillId="0" borderId="0" xfId="2" applyFont="1" applyFill="1" applyBorder="1" applyAlignment="1">
      <alignment horizontal="right" vertical="center"/>
    </xf>
    <xf numFmtId="171" fontId="10" fillId="0" borderId="0" xfId="2" applyNumberFormat="1" applyFont="1" applyFill="1"/>
    <xf numFmtId="165" fontId="0" fillId="0" borderId="0" xfId="2" applyFont="1" applyFill="1" applyBorder="1" applyAlignment="1">
      <alignment horizontal="right"/>
    </xf>
    <xf numFmtId="165" fontId="30" fillId="0" borderId="0" xfId="2" applyFont="1" applyFill="1" applyBorder="1" applyAlignment="1">
      <alignment horizontal="right"/>
    </xf>
    <xf numFmtId="165" fontId="30" fillId="0" borderId="0" xfId="2" applyFont="1" applyFill="1" applyAlignment="1">
      <alignment horizontal="right"/>
    </xf>
    <xf numFmtId="171" fontId="10" fillId="0" borderId="0" xfId="2" applyNumberFormat="1" applyFont="1" applyAlignment="1">
      <alignment vertical="top"/>
    </xf>
    <xf numFmtId="0" fontId="10" fillId="0" borderId="0" xfId="0" applyFont="1" applyAlignment="1">
      <alignment horizontal="right" vertical="top"/>
    </xf>
    <xf numFmtId="0" fontId="0" fillId="0" borderId="0" xfId="0" applyAlignment="1">
      <alignment horizontal="center" vertical="top"/>
    </xf>
    <xf numFmtId="165" fontId="10" fillId="0" borderId="0" xfId="2" applyFont="1" applyFill="1" applyAlignment="1">
      <alignment horizontal="right" vertical="top"/>
    </xf>
    <xf numFmtId="168" fontId="10" fillId="0" borderId="0" xfId="0" applyNumberFormat="1" applyFont="1" applyAlignment="1">
      <alignment horizontal="right" vertical="top"/>
    </xf>
    <xf numFmtId="165" fontId="30" fillId="0" borderId="0" xfId="2" applyFont="1" applyAlignment="1">
      <alignment horizontal="right" vertical="top"/>
    </xf>
    <xf numFmtId="0" fontId="55" fillId="0" borderId="0" xfId="44" applyFont="1" applyAlignment="1">
      <alignment vertical="top"/>
    </xf>
    <xf numFmtId="2" fontId="12" fillId="0" borderId="0" xfId="0" applyNumberFormat="1" applyFont="1" applyAlignment="1">
      <alignment horizontal="left"/>
    </xf>
    <xf numFmtId="171" fontId="12" fillId="0" borderId="0" xfId="2" applyNumberFormat="1" applyFont="1" applyFill="1"/>
    <xf numFmtId="0" fontId="0" fillId="0" borderId="48" xfId="0" applyBorder="1"/>
    <xf numFmtId="0" fontId="0" fillId="0" borderId="22" xfId="0" applyBorder="1" applyAlignment="1">
      <alignment horizontal="center" wrapText="1"/>
    </xf>
    <xf numFmtId="0" fontId="10" fillId="0" borderId="37" xfId="0" applyFont="1" applyBorder="1"/>
    <xf numFmtId="174" fontId="10" fillId="0" borderId="37" xfId="0" applyNumberFormat="1" applyFont="1" applyBorder="1"/>
    <xf numFmtId="2" fontId="0" fillId="0" borderId="0" xfId="0" applyNumberFormat="1" applyAlignment="1">
      <alignment horizontal="left" vertical="top"/>
    </xf>
    <xf numFmtId="2" fontId="0" fillId="0" borderId="0" xfId="0" applyNumberFormat="1" applyAlignment="1">
      <alignment horizontal="left" vertical="top" wrapText="1"/>
    </xf>
    <xf numFmtId="0" fontId="44" fillId="0" borderId="0" xfId="0" applyFont="1" applyAlignment="1">
      <alignment wrapText="1"/>
    </xf>
    <xf numFmtId="169" fontId="0" fillId="0" borderId="0" xfId="51" applyNumberFormat="1" applyFont="1" applyBorder="1" applyAlignment="1">
      <alignment horizontal="left" vertical="top"/>
    </xf>
    <xf numFmtId="169" fontId="0" fillId="0" borderId="7" xfId="51" applyNumberFormat="1" applyFont="1" applyBorder="1" applyAlignment="1">
      <alignment horizontal="left" vertical="top"/>
    </xf>
    <xf numFmtId="169" fontId="0" fillId="0" borderId="3" xfId="51" applyNumberFormat="1" applyFont="1" applyBorder="1" applyAlignment="1">
      <alignment horizontal="left" vertical="top"/>
    </xf>
    <xf numFmtId="0" fontId="1" fillId="0" borderId="2" xfId="0" applyFont="1" applyBorder="1" applyAlignment="1">
      <alignment vertical="top" wrapText="1"/>
    </xf>
    <xf numFmtId="0" fontId="1" fillId="0" borderId="4" xfId="0" applyFont="1" applyBorder="1" applyAlignment="1">
      <alignment vertical="top" wrapText="1"/>
    </xf>
    <xf numFmtId="169" fontId="0" fillId="0" borderId="4" xfId="51" applyNumberFormat="1" applyFont="1" applyBorder="1" applyAlignment="1">
      <alignment horizontal="left" vertical="top"/>
    </xf>
    <xf numFmtId="0" fontId="0" fillId="0" borderId="74" xfId="0" applyBorder="1"/>
    <xf numFmtId="169" fontId="0" fillId="0" borderId="1" xfId="51" applyNumberFormat="1" applyFont="1" applyBorder="1" applyAlignment="1">
      <alignment horizontal="left" vertical="top"/>
    </xf>
    <xf numFmtId="0" fontId="0" fillId="0" borderId="75" xfId="0" applyBorder="1"/>
    <xf numFmtId="169" fontId="0" fillId="0" borderId="8" xfId="51" applyNumberFormat="1" applyFont="1" applyBorder="1" applyAlignment="1">
      <alignment horizontal="left" vertical="top"/>
    </xf>
    <xf numFmtId="0" fontId="1" fillId="0" borderId="26" xfId="0" applyFont="1" applyBorder="1" applyAlignment="1">
      <alignment vertical="top" wrapText="1"/>
    </xf>
    <xf numFmtId="0" fontId="0" fillId="0" borderId="37" xfId="0" applyBorder="1" applyAlignment="1">
      <alignment wrapText="1"/>
    </xf>
    <xf numFmtId="0" fontId="0" fillId="0" borderId="26" xfId="0" applyBorder="1" applyAlignment="1">
      <alignment wrapText="1"/>
    </xf>
    <xf numFmtId="0" fontId="0" fillId="0" borderId="64" xfId="0" applyBorder="1" applyAlignment="1">
      <alignment wrapText="1"/>
    </xf>
    <xf numFmtId="0" fontId="10" fillId="0" borderId="65" xfId="0" applyFont="1" applyBorder="1" applyAlignment="1">
      <alignment wrapText="1"/>
    </xf>
    <xf numFmtId="0" fontId="10" fillId="0" borderId="22" xfId="0" applyFont="1" applyBorder="1" applyAlignment="1">
      <alignment wrapText="1"/>
    </xf>
    <xf numFmtId="0" fontId="0" fillId="0" borderId="36" xfId="0" applyBorder="1" applyAlignment="1">
      <alignment wrapText="1"/>
    </xf>
    <xf numFmtId="0" fontId="30" fillId="4" borderId="40" xfId="0" applyFont="1" applyFill="1" applyBorder="1" applyAlignment="1">
      <alignment vertical="top" wrapText="1"/>
    </xf>
    <xf numFmtId="0" fontId="0" fillId="46" borderId="31" xfId="0" applyFill="1" applyBorder="1" applyAlignment="1">
      <alignment vertical="top"/>
    </xf>
    <xf numFmtId="0" fontId="0" fillId="46" borderId="0" xfId="0" applyFill="1" applyAlignment="1">
      <alignment vertical="top"/>
    </xf>
    <xf numFmtId="0" fontId="46" fillId="0" borderId="80" xfId="0" applyFont="1" applyBorder="1" applyAlignment="1">
      <alignment wrapText="1"/>
    </xf>
    <xf numFmtId="2" fontId="10" fillId="0" borderId="74" xfId="0" applyNumberFormat="1" applyFont="1" applyBorder="1"/>
    <xf numFmtId="2" fontId="10" fillId="0" borderId="75" xfId="0" applyNumberFormat="1" applyFont="1" applyBorder="1"/>
    <xf numFmtId="0" fontId="9" fillId="60" borderId="26" xfId="0" applyFont="1" applyFill="1" applyBorder="1" applyAlignment="1">
      <alignment wrapText="1"/>
    </xf>
    <xf numFmtId="0" fontId="4" fillId="60" borderId="81" xfId="0" applyFont="1" applyFill="1" applyBorder="1"/>
    <xf numFmtId="0" fontId="9" fillId="0" borderId="37" xfId="0" applyFont="1" applyBorder="1"/>
    <xf numFmtId="0" fontId="46" fillId="0" borderId="0" xfId="0" applyFont="1" applyAlignment="1">
      <alignment textRotation="180"/>
    </xf>
    <xf numFmtId="0" fontId="46" fillId="0" borderId="3" xfId="0" applyFont="1" applyBorder="1"/>
    <xf numFmtId="0" fontId="30" fillId="0" borderId="55" xfId="0" applyFont="1" applyBorder="1"/>
    <xf numFmtId="0" fontId="30" fillId="0" borderId="55" xfId="0" applyFont="1" applyBorder="1" applyAlignment="1">
      <alignment wrapText="1"/>
    </xf>
    <xf numFmtId="170" fontId="10" fillId="0" borderId="0" xfId="0" applyNumberFormat="1" applyFont="1" applyAlignment="1">
      <alignment horizontal="left" vertical="top"/>
    </xf>
    <xf numFmtId="0" fontId="61" fillId="0" borderId="0" xfId="0" applyFont="1" applyAlignment="1">
      <alignment vertical="top"/>
    </xf>
    <xf numFmtId="0" fontId="1" fillId="0" borderId="2" xfId="0" applyFont="1"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2" xfId="0" applyBorder="1"/>
    <xf numFmtId="0" fontId="1" fillId="0" borderId="5" xfId="0" applyFont="1" applyBorder="1" applyAlignment="1">
      <alignment wrapText="1"/>
    </xf>
    <xf numFmtId="0" fontId="1" fillId="0" borderId="1" xfId="0" applyFont="1" applyBorder="1" applyAlignment="1">
      <alignment wrapText="1"/>
    </xf>
    <xf numFmtId="0" fontId="0" fillId="0" borderId="0" xfId="0" applyAlignment="1">
      <alignment wrapText="1" readingOrder="1"/>
    </xf>
    <xf numFmtId="0" fontId="6" fillId="41" borderId="7" xfId="0" applyFont="1" applyFill="1" applyBorder="1" applyAlignment="1">
      <alignment vertical="top" wrapText="1"/>
    </xf>
    <xf numFmtId="169" fontId="10" fillId="0" borderId="0" xfId="51" applyNumberFormat="1" applyFont="1" applyBorder="1"/>
    <xf numFmtId="169" fontId="1" fillId="0" borderId="0" xfId="51" applyNumberFormat="1" applyFont="1"/>
    <xf numFmtId="169" fontId="1" fillId="0" borderId="0" xfId="0" applyNumberFormat="1" applyFont="1"/>
    <xf numFmtId="170" fontId="12" fillId="0" borderId="0" xfId="0" applyNumberFormat="1" applyFont="1"/>
    <xf numFmtId="174" fontId="0" fillId="0" borderId="5" xfId="0" applyNumberFormat="1" applyBorder="1"/>
    <xf numFmtId="174" fontId="0" fillId="0" borderId="0" xfId="0" applyNumberFormat="1" applyAlignment="1">
      <alignment horizontal="left" vertical="top"/>
    </xf>
    <xf numFmtId="174" fontId="0" fillId="0" borderId="0" xfId="0" applyNumberFormat="1" applyAlignment="1">
      <alignment horizontal="left" vertical="top" wrapText="1"/>
    </xf>
    <xf numFmtId="174" fontId="10" fillId="0" borderId="0" xfId="0" applyNumberFormat="1" applyFont="1" applyAlignment="1">
      <alignment horizontal="left" vertical="top"/>
    </xf>
    <xf numFmtId="170" fontId="0" fillId="0" borderId="7" xfId="0" applyNumberFormat="1" applyBorder="1" applyAlignment="1">
      <alignment horizontal="left" vertical="top" wrapText="1"/>
    </xf>
    <xf numFmtId="170" fontId="10" fillId="0" borderId="7" xfId="0" applyNumberFormat="1" applyFont="1" applyBorder="1" applyAlignment="1">
      <alignment horizontal="left" vertical="top"/>
    </xf>
    <xf numFmtId="0" fontId="1" fillId="0" borderId="26" xfId="0" applyFont="1" applyBorder="1" applyAlignment="1">
      <alignment wrapText="1"/>
    </xf>
    <xf numFmtId="0" fontId="0" fillId="0" borderId="26" xfId="0" applyBorder="1"/>
    <xf numFmtId="0" fontId="0" fillId="0" borderId="5" xfId="0" applyBorder="1"/>
    <xf numFmtId="0" fontId="0" fillId="0" borderId="6" xfId="0" applyBorder="1"/>
    <xf numFmtId="174" fontId="0" fillId="0" borderId="5" xfId="0" applyNumberFormat="1" applyBorder="1" applyAlignment="1">
      <alignment wrapText="1"/>
    </xf>
    <xf numFmtId="174" fontId="0" fillId="0" borderId="6" xfId="0" applyNumberFormat="1" applyBorder="1"/>
    <xf numFmtId="0" fontId="10" fillId="0" borderId="3" xfId="0" applyFont="1" applyBorder="1" applyAlignment="1">
      <alignment horizontal="left" vertical="top" wrapText="1"/>
    </xf>
    <xf numFmtId="171" fontId="10" fillId="0" borderId="3" xfId="2" applyNumberFormat="1" applyFont="1" applyBorder="1" applyAlignment="1">
      <alignment vertical="top"/>
    </xf>
    <xf numFmtId="165" fontId="10" fillId="0" borderId="3" xfId="2" applyFont="1" applyBorder="1" applyAlignment="1">
      <alignment horizontal="right" vertical="top"/>
    </xf>
    <xf numFmtId="0" fontId="10" fillId="0" borderId="3" xfId="0" applyFont="1" applyBorder="1" applyAlignment="1">
      <alignment horizontal="right" vertical="top"/>
    </xf>
    <xf numFmtId="164" fontId="10" fillId="0" borderId="3" xfId="0" applyNumberFormat="1" applyFont="1" applyBorder="1" applyAlignment="1">
      <alignment horizontal="right" vertical="top"/>
    </xf>
    <xf numFmtId="0" fontId="10" fillId="0" borderId="4" xfId="0" applyFont="1" applyBorder="1" applyAlignment="1">
      <alignment horizontal="left" vertical="top"/>
    </xf>
    <xf numFmtId="171" fontId="10" fillId="0" borderId="0" xfId="2" applyNumberFormat="1" applyFont="1" applyBorder="1" applyAlignment="1">
      <alignment vertical="top"/>
    </xf>
    <xf numFmtId="165" fontId="10" fillId="0" borderId="0" xfId="2" applyFont="1" applyBorder="1" applyAlignment="1">
      <alignment horizontal="right" vertical="top"/>
    </xf>
    <xf numFmtId="164" fontId="10" fillId="0" borderId="0" xfId="0" applyNumberFormat="1" applyFont="1" applyAlignment="1">
      <alignment horizontal="right" vertical="top"/>
    </xf>
    <xf numFmtId="0" fontId="10" fillId="0" borderId="1" xfId="0" applyFont="1" applyBorder="1" applyAlignment="1">
      <alignment horizontal="left" vertical="top"/>
    </xf>
    <xf numFmtId="165" fontId="10" fillId="0" borderId="0" xfId="2" applyFont="1" applyFill="1" applyBorder="1" applyAlignment="1">
      <alignment horizontal="right" vertical="top"/>
    </xf>
    <xf numFmtId="0" fontId="10" fillId="0" borderId="1" xfId="0" applyFont="1" applyBorder="1" applyAlignment="1">
      <alignment vertical="top"/>
    </xf>
    <xf numFmtId="0" fontId="58" fillId="0" borderId="1" xfId="44" applyFont="1" applyFill="1" applyBorder="1" applyAlignment="1">
      <alignment vertical="top"/>
    </xf>
    <xf numFmtId="0" fontId="10" fillId="0" borderId="7" xfId="0" applyFont="1" applyBorder="1" applyAlignment="1">
      <alignment vertical="top" wrapText="1"/>
    </xf>
    <xf numFmtId="171" fontId="10" fillId="0" borderId="7" xfId="2" applyNumberFormat="1" applyFont="1" applyBorder="1" applyAlignment="1">
      <alignment vertical="top"/>
    </xf>
    <xf numFmtId="165" fontId="30" fillId="0" borderId="7" xfId="2" applyFont="1" applyBorder="1" applyAlignment="1">
      <alignment horizontal="right" vertical="top"/>
    </xf>
    <xf numFmtId="0" fontId="10" fillId="0" borderId="7" xfId="0" applyFont="1" applyBorder="1" applyAlignment="1">
      <alignment horizontal="right" vertical="top"/>
    </xf>
    <xf numFmtId="165" fontId="10" fillId="0" borderId="7" xfId="2" applyFont="1" applyFill="1" applyBorder="1" applyAlignment="1">
      <alignment horizontal="right" vertical="top"/>
    </xf>
    <xf numFmtId="168" fontId="10" fillId="0" borderId="7" xfId="0" applyNumberFormat="1" applyFont="1" applyBorder="1" applyAlignment="1">
      <alignment horizontal="right" vertical="top"/>
    </xf>
    <xf numFmtId="0" fontId="55" fillId="0" borderId="8" xfId="44" applyFont="1" applyBorder="1" applyAlignment="1">
      <alignment vertical="top"/>
    </xf>
    <xf numFmtId="0" fontId="10" fillId="0" borderId="3" xfId="0" applyFont="1" applyBorder="1" applyAlignment="1">
      <alignment vertical="top" wrapText="1"/>
    </xf>
    <xf numFmtId="165" fontId="10" fillId="0" borderId="3" xfId="2" applyFont="1" applyFill="1" applyBorder="1" applyAlignment="1">
      <alignment horizontal="right" vertical="top"/>
    </xf>
    <xf numFmtId="168" fontId="10" fillId="0" borderId="3" xfId="0" applyNumberFormat="1" applyFont="1" applyBorder="1" applyAlignment="1">
      <alignment horizontal="right" vertical="top"/>
    </xf>
    <xf numFmtId="0" fontId="58" fillId="0" borderId="4" xfId="44" applyFont="1" applyBorder="1" applyAlignment="1">
      <alignment vertical="top"/>
    </xf>
    <xf numFmtId="0" fontId="10" fillId="4" borderId="5" xfId="0" applyFont="1" applyFill="1" applyBorder="1" applyAlignment="1">
      <alignment vertical="top" wrapText="1"/>
    </xf>
    <xf numFmtId="171" fontId="10" fillId="0" borderId="0" xfId="2" applyNumberFormat="1" applyFont="1" applyBorder="1"/>
    <xf numFmtId="165" fontId="30" fillId="0" borderId="0" xfId="2" applyFont="1" applyBorder="1" applyAlignment="1">
      <alignment horizontal="right"/>
    </xf>
    <xf numFmtId="165" fontId="10" fillId="0" borderId="0" xfId="2" applyFont="1" applyBorder="1" applyAlignment="1">
      <alignment horizontal="right"/>
    </xf>
    <xf numFmtId="0" fontId="30" fillId="4" borderId="5" xfId="0" applyFont="1" applyFill="1" applyBorder="1" applyAlignment="1">
      <alignment vertical="top" wrapText="1"/>
    </xf>
    <xf numFmtId="165" fontId="0" fillId="0" borderId="0" xfId="2" applyFont="1" applyBorder="1" applyAlignment="1">
      <alignment horizontal="right"/>
    </xf>
    <xf numFmtId="0" fontId="30" fillId="37" borderId="2" xfId="0" applyFont="1" applyFill="1" applyBorder="1" applyAlignment="1">
      <alignment vertical="top" wrapText="1"/>
    </xf>
    <xf numFmtId="0" fontId="30" fillId="37" borderId="5" xfId="0" applyFont="1" applyFill="1" applyBorder="1" applyAlignment="1">
      <alignment vertical="top" wrapText="1"/>
    </xf>
    <xf numFmtId="0" fontId="30" fillId="3" borderId="2" xfId="0" applyFont="1" applyFill="1" applyBorder="1" applyAlignment="1">
      <alignment vertical="top" wrapText="1"/>
    </xf>
    <xf numFmtId="0" fontId="30" fillId="3" borderId="5" xfId="0" applyFont="1" applyFill="1" applyBorder="1" applyAlignment="1">
      <alignment vertical="top" wrapText="1"/>
    </xf>
    <xf numFmtId="0" fontId="30" fillId="3" borderId="5" xfId="0" applyFont="1" applyFill="1" applyBorder="1" applyAlignment="1">
      <alignment wrapText="1"/>
    </xf>
    <xf numFmtId="0" fontId="10" fillId="3" borderId="5" xfId="0" applyFont="1" applyFill="1" applyBorder="1" applyAlignment="1">
      <alignment vertical="top"/>
    </xf>
    <xf numFmtId="165" fontId="0" fillId="0" borderId="0" xfId="0" applyNumberFormat="1" applyAlignment="1">
      <alignment horizontal="right"/>
    </xf>
    <xf numFmtId="165" fontId="10" fillId="0" borderId="0" xfId="0" applyNumberFormat="1" applyFont="1" applyAlignment="1">
      <alignment horizontal="right"/>
    </xf>
    <xf numFmtId="0" fontId="10" fillId="38" borderId="2" xfId="0" applyFont="1" applyFill="1" applyBorder="1" applyAlignment="1">
      <alignment vertical="top" wrapText="1"/>
    </xf>
    <xf numFmtId="0" fontId="10" fillId="38" borderId="5" xfId="0" applyFont="1" applyFill="1" applyBorder="1" applyAlignment="1">
      <alignment vertical="top" wrapText="1"/>
    </xf>
    <xf numFmtId="168" fontId="10" fillId="0" borderId="0" xfId="0" applyNumberFormat="1" applyFont="1" applyAlignment="1">
      <alignment horizontal="right" vertical="center"/>
    </xf>
    <xf numFmtId="0" fontId="30" fillId="38" borderId="5" xfId="0" applyFont="1" applyFill="1" applyBorder="1" applyAlignment="1">
      <alignment vertical="top" wrapText="1"/>
    </xf>
    <xf numFmtId="0" fontId="10" fillId="38" borderId="5" xfId="0" applyFont="1" applyFill="1" applyBorder="1" applyAlignment="1">
      <alignment vertical="top"/>
    </xf>
    <xf numFmtId="0" fontId="10" fillId="0" borderId="1" xfId="0" applyFont="1" applyBorder="1" applyAlignment="1">
      <alignment horizontal="left"/>
    </xf>
    <xf numFmtId="164" fontId="10" fillId="0" borderId="0" xfId="0" applyNumberFormat="1" applyFont="1" applyAlignment="1">
      <alignment horizontal="right"/>
    </xf>
    <xf numFmtId="171" fontId="10" fillId="0" borderId="0" xfId="2" applyNumberFormat="1" applyFont="1" applyFill="1" applyBorder="1"/>
    <xf numFmtId="165" fontId="10" fillId="0" borderId="0" xfId="2" applyFont="1" applyFill="1" applyBorder="1" applyAlignment="1">
      <alignment horizontal="right"/>
    </xf>
    <xf numFmtId="0" fontId="0" fillId="38" borderId="5" xfId="0" applyFill="1" applyBorder="1" applyAlignment="1">
      <alignment vertical="top"/>
    </xf>
    <xf numFmtId="0" fontId="10" fillId="38" borderId="82" xfId="0" applyFont="1" applyFill="1" applyBorder="1" applyAlignment="1">
      <alignment vertical="top" wrapText="1"/>
    </xf>
    <xf numFmtId="0" fontId="0" fillId="39" borderId="5" xfId="0" applyFill="1" applyBorder="1" applyAlignment="1">
      <alignment vertical="top"/>
    </xf>
    <xf numFmtId="165" fontId="10" fillId="0" borderId="0" xfId="0" applyNumberFormat="1" applyFont="1"/>
    <xf numFmtId="0" fontId="0" fillId="39" borderId="5" xfId="0" applyFill="1" applyBorder="1" applyAlignment="1">
      <alignment vertical="top" wrapText="1"/>
    </xf>
    <xf numFmtId="165" fontId="12" fillId="0" borderId="0" xfId="2" applyFont="1" applyBorder="1" applyAlignment="1">
      <alignment horizontal="right"/>
    </xf>
    <xf numFmtId="0" fontId="10" fillId="39" borderId="5" xfId="0" applyFont="1" applyFill="1" applyBorder="1" applyAlignment="1">
      <alignment wrapText="1"/>
    </xf>
    <xf numFmtId="0" fontId="55" fillId="0" borderId="1" xfId="44" applyFont="1" applyBorder="1" applyAlignment="1">
      <alignment horizontal="left"/>
    </xf>
    <xf numFmtId="0" fontId="10" fillId="40" borderId="2" xfId="0" applyFont="1" applyFill="1" applyBorder="1" applyAlignment="1">
      <alignment vertical="top" wrapText="1"/>
    </xf>
    <xf numFmtId="0" fontId="10" fillId="40" borderId="5" xfId="0" applyFont="1" applyFill="1" applyBorder="1" applyAlignment="1">
      <alignment vertical="top" wrapText="1"/>
    </xf>
    <xf numFmtId="0" fontId="30" fillId="41" borderId="2" xfId="0" applyFont="1" applyFill="1" applyBorder="1" applyAlignment="1">
      <alignment vertical="top" wrapText="1"/>
    </xf>
    <xf numFmtId="0" fontId="30" fillId="41" borderId="5" xfId="0" applyFont="1" applyFill="1" applyBorder="1" applyAlignment="1">
      <alignment vertical="top" wrapText="1"/>
    </xf>
    <xf numFmtId="171" fontId="10" fillId="0" borderId="7" xfId="2" applyNumberFormat="1" applyFont="1" applyBorder="1"/>
    <xf numFmtId="0" fontId="30" fillId="0" borderId="7" xfId="0" applyFont="1" applyBorder="1" applyAlignment="1">
      <alignment horizontal="right"/>
    </xf>
    <xf numFmtId="165" fontId="30" fillId="0" borderId="7" xfId="2" applyFont="1" applyBorder="1" applyAlignment="1">
      <alignment horizontal="right"/>
    </xf>
    <xf numFmtId="2" fontId="10" fillId="0" borderId="0" xfId="0" applyNumberFormat="1" applyFont="1" applyAlignment="1">
      <alignment horizontal="center"/>
    </xf>
    <xf numFmtId="165" fontId="48" fillId="0" borderId="0" xfId="2" applyFont="1"/>
    <xf numFmtId="165" fontId="10" fillId="0" borderId="0" xfId="2" applyFont="1"/>
    <xf numFmtId="172" fontId="10" fillId="0" borderId="0" xfId="51" applyNumberFormat="1" applyFont="1"/>
    <xf numFmtId="168" fontId="12" fillId="0" borderId="0" xfId="0" applyNumberFormat="1" applyFont="1" applyAlignment="1">
      <alignment horizontal="right"/>
    </xf>
    <xf numFmtId="0" fontId="0" fillId="66" borderId="3" xfId="0" applyFill="1" applyBorder="1"/>
    <xf numFmtId="0" fontId="0" fillId="66" borderId="22" xfId="0" applyFill="1" applyBorder="1"/>
    <xf numFmtId="0" fontId="30" fillId="66" borderId="22" xfId="0" applyFont="1" applyFill="1" applyBorder="1" applyAlignment="1">
      <alignment vertical="top"/>
    </xf>
    <xf numFmtId="0" fontId="0" fillId="66" borderId="0" xfId="0" applyFill="1"/>
    <xf numFmtId="0" fontId="6" fillId="66" borderId="5" xfId="0" applyFont="1" applyFill="1" applyBorder="1" applyAlignment="1">
      <alignment vertical="top" wrapText="1"/>
    </xf>
    <xf numFmtId="0" fontId="6" fillId="67" borderId="0" xfId="0" applyFont="1" applyFill="1" applyAlignment="1">
      <alignment vertical="top" wrapText="1"/>
    </xf>
    <xf numFmtId="2" fontId="3" fillId="67" borderId="2" xfId="0" applyNumberFormat="1" applyFont="1" applyFill="1" applyBorder="1" applyAlignment="1">
      <alignment horizontal="left" vertical="top" wrapText="1"/>
    </xf>
    <xf numFmtId="2" fontId="3" fillId="67" borderId="5" xfId="0" applyNumberFormat="1" applyFont="1" applyFill="1" applyBorder="1" applyAlignment="1">
      <alignment horizontal="left" vertical="top" wrapText="1"/>
    </xf>
    <xf numFmtId="2" fontId="3" fillId="67" borderId="6" xfId="0" applyNumberFormat="1" applyFont="1" applyFill="1" applyBorder="1" applyAlignment="1">
      <alignment horizontal="left" vertical="top" wrapText="1"/>
    </xf>
    <xf numFmtId="2" fontId="3" fillId="67" borderId="2" xfId="0" applyNumberFormat="1" applyFont="1" applyFill="1" applyBorder="1" applyAlignment="1">
      <alignment horizontal="left" wrapText="1"/>
    </xf>
    <xf numFmtId="2" fontId="3" fillId="67" borderId="5" xfId="0" applyNumberFormat="1" applyFont="1" applyFill="1" applyBorder="1" applyAlignment="1">
      <alignment horizontal="left"/>
    </xf>
    <xf numFmtId="2" fontId="7" fillId="67" borderId="5" xfId="0" applyNumberFormat="1" applyFont="1" applyFill="1" applyBorder="1" applyAlignment="1">
      <alignment horizontal="left" vertical="top" wrapText="1"/>
    </xf>
    <xf numFmtId="2" fontId="7" fillId="67" borderId="6" xfId="0" applyNumberFormat="1" applyFont="1" applyFill="1" applyBorder="1" applyAlignment="1">
      <alignment horizontal="left" vertical="top" wrapText="1"/>
    </xf>
    <xf numFmtId="0" fontId="30" fillId="66" borderId="5" xfId="0" applyFont="1" applyFill="1" applyBorder="1" applyAlignment="1">
      <alignment vertical="top" wrapText="1"/>
    </xf>
    <xf numFmtId="0" fontId="30" fillId="66" borderId="6" xfId="0" applyFont="1" applyFill="1" applyBorder="1" applyAlignment="1">
      <alignment vertical="top" wrapText="1"/>
    </xf>
    <xf numFmtId="0" fontId="30" fillId="0" borderId="47" xfId="0" applyFont="1" applyBorder="1" applyAlignment="1">
      <alignment wrapText="1"/>
    </xf>
    <xf numFmtId="0" fontId="30" fillId="0" borderId="45" xfId="0" applyFont="1" applyBorder="1" applyAlignment="1">
      <alignment horizontal="left"/>
    </xf>
    <xf numFmtId="0" fontId="30" fillId="4" borderId="39" xfId="0" applyFont="1" applyFill="1" applyBorder="1" applyAlignment="1">
      <alignment vertical="top" wrapText="1"/>
    </xf>
    <xf numFmtId="0" fontId="1" fillId="0" borderId="0" xfId="0" applyFont="1" applyAlignment="1">
      <alignment horizontal="right" wrapText="1"/>
    </xf>
    <xf numFmtId="0" fontId="48" fillId="0" borderId="0" xfId="0" applyFont="1" applyAlignment="1">
      <alignment horizontal="right" wrapText="1"/>
    </xf>
    <xf numFmtId="0" fontId="30" fillId="42" borderId="49" xfId="0" applyFont="1" applyFill="1" applyBorder="1"/>
    <xf numFmtId="172" fontId="30" fillId="38" borderId="85" xfId="0" applyNumberFormat="1" applyFont="1" applyFill="1" applyBorder="1"/>
    <xf numFmtId="0" fontId="0" fillId="0" borderId="86" xfId="0" applyBorder="1" applyAlignment="1">
      <alignment wrapText="1"/>
    </xf>
    <xf numFmtId="0" fontId="0" fillId="0" borderId="87" xfId="0" applyBorder="1" applyAlignment="1">
      <alignment wrapText="1"/>
    </xf>
    <xf numFmtId="0" fontId="6" fillId="68" borderId="0" xfId="0" applyFont="1" applyFill="1" applyAlignment="1">
      <alignment vertical="top"/>
    </xf>
    <xf numFmtId="0" fontId="6" fillId="44" borderId="0" xfId="0" applyFont="1" applyFill="1" applyAlignment="1">
      <alignment vertical="top"/>
    </xf>
    <xf numFmtId="0" fontId="10" fillId="0" borderId="56" xfId="0" applyFont="1" applyBorder="1"/>
    <xf numFmtId="166" fontId="10" fillId="0" borderId="38" xfId="0" applyNumberFormat="1" applyFont="1" applyBorder="1"/>
    <xf numFmtId="166" fontId="10" fillId="0" borderId="90" xfId="0" applyNumberFormat="1" applyFont="1" applyBorder="1"/>
    <xf numFmtId="169" fontId="10" fillId="0" borderId="38" xfId="0" applyNumberFormat="1" applyFont="1" applyBorder="1"/>
    <xf numFmtId="169" fontId="10" fillId="0" borderId="90" xfId="0" applyNumberFormat="1" applyFont="1" applyBorder="1"/>
    <xf numFmtId="0" fontId="10" fillId="0" borderId="39" xfId="0" applyFont="1" applyBorder="1"/>
    <xf numFmtId="10" fontId="10" fillId="0" borderId="0" xfId="1" applyNumberFormat="1" applyFont="1" applyBorder="1"/>
    <xf numFmtId="10" fontId="10" fillId="0" borderId="45" xfId="1" applyNumberFormat="1" applyFont="1" applyBorder="1"/>
    <xf numFmtId="0" fontId="48" fillId="0" borderId="56" xfId="0" applyFont="1" applyBorder="1"/>
    <xf numFmtId="169" fontId="48" fillId="0" borderId="38" xfId="0" applyNumberFormat="1" applyFont="1" applyBorder="1"/>
    <xf numFmtId="169" fontId="48" fillId="0" borderId="90" xfId="0" applyNumberFormat="1" applyFont="1" applyBorder="1"/>
    <xf numFmtId="0" fontId="48" fillId="0" borderId="40" xfId="0" applyFont="1" applyBorder="1"/>
    <xf numFmtId="169" fontId="12" fillId="0" borderId="27" xfId="0" applyNumberFormat="1" applyFont="1" applyBorder="1"/>
    <xf numFmtId="10" fontId="1" fillId="0" borderId="46" xfId="0" applyNumberFormat="1" applyFont="1" applyBorder="1"/>
    <xf numFmtId="0" fontId="10" fillId="0" borderId="39" xfId="0" applyFont="1" applyBorder="1" applyAlignment="1">
      <alignment wrapText="1"/>
    </xf>
    <xf numFmtId="0" fontId="48" fillId="0" borderId="0" xfId="0" applyFont="1" applyAlignment="1">
      <alignment horizontal="center" wrapText="1"/>
    </xf>
    <xf numFmtId="0" fontId="6" fillId="66" borderId="0" xfId="0" applyFont="1" applyFill="1" applyAlignment="1">
      <alignment vertical="top" wrapText="1"/>
    </xf>
    <xf numFmtId="0" fontId="32" fillId="65" borderId="0" xfId="0" applyFont="1" applyFill="1" applyAlignment="1">
      <alignment vertical="top"/>
    </xf>
    <xf numFmtId="0" fontId="33" fillId="65" borderId="52" xfId="0" applyFont="1" applyFill="1" applyBorder="1" applyAlignment="1">
      <alignment vertical="top"/>
    </xf>
    <xf numFmtId="0" fontId="33" fillId="65" borderId="53" xfId="0" applyFont="1" applyFill="1" applyBorder="1" applyAlignment="1">
      <alignment vertical="top"/>
    </xf>
    <xf numFmtId="0" fontId="33" fillId="65" borderId="54" xfId="0" applyFont="1" applyFill="1" applyBorder="1" applyAlignment="1">
      <alignment vertical="top"/>
    </xf>
    <xf numFmtId="0" fontId="63" fillId="0" borderId="49" xfId="0" applyFont="1" applyBorder="1" applyAlignment="1">
      <alignment horizontal="left" vertical="top" wrapText="1"/>
    </xf>
    <xf numFmtId="0" fontId="63" fillId="0" borderId="51" xfId="0" applyFont="1" applyBorder="1" applyAlignment="1">
      <alignment horizontal="left" vertical="top" wrapText="1"/>
    </xf>
    <xf numFmtId="0" fontId="64" fillId="0" borderId="51" xfId="0" applyFont="1" applyBorder="1" applyAlignment="1">
      <alignment horizontal="left" vertical="top" wrapText="1"/>
    </xf>
    <xf numFmtId="0" fontId="64" fillId="0" borderId="50" xfId="0" applyFont="1" applyBorder="1" applyAlignment="1">
      <alignment horizontal="left" vertical="top" wrapText="1"/>
    </xf>
    <xf numFmtId="0" fontId="65" fillId="0" borderId="51" xfId="0" applyFont="1" applyBorder="1" applyAlignment="1">
      <alignment horizontal="left" vertical="top" wrapText="1"/>
    </xf>
    <xf numFmtId="0" fontId="66" fillId="0" borderId="49" xfId="0" applyFont="1" applyBorder="1" applyAlignment="1">
      <alignment horizontal="left" vertical="top" wrapText="1"/>
    </xf>
    <xf numFmtId="0" fontId="66" fillId="0" borderId="51" xfId="0" applyFont="1" applyBorder="1" applyAlignment="1">
      <alignment horizontal="left" vertical="top" wrapText="1"/>
    </xf>
    <xf numFmtId="0" fontId="66" fillId="0" borderId="50" xfId="0" applyFont="1" applyBorder="1" applyAlignment="1">
      <alignment horizontal="left" vertical="top" wrapText="1"/>
    </xf>
    <xf numFmtId="0" fontId="33" fillId="53" borderId="53" xfId="0" applyFont="1" applyFill="1" applyBorder="1" applyAlignment="1">
      <alignment vertical="top"/>
    </xf>
    <xf numFmtId="0" fontId="66" fillId="0" borderId="91" xfId="0" applyFont="1" applyBorder="1" applyAlignment="1">
      <alignment horizontal="left" vertical="top" wrapText="1"/>
    </xf>
    <xf numFmtId="0" fontId="30" fillId="66" borderId="92" xfId="0" applyFont="1" applyFill="1" applyBorder="1"/>
    <xf numFmtId="0" fontId="30" fillId="66" borderId="54" xfId="0" applyFont="1" applyFill="1" applyBorder="1"/>
    <xf numFmtId="2" fontId="30" fillId="0" borderId="45" xfId="0" applyNumberFormat="1" applyFont="1" applyBorder="1"/>
    <xf numFmtId="10" fontId="30" fillId="0" borderId="27" xfId="1" applyNumberFormat="1" applyFont="1" applyBorder="1"/>
    <xf numFmtId="2" fontId="30" fillId="0" borderId="46" xfId="0" applyNumberFormat="1" applyFont="1" applyBorder="1"/>
    <xf numFmtId="0" fontId="5" fillId="38" borderId="30" xfId="0" applyFont="1" applyFill="1" applyBorder="1" applyAlignment="1">
      <alignment vertical="top"/>
    </xf>
    <xf numFmtId="0" fontId="30" fillId="38" borderId="30" xfId="0" applyFont="1" applyFill="1" applyBorder="1" applyAlignment="1">
      <alignment vertical="top"/>
    </xf>
    <xf numFmtId="0" fontId="30" fillId="44" borderId="30" xfId="0" applyFont="1" applyFill="1" applyBorder="1" applyAlignment="1">
      <alignment vertical="top"/>
    </xf>
    <xf numFmtId="0" fontId="46" fillId="41" borderId="31" xfId="0" applyFont="1" applyFill="1" applyBorder="1" applyAlignment="1">
      <alignment vertical="top"/>
    </xf>
    <xf numFmtId="0" fontId="5" fillId="65" borderId="30" xfId="0" applyFont="1" applyFill="1" applyBorder="1" applyAlignment="1">
      <alignment vertical="top"/>
    </xf>
    <xf numFmtId="0" fontId="1" fillId="0" borderId="93" xfId="0" applyFont="1" applyBorder="1"/>
    <xf numFmtId="3" fontId="30" fillId="0" borderId="0" xfId="0" applyNumberFormat="1" applyFont="1" applyAlignment="1">
      <alignment horizontal="right"/>
    </xf>
    <xf numFmtId="169" fontId="0" fillId="0" borderId="90" xfId="51" applyNumberFormat="1" applyFont="1" applyBorder="1"/>
    <xf numFmtId="169" fontId="0" fillId="0" borderId="45" xfId="51" applyNumberFormat="1" applyFont="1" applyBorder="1"/>
    <xf numFmtId="10" fontId="1" fillId="0" borderId="0" xfId="0" applyNumberFormat="1" applyFont="1"/>
    <xf numFmtId="0" fontId="1" fillId="0" borderId="90" xfId="0" applyFont="1" applyBorder="1"/>
    <xf numFmtId="0" fontId="0" fillId="0" borderId="30" xfId="0" applyBorder="1"/>
    <xf numFmtId="0" fontId="0" fillId="0" borderId="30" xfId="0" applyBorder="1" applyAlignment="1">
      <alignment wrapText="1"/>
    </xf>
    <xf numFmtId="0" fontId="0" fillId="0" borderId="31" xfId="0" applyBorder="1"/>
    <xf numFmtId="0" fontId="1" fillId="0" borderId="28" xfId="0" applyFont="1" applyBorder="1"/>
    <xf numFmtId="169" fontId="30" fillId="0" borderId="0" xfId="51" applyNumberFormat="1" applyFont="1"/>
    <xf numFmtId="0" fontId="12" fillId="0" borderId="0" xfId="0" applyFont="1" applyAlignment="1">
      <alignment vertical="top" wrapText="1"/>
    </xf>
    <xf numFmtId="0" fontId="34" fillId="0" borderId="0" xfId="0" applyFont="1" applyAlignment="1">
      <alignment vertical="top" wrapText="1"/>
    </xf>
    <xf numFmtId="0" fontId="12" fillId="0" borderId="0" xfId="0" applyFont="1" applyAlignment="1">
      <alignment wrapText="1" readingOrder="1"/>
    </xf>
    <xf numFmtId="166" fontId="30" fillId="0" borderId="0" xfId="0" applyNumberFormat="1" applyFont="1"/>
    <xf numFmtId="168" fontId="30" fillId="0" borderId="0" xfId="0" applyNumberFormat="1" applyFont="1" applyAlignment="1">
      <alignment horizontal="right"/>
    </xf>
    <xf numFmtId="166" fontId="12" fillId="0" borderId="0" xfId="0" applyNumberFormat="1" applyFont="1" applyAlignment="1">
      <alignment wrapText="1"/>
    </xf>
    <xf numFmtId="0" fontId="0" fillId="0" borderId="28" xfId="0" applyBorder="1"/>
    <xf numFmtId="2" fontId="30" fillId="0" borderId="28" xfId="0" applyNumberFormat="1" applyFont="1" applyBorder="1" applyAlignment="1">
      <alignment horizontal="right" wrapText="1"/>
    </xf>
    <xf numFmtId="2" fontId="0" fillId="0" borderId="28" xfId="0" applyNumberFormat="1" applyBorder="1" applyAlignment="1">
      <alignment horizontal="right" wrapText="1"/>
    </xf>
    <xf numFmtId="0" fontId="1" fillId="0" borderId="29" xfId="0" applyFont="1" applyBorder="1" applyAlignment="1">
      <alignment wrapText="1"/>
    </xf>
    <xf numFmtId="0" fontId="30" fillId="0" borderId="28" xfId="0" applyFont="1" applyBorder="1" applyAlignment="1">
      <alignment wrapText="1"/>
    </xf>
    <xf numFmtId="0" fontId="46" fillId="0" borderId="0" xfId="0" applyFont="1" applyAlignment="1">
      <alignment horizontal="right" wrapText="1"/>
    </xf>
    <xf numFmtId="166" fontId="30" fillId="0" borderId="0" xfId="0" applyNumberFormat="1" applyFont="1" applyAlignment="1">
      <alignment wrapText="1"/>
    </xf>
    <xf numFmtId="169" fontId="0" fillId="0" borderId="0" xfId="51" applyNumberFormat="1" applyFont="1" applyBorder="1"/>
    <xf numFmtId="166" fontId="30" fillId="0" borderId="0" xfId="51" applyFont="1"/>
    <xf numFmtId="0" fontId="46" fillId="0" borderId="7" xfId="0" applyFont="1" applyBorder="1" applyAlignment="1">
      <alignment wrapText="1"/>
    </xf>
    <xf numFmtId="165" fontId="46" fillId="0" borderId="0" xfId="2" applyFont="1"/>
    <xf numFmtId="165" fontId="30" fillId="0" borderId="0" xfId="2" applyFont="1"/>
    <xf numFmtId="0" fontId="10" fillId="0" borderId="94" xfId="0" applyFont="1" applyBorder="1" applyAlignment="1">
      <alignment wrapText="1"/>
    </xf>
    <xf numFmtId="174" fontId="0" fillId="0" borderId="30" xfId="0" applyNumberFormat="1" applyBorder="1"/>
    <xf numFmtId="174" fontId="0" fillId="0" borderId="30" xfId="0" applyNumberFormat="1" applyBorder="1" applyAlignment="1">
      <alignment horizontal="left" vertical="top"/>
    </xf>
    <xf numFmtId="170" fontId="0" fillId="0" borderId="31" xfId="0" applyNumberFormat="1" applyBorder="1" applyAlignment="1">
      <alignment horizontal="left" vertical="top"/>
    </xf>
    <xf numFmtId="0" fontId="10" fillId="0" borderId="100" xfId="0" applyFont="1" applyBorder="1" applyAlignment="1">
      <alignment wrapText="1"/>
    </xf>
    <xf numFmtId="0" fontId="64" fillId="0" borderId="52" xfId="0" applyFont="1" applyBorder="1" applyAlignment="1">
      <alignment horizontal="left" vertical="top" wrapText="1"/>
    </xf>
    <xf numFmtId="0" fontId="64" fillId="0" borderId="53" xfId="0" applyFont="1" applyBorder="1" applyAlignment="1">
      <alignment horizontal="left" vertical="top" wrapText="1"/>
    </xf>
    <xf numFmtId="0" fontId="1" fillId="42" borderId="0" xfId="0" applyFont="1" applyFill="1" applyAlignment="1">
      <alignment horizontal="center"/>
    </xf>
    <xf numFmtId="0" fontId="1" fillId="38" borderId="0" xfId="0" applyFont="1" applyFill="1" applyAlignment="1">
      <alignment horizontal="center"/>
    </xf>
    <xf numFmtId="0" fontId="0" fillId="0" borderId="7" xfId="0" applyBorder="1" applyAlignment="1">
      <alignment horizontal="left"/>
    </xf>
    <xf numFmtId="0" fontId="69" fillId="0" borderId="0" xfId="0" applyFont="1"/>
    <xf numFmtId="0" fontId="2" fillId="0" borderId="75" xfId="0" applyFont="1" applyBorder="1" applyAlignment="1">
      <alignment horizontal="right"/>
    </xf>
    <xf numFmtId="0" fontId="4" fillId="60" borderId="0" xfId="0" applyFont="1" applyFill="1"/>
    <xf numFmtId="2" fontId="10" fillId="0" borderId="0" xfId="0" applyNumberFormat="1" applyFont="1"/>
    <xf numFmtId="0" fontId="32" fillId="0" borderId="75" xfId="0" applyFont="1" applyBorder="1" applyAlignment="1">
      <alignment vertical="top"/>
    </xf>
    <xf numFmtId="0" fontId="1" fillId="64" borderId="0" xfId="0" applyFont="1" applyFill="1" applyAlignment="1">
      <alignment vertical="top" wrapText="1"/>
    </xf>
    <xf numFmtId="0" fontId="1" fillId="69" borderId="38" xfId="0" applyFont="1" applyFill="1" applyBorder="1" applyAlignment="1">
      <alignment vertical="top" wrapText="1"/>
    </xf>
    <xf numFmtId="0" fontId="33" fillId="0" borderId="0" xfId="0" applyFont="1" applyAlignment="1">
      <alignment vertical="top"/>
    </xf>
    <xf numFmtId="0" fontId="1" fillId="0" borderId="0" xfId="0" applyFont="1" applyAlignment="1">
      <alignment vertical="top" wrapText="1"/>
    </xf>
    <xf numFmtId="0" fontId="1" fillId="0" borderId="0" xfId="0" applyFont="1" applyAlignment="1">
      <alignment vertical="top"/>
    </xf>
    <xf numFmtId="0" fontId="1" fillId="68" borderId="0" xfId="0" applyFont="1" applyFill="1" applyAlignment="1">
      <alignment vertical="top" wrapText="1"/>
    </xf>
    <xf numFmtId="0" fontId="1" fillId="70" borderId="0" xfId="0" applyFont="1" applyFill="1" applyAlignment="1">
      <alignment vertical="top"/>
    </xf>
    <xf numFmtId="0" fontId="1" fillId="71" borderId="0" xfId="0" applyFont="1" applyFill="1" applyAlignment="1">
      <alignment vertical="top"/>
    </xf>
    <xf numFmtId="0" fontId="48" fillId="71" borderId="0" xfId="0" applyFont="1" applyFill="1" applyAlignment="1">
      <alignment vertical="top"/>
    </xf>
    <xf numFmtId="0" fontId="48" fillId="0" borderId="0" xfId="0" applyFont="1" applyAlignment="1">
      <alignment vertical="top" wrapText="1"/>
    </xf>
    <xf numFmtId="0" fontId="52" fillId="0" borderId="0" xfId="0" applyFont="1" applyAlignment="1">
      <alignment vertical="top"/>
    </xf>
    <xf numFmtId="0" fontId="33" fillId="0" borderId="27" xfId="0" applyFont="1" applyBorder="1" applyAlignment="1">
      <alignment vertical="top"/>
    </xf>
    <xf numFmtId="0" fontId="0" fillId="0" borderId="27" xfId="0" applyBorder="1" applyAlignment="1">
      <alignment vertical="top"/>
    </xf>
    <xf numFmtId="0" fontId="53" fillId="0" borderId="27" xfId="0" applyFont="1" applyBorder="1" applyAlignment="1">
      <alignment vertical="top"/>
    </xf>
    <xf numFmtId="0" fontId="52" fillId="0" borderId="27" xfId="0" applyFont="1" applyBorder="1" applyAlignment="1">
      <alignment vertical="top" wrapText="1"/>
    </xf>
    <xf numFmtId="0" fontId="52" fillId="0" borderId="27" xfId="0" applyFont="1" applyBorder="1" applyAlignment="1">
      <alignment vertical="top"/>
    </xf>
    <xf numFmtId="0" fontId="48" fillId="0" borderId="25" xfId="0" applyFont="1" applyBorder="1"/>
    <xf numFmtId="0" fontId="48" fillId="0" borderId="24" xfId="0" applyFont="1" applyBorder="1"/>
    <xf numFmtId="0" fontId="30" fillId="0" borderId="32" xfId="0" applyFont="1" applyBorder="1" applyAlignment="1">
      <alignment vertical="top" wrapText="1"/>
    </xf>
    <xf numFmtId="0" fontId="30" fillId="0" borderId="47" xfId="0" applyFont="1" applyBorder="1" applyAlignment="1">
      <alignment vertical="top" wrapText="1"/>
    </xf>
    <xf numFmtId="0" fontId="30" fillId="0" borderId="33" xfId="0" applyFont="1" applyBorder="1" applyAlignment="1">
      <alignment vertical="top" wrapText="1"/>
    </xf>
    <xf numFmtId="0" fontId="33" fillId="65" borderId="31" xfId="0" applyFont="1" applyFill="1" applyBorder="1" applyAlignment="1">
      <alignment vertical="top"/>
    </xf>
    <xf numFmtId="10" fontId="30" fillId="0" borderId="27" xfId="0" applyNumberFormat="1" applyFont="1" applyBorder="1"/>
    <xf numFmtId="0" fontId="30" fillId="0" borderId="46" xfId="0" applyFont="1" applyBorder="1"/>
    <xf numFmtId="0" fontId="5" fillId="37" borderId="31" xfId="0" applyFont="1" applyFill="1" applyBorder="1" applyAlignment="1">
      <alignment vertical="top"/>
    </xf>
    <xf numFmtId="0" fontId="5" fillId="3" borderId="31" xfId="0" applyFont="1" applyFill="1" applyBorder="1" applyAlignment="1">
      <alignment vertical="top"/>
    </xf>
    <xf numFmtId="0" fontId="30" fillId="38" borderId="31" xfId="0" applyFont="1" applyFill="1" applyBorder="1" applyAlignment="1">
      <alignment vertical="top"/>
    </xf>
    <xf numFmtId="0" fontId="46" fillId="39" borderId="31" xfId="0" applyFont="1" applyFill="1" applyBorder="1" applyAlignment="1">
      <alignment vertical="top"/>
    </xf>
    <xf numFmtId="0" fontId="46" fillId="40" borderId="31" xfId="0" applyFont="1" applyFill="1" applyBorder="1" applyAlignment="1">
      <alignment vertical="top"/>
    </xf>
    <xf numFmtId="169" fontId="0" fillId="0" borderId="46" xfId="51" applyNumberFormat="1" applyFont="1" applyBorder="1"/>
    <xf numFmtId="0" fontId="1" fillId="36" borderId="0" xfId="0" applyFont="1" applyFill="1"/>
    <xf numFmtId="0" fontId="1" fillId="40" borderId="0" xfId="0" applyFont="1" applyFill="1"/>
    <xf numFmtId="0" fontId="1" fillId="41" borderId="0" xfId="0" applyFont="1" applyFill="1"/>
    <xf numFmtId="2" fontId="30" fillId="0" borderId="74" xfId="0" applyNumberFormat="1" applyFont="1" applyBorder="1" applyAlignment="1">
      <alignment horizontal="left" wrapText="1" readingOrder="1"/>
    </xf>
    <xf numFmtId="2" fontId="30" fillId="0" borderId="74" xfId="0" applyNumberFormat="1" applyFont="1" applyBorder="1" applyAlignment="1">
      <alignment horizontal="left"/>
    </xf>
    <xf numFmtId="2" fontId="10" fillId="0" borderId="74" xfId="0" applyNumberFormat="1" applyFont="1" applyBorder="1" applyAlignment="1">
      <alignment horizontal="left" vertical="top"/>
    </xf>
    <xf numFmtId="2" fontId="0" fillId="0" borderId="74" xfId="0" applyNumberFormat="1" applyBorder="1" applyAlignment="1">
      <alignment horizontal="left"/>
    </xf>
    <xf numFmtId="2" fontId="0" fillId="0" borderId="47" xfId="0" applyNumberFormat="1" applyBorder="1" applyAlignment="1">
      <alignment horizontal="left"/>
    </xf>
    <xf numFmtId="2" fontId="30" fillId="0" borderId="75" xfId="0" applyNumberFormat="1" applyFont="1" applyBorder="1" applyAlignment="1">
      <alignment horizontal="left"/>
    </xf>
    <xf numFmtId="10" fontId="10" fillId="0" borderId="0" xfId="1" applyNumberFormat="1" applyFont="1" applyBorder="1" applyAlignment="1">
      <alignment wrapText="1"/>
    </xf>
    <xf numFmtId="10" fontId="48" fillId="0" borderId="7" xfId="1" applyNumberFormat="1" applyFont="1" applyBorder="1" applyAlignment="1">
      <alignment wrapText="1"/>
    </xf>
    <xf numFmtId="10" fontId="10" fillId="0" borderId="3" xfId="1" applyNumberFormat="1" applyFont="1" applyBorder="1" applyAlignment="1">
      <alignment wrapText="1"/>
    </xf>
    <xf numFmtId="10" fontId="10" fillId="0" borderId="0" xfId="0" applyNumberFormat="1" applyFont="1"/>
    <xf numFmtId="10" fontId="48" fillId="0" borderId="0" xfId="1" applyNumberFormat="1" applyFont="1" applyBorder="1" applyAlignment="1">
      <alignment wrapText="1"/>
    </xf>
    <xf numFmtId="10" fontId="1" fillId="0" borderId="21" xfId="1" applyNumberFormat="1" applyFont="1" applyBorder="1" applyAlignment="1">
      <alignment wrapText="1"/>
    </xf>
    <xf numFmtId="10" fontId="30" fillId="0" borderId="0" xfId="1" applyNumberFormat="1" applyFont="1" applyBorder="1" applyAlignment="1">
      <alignment wrapText="1"/>
    </xf>
    <xf numFmtId="10" fontId="46" fillId="0" borderId="7" xfId="0" applyNumberFormat="1" applyFont="1" applyBorder="1"/>
    <xf numFmtId="10" fontId="46" fillId="0" borderId="21" xfId="0" applyNumberFormat="1" applyFont="1" applyBorder="1"/>
    <xf numFmtId="10" fontId="30" fillId="0" borderId="7" xfId="1" applyNumberFormat="1" applyFont="1" applyBorder="1" applyAlignment="1">
      <alignment wrapText="1"/>
    </xf>
    <xf numFmtId="10" fontId="30" fillId="0" borderId="3" xfId="1" applyNumberFormat="1" applyFont="1" applyBorder="1" applyAlignment="1">
      <alignment wrapText="1"/>
    </xf>
    <xf numFmtId="10" fontId="30" fillId="0" borderId="22" xfId="1" applyNumberFormat="1" applyFont="1" applyBorder="1" applyAlignment="1">
      <alignment wrapText="1"/>
    </xf>
    <xf numFmtId="10" fontId="30" fillId="0" borderId="35" xfId="1" applyNumberFormat="1" applyFont="1" applyBorder="1" applyAlignment="1">
      <alignment wrapText="1"/>
    </xf>
    <xf numFmtId="10" fontId="0" fillId="0" borderId="7" xfId="1" applyNumberFormat="1" applyFont="1" applyBorder="1" applyAlignment="1">
      <alignment wrapText="1"/>
    </xf>
    <xf numFmtId="10" fontId="0" fillId="0" borderId="22" xfId="1" applyNumberFormat="1" applyFont="1" applyBorder="1" applyAlignment="1">
      <alignment wrapText="1"/>
    </xf>
    <xf numFmtId="10" fontId="0" fillId="0" borderId="3" xfId="1" applyNumberFormat="1" applyFont="1" applyBorder="1" applyAlignment="1">
      <alignment wrapText="1"/>
    </xf>
    <xf numFmtId="10" fontId="0" fillId="0" borderId="0" xfId="1" applyNumberFormat="1" applyFont="1" applyBorder="1" applyAlignment="1">
      <alignment wrapText="1"/>
    </xf>
    <xf numFmtId="10" fontId="0" fillId="0" borderId="35" xfId="1" applyNumberFormat="1" applyFont="1" applyBorder="1" applyAlignment="1">
      <alignment wrapText="1"/>
    </xf>
    <xf numFmtId="10" fontId="46" fillId="0" borderId="0" xfId="0" applyNumberFormat="1" applyFont="1"/>
    <xf numFmtId="10" fontId="30" fillId="0" borderId="7" xfId="0" applyNumberFormat="1" applyFont="1" applyBorder="1" applyAlignment="1">
      <alignment wrapText="1"/>
    </xf>
    <xf numFmtId="10" fontId="40" fillId="0" borderId="3" xfId="0" applyNumberFormat="1" applyFont="1" applyBorder="1" applyAlignment="1">
      <alignment wrapText="1"/>
    </xf>
    <xf numFmtId="10" fontId="30" fillId="0" borderId="0" xfId="0" applyNumberFormat="1" applyFont="1" applyAlignment="1">
      <alignment wrapText="1"/>
    </xf>
    <xf numFmtId="2" fontId="0" fillId="0" borderId="1" xfId="0" applyNumberFormat="1" applyBorder="1"/>
    <xf numFmtId="2" fontId="0" fillId="0" borderId="7" xfId="0" applyNumberFormat="1" applyBorder="1"/>
    <xf numFmtId="2" fontId="10" fillId="0" borderId="1" xfId="0" applyNumberFormat="1" applyFont="1" applyBorder="1"/>
    <xf numFmtId="2" fontId="10" fillId="0" borderId="7" xfId="0" applyNumberFormat="1" applyFont="1" applyBorder="1"/>
    <xf numFmtId="2" fontId="10" fillId="0" borderId="8" xfId="0" applyNumberFormat="1" applyFont="1" applyBorder="1"/>
    <xf numFmtId="2" fontId="10" fillId="0" borderId="0" xfId="0" applyNumberFormat="1" applyFont="1" applyAlignment="1">
      <alignment wrapText="1"/>
    </xf>
    <xf numFmtId="2" fontId="10" fillId="0" borderId="1" xfId="0" applyNumberFormat="1" applyFont="1" applyBorder="1" applyAlignment="1">
      <alignment wrapText="1"/>
    </xf>
    <xf numFmtId="2" fontId="10" fillId="0" borderId="7" xfId="0" applyNumberFormat="1" applyFont="1" applyBorder="1" applyAlignment="1">
      <alignment wrapText="1"/>
    </xf>
    <xf numFmtId="2" fontId="10" fillId="0" borderId="8" xfId="0" applyNumberFormat="1" applyFont="1" applyBorder="1" applyAlignment="1">
      <alignment wrapText="1"/>
    </xf>
    <xf numFmtId="2" fontId="32" fillId="0" borderId="37" xfId="0" applyNumberFormat="1" applyFont="1" applyBorder="1" applyAlignment="1">
      <alignment vertical="top"/>
    </xf>
    <xf numFmtId="2" fontId="0" fillId="0" borderId="37" xfId="0" applyNumberFormat="1" applyBorder="1"/>
    <xf numFmtId="2" fontId="6" fillId="0" borderId="37" xfId="0" applyNumberFormat="1" applyFont="1" applyBorder="1" applyAlignment="1">
      <alignment vertical="top"/>
    </xf>
    <xf numFmtId="2" fontId="6" fillId="0" borderId="37" xfId="0" applyNumberFormat="1" applyFont="1" applyBorder="1" applyAlignment="1">
      <alignment vertical="top" wrapText="1"/>
    </xf>
    <xf numFmtId="2" fontId="0" fillId="0" borderId="37" xfId="0" applyNumberFormat="1" applyBorder="1" applyAlignment="1">
      <alignment wrapText="1"/>
    </xf>
    <xf numFmtId="2" fontId="0" fillId="0" borderId="37" xfId="1" applyNumberFormat="1" applyFont="1" applyBorder="1"/>
    <xf numFmtId="2" fontId="0" fillId="0" borderId="48" xfId="0" applyNumberFormat="1" applyBorder="1" applyAlignment="1">
      <alignment wrapText="1"/>
    </xf>
    <xf numFmtId="2" fontId="0" fillId="0" borderId="48" xfId="0" applyNumberFormat="1" applyBorder="1"/>
    <xf numFmtId="2" fontId="30" fillId="0" borderId="29" xfId="0" applyNumberFormat="1" applyFont="1" applyBorder="1" applyAlignment="1">
      <alignment wrapText="1"/>
    </xf>
    <xf numFmtId="2" fontId="30" fillId="0" borderId="28" xfId="0" applyNumberFormat="1" applyFont="1" applyBorder="1" applyAlignment="1">
      <alignment horizontal="left" wrapText="1"/>
    </xf>
    <xf numFmtId="2" fontId="53" fillId="0" borderId="28" xfId="0" applyNumberFormat="1" applyFont="1" applyBorder="1"/>
    <xf numFmtId="2" fontId="30" fillId="0" borderId="28" xfId="0" applyNumberFormat="1" applyFont="1" applyBorder="1"/>
    <xf numFmtId="2" fontId="33" fillId="0" borderId="0" xfId="0" applyNumberFormat="1" applyFont="1"/>
    <xf numFmtId="2" fontId="30" fillId="0" borderId="0" xfId="0" applyNumberFormat="1" applyFont="1" applyAlignment="1">
      <alignment wrapText="1"/>
    </xf>
    <xf numFmtId="0" fontId="12" fillId="0" borderId="0" xfId="0" applyFont="1" applyAlignment="1">
      <alignment horizontal="left" wrapText="1"/>
    </xf>
    <xf numFmtId="0" fontId="64" fillId="0" borderId="0" xfId="0" applyFont="1" applyAlignment="1">
      <alignment vertical="top" wrapText="1"/>
    </xf>
    <xf numFmtId="0" fontId="63" fillId="0" borderId="75" xfId="0" applyFont="1" applyBorder="1" applyAlignment="1">
      <alignment vertical="top"/>
    </xf>
    <xf numFmtId="170" fontId="66" fillId="0" borderId="75" xfId="0" applyNumberFormat="1" applyFont="1" applyBorder="1"/>
    <xf numFmtId="0" fontId="64" fillId="0" borderId="37" xfId="0" applyFont="1" applyBorder="1" applyAlignment="1">
      <alignment vertical="top"/>
    </xf>
    <xf numFmtId="170" fontId="66" fillId="0" borderId="37" xfId="0" applyNumberFormat="1" applyFont="1" applyBorder="1"/>
    <xf numFmtId="0" fontId="66" fillId="0" borderId="37" xfId="0" applyFont="1" applyBorder="1"/>
    <xf numFmtId="0" fontId="38" fillId="0" borderId="75" xfId="0" applyFont="1" applyBorder="1" applyAlignment="1">
      <alignment horizontal="left" vertical="top" wrapText="1"/>
    </xf>
    <xf numFmtId="0" fontId="38" fillId="0" borderId="37" xfId="0" applyFont="1" applyBorder="1" applyAlignment="1">
      <alignment horizontal="left" vertical="top" wrapText="1"/>
    </xf>
    <xf numFmtId="174" fontId="2" fillId="0" borderId="0" xfId="0" applyNumberFormat="1" applyFont="1" applyAlignment="1">
      <alignment horizontal="left"/>
    </xf>
    <xf numFmtId="0" fontId="74" fillId="0" borderId="57" xfId="0" applyFont="1" applyBorder="1"/>
    <xf numFmtId="0" fontId="74" fillId="0" borderId="58" xfId="0" applyFont="1" applyBorder="1" applyAlignment="1">
      <alignment wrapText="1"/>
    </xf>
    <xf numFmtId="0" fontId="74" fillId="0" borderId="58" xfId="0" applyFont="1" applyBorder="1"/>
    <xf numFmtId="0" fontId="74" fillId="43" borderId="58" xfId="0" applyFont="1" applyFill="1" applyBorder="1" applyAlignment="1">
      <alignment wrapText="1"/>
    </xf>
    <xf numFmtId="0" fontId="65" fillId="43" borderId="58" xfId="0" applyFont="1" applyFill="1" applyBorder="1"/>
    <xf numFmtId="0" fontId="65" fillId="43" borderId="59" xfId="0" applyFont="1" applyFill="1" applyBorder="1"/>
    <xf numFmtId="0" fontId="74" fillId="43" borderId="57" xfId="0" applyFont="1" applyFill="1" applyBorder="1" applyAlignment="1">
      <alignment wrapText="1"/>
    </xf>
    <xf numFmtId="0" fontId="64" fillId="4" borderId="19" xfId="0" applyFont="1" applyFill="1" applyBorder="1" applyAlignment="1">
      <alignment vertical="top"/>
    </xf>
    <xf numFmtId="0" fontId="64" fillId="0" borderId="0" xfId="0" applyFont="1" applyAlignment="1">
      <alignment vertical="top"/>
    </xf>
    <xf numFmtId="167" fontId="63" fillId="0" borderId="0" xfId="0" applyNumberFormat="1" applyFont="1" applyAlignment="1">
      <alignment vertical="top"/>
    </xf>
    <xf numFmtId="167" fontId="63" fillId="0" borderId="0" xfId="0" applyNumberFormat="1" applyFont="1"/>
    <xf numFmtId="167" fontId="63" fillId="0" borderId="43" xfId="0" applyNumberFormat="1" applyFont="1" applyBorder="1"/>
    <xf numFmtId="167" fontId="64" fillId="0" borderId="19" xfId="0" applyNumberFormat="1" applyFont="1" applyBorder="1" applyAlignment="1">
      <alignment vertical="top"/>
    </xf>
    <xf numFmtId="169" fontId="65" fillId="0" borderId="43" xfId="51" applyNumberFormat="1" applyFont="1" applyFill="1" applyBorder="1"/>
    <xf numFmtId="2" fontId="65" fillId="0" borderId="2" xfId="0" applyNumberFormat="1" applyFont="1" applyBorder="1" applyAlignment="1">
      <alignment horizontal="left"/>
    </xf>
    <xf numFmtId="0" fontId="63" fillId="0" borderId="3" xfId="0" applyFont="1" applyBorder="1" applyAlignment="1">
      <alignment horizontal="left"/>
    </xf>
    <xf numFmtId="0" fontId="65" fillId="0" borderId="4" xfId="0" applyFont="1" applyBorder="1" applyAlignment="1">
      <alignment horizontal="left"/>
    </xf>
    <xf numFmtId="0" fontId="65" fillId="4" borderId="19" xfId="0" applyFont="1" applyFill="1" applyBorder="1" applyAlignment="1">
      <alignment vertical="top"/>
    </xf>
    <xf numFmtId="0" fontId="65" fillId="0" borderId="0" xfId="0" applyFont="1" applyAlignment="1">
      <alignment vertical="top" wrapText="1"/>
    </xf>
    <xf numFmtId="0" fontId="65" fillId="0" borderId="0" xfId="0" applyFont="1" applyAlignment="1">
      <alignment vertical="top"/>
    </xf>
    <xf numFmtId="167" fontId="65" fillId="0" borderId="0" xfId="0" applyNumberFormat="1" applyFont="1" applyAlignment="1">
      <alignment vertical="top"/>
    </xf>
    <xf numFmtId="167" fontId="65" fillId="0" borderId="0" xfId="0" applyNumberFormat="1" applyFont="1"/>
    <xf numFmtId="167" fontId="65" fillId="0" borderId="43" xfId="0" applyNumberFormat="1" applyFont="1" applyBorder="1"/>
    <xf numFmtId="167" fontId="65" fillId="0" borderId="19" xfId="0" applyNumberFormat="1" applyFont="1" applyBorder="1" applyAlignment="1">
      <alignment vertical="top"/>
    </xf>
    <xf numFmtId="2" fontId="65" fillId="0" borderId="0" xfId="0" applyNumberFormat="1" applyFont="1" applyAlignment="1">
      <alignment horizontal="left"/>
    </xf>
    <xf numFmtId="0" fontId="76" fillId="0" borderId="0" xfId="0" applyFont="1" applyAlignment="1">
      <alignment horizontal="left"/>
    </xf>
    <xf numFmtId="0" fontId="76" fillId="0" borderId="1" xfId="0" applyFont="1" applyBorder="1" applyAlignment="1">
      <alignment horizontal="left"/>
    </xf>
    <xf numFmtId="167" fontId="63" fillId="0" borderId="19" xfId="0" applyNumberFormat="1" applyFont="1" applyBorder="1" applyAlignment="1">
      <alignment vertical="top"/>
    </xf>
    <xf numFmtId="0" fontId="65" fillId="0" borderId="0" xfId="0" applyFont="1" applyAlignment="1">
      <alignment horizontal="left"/>
    </xf>
    <xf numFmtId="0" fontId="65" fillId="0" borderId="1" xfId="0" applyFont="1" applyBorder="1" applyAlignment="1">
      <alignment horizontal="left"/>
    </xf>
    <xf numFmtId="0" fontId="63" fillId="4" borderId="60" xfId="0" applyFont="1" applyFill="1" applyBorder="1" applyAlignment="1">
      <alignment vertical="top"/>
    </xf>
    <xf numFmtId="0" fontId="64" fillId="0" borderId="7" xfId="0" applyFont="1" applyBorder="1" applyAlignment="1">
      <alignment vertical="top" wrapText="1"/>
    </xf>
    <xf numFmtId="0" fontId="64" fillId="0" borderId="7" xfId="0" applyFont="1" applyBorder="1" applyAlignment="1">
      <alignment vertical="top"/>
    </xf>
    <xf numFmtId="167" fontId="63" fillId="0" borderId="7" xfId="0" applyNumberFormat="1" applyFont="1" applyBorder="1" applyAlignment="1">
      <alignment vertical="top"/>
    </xf>
    <xf numFmtId="167" fontId="63" fillId="0" borderId="7" xfId="0" applyNumberFormat="1" applyFont="1" applyBorder="1"/>
    <xf numFmtId="167" fontId="63" fillId="0" borderId="61" xfId="0" applyNumberFormat="1" applyFont="1" applyBorder="1"/>
    <xf numFmtId="167" fontId="63" fillId="0" borderId="60" xfId="0" applyNumberFormat="1" applyFont="1" applyBorder="1" applyAlignment="1">
      <alignment vertical="top"/>
    </xf>
    <xf numFmtId="2" fontId="65" fillId="0" borderId="7" xfId="0" applyNumberFormat="1" applyFont="1" applyBorder="1" applyAlignment="1">
      <alignment horizontal="left"/>
    </xf>
    <xf numFmtId="0" fontId="65" fillId="0" borderId="7" xfId="0" applyFont="1" applyBorder="1" applyAlignment="1">
      <alignment horizontal="left"/>
    </xf>
    <xf numFmtId="0" fontId="65" fillId="0" borderId="8" xfId="0" applyFont="1" applyBorder="1" applyAlignment="1">
      <alignment horizontal="left"/>
    </xf>
    <xf numFmtId="0" fontId="64" fillId="37" borderId="62" xfId="0" applyFont="1" applyFill="1" applyBorder="1" applyAlignment="1">
      <alignment vertical="top"/>
    </xf>
    <xf numFmtId="0" fontId="64" fillId="0" borderId="3" xfId="0" applyFont="1" applyBorder="1" applyAlignment="1">
      <alignment vertical="top" wrapText="1"/>
    </xf>
    <xf numFmtId="0" fontId="64" fillId="0" borderId="3" xfId="0" applyFont="1" applyBorder="1" applyAlignment="1">
      <alignment vertical="top"/>
    </xf>
    <xf numFmtId="167" fontId="63" fillId="0" borderId="3" xfId="0" applyNumberFormat="1" applyFont="1" applyBorder="1" applyAlignment="1">
      <alignment vertical="top"/>
    </xf>
    <xf numFmtId="167" fontId="63" fillId="0" borderId="3" xfId="0" applyNumberFormat="1" applyFont="1" applyBorder="1"/>
    <xf numFmtId="167" fontId="63" fillId="0" borderId="63" xfId="0" applyNumberFormat="1" applyFont="1" applyBorder="1"/>
    <xf numFmtId="167" fontId="64" fillId="0" borderId="62" xfId="0" applyNumberFormat="1" applyFont="1" applyBorder="1" applyAlignment="1">
      <alignment vertical="top"/>
    </xf>
    <xf numFmtId="169" fontId="65" fillId="0" borderId="83" xfId="51" applyNumberFormat="1" applyFont="1" applyFill="1" applyBorder="1"/>
    <xf numFmtId="2" fontId="64" fillId="0" borderId="3" xfId="0" applyNumberFormat="1" applyFont="1" applyBorder="1" applyAlignment="1">
      <alignment horizontal="left"/>
    </xf>
    <xf numFmtId="0" fontId="64" fillId="0" borderId="3" xfId="0" applyFont="1" applyBorder="1" applyAlignment="1">
      <alignment horizontal="left"/>
    </xf>
    <xf numFmtId="0" fontId="63" fillId="0" borderId="4" xfId="0" applyFont="1" applyBorder="1" applyAlignment="1">
      <alignment horizontal="left"/>
    </xf>
    <xf numFmtId="0" fontId="64" fillId="37" borderId="60" xfId="0" applyFont="1" applyFill="1" applyBorder="1" applyAlignment="1">
      <alignment vertical="top"/>
    </xf>
    <xf numFmtId="167" fontId="64" fillId="0" borderId="60" xfId="1" applyNumberFormat="1" applyFont="1" applyFill="1" applyBorder="1" applyAlignment="1">
      <alignment vertical="top"/>
    </xf>
    <xf numFmtId="169" fontId="65" fillId="0" borderId="84" xfId="51" applyNumberFormat="1" applyFont="1" applyFill="1" applyBorder="1"/>
    <xf numFmtId="2" fontId="63" fillId="0" borderId="7" xfId="0" applyNumberFormat="1" applyFont="1" applyBorder="1" applyAlignment="1">
      <alignment horizontal="left"/>
    </xf>
    <xf numFmtId="0" fontId="63" fillId="0" borderId="7" xfId="0" applyFont="1" applyBorder="1" applyAlignment="1">
      <alignment horizontal="left"/>
    </xf>
    <xf numFmtId="0" fontId="63" fillId="0" borderId="8" xfId="0" applyFont="1" applyBorder="1" applyAlignment="1">
      <alignment horizontal="left"/>
    </xf>
    <xf numFmtId="0" fontId="64" fillId="3" borderId="62" xfId="0" applyFont="1" applyFill="1" applyBorder="1" applyAlignment="1">
      <alignment vertical="top"/>
    </xf>
    <xf numFmtId="167" fontId="63" fillId="0" borderId="62" xfId="0" applyNumberFormat="1" applyFont="1" applyBorder="1"/>
    <xf numFmtId="2" fontId="65" fillId="0" borderId="3" xfId="0" applyNumberFormat="1" applyFont="1" applyBorder="1" applyAlignment="1">
      <alignment horizontal="left"/>
    </xf>
    <xf numFmtId="2" fontId="63" fillId="0" borderId="4" xfId="0" applyNumberFormat="1" applyFont="1" applyBorder="1" applyAlignment="1">
      <alignment horizontal="left"/>
    </xf>
    <xf numFmtId="0" fontId="64" fillId="3" borderId="19" xfId="0" applyFont="1" applyFill="1" applyBorder="1" applyAlignment="1">
      <alignment vertical="top"/>
    </xf>
    <xf numFmtId="167" fontId="63" fillId="0" borderId="19" xfId="0" applyNumberFormat="1" applyFont="1" applyBorder="1"/>
    <xf numFmtId="2" fontId="63" fillId="0" borderId="0" xfId="0" applyNumberFormat="1" applyFont="1" applyAlignment="1">
      <alignment horizontal="left"/>
    </xf>
    <xf numFmtId="2" fontId="63" fillId="0" borderId="1" xfId="0" applyNumberFormat="1" applyFont="1" applyBorder="1" applyAlignment="1">
      <alignment horizontal="left"/>
    </xf>
    <xf numFmtId="0" fontId="64" fillId="0" borderId="0" xfId="0" applyFont="1" applyAlignment="1">
      <alignment wrapText="1"/>
    </xf>
    <xf numFmtId="0" fontId="63" fillId="0" borderId="0" xfId="0" applyFont="1"/>
    <xf numFmtId="0" fontId="64" fillId="0" borderId="0" xfId="0" applyFont="1"/>
    <xf numFmtId="167" fontId="64" fillId="0" borderId="0" xfId="0" applyNumberFormat="1" applyFont="1"/>
    <xf numFmtId="167" fontId="77" fillId="0" borderId="0" xfId="0" applyNumberFormat="1" applyFont="1"/>
    <xf numFmtId="167" fontId="66" fillId="0" borderId="43" xfId="0" applyNumberFormat="1" applyFont="1" applyBorder="1"/>
    <xf numFmtId="167" fontId="64" fillId="0" borderId="0" xfId="1" applyNumberFormat="1" applyFont="1" applyFill="1" applyBorder="1" applyAlignment="1">
      <alignment vertical="top"/>
    </xf>
    <xf numFmtId="0" fontId="64" fillId="3" borderId="60" xfId="0" applyFont="1" applyFill="1" applyBorder="1" applyAlignment="1">
      <alignment vertical="top"/>
    </xf>
    <xf numFmtId="0" fontId="63" fillId="0" borderId="7" xfId="0" applyFont="1" applyBorder="1" applyAlignment="1">
      <alignment vertical="top"/>
    </xf>
    <xf numFmtId="2" fontId="65" fillId="0" borderId="0" xfId="0" applyNumberFormat="1" applyFont="1" applyAlignment="1">
      <alignment horizontal="left" vertical="top"/>
    </xf>
    <xf numFmtId="2" fontId="63" fillId="0" borderId="8" xfId="0" applyNumberFormat="1" applyFont="1" applyBorder="1" applyAlignment="1">
      <alignment horizontal="left"/>
    </xf>
    <xf numFmtId="0" fontId="64" fillId="38" borderId="62" xfId="0" applyFont="1" applyFill="1" applyBorder="1" applyAlignment="1">
      <alignment vertical="top" wrapText="1"/>
    </xf>
    <xf numFmtId="0" fontId="65" fillId="0" borderId="3" xfId="0" applyFont="1" applyBorder="1" applyAlignment="1">
      <alignment vertical="top" wrapText="1"/>
    </xf>
    <xf numFmtId="0" fontId="64" fillId="0" borderId="3" xfId="0" applyFont="1" applyBorder="1"/>
    <xf numFmtId="2" fontId="63" fillId="0" borderId="3" xfId="0" applyNumberFormat="1" applyFont="1" applyBorder="1" applyAlignment="1">
      <alignment horizontal="left"/>
    </xf>
    <xf numFmtId="0" fontId="64" fillId="38" borderId="19" xfId="0" applyFont="1" applyFill="1" applyBorder="1" applyAlignment="1">
      <alignment vertical="top" wrapText="1"/>
    </xf>
    <xf numFmtId="2" fontId="76" fillId="0" borderId="0" xfId="0" applyNumberFormat="1" applyFont="1" applyAlignment="1">
      <alignment horizontal="left"/>
    </xf>
    <xf numFmtId="2" fontId="76" fillId="0" borderId="1" xfId="0" applyNumberFormat="1" applyFont="1" applyBorder="1" applyAlignment="1">
      <alignment horizontal="left"/>
    </xf>
    <xf numFmtId="167" fontId="63" fillId="0" borderId="0" xfId="0" applyNumberFormat="1" applyFont="1" applyAlignment="1">
      <alignment vertical="center"/>
    </xf>
    <xf numFmtId="0" fontId="64" fillId="38" borderId="60" xfId="0" applyFont="1" applyFill="1" applyBorder="1" applyAlignment="1">
      <alignment vertical="top" wrapText="1"/>
    </xf>
    <xf numFmtId="167" fontId="63" fillId="0" borderId="60" xfId="0" applyNumberFormat="1" applyFont="1" applyBorder="1"/>
    <xf numFmtId="2" fontId="64" fillId="0" borderId="0" xfId="0" applyNumberFormat="1" applyFont="1" applyAlignment="1">
      <alignment horizontal="left"/>
    </xf>
    <xf numFmtId="167" fontId="65" fillId="0" borderId="3" xfId="0" applyNumberFormat="1" applyFont="1" applyBorder="1"/>
    <xf numFmtId="0" fontId="63" fillId="0" borderId="0" xfId="0" applyFont="1" applyAlignment="1">
      <alignment vertical="top"/>
    </xf>
    <xf numFmtId="0" fontId="65" fillId="38" borderId="64" xfId="0" applyFont="1" applyFill="1" applyBorder="1" applyAlignment="1">
      <alignment vertical="top" wrapText="1"/>
    </xf>
    <xf numFmtId="0" fontId="65" fillId="0" borderId="22" xfId="0" applyFont="1" applyBorder="1" applyAlignment="1">
      <alignment vertical="top"/>
    </xf>
    <xf numFmtId="167" fontId="63" fillId="0" borderId="22" xfId="0" applyNumberFormat="1" applyFont="1" applyBorder="1" applyAlignment="1">
      <alignment vertical="top"/>
    </xf>
    <xf numFmtId="167" fontId="63" fillId="0" borderId="22" xfId="0" applyNumberFormat="1" applyFont="1" applyBorder="1"/>
    <xf numFmtId="167" fontId="63" fillId="0" borderId="65" xfId="0" applyNumberFormat="1" applyFont="1" applyBorder="1"/>
    <xf numFmtId="167" fontId="63" fillId="0" borderId="64" xfId="0" applyNumberFormat="1" applyFont="1" applyBorder="1"/>
    <xf numFmtId="0" fontId="64" fillId="39" borderId="62" xfId="0" applyFont="1" applyFill="1" applyBorder="1" applyAlignment="1">
      <alignment vertical="top" wrapText="1"/>
    </xf>
    <xf numFmtId="0" fontId="64" fillId="0" borderId="3" xfId="0" applyFont="1" applyBorder="1" applyAlignment="1">
      <alignment wrapText="1"/>
    </xf>
    <xf numFmtId="0" fontId="64" fillId="39" borderId="7" xfId="0" applyFont="1" applyFill="1" applyBorder="1" applyAlignment="1">
      <alignment vertical="top" wrapText="1"/>
    </xf>
    <xf numFmtId="0" fontId="65" fillId="0" borderId="7" xfId="0" applyFont="1" applyBorder="1" applyAlignment="1">
      <alignment wrapText="1"/>
    </xf>
    <xf numFmtId="0" fontId="65" fillId="0" borderId="7" xfId="0" applyFont="1" applyBorder="1"/>
    <xf numFmtId="167" fontId="65" fillId="0" borderId="7" xfId="0" applyNumberFormat="1" applyFont="1" applyBorder="1" applyAlignment="1">
      <alignment horizontal="right"/>
    </xf>
    <xf numFmtId="167" fontId="65" fillId="0" borderId="7" xfId="0" applyNumberFormat="1" applyFont="1" applyBorder="1"/>
    <xf numFmtId="167" fontId="65" fillId="0" borderId="61" xfId="0" applyNumberFormat="1" applyFont="1" applyBorder="1"/>
    <xf numFmtId="167" fontId="65" fillId="0" borderId="60" xfId="0" applyNumberFormat="1" applyFont="1" applyBorder="1" applyAlignment="1">
      <alignment horizontal="right"/>
    </xf>
    <xf numFmtId="2" fontId="64" fillId="0" borderId="7" xfId="0" applyNumberFormat="1" applyFont="1" applyBorder="1" applyAlignment="1">
      <alignment horizontal="left"/>
    </xf>
    <xf numFmtId="0" fontId="64" fillId="40" borderId="19" xfId="0" applyFont="1" applyFill="1" applyBorder="1" applyAlignment="1">
      <alignment vertical="top"/>
    </xf>
    <xf numFmtId="2" fontId="76" fillId="0" borderId="3" xfId="0" applyNumberFormat="1" applyFont="1" applyBorder="1" applyAlignment="1">
      <alignment horizontal="left"/>
    </xf>
    <xf numFmtId="2" fontId="76" fillId="0" borderId="4" xfId="0" applyNumberFormat="1" applyFont="1" applyBorder="1" applyAlignment="1">
      <alignment horizontal="left"/>
    </xf>
    <xf numFmtId="0" fontId="65" fillId="40" borderId="60" xfId="0" applyFont="1" applyFill="1" applyBorder="1" applyAlignment="1">
      <alignment vertical="top"/>
    </xf>
    <xf numFmtId="0" fontId="65" fillId="0" borderId="7" xfId="0" applyFont="1" applyBorder="1" applyAlignment="1">
      <alignment vertical="top" wrapText="1"/>
    </xf>
    <xf numFmtId="167" fontId="78" fillId="0" borderId="7" xfId="0" applyNumberFormat="1" applyFont="1" applyBorder="1" applyAlignment="1">
      <alignment vertical="top"/>
    </xf>
    <xf numFmtId="167" fontId="78" fillId="0" borderId="7" xfId="0" applyNumberFormat="1" applyFont="1" applyBorder="1"/>
    <xf numFmtId="167" fontId="78" fillId="0" borderId="61" xfId="0" applyNumberFormat="1" applyFont="1" applyBorder="1"/>
    <xf numFmtId="167" fontId="65" fillId="0" borderId="60" xfId="0" applyNumberFormat="1" applyFont="1" applyBorder="1"/>
    <xf numFmtId="2" fontId="76" fillId="0" borderId="7" xfId="0" applyNumberFormat="1" applyFont="1" applyBorder="1" applyAlignment="1">
      <alignment horizontal="left"/>
    </xf>
    <xf numFmtId="2" fontId="76" fillId="0" borderId="8" xfId="0" applyNumberFormat="1" applyFont="1" applyBorder="1" applyAlignment="1">
      <alignment horizontal="left"/>
    </xf>
    <xf numFmtId="0" fontId="63" fillId="41" borderId="62" xfId="0" applyFont="1" applyFill="1" applyBorder="1" applyAlignment="1">
      <alignment vertical="top"/>
    </xf>
    <xf numFmtId="167" fontId="63" fillId="0" borderId="62" xfId="0" applyNumberFormat="1" applyFont="1" applyBorder="1" applyAlignment="1">
      <alignment vertical="top"/>
    </xf>
    <xf numFmtId="0" fontId="63" fillId="41" borderId="20" xfId="0" applyFont="1" applyFill="1" applyBorder="1" applyAlignment="1">
      <alignment vertical="top"/>
    </xf>
    <xf numFmtId="0" fontId="64" fillId="0" borderId="21" xfId="0" applyFont="1" applyBorder="1" applyAlignment="1">
      <alignment vertical="top" wrapText="1"/>
    </xf>
    <xf numFmtId="0" fontId="64" fillId="0" borderId="21" xfId="0" applyFont="1" applyBorder="1" applyAlignment="1">
      <alignment vertical="top"/>
    </xf>
    <xf numFmtId="167" fontId="63" fillId="0" borderId="21" xfId="0" applyNumberFormat="1" applyFont="1" applyBorder="1" applyAlignment="1">
      <alignment vertical="top"/>
    </xf>
    <xf numFmtId="167" fontId="74" fillId="0" borderId="21" xfId="1" applyNumberFormat="1" applyFont="1" applyFill="1" applyBorder="1" applyAlignment="1">
      <alignment vertical="top"/>
    </xf>
    <xf numFmtId="167" fontId="63" fillId="0" borderId="21" xfId="0" applyNumberFormat="1" applyFont="1" applyBorder="1"/>
    <xf numFmtId="167" fontId="63" fillId="0" borderId="44" xfId="0" applyNumberFormat="1" applyFont="1" applyBorder="1"/>
    <xf numFmtId="167" fontId="63" fillId="0" borderId="20" xfId="0" applyNumberFormat="1" applyFont="1" applyBorder="1" applyAlignment="1">
      <alignment vertical="top"/>
    </xf>
    <xf numFmtId="169" fontId="65" fillId="0" borderId="44" xfId="51" applyNumberFormat="1" applyFont="1" applyFill="1" applyBorder="1"/>
    <xf numFmtId="0" fontId="75" fillId="43" borderId="59" xfId="0" applyFont="1" applyFill="1" applyBorder="1" applyAlignment="1">
      <alignment wrapText="1"/>
    </xf>
    <xf numFmtId="0" fontId="64" fillId="0" borderId="22" xfId="0" applyFont="1" applyBorder="1" applyAlignment="1">
      <alignment vertical="top" wrapText="1"/>
    </xf>
    <xf numFmtId="0" fontId="64" fillId="0" borderId="36" xfId="0" applyFont="1" applyBorder="1" applyAlignment="1">
      <alignment vertical="top" wrapText="1"/>
    </xf>
    <xf numFmtId="0" fontId="74" fillId="0" borderId="22" xfId="0" applyFont="1" applyBorder="1" applyAlignment="1">
      <alignment vertical="top" wrapText="1"/>
    </xf>
    <xf numFmtId="0" fontId="30" fillId="0" borderId="45" xfId="0" applyFont="1" applyBorder="1"/>
    <xf numFmtId="0" fontId="53" fillId="0" borderId="45" xfId="0" applyFont="1" applyBorder="1"/>
    <xf numFmtId="0" fontId="62" fillId="0" borderId="45" xfId="44" applyFont="1" applyBorder="1" applyAlignment="1"/>
    <xf numFmtId="0" fontId="0" fillId="0" borderId="1" xfId="0" applyBorder="1"/>
    <xf numFmtId="0" fontId="10" fillId="0" borderId="1" xfId="0" applyFont="1" applyBorder="1"/>
    <xf numFmtId="0" fontId="55" fillId="0" borderId="1" xfId="44" applyFont="1" applyFill="1" applyBorder="1" applyAlignment="1"/>
    <xf numFmtId="0" fontId="55" fillId="0" borderId="1" xfId="44" applyFont="1" applyBorder="1" applyAlignment="1"/>
    <xf numFmtId="0" fontId="0" fillId="0" borderId="8" xfId="0" applyBorder="1"/>
    <xf numFmtId="0" fontId="0" fillId="0" borderId="38" xfId="0" applyBorder="1"/>
    <xf numFmtId="0" fontId="30" fillId="0" borderId="45" xfId="0" applyFont="1" applyBorder="1" applyAlignment="1">
      <alignment wrapText="1"/>
    </xf>
    <xf numFmtId="1" fontId="30" fillId="0" borderId="0" xfId="0" applyNumberFormat="1" applyFont="1"/>
    <xf numFmtId="1" fontId="30" fillId="0" borderId="3" xfId="0" applyNumberFormat="1" applyFont="1" applyBorder="1"/>
    <xf numFmtId="0" fontId="79" fillId="0" borderId="0" xfId="0" applyFont="1"/>
    <xf numFmtId="0" fontId="66" fillId="0" borderId="0" xfId="0" applyFont="1"/>
    <xf numFmtId="0" fontId="66" fillId="0" borderId="0" xfId="0" applyFont="1" applyAlignment="1">
      <alignment vertical="top"/>
    </xf>
    <xf numFmtId="0" fontId="66" fillId="38" borderId="5" xfId="0" applyFont="1" applyFill="1" applyBorder="1" applyAlignment="1">
      <alignment horizontal="left"/>
    </xf>
    <xf numFmtId="0" fontId="71" fillId="38" borderId="6" xfId="0" applyFont="1" applyFill="1" applyBorder="1" applyAlignment="1">
      <alignment horizontal="left"/>
    </xf>
    <xf numFmtId="3" fontId="10" fillId="0" borderId="0" xfId="0" applyNumberFormat="1" applyFont="1"/>
    <xf numFmtId="0" fontId="10" fillId="0" borderId="3" xfId="0" applyFont="1" applyBorder="1"/>
    <xf numFmtId="0" fontId="30" fillId="0" borderId="18" xfId="0" applyFont="1" applyBorder="1"/>
    <xf numFmtId="3" fontId="0" fillId="0" borderId="0" xfId="0" applyNumberFormat="1"/>
    <xf numFmtId="0" fontId="30" fillId="0" borderId="7" xfId="0" applyFont="1" applyBorder="1"/>
    <xf numFmtId="0" fontId="10" fillId="0" borderId="76" xfId="0" applyFont="1" applyBorder="1"/>
    <xf numFmtId="3" fontId="10" fillId="0" borderId="3" xfId="0" applyNumberFormat="1" applyFont="1" applyBorder="1"/>
    <xf numFmtId="0" fontId="30" fillId="0" borderId="21" xfId="0" applyFont="1" applyBorder="1"/>
    <xf numFmtId="3" fontId="0" fillId="0" borderId="7" xfId="0" applyNumberFormat="1" applyBorder="1"/>
    <xf numFmtId="0" fontId="0" fillId="0" borderId="3" xfId="0" applyBorder="1"/>
    <xf numFmtId="0" fontId="30" fillId="0" borderId="22" xfId="0" applyFont="1" applyBorder="1"/>
    <xf numFmtId="3" fontId="0" fillId="0" borderId="22" xfId="0" applyNumberFormat="1" applyBorder="1"/>
    <xf numFmtId="3" fontId="0" fillId="0" borderId="3" xfId="0" applyNumberFormat="1" applyBorder="1"/>
    <xf numFmtId="0" fontId="30" fillId="0" borderId="35" xfId="0" applyFont="1" applyBorder="1"/>
    <xf numFmtId="0" fontId="29" fillId="0" borderId="0" xfId="0" applyFont="1"/>
    <xf numFmtId="3" fontId="30" fillId="0" borderId="0" xfId="0" applyNumberFormat="1" applyFont="1"/>
    <xf numFmtId="3" fontId="30" fillId="0" borderId="3" xfId="0" applyNumberFormat="1" applyFont="1" applyBorder="1" applyAlignment="1">
      <alignment wrapText="1"/>
    </xf>
    <xf numFmtId="3" fontId="30" fillId="0" borderId="0" xfId="0" applyNumberFormat="1" applyFont="1" applyAlignment="1">
      <alignment wrapText="1"/>
    </xf>
    <xf numFmtId="2" fontId="30" fillId="0" borderId="37" xfId="0" applyNumberFormat="1" applyFont="1" applyBorder="1"/>
    <xf numFmtId="10" fontId="30" fillId="0" borderId="0" xfId="1" applyNumberFormat="1" applyFont="1"/>
    <xf numFmtId="166" fontId="12" fillId="0" borderId="0" xfId="51" applyFont="1"/>
    <xf numFmtId="10" fontId="30" fillId="0" borderId="37" xfId="0" applyNumberFormat="1" applyFont="1" applyBorder="1"/>
    <xf numFmtId="0" fontId="81" fillId="0" borderId="0" xfId="0" applyFont="1"/>
    <xf numFmtId="0" fontId="0" fillId="0" borderId="0" xfId="0" applyAlignment="1">
      <alignment horizontal="left" wrapText="1"/>
    </xf>
    <xf numFmtId="165" fontId="30" fillId="0" borderId="0" xfId="2" applyFont="1" applyFill="1"/>
    <xf numFmtId="164" fontId="30" fillId="0" borderId="0" xfId="2" applyNumberFormat="1" applyFont="1"/>
    <xf numFmtId="169" fontId="0" fillId="0" borderId="0" xfId="51" applyNumberFormat="1" applyFont="1" applyFill="1" applyBorder="1"/>
    <xf numFmtId="0" fontId="1" fillId="57" borderId="32" xfId="0" applyFont="1" applyFill="1" applyBorder="1"/>
    <xf numFmtId="0" fontId="1" fillId="57" borderId="47" xfId="0" applyFont="1" applyFill="1" applyBorder="1"/>
    <xf numFmtId="0" fontId="1" fillId="57" borderId="33" xfId="0" applyFont="1" applyFill="1" applyBorder="1"/>
    <xf numFmtId="2" fontId="64" fillId="0" borderId="6" xfId="0" applyNumberFormat="1" applyFont="1" applyBorder="1" applyAlignment="1">
      <alignment horizontal="left" vertical="top"/>
    </xf>
    <xf numFmtId="2" fontId="64" fillId="0" borderId="0" xfId="0" applyNumberFormat="1" applyFont="1" applyAlignment="1">
      <alignment horizontal="left" vertical="top"/>
    </xf>
    <xf numFmtId="0" fontId="12" fillId="0" borderId="0" xfId="0" applyFont="1" applyAlignment="1">
      <alignment vertical="top"/>
    </xf>
    <xf numFmtId="166" fontId="0" fillId="0" borderId="0" xfId="0" quotePrefix="1" applyNumberFormat="1"/>
    <xf numFmtId="2" fontId="0" fillId="0" borderId="0" xfId="0" quotePrefix="1" applyNumberFormat="1"/>
    <xf numFmtId="2" fontId="66" fillId="0" borderId="0" xfId="0" applyNumberFormat="1" applyFont="1" applyAlignment="1">
      <alignment horizontal="left" vertical="top" wrapText="1"/>
    </xf>
    <xf numFmtId="2" fontId="72" fillId="0" borderId="43" xfId="0" applyNumberFormat="1" applyFont="1" applyBorder="1" applyAlignment="1">
      <alignment horizontal="left" vertical="top" wrapText="1"/>
    </xf>
    <xf numFmtId="2" fontId="66" fillId="0" borderId="19" xfId="0" applyNumberFormat="1" applyFont="1" applyBorder="1" applyAlignment="1">
      <alignment horizontal="left" vertical="top" wrapText="1"/>
    </xf>
    <xf numFmtId="2" fontId="66" fillId="0" borderId="51" xfId="0" applyNumberFormat="1" applyFont="1" applyBorder="1" applyAlignment="1">
      <alignment horizontal="left" vertical="top" wrapText="1"/>
    </xf>
    <xf numFmtId="2" fontId="66" fillId="0" borderId="88" xfId="0" applyNumberFormat="1" applyFont="1" applyBorder="1" applyAlignment="1">
      <alignment horizontal="left" vertical="top" wrapText="1"/>
    </xf>
    <xf numFmtId="2" fontId="72" fillId="0" borderId="0" xfId="0" applyNumberFormat="1" applyFont="1" applyAlignment="1">
      <alignment horizontal="left" vertical="top" wrapText="1"/>
    </xf>
    <xf numFmtId="2" fontId="66" fillId="0" borderId="88" xfId="0" applyNumberFormat="1" applyFont="1" applyBorder="1" applyAlignment="1">
      <alignment horizontal="left"/>
    </xf>
    <xf numFmtId="2" fontId="66" fillId="0" borderId="51" xfId="0" applyNumberFormat="1" applyFont="1" applyBorder="1" applyAlignment="1">
      <alignment horizontal="left"/>
    </xf>
    <xf numFmtId="169" fontId="30" fillId="0" borderId="0" xfId="51" applyNumberFormat="1" applyFont="1" applyFill="1" applyBorder="1"/>
    <xf numFmtId="0" fontId="52" fillId="0" borderId="0" xfId="0" applyFont="1" applyAlignment="1">
      <alignment wrapText="1"/>
    </xf>
    <xf numFmtId="0" fontId="54" fillId="0" borderId="0" xfId="0" applyFont="1" applyAlignment="1">
      <alignment wrapText="1"/>
    </xf>
    <xf numFmtId="0" fontId="39" fillId="0" borderId="0" xfId="0" applyFont="1" applyAlignment="1">
      <alignment wrapText="1"/>
    </xf>
    <xf numFmtId="2" fontId="10" fillId="0" borderId="5" xfId="0" applyNumberFormat="1" applyFont="1" applyBorder="1"/>
    <xf numFmtId="2" fontId="0" fillId="0" borderId="5" xfId="0" applyNumberFormat="1" applyBorder="1"/>
    <xf numFmtId="2" fontId="0" fillId="0" borderId="5" xfId="0" applyNumberFormat="1" applyBorder="1" applyAlignment="1">
      <alignment vertical="top"/>
    </xf>
    <xf numFmtId="2" fontId="0" fillId="0" borderId="0" xfId="0" applyNumberFormat="1" applyAlignment="1">
      <alignment vertical="top"/>
    </xf>
    <xf numFmtId="2" fontId="0" fillId="0" borderId="6" xfId="0" applyNumberFormat="1" applyBorder="1"/>
    <xf numFmtId="2" fontId="10" fillId="0" borderId="95" xfId="0" applyNumberFormat="1" applyFont="1" applyBorder="1" applyAlignment="1">
      <alignment horizontal="left" vertical="top"/>
    </xf>
    <xf numFmtId="2" fontId="10" fillId="0" borderId="96" xfId="0" applyNumberFormat="1" applyFont="1" applyBorder="1" applyAlignment="1">
      <alignment horizontal="left" vertical="top"/>
    </xf>
    <xf numFmtId="2" fontId="10" fillId="0" borderId="97" xfId="0" applyNumberFormat="1" applyFont="1" applyBorder="1" applyAlignment="1">
      <alignment horizontal="left" vertical="top"/>
    </xf>
    <xf numFmtId="2" fontId="10" fillId="0" borderId="98" xfId="0" applyNumberFormat="1" applyFont="1" applyBorder="1" applyAlignment="1">
      <alignment horizontal="left" vertical="top"/>
    </xf>
    <xf numFmtId="167" fontId="10" fillId="0" borderId="0" xfId="0" applyNumberFormat="1" applyFont="1" applyAlignment="1">
      <alignment horizontal="left" vertical="top"/>
    </xf>
    <xf numFmtId="167" fontId="0" fillId="0" borderId="0" xfId="0" applyNumberFormat="1" applyAlignment="1">
      <alignment horizontal="left" vertical="top" wrapText="1"/>
    </xf>
    <xf numFmtId="167" fontId="0" fillId="0" borderId="0" xfId="0" applyNumberFormat="1" applyAlignment="1">
      <alignment horizontal="left" vertical="top"/>
    </xf>
    <xf numFmtId="0" fontId="85" fillId="0" borderId="0" xfId="0" quotePrefix="1" applyFont="1" applyAlignment="1">
      <alignment vertical="top" wrapText="1"/>
    </xf>
    <xf numFmtId="2" fontId="30" fillId="0" borderId="31" xfId="0" applyNumberFormat="1" applyFont="1" applyBorder="1" applyAlignment="1">
      <alignment horizontal="right"/>
    </xf>
    <xf numFmtId="2" fontId="30" fillId="0" borderId="28" xfId="0" applyNumberFormat="1" applyFont="1" applyBorder="1" applyAlignment="1">
      <alignment horizontal="right"/>
    </xf>
    <xf numFmtId="0" fontId="30" fillId="0" borderId="28" xfId="0" applyFont="1" applyBorder="1"/>
    <xf numFmtId="2" fontId="12" fillId="0" borderId="0" xfId="0" applyNumberFormat="1" applyFont="1"/>
    <xf numFmtId="0" fontId="53" fillId="0" borderId="0" xfId="0" applyFont="1" applyAlignment="1">
      <alignment horizontal="left" vertical="top" wrapText="1"/>
    </xf>
    <xf numFmtId="9" fontId="33" fillId="0" borderId="0" xfId="0" applyNumberFormat="1" applyFont="1"/>
    <xf numFmtId="166" fontId="12" fillId="0" borderId="0" xfId="51" applyFont="1" applyAlignment="1">
      <alignment horizontal="center"/>
    </xf>
    <xf numFmtId="174" fontId="30" fillId="0" borderId="0" xfId="0" applyNumberFormat="1" applyFont="1" applyAlignment="1">
      <alignment wrapText="1"/>
    </xf>
    <xf numFmtId="167" fontId="0" fillId="0" borderId="0" xfId="0" applyNumberFormat="1" applyAlignment="1">
      <alignment horizontal="left"/>
    </xf>
    <xf numFmtId="167" fontId="0" fillId="0" borderId="101" xfId="0" applyNumberFormat="1" applyBorder="1" applyAlignment="1">
      <alignment horizontal="left"/>
    </xf>
    <xf numFmtId="0" fontId="48" fillId="0" borderId="0" xfId="0" applyFont="1" applyAlignment="1">
      <alignment horizontal="center" vertical="top" wrapText="1"/>
    </xf>
    <xf numFmtId="2" fontId="12" fillId="0" borderId="0" xfId="0" applyNumberFormat="1" applyFont="1" applyAlignment="1">
      <alignment wrapText="1"/>
    </xf>
    <xf numFmtId="2" fontId="32" fillId="0" borderId="75" xfId="0" applyNumberFormat="1" applyFont="1" applyBorder="1" applyAlignment="1">
      <alignment vertical="top"/>
    </xf>
    <xf numFmtId="2" fontId="0" fillId="0" borderId="75" xfId="0" applyNumberFormat="1" applyBorder="1"/>
    <xf numFmtId="10" fontId="0" fillId="0" borderId="75" xfId="0" applyNumberFormat="1" applyBorder="1"/>
    <xf numFmtId="0" fontId="10" fillId="0" borderId="99" xfId="0" applyFont="1" applyBorder="1" applyAlignment="1">
      <alignment wrapText="1"/>
    </xf>
    <xf numFmtId="0" fontId="10" fillId="66" borderId="0" xfId="0" applyFont="1" applyFill="1"/>
    <xf numFmtId="166" fontId="10" fillId="0" borderId="0" xfId="0" applyNumberFormat="1" applyFont="1" applyAlignment="1">
      <alignment wrapText="1"/>
    </xf>
    <xf numFmtId="2" fontId="10" fillId="0" borderId="47" xfId="0" applyNumberFormat="1" applyFont="1" applyBorder="1"/>
    <xf numFmtId="2" fontId="10" fillId="0" borderId="33" xfId="0" applyNumberFormat="1" applyFont="1" applyBorder="1"/>
    <xf numFmtId="0" fontId="10" fillId="0" borderId="32" xfId="0" applyFont="1" applyBorder="1" applyAlignment="1">
      <alignment wrapText="1"/>
    </xf>
    <xf numFmtId="0" fontId="86" fillId="0" borderId="0" xfId="0" applyFont="1"/>
    <xf numFmtId="2" fontId="10" fillId="0" borderId="74" xfId="0" applyNumberFormat="1" applyFont="1" applyBorder="1" applyAlignment="1">
      <alignment horizontal="left"/>
    </xf>
    <xf numFmtId="0" fontId="12" fillId="0" borderId="32" xfId="0" applyFont="1" applyBorder="1" applyAlignment="1">
      <alignment wrapText="1"/>
    </xf>
    <xf numFmtId="166" fontId="10" fillId="0" borderId="0" xfId="51" applyFont="1" applyAlignment="1">
      <alignment wrapText="1"/>
    </xf>
    <xf numFmtId="0" fontId="1" fillId="2" borderId="0" xfId="0" applyFont="1" applyFill="1"/>
    <xf numFmtId="0" fontId="1" fillId="0" borderId="40" xfId="0" applyFont="1" applyBorder="1"/>
    <xf numFmtId="0" fontId="36" fillId="0" borderId="26" xfId="0" applyFont="1" applyBorder="1" applyAlignment="1">
      <alignment vertical="top"/>
    </xf>
    <xf numFmtId="0" fontId="36" fillId="0" borderId="36" xfId="0" applyFont="1" applyBorder="1" applyAlignment="1">
      <alignment vertical="top" wrapText="1"/>
    </xf>
    <xf numFmtId="0" fontId="3" fillId="0" borderId="5" xfId="0" applyFont="1" applyBorder="1" applyAlignment="1">
      <alignment vertical="top" wrapText="1"/>
    </xf>
    <xf numFmtId="0" fontId="2" fillId="0" borderId="1" xfId="0" applyFont="1" applyBorder="1" applyAlignment="1">
      <alignment vertical="top"/>
    </xf>
    <xf numFmtId="0" fontId="3" fillId="0" borderId="6" xfId="0" applyFont="1" applyBorder="1" applyAlignment="1">
      <alignment vertical="top" wrapText="1"/>
    </xf>
    <xf numFmtId="0" fontId="2" fillId="0" borderId="8" xfId="0" applyFont="1" applyBorder="1" applyAlignment="1">
      <alignment vertical="top"/>
    </xf>
    <xf numFmtId="2" fontId="12" fillId="0" borderId="40" xfId="0" applyNumberFormat="1" applyFont="1" applyBorder="1" applyAlignment="1">
      <alignment horizontal="right"/>
    </xf>
    <xf numFmtId="0" fontId="4" fillId="0" borderId="32" xfId="0" applyFont="1" applyBorder="1"/>
    <xf numFmtId="2" fontId="12" fillId="0" borderId="32" xfId="0" applyNumberFormat="1" applyFont="1" applyBorder="1" applyAlignment="1">
      <alignment horizontal="right"/>
    </xf>
    <xf numFmtId="176" fontId="10" fillId="0" borderId="0" xfId="0" applyNumberFormat="1" applyFont="1"/>
    <xf numFmtId="2" fontId="10" fillId="0" borderId="37" xfId="0" applyNumberFormat="1" applyFont="1" applyBorder="1"/>
    <xf numFmtId="167" fontId="0" fillId="0" borderId="0" xfId="0" applyNumberFormat="1" applyAlignment="1">
      <alignment vertical="top"/>
    </xf>
    <xf numFmtId="167" fontId="2" fillId="0" borderId="1" xfId="0" applyNumberFormat="1" applyFont="1" applyBorder="1" applyAlignment="1">
      <alignment horizontal="left" vertical="top"/>
    </xf>
    <xf numFmtId="167" fontId="2" fillId="0" borderId="8" xfId="0" applyNumberFormat="1" applyFont="1" applyBorder="1" applyAlignment="1">
      <alignment horizontal="left" vertical="top"/>
    </xf>
    <xf numFmtId="0" fontId="2" fillId="0" borderId="2" xfId="0" applyFont="1" applyBorder="1" applyAlignment="1">
      <alignment vertical="top"/>
    </xf>
    <xf numFmtId="0" fontId="2" fillId="0" borderId="5" xfId="0" applyFont="1" applyBorder="1" applyAlignment="1">
      <alignment vertical="top"/>
    </xf>
    <xf numFmtId="0" fontId="3" fillId="0" borderId="5" xfId="0" applyFont="1" applyBorder="1" applyAlignment="1">
      <alignment wrapText="1"/>
    </xf>
    <xf numFmtId="166" fontId="10" fillId="0" borderId="0" xfId="0" quotePrefix="1" applyNumberFormat="1" applyFont="1" applyAlignment="1">
      <alignment horizontal="center" wrapText="1"/>
    </xf>
    <xf numFmtId="0" fontId="1" fillId="0" borderId="3" xfId="0" applyFont="1" applyBorder="1"/>
    <xf numFmtId="9" fontId="1" fillId="0" borderId="3" xfId="1" applyFont="1" applyBorder="1"/>
    <xf numFmtId="0" fontId="48" fillId="0" borderId="38" xfId="0" applyFont="1" applyBorder="1" applyAlignment="1">
      <alignment vertical="top" wrapText="1"/>
    </xf>
    <xf numFmtId="0" fontId="10" fillId="0" borderId="27" xfId="0" applyFont="1" applyBorder="1" applyAlignment="1">
      <alignment vertical="top"/>
    </xf>
    <xf numFmtId="0" fontId="0" fillId="0" borderId="27" xfId="0" applyBorder="1" applyAlignment="1">
      <alignment vertical="top" wrapText="1"/>
    </xf>
    <xf numFmtId="0" fontId="86" fillId="0" borderId="27" xfId="0" applyFont="1" applyBorder="1" applyAlignment="1">
      <alignment vertical="top"/>
    </xf>
    <xf numFmtId="0" fontId="1" fillId="39" borderId="0" xfId="0" applyFont="1" applyFill="1" applyAlignment="1">
      <alignment vertical="top" wrapText="1"/>
    </xf>
    <xf numFmtId="0" fontId="48" fillId="37" borderId="0" xfId="0" applyFont="1" applyFill="1" applyAlignment="1">
      <alignment vertical="top"/>
    </xf>
    <xf numFmtId="175" fontId="0" fillId="0" borderId="0" xfId="0" applyNumberFormat="1" applyAlignment="1">
      <alignment horizontal="right"/>
    </xf>
    <xf numFmtId="0" fontId="30" fillId="0" borderId="5" xfId="0" applyFont="1" applyBorder="1"/>
    <xf numFmtId="0" fontId="10" fillId="0" borderId="7" xfId="0" applyFont="1" applyBorder="1"/>
    <xf numFmtId="0" fontId="48" fillId="70" borderId="0" xfId="0" applyFont="1" applyFill="1" applyAlignment="1">
      <alignment vertical="top"/>
    </xf>
    <xf numFmtId="0" fontId="48" fillId="0" borderId="0" xfId="0" applyFont="1" applyAlignment="1">
      <alignment vertical="top"/>
    </xf>
    <xf numFmtId="0" fontId="48" fillId="44" borderId="0" xfId="0" applyFont="1" applyFill="1" applyAlignment="1">
      <alignment vertical="top"/>
    </xf>
    <xf numFmtId="0" fontId="48" fillId="44" borderId="38" xfId="0" applyFont="1" applyFill="1" applyBorder="1" applyAlignment="1">
      <alignment vertical="top"/>
    </xf>
    <xf numFmtId="0" fontId="48" fillId="0" borderId="27" xfId="0" applyFont="1" applyBorder="1" applyAlignment="1">
      <alignment horizontal="left"/>
    </xf>
    <xf numFmtId="0" fontId="71" fillId="0" borderId="0" xfId="0" applyFont="1" applyAlignment="1">
      <alignment horizontal="left" vertical="top"/>
    </xf>
    <xf numFmtId="0" fontId="52" fillId="0" borderId="0" xfId="0" applyFont="1" applyAlignment="1">
      <alignment horizontal="left" vertical="top"/>
    </xf>
    <xf numFmtId="3" fontId="46" fillId="0" borderId="7" xfId="0" applyNumberFormat="1" applyFont="1" applyBorder="1" applyAlignment="1">
      <alignment horizontal="right"/>
    </xf>
    <xf numFmtId="3" fontId="30" fillId="0" borderId="7" xfId="0" applyNumberFormat="1" applyFont="1" applyBorder="1" applyAlignment="1">
      <alignment horizontal="left" wrapText="1"/>
    </xf>
    <xf numFmtId="3" fontId="46" fillId="0" borderId="27" xfId="0" applyNumberFormat="1" applyFont="1" applyBorder="1" applyAlignment="1">
      <alignment horizontal="right"/>
    </xf>
    <xf numFmtId="9" fontId="46" fillId="0" borderId="0" xfId="1" applyFont="1"/>
    <xf numFmtId="0" fontId="48" fillId="65" borderId="0" xfId="0" applyFont="1" applyFill="1"/>
    <xf numFmtId="9" fontId="48" fillId="0" borderId="0" xfId="1" applyFont="1"/>
    <xf numFmtId="0" fontId="1" fillId="65" borderId="38" xfId="0" applyFont="1" applyFill="1" applyBorder="1" applyAlignment="1">
      <alignment vertical="top"/>
    </xf>
    <xf numFmtId="0" fontId="46" fillId="37" borderId="0" xfId="0" applyFont="1" applyFill="1" applyAlignment="1">
      <alignment vertical="top"/>
    </xf>
    <xf numFmtId="0" fontId="46" fillId="3" borderId="0" xfId="0" applyFont="1" applyFill="1" applyAlignment="1">
      <alignment vertical="top"/>
    </xf>
    <xf numFmtId="0" fontId="46" fillId="38" borderId="0" xfId="0" applyFont="1" applyFill="1" applyAlignment="1">
      <alignment vertical="top"/>
    </xf>
    <xf numFmtId="167" fontId="3" fillId="0" borderId="3" xfId="0" applyNumberFormat="1" applyFont="1" applyBorder="1" applyAlignment="1">
      <alignment vertical="top"/>
    </xf>
    <xf numFmtId="167" fontId="3" fillId="0" borderId="0" xfId="0" applyNumberFormat="1" applyFont="1" applyAlignment="1">
      <alignment vertical="top"/>
    </xf>
    <xf numFmtId="2" fontId="2" fillId="0" borderId="0" xfId="0" applyNumberFormat="1" applyFont="1" applyAlignment="1">
      <alignment vertical="top"/>
    </xf>
    <xf numFmtId="0" fontId="44" fillId="0" borderId="5" xfId="0" applyFont="1" applyBorder="1" applyAlignment="1">
      <alignment wrapText="1"/>
    </xf>
    <xf numFmtId="0" fontId="12" fillId="0" borderId="5" xfId="0" applyFont="1" applyBorder="1"/>
    <xf numFmtId="0" fontId="31" fillId="0" borderId="0" xfId="0" applyFont="1" applyAlignment="1">
      <alignment vertical="top" wrapText="1"/>
    </xf>
    <xf numFmtId="0" fontId="46" fillId="42" borderId="2" xfId="0" applyFont="1" applyFill="1" applyBorder="1" applyAlignment="1">
      <alignment wrapText="1"/>
    </xf>
    <xf numFmtId="0" fontId="46" fillId="38" borderId="5" xfId="0" applyFont="1" applyFill="1" applyBorder="1" applyAlignment="1">
      <alignment wrapText="1"/>
    </xf>
    <xf numFmtId="0" fontId="46" fillId="37" borderId="6" xfId="0" applyFont="1" applyFill="1" applyBorder="1" applyAlignment="1">
      <alignment wrapText="1"/>
    </xf>
    <xf numFmtId="0" fontId="52" fillId="0" borderId="49" xfId="0" applyFont="1" applyBorder="1" applyAlignment="1">
      <alignment horizontal="left" vertical="top" wrapText="1"/>
    </xf>
    <xf numFmtId="0" fontId="52" fillId="0" borderId="51" xfId="0" applyFont="1" applyBorder="1" applyAlignment="1">
      <alignment horizontal="left" vertical="top" wrapText="1"/>
    </xf>
    <xf numFmtId="0" fontId="31" fillId="0" borderId="0" xfId="0" applyFont="1" applyAlignment="1">
      <alignment wrapText="1"/>
    </xf>
    <xf numFmtId="0" fontId="6" fillId="0" borderId="46" xfId="0" applyFont="1" applyBorder="1"/>
    <xf numFmtId="0" fontId="6" fillId="0" borderId="31" xfId="0" applyFont="1" applyBorder="1"/>
    <xf numFmtId="0" fontId="6" fillId="0" borderId="33" xfId="0" applyFont="1" applyBorder="1"/>
    <xf numFmtId="0" fontId="6" fillId="0" borderId="28" xfId="0" applyFont="1" applyBorder="1"/>
    <xf numFmtId="2" fontId="33" fillId="0" borderId="51" xfId="0" applyNumberFormat="1" applyFont="1" applyBorder="1" applyAlignment="1">
      <alignment horizontal="left" vertical="top"/>
    </xf>
    <xf numFmtId="2" fontId="33" fillId="0" borderId="88" xfId="0" applyNumberFormat="1" applyFont="1" applyBorder="1" applyAlignment="1">
      <alignment horizontal="left" vertical="top"/>
    </xf>
    <xf numFmtId="2" fontId="33" fillId="0" borderId="0" xfId="0" applyNumberFormat="1" applyFont="1" applyAlignment="1">
      <alignment horizontal="left" vertical="top"/>
    </xf>
    <xf numFmtId="2" fontId="52" fillId="0" borderId="43" xfId="0" applyNumberFormat="1" applyFont="1" applyBorder="1" applyAlignment="1">
      <alignment horizontal="left" vertical="top" wrapText="1"/>
    </xf>
    <xf numFmtId="2" fontId="52" fillId="0" borderId="0" xfId="0" applyNumberFormat="1" applyFont="1" applyAlignment="1">
      <alignment horizontal="left" vertical="top"/>
    </xf>
    <xf numFmtId="2" fontId="33" fillId="0" borderId="19" xfId="0" applyNumberFormat="1" applyFont="1" applyBorder="1" applyAlignment="1">
      <alignment horizontal="left" vertical="top" wrapText="1"/>
    </xf>
    <xf numFmtId="2" fontId="33" fillId="0" borderId="51" xfId="0" applyNumberFormat="1" applyFont="1" applyBorder="1" applyAlignment="1">
      <alignment horizontal="left" vertical="top" wrapText="1"/>
    </xf>
    <xf numFmtId="2" fontId="33" fillId="0" borderId="88" xfId="0" applyNumberFormat="1" applyFont="1" applyBorder="1" applyAlignment="1">
      <alignment horizontal="left" vertical="top" wrapText="1"/>
    </xf>
    <xf numFmtId="2" fontId="33" fillId="0" borderId="0" xfId="0" applyNumberFormat="1" applyFont="1" applyAlignment="1">
      <alignment horizontal="left" vertical="top" wrapText="1"/>
    </xf>
    <xf numFmtId="2" fontId="52" fillId="0" borderId="19" xfId="0" applyNumberFormat="1" applyFont="1" applyBorder="1" applyAlignment="1">
      <alignment horizontal="left" vertical="top" wrapText="1"/>
    </xf>
    <xf numFmtId="2" fontId="52" fillId="0" borderId="0" xfId="0" applyNumberFormat="1" applyFont="1" applyAlignment="1">
      <alignment horizontal="left" vertical="top" wrapText="1"/>
    </xf>
    <xf numFmtId="2" fontId="33" fillId="0" borderId="51" xfId="0" applyNumberFormat="1" applyFont="1" applyBorder="1" applyAlignment="1">
      <alignment horizontal="left"/>
    </xf>
    <xf numFmtId="2" fontId="33" fillId="0" borderId="0" xfId="0" applyNumberFormat="1" applyFont="1" applyAlignment="1">
      <alignment horizontal="left"/>
    </xf>
    <xf numFmtId="2" fontId="33" fillId="0" borderId="43" xfId="0" applyNumberFormat="1" applyFont="1" applyBorder="1" applyAlignment="1">
      <alignment horizontal="left"/>
    </xf>
    <xf numFmtId="2" fontId="52" fillId="0" borderId="0" xfId="0" applyNumberFormat="1" applyFont="1" applyAlignment="1">
      <alignment horizontal="left"/>
    </xf>
    <xf numFmtId="2" fontId="33" fillId="0" borderId="19" xfId="0" applyNumberFormat="1" applyFont="1" applyBorder="1" applyAlignment="1">
      <alignment horizontal="left"/>
    </xf>
    <xf numFmtId="2" fontId="52" fillId="0" borderId="43" xfId="0" applyNumberFormat="1" applyFont="1" applyBorder="1" applyAlignment="1">
      <alignment horizontal="left"/>
    </xf>
    <xf numFmtId="2" fontId="52" fillId="0" borderId="51" xfId="0" applyNumberFormat="1" applyFont="1" applyBorder="1" applyAlignment="1">
      <alignment horizontal="left" vertical="top"/>
    </xf>
    <xf numFmtId="2" fontId="52" fillId="0" borderId="88" xfId="0" applyNumberFormat="1" applyFont="1" applyBorder="1" applyAlignment="1">
      <alignment horizontal="left" vertical="top"/>
    </xf>
    <xf numFmtId="2" fontId="33" fillId="0" borderId="19" xfId="0" applyNumberFormat="1" applyFont="1" applyBorder="1" applyAlignment="1">
      <alignment horizontal="left" vertical="top"/>
    </xf>
    <xf numFmtId="2" fontId="33" fillId="0" borderId="88" xfId="0" applyNumberFormat="1" applyFont="1" applyBorder="1" applyAlignment="1">
      <alignment horizontal="left"/>
    </xf>
    <xf numFmtId="2" fontId="52" fillId="0" borderId="51" xfId="0" applyNumberFormat="1" applyFont="1" applyBorder="1" applyAlignment="1">
      <alignment horizontal="left"/>
    </xf>
    <xf numFmtId="2" fontId="52" fillId="0" borderId="88" xfId="0" applyNumberFormat="1" applyFont="1" applyBorder="1" applyAlignment="1">
      <alignment horizontal="left"/>
    </xf>
    <xf numFmtId="2" fontId="52" fillId="0" borderId="50" xfId="0" applyNumberFormat="1" applyFont="1" applyBorder="1" applyAlignment="1">
      <alignment horizontal="left" vertical="top"/>
    </xf>
    <xf numFmtId="2" fontId="52" fillId="0" borderId="89" xfId="0" applyNumberFormat="1" applyFont="1" applyBorder="1" applyAlignment="1">
      <alignment horizontal="left" vertical="top"/>
    </xf>
    <xf numFmtId="2" fontId="33" fillId="0" borderId="21" xfId="0" applyNumberFormat="1" applyFont="1" applyBorder="1" applyAlignment="1">
      <alignment horizontal="left" vertical="top"/>
    </xf>
    <xf numFmtId="2" fontId="33" fillId="0" borderId="44" xfId="0" applyNumberFormat="1" applyFont="1" applyBorder="1" applyAlignment="1">
      <alignment horizontal="left"/>
    </xf>
    <xf numFmtId="2" fontId="33" fillId="0" borderId="20" xfId="0" applyNumberFormat="1" applyFont="1" applyBorder="1" applyAlignment="1">
      <alignment horizontal="left" vertical="top"/>
    </xf>
    <xf numFmtId="2" fontId="52" fillId="0" borderId="44" xfId="0" applyNumberFormat="1" applyFont="1" applyBorder="1" applyAlignment="1">
      <alignment horizontal="left"/>
    </xf>
    <xf numFmtId="0" fontId="31" fillId="0" borderId="35" xfId="0" applyFont="1" applyBorder="1" applyAlignment="1">
      <alignment horizontal="left" wrapText="1"/>
    </xf>
    <xf numFmtId="0" fontId="33" fillId="0" borderId="37" xfId="0" applyFont="1" applyBorder="1" applyAlignment="1">
      <alignment vertical="top"/>
    </xf>
    <xf numFmtId="170" fontId="52" fillId="0" borderId="37" xfId="0" applyNumberFormat="1" applyFont="1" applyBorder="1"/>
    <xf numFmtId="0" fontId="31" fillId="4" borderId="0" xfId="0" applyFont="1" applyFill="1" applyAlignment="1">
      <alignment horizontal="left" vertical="top" wrapText="1"/>
    </xf>
    <xf numFmtId="0" fontId="31" fillId="4" borderId="21" xfId="0" applyFont="1" applyFill="1" applyBorder="1" applyAlignment="1">
      <alignment horizontal="left" vertical="top" wrapText="1"/>
    </xf>
    <xf numFmtId="0" fontId="31" fillId="37" borderId="7" xfId="0" applyFont="1" applyFill="1" applyBorder="1" applyAlignment="1">
      <alignment horizontal="left" vertical="top" wrapText="1"/>
    </xf>
    <xf numFmtId="0" fontId="31" fillId="37" borderId="21" xfId="0" applyFont="1" applyFill="1" applyBorder="1" applyAlignment="1">
      <alignment horizontal="left" vertical="top"/>
    </xf>
    <xf numFmtId="0" fontId="33" fillId="3" borderId="22" xfId="0" applyFont="1" applyFill="1" applyBorder="1" applyAlignment="1">
      <alignment horizontal="left" vertical="top" wrapText="1"/>
    </xf>
    <xf numFmtId="0" fontId="33" fillId="3" borderId="22" xfId="0" applyFont="1" applyFill="1" applyBorder="1" applyAlignment="1">
      <alignment horizontal="left" wrapText="1"/>
    </xf>
    <xf numFmtId="0" fontId="33" fillId="3" borderId="35" xfId="0" applyFont="1" applyFill="1" applyBorder="1" applyAlignment="1">
      <alignment horizontal="left" vertical="top" wrapText="1"/>
    </xf>
    <xf numFmtId="0" fontId="31" fillId="3" borderId="0" xfId="0" applyFont="1" applyFill="1" applyAlignment="1">
      <alignment horizontal="left" vertical="top" wrapText="1"/>
    </xf>
    <xf numFmtId="0" fontId="52" fillId="38" borderId="22" xfId="0" applyFont="1" applyFill="1" applyBorder="1" applyAlignment="1">
      <alignment horizontal="left" vertical="top" wrapText="1"/>
    </xf>
    <xf numFmtId="0" fontId="33" fillId="38" borderId="22" xfId="0" applyFont="1" applyFill="1" applyBorder="1" applyAlignment="1">
      <alignment horizontal="left" vertical="top" wrapText="1"/>
    </xf>
    <xf numFmtId="0" fontId="33" fillId="38" borderId="35" xfId="0" applyFont="1" applyFill="1" applyBorder="1" applyAlignment="1">
      <alignment horizontal="left" vertical="top" wrapText="1"/>
    </xf>
    <xf numFmtId="0" fontId="33" fillId="38" borderId="7" xfId="0" applyFont="1" applyFill="1" applyBorder="1" applyAlignment="1">
      <alignment horizontal="left" vertical="top"/>
    </xf>
    <xf numFmtId="0" fontId="33" fillId="40" borderId="7" xfId="0" applyFont="1" applyFill="1" applyBorder="1" applyAlignment="1">
      <alignment horizontal="left" vertical="top" wrapText="1"/>
    </xf>
    <xf numFmtId="0" fontId="33" fillId="41" borderId="7" xfId="0" applyFont="1" applyFill="1" applyBorder="1" applyAlignment="1">
      <alignment horizontal="left" vertical="top" wrapText="1"/>
    </xf>
    <xf numFmtId="0" fontId="33" fillId="41" borderId="35" xfId="0" applyFont="1" applyFill="1" applyBorder="1" applyAlignment="1">
      <alignment horizontal="left" vertical="top" wrapText="1"/>
    </xf>
    <xf numFmtId="0" fontId="66" fillId="0" borderId="0" xfId="0" applyFont="1" applyAlignment="1">
      <alignment wrapText="1"/>
    </xf>
    <xf numFmtId="0" fontId="79" fillId="0" borderId="0" xfId="0" applyFont="1" applyAlignment="1">
      <alignment vertical="top" wrapText="1"/>
    </xf>
    <xf numFmtId="2" fontId="2" fillId="0" borderId="0" xfId="0" applyNumberFormat="1" applyFont="1"/>
    <xf numFmtId="0" fontId="10" fillId="0" borderId="0" xfId="0" applyFont="1" applyAlignment="1">
      <alignment horizontal="left" wrapText="1"/>
    </xf>
    <xf numFmtId="0" fontId="0" fillId="0" borderId="7" xfId="0" applyBorder="1" applyAlignment="1">
      <alignment horizontal="left" wrapText="1"/>
    </xf>
    <xf numFmtId="0" fontId="10"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xf>
    <xf numFmtId="0" fontId="1" fillId="0" borderId="27" xfId="0" applyFont="1" applyBorder="1" applyAlignment="1">
      <alignment horizontal="left"/>
    </xf>
    <xf numFmtId="0" fontId="1" fillId="0" borderId="7" xfId="0" applyFont="1" applyBorder="1" applyAlignment="1">
      <alignment horizontal="left" wrapText="1"/>
    </xf>
    <xf numFmtId="0" fontId="0" fillId="0" borderId="0" xfId="0" applyAlignment="1">
      <alignment horizontal="left"/>
    </xf>
    <xf numFmtId="0" fontId="52" fillId="0" borderId="0" xfId="0" applyFont="1" applyAlignment="1">
      <alignment horizontal="left" vertical="top" wrapText="1"/>
    </xf>
    <xf numFmtId="0" fontId="41" fillId="0" borderId="0" xfId="0" applyFont="1" applyAlignment="1">
      <alignment horizontal="left" vertical="top"/>
    </xf>
    <xf numFmtId="0" fontId="1" fillId="0" borderId="0" xfId="0" applyFont="1" applyAlignment="1">
      <alignment horizontal="left" wrapText="1"/>
    </xf>
    <xf numFmtId="0" fontId="54" fillId="0" borderId="0" xfId="0" applyFont="1" applyAlignment="1">
      <alignment horizontal="left" wrapText="1"/>
    </xf>
    <xf numFmtId="0" fontId="30" fillId="0" borderId="0" xfId="0" applyFont="1" applyAlignment="1">
      <alignment horizontal="left" wrapText="1"/>
    </xf>
    <xf numFmtId="0" fontId="54" fillId="0" borderId="0" xfId="0" applyFont="1" applyAlignment="1">
      <alignment horizontal="left" vertical="top" wrapText="1"/>
    </xf>
    <xf numFmtId="0" fontId="30" fillId="0" borderId="0" xfId="0" applyFont="1" applyAlignment="1">
      <alignment horizontal="left"/>
    </xf>
    <xf numFmtId="0" fontId="60" fillId="0" borderId="0" xfId="0" applyFont="1" applyAlignment="1">
      <alignment wrapText="1"/>
    </xf>
    <xf numFmtId="0" fontId="0" fillId="0" borderId="0" xfId="0" applyAlignment="1">
      <alignment vertical="top" wrapText="1"/>
    </xf>
    <xf numFmtId="0" fontId="10" fillId="0" borderId="0" xfId="0" applyFont="1" applyAlignment="1">
      <alignment vertical="top" wrapText="1"/>
    </xf>
    <xf numFmtId="0" fontId="1" fillId="0" borderId="0" xfId="0" applyFont="1" applyAlignment="1">
      <alignment horizontal="center"/>
    </xf>
    <xf numFmtId="0" fontId="1" fillId="0" borderId="7" xfId="0" applyFont="1" applyBorder="1" applyAlignment="1">
      <alignment horizontal="left"/>
    </xf>
    <xf numFmtId="0" fontId="53" fillId="0" borderId="0" xfId="0" applyFont="1" applyAlignment="1">
      <alignment horizontal="left" wrapText="1"/>
    </xf>
    <xf numFmtId="0" fontId="0" fillId="0" borderId="0" xfId="0" applyAlignment="1">
      <alignment horizontal="center"/>
    </xf>
    <xf numFmtId="0" fontId="33" fillId="0" borderId="0" xfId="0" applyFont="1" applyAlignment="1">
      <alignment vertical="top" wrapText="1"/>
    </xf>
    <xf numFmtId="0" fontId="30" fillId="0" borderId="0" xfId="0" applyFont="1" applyAlignment="1">
      <alignment vertical="top" wrapText="1"/>
    </xf>
    <xf numFmtId="0" fontId="52" fillId="0" borderId="0" xfId="0" applyFont="1" applyAlignment="1">
      <alignment vertical="top" wrapText="1"/>
    </xf>
    <xf numFmtId="0" fontId="52" fillId="38" borderId="3" xfId="0" applyFont="1" applyFill="1" applyBorder="1" applyAlignment="1">
      <alignment horizontal="left" vertical="top" wrapText="1"/>
    </xf>
    <xf numFmtId="0" fontId="52" fillId="38" borderId="7" xfId="0" applyFont="1" applyFill="1" applyBorder="1" applyAlignment="1">
      <alignment horizontal="left" vertical="top" wrapText="1"/>
    </xf>
    <xf numFmtId="0" fontId="33" fillId="3" borderId="7" xfId="0" applyFont="1" applyFill="1" applyBorder="1" applyAlignment="1">
      <alignment horizontal="left" vertical="top" wrapText="1"/>
    </xf>
    <xf numFmtId="2" fontId="2" fillId="0" borderId="45" xfId="0" applyNumberFormat="1" applyFont="1" applyBorder="1" applyAlignment="1">
      <alignment vertical="top"/>
    </xf>
    <xf numFmtId="0" fontId="2" fillId="0" borderId="39" xfId="0" applyFont="1" applyBorder="1" applyAlignment="1">
      <alignment vertical="top"/>
    </xf>
    <xf numFmtId="0" fontId="2" fillId="0" borderId="45" xfId="0" applyFont="1" applyBorder="1" applyAlignment="1">
      <alignment vertical="top"/>
    </xf>
    <xf numFmtId="0" fontId="2" fillId="0" borderId="40" xfId="0" applyFont="1" applyBorder="1" applyAlignment="1">
      <alignment vertical="top"/>
    </xf>
    <xf numFmtId="0" fontId="2" fillId="0" borderId="46" xfId="0" applyFont="1" applyBorder="1" applyAlignment="1">
      <alignment vertical="top"/>
    </xf>
    <xf numFmtId="0" fontId="52" fillId="0" borderId="38" xfId="0" applyFont="1" applyBorder="1" applyAlignment="1">
      <alignment horizontal="left" vertical="top" wrapText="1"/>
    </xf>
    <xf numFmtId="0" fontId="10" fillId="0" borderId="0" xfId="0" applyFont="1" applyAlignment="1">
      <alignment horizontal="left" wrapText="1"/>
    </xf>
    <xf numFmtId="0" fontId="0" fillId="0" borderId="0" xfId="0" applyAlignment="1">
      <alignment horizontal="left" wrapText="1"/>
    </xf>
    <xf numFmtId="0" fontId="48" fillId="0" borderId="26" xfId="0" applyFont="1" applyBorder="1" applyAlignment="1">
      <alignment horizontal="left" vertical="top"/>
    </xf>
    <xf numFmtId="0" fontId="48" fillId="0" borderId="22" xfId="0" applyFont="1" applyBorder="1" applyAlignment="1">
      <alignment horizontal="left" vertical="top"/>
    </xf>
    <xf numFmtId="0" fontId="48" fillId="0" borderId="36" xfId="0" applyFont="1" applyBorder="1" applyAlignment="1">
      <alignment horizontal="left" vertical="top"/>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87" fillId="0" borderId="27" xfId="0" applyFont="1"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10" fillId="0" borderId="0" xfId="0" applyFont="1" applyAlignment="1">
      <alignment horizontal="left" vertical="top" wrapText="1"/>
    </xf>
    <xf numFmtId="0" fontId="67" fillId="0" borderId="27" xfId="0" applyFont="1" applyBorder="1" applyAlignment="1">
      <alignment horizontal="left" wrapText="1"/>
    </xf>
    <xf numFmtId="0" fontId="0" fillId="0" borderId="0" xfId="0" applyAlignment="1">
      <alignment horizontal="left" vertical="top" wrapText="1"/>
    </xf>
    <xf numFmtId="0" fontId="1" fillId="0" borderId="27" xfId="0" applyFont="1" applyBorder="1" applyAlignment="1">
      <alignment horizontal="left" wrapText="1"/>
    </xf>
    <xf numFmtId="0" fontId="67" fillId="0" borderId="0" xfId="0" applyFont="1" applyAlignment="1">
      <alignment horizontal="left"/>
    </xf>
    <xf numFmtId="0" fontId="0" fillId="0" borderId="38" xfId="0" applyBorder="1" applyAlignment="1">
      <alignment horizontal="left" vertical="top" wrapText="1"/>
    </xf>
    <xf numFmtId="0" fontId="67" fillId="0" borderId="7" xfId="0" applyFont="1" applyBorder="1" applyAlignment="1">
      <alignment horizontal="left"/>
    </xf>
    <xf numFmtId="0" fontId="1" fillId="0" borderId="0" xfId="0" applyFont="1" applyAlignment="1">
      <alignment horizontal="left"/>
    </xf>
    <xf numFmtId="0" fontId="0" fillId="0" borderId="0" xfId="0" applyAlignment="1">
      <alignment wrapText="1"/>
    </xf>
    <xf numFmtId="0" fontId="70" fillId="0" borderId="7" xfId="0" applyFont="1" applyBorder="1" applyAlignment="1">
      <alignment horizontal="left"/>
    </xf>
    <xf numFmtId="0" fontId="1" fillId="0" borderId="27" xfId="0" applyFont="1" applyBorder="1" applyAlignment="1">
      <alignment horizontal="left"/>
    </xf>
    <xf numFmtId="0" fontId="33" fillId="0" borderId="38" xfId="0" applyFont="1" applyBorder="1" applyAlignment="1">
      <alignment horizontal="left"/>
    </xf>
    <xf numFmtId="0" fontId="0" fillId="0" borderId="38" xfId="0" applyBorder="1" applyAlignment="1">
      <alignment horizontal="left"/>
    </xf>
    <xf numFmtId="0" fontId="72" fillId="0" borderId="38" xfId="0" applyFont="1" applyBorder="1" applyAlignment="1">
      <alignment horizontal="left" vertical="top" wrapText="1"/>
    </xf>
    <xf numFmtId="0" fontId="82" fillId="0" borderId="0" xfId="0" applyFont="1" applyAlignment="1">
      <alignment horizontal="left" wrapText="1"/>
    </xf>
    <xf numFmtId="0" fontId="52" fillId="0" borderId="0" xfId="0" applyFont="1" applyAlignment="1">
      <alignment horizontal="left" vertical="top" wrapText="1"/>
    </xf>
    <xf numFmtId="0" fontId="41" fillId="0" borderId="0" xfId="0" applyFont="1" applyAlignment="1">
      <alignment horizontal="left" vertical="top"/>
    </xf>
    <xf numFmtId="0" fontId="1" fillId="0" borderId="0" xfId="0" applyFont="1" applyAlignment="1">
      <alignment horizontal="left" wrapText="1"/>
    </xf>
    <xf numFmtId="0" fontId="54" fillId="0" borderId="0" xfId="0" applyFont="1" applyAlignment="1">
      <alignment horizontal="left" wrapText="1"/>
    </xf>
    <xf numFmtId="0" fontId="30" fillId="0" borderId="0" xfId="0" applyFont="1" applyAlignment="1">
      <alignment horizontal="left" wrapText="1"/>
    </xf>
    <xf numFmtId="0" fontId="54" fillId="0" borderId="0" xfId="0" applyFont="1" applyAlignment="1">
      <alignment horizontal="left" vertical="top" wrapText="1"/>
    </xf>
    <xf numFmtId="0" fontId="1" fillId="0" borderId="7" xfId="0" applyFont="1" applyBorder="1" applyAlignment="1">
      <alignment horizontal="left" wrapText="1"/>
    </xf>
    <xf numFmtId="0" fontId="48" fillId="0" borderId="0" xfId="0" applyFont="1" applyAlignment="1">
      <alignment horizontal="left" vertical="top" wrapText="1"/>
    </xf>
    <xf numFmtId="0" fontId="46" fillId="0" borderId="0" xfId="0" applyFont="1" applyAlignment="1">
      <alignment horizontal="left" vertical="top" wrapText="1"/>
    </xf>
    <xf numFmtId="0" fontId="0" fillId="0" borderId="0" xfId="0" applyAlignment="1">
      <alignment horizontal="left"/>
    </xf>
    <xf numFmtId="0" fontId="12" fillId="0" borderId="0" xfId="0" applyFont="1" applyAlignment="1">
      <alignment horizontal="left"/>
    </xf>
    <xf numFmtId="0" fontId="48" fillId="0" borderId="3" xfId="0" applyFont="1" applyBorder="1" applyAlignment="1">
      <alignment horizontal="left" vertical="top" wrapText="1"/>
    </xf>
    <xf numFmtId="0" fontId="68" fillId="0" borderId="0" xfId="0" applyFont="1" applyAlignment="1">
      <alignment horizontal="left"/>
    </xf>
    <xf numFmtId="0" fontId="4" fillId="0" borderId="3" xfId="0" applyFont="1" applyBorder="1" applyAlignment="1">
      <alignment horizontal="left" vertical="top" wrapText="1"/>
    </xf>
    <xf numFmtId="0" fontId="30" fillId="0" borderId="3" xfId="0" applyFont="1" applyBorder="1" applyAlignment="1">
      <alignment horizontal="left" vertical="top"/>
    </xf>
    <xf numFmtId="0" fontId="60" fillId="0" borderId="0" xfId="0" applyFont="1" applyAlignment="1">
      <alignment wrapText="1"/>
    </xf>
    <xf numFmtId="0" fontId="60" fillId="0" borderId="0" xfId="0" applyFont="1" applyAlignment="1">
      <alignment horizontal="center"/>
    </xf>
    <xf numFmtId="0" fontId="0" fillId="0" borderId="3" xfId="0" applyBorder="1" applyAlignment="1">
      <alignment horizontal="left" vertical="center" wrapText="1"/>
    </xf>
    <xf numFmtId="0" fontId="30" fillId="0" borderId="0" xfId="0" applyFont="1" applyAlignment="1">
      <alignment horizontal="left"/>
    </xf>
    <xf numFmtId="0" fontId="60" fillId="0" borderId="0" xfId="0" applyFont="1" applyAlignment="1">
      <alignment horizontal="center"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30" fillId="0" borderId="3" xfId="0" applyFont="1" applyBorder="1" applyAlignment="1">
      <alignment horizontal="left" wrapText="1"/>
    </xf>
    <xf numFmtId="0" fontId="0" fillId="0" borderId="2"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10" fillId="0" borderId="2" xfId="0" applyFont="1" applyBorder="1" applyAlignment="1">
      <alignment horizontal="center" vertical="top"/>
    </xf>
    <xf numFmtId="0" fontId="10" fillId="0" borderId="5" xfId="0" applyFont="1" applyBorder="1" applyAlignment="1">
      <alignment horizontal="center" vertical="top"/>
    </xf>
    <xf numFmtId="0" fontId="10" fillId="0" borderId="0" xfId="0" applyFont="1" applyAlignment="1">
      <alignment vertical="top" wrapText="1"/>
    </xf>
    <xf numFmtId="0" fontId="0" fillId="0" borderId="38" xfId="0" applyBorder="1" applyAlignment="1">
      <alignment vertical="top" wrapText="1"/>
    </xf>
    <xf numFmtId="0" fontId="0" fillId="0" borderId="3" xfId="0" applyBorder="1" applyAlignment="1">
      <alignment horizontal="left" vertical="top" wrapText="1"/>
    </xf>
    <xf numFmtId="0" fontId="1" fillId="0" borderId="0" xfId="0" applyFont="1" applyAlignment="1">
      <alignment horizontal="center"/>
    </xf>
    <xf numFmtId="0" fontId="36" fillId="0" borderId="26" xfId="0" applyFont="1" applyBorder="1" applyAlignment="1">
      <alignment horizontal="left" vertical="top" wrapText="1"/>
    </xf>
    <xf numFmtId="0" fontId="36" fillId="0" borderId="22" xfId="0" applyFont="1" applyBorder="1" applyAlignment="1">
      <alignment horizontal="left" vertical="top" wrapText="1"/>
    </xf>
    <xf numFmtId="0" fontId="73" fillId="0" borderId="60" xfId="0" applyFont="1" applyBorder="1" applyAlignment="1">
      <alignment horizontal="center" vertical="center"/>
    </xf>
    <xf numFmtId="0" fontId="73" fillId="0" borderId="7" xfId="0" applyFont="1" applyBorder="1" applyAlignment="1">
      <alignment horizontal="center" vertical="center"/>
    </xf>
    <xf numFmtId="0" fontId="38" fillId="0" borderId="27" xfId="0" applyFont="1" applyBorder="1" applyAlignment="1">
      <alignment horizontal="left" vertical="top" wrapText="1"/>
    </xf>
    <xf numFmtId="0" fontId="73" fillId="0" borderId="41" xfId="0" applyFont="1" applyBorder="1" applyAlignment="1">
      <alignment horizontal="left" vertical="center"/>
    </xf>
    <xf numFmtId="0" fontId="73" fillId="0" borderId="23" xfId="0" applyFont="1" applyBorder="1" applyAlignment="1">
      <alignment horizontal="left" vertical="center"/>
    </xf>
    <xf numFmtId="0" fontId="73" fillId="0" borderId="42" xfId="0" applyFont="1" applyBorder="1" applyAlignment="1">
      <alignment horizontal="left" vertical="center"/>
    </xf>
    <xf numFmtId="2" fontId="38" fillId="0" borderId="2" xfId="0" applyNumberFormat="1" applyFont="1" applyBorder="1" applyAlignment="1">
      <alignment horizontal="left" wrapText="1"/>
    </xf>
    <xf numFmtId="2" fontId="38" fillId="0" borderId="4" xfId="0" applyNumberFormat="1" applyFont="1" applyBorder="1" applyAlignment="1">
      <alignment horizontal="left" wrapText="1"/>
    </xf>
    <xf numFmtId="2" fontId="38" fillId="0" borderId="5" xfId="0" applyNumberFormat="1" applyFont="1" applyBorder="1" applyAlignment="1">
      <alignment horizontal="left" wrapText="1"/>
    </xf>
    <xf numFmtId="2" fontId="38" fillId="0" borderId="1" xfId="0" applyNumberFormat="1" applyFont="1" applyBorder="1" applyAlignment="1">
      <alignment horizontal="left" wrapText="1"/>
    </xf>
    <xf numFmtId="0" fontId="38" fillId="0" borderId="102" xfId="0" applyFont="1" applyBorder="1" applyAlignment="1">
      <alignment horizontal="center" wrapText="1"/>
    </xf>
    <xf numFmtId="0" fontId="38" fillId="0" borderId="103" xfId="0" applyFont="1" applyBorder="1" applyAlignment="1">
      <alignment horizontal="center" wrapText="1"/>
    </xf>
    <xf numFmtId="0" fontId="36" fillId="0" borderId="27" xfId="0" applyFont="1" applyBorder="1" applyAlignment="1">
      <alignment horizontal="left" vertical="top" wrapText="1"/>
    </xf>
    <xf numFmtId="0" fontId="73" fillId="57" borderId="57" xfId="0" applyFont="1" applyFill="1" applyBorder="1" applyAlignment="1">
      <alignment horizontal="center" vertical="center"/>
    </xf>
    <xf numFmtId="0" fontId="73" fillId="57" borderId="59" xfId="0" applyFont="1" applyFill="1" applyBorder="1" applyAlignment="1">
      <alignment horizontal="center" vertical="center"/>
    </xf>
    <xf numFmtId="0" fontId="33" fillId="0" borderId="0" xfId="0" applyFont="1" applyAlignment="1">
      <alignment horizontal="left" vertical="top" wrapText="1"/>
    </xf>
    <xf numFmtId="0" fontId="1" fillId="0" borderId="7" xfId="0" applyFont="1" applyBorder="1" applyAlignment="1">
      <alignment horizontal="left"/>
    </xf>
    <xf numFmtId="0" fontId="86" fillId="0" borderId="0" xfId="0" applyFont="1" applyAlignment="1">
      <alignment horizontal="left" vertical="top" wrapText="1"/>
    </xf>
    <xf numFmtId="0" fontId="12" fillId="0" borderId="0" xfId="0" applyFont="1" applyAlignment="1">
      <alignment horizontal="left" vertical="top" wrapText="1"/>
    </xf>
    <xf numFmtId="0" fontId="66" fillId="0" borderId="0" xfId="0" applyFont="1" applyAlignment="1">
      <alignment horizontal="left" vertical="center" wrapText="1"/>
    </xf>
    <xf numFmtId="0" fontId="72" fillId="0" borderId="0" xfId="0" applyFont="1" applyAlignment="1">
      <alignment horizontal="left" vertical="top" wrapText="1"/>
    </xf>
    <xf numFmtId="0" fontId="33" fillId="0" borderId="0" xfId="0" applyFont="1" applyAlignment="1">
      <alignment horizontal="left" vertical="top"/>
    </xf>
    <xf numFmtId="0" fontId="71" fillId="0" borderId="0" xfId="0" applyFont="1" applyAlignment="1">
      <alignment horizontal="left"/>
    </xf>
    <xf numFmtId="0" fontId="59" fillId="0" borderId="0" xfId="0" applyFont="1" applyAlignment="1">
      <alignment horizontal="left" wrapText="1"/>
    </xf>
    <xf numFmtId="0" fontId="1" fillId="61" borderId="0" xfId="0" applyFont="1" applyFill="1" applyAlignment="1">
      <alignment horizontal="center" wrapText="1"/>
    </xf>
    <xf numFmtId="0" fontId="1" fillId="61" borderId="1" xfId="0" applyFont="1" applyFill="1" applyBorder="1" applyAlignment="1">
      <alignment horizontal="center" wrapText="1"/>
    </xf>
    <xf numFmtId="0" fontId="9" fillId="0" borderId="0" xfId="0" applyFont="1" applyAlignment="1">
      <alignment horizontal="center"/>
    </xf>
    <xf numFmtId="0" fontId="10" fillId="0" borderId="3" xfId="0" applyFont="1" applyBorder="1" applyAlignment="1">
      <alignment horizontal="left" wrapText="1"/>
    </xf>
    <xf numFmtId="0" fontId="53" fillId="0" borderId="0" xfId="0" applyFont="1" applyAlignment="1">
      <alignment horizontal="left" wrapText="1"/>
    </xf>
    <xf numFmtId="0" fontId="0" fillId="0" borderId="0" xfId="0" applyAlignment="1">
      <alignment horizontal="center"/>
    </xf>
    <xf numFmtId="0" fontId="54" fillId="0" borderId="3" xfId="0" applyFont="1" applyBorder="1" applyAlignment="1">
      <alignment horizontal="left" wrapText="1"/>
    </xf>
    <xf numFmtId="0" fontId="1" fillId="0" borderId="0" xfId="0" applyFont="1" applyAlignment="1">
      <alignment horizontal="left" vertical="top"/>
    </xf>
    <xf numFmtId="0" fontId="41" fillId="0" borderId="5" xfId="0" applyFont="1" applyBorder="1" applyAlignment="1">
      <alignment horizontal="left" vertical="top"/>
    </xf>
    <xf numFmtId="0" fontId="33" fillId="0" borderId="3" xfId="0" applyFont="1" applyBorder="1" applyAlignment="1">
      <alignment horizontal="left" vertical="top"/>
    </xf>
    <xf numFmtId="0" fontId="0" fillId="0" borderId="3" xfId="0" applyBorder="1" applyAlignment="1">
      <alignment horizontal="left" vertical="top"/>
    </xf>
    <xf numFmtId="0" fontId="0" fillId="0" borderId="0" xfId="0" applyAlignment="1">
      <alignment horizontal="left" vertical="top"/>
    </xf>
    <xf numFmtId="0" fontId="87" fillId="0" borderId="7" xfId="0" applyFont="1" applyBorder="1" applyAlignment="1">
      <alignment horizontal="left"/>
    </xf>
    <xf numFmtId="0" fontId="33" fillId="0" borderId="0" xfId="0" applyFont="1" applyAlignment="1">
      <alignment vertical="top" wrapText="1"/>
    </xf>
    <xf numFmtId="0" fontId="30" fillId="0" borderId="0" xfId="0" applyFont="1" applyAlignment="1">
      <alignment vertical="top" wrapText="1"/>
    </xf>
    <xf numFmtId="0" fontId="52" fillId="0" borderId="0" xfId="0" applyFont="1" applyAlignment="1">
      <alignment vertical="top" wrapText="1"/>
    </xf>
    <xf numFmtId="0" fontId="30" fillId="0" borderId="0" xfId="0" applyFont="1" applyAlignment="1">
      <alignment horizontal="left" vertical="top"/>
    </xf>
    <xf numFmtId="0" fontId="53" fillId="0" borderId="0" xfId="0" quotePrefix="1" applyFont="1" applyAlignment="1">
      <alignment horizontal="left" vertical="top" wrapText="1"/>
    </xf>
    <xf numFmtId="0" fontId="48" fillId="0" borderId="7" xfId="44" applyFont="1" applyBorder="1" applyAlignment="1">
      <alignment horizontal="left" wrapText="1"/>
    </xf>
    <xf numFmtId="0" fontId="10" fillId="0" borderId="0" xfId="0" applyFont="1" applyAlignment="1">
      <alignment horizontal="left"/>
    </xf>
    <xf numFmtId="0" fontId="87" fillId="0" borderId="0" xfId="0" applyFont="1" applyAlignment="1">
      <alignment horizontal="left"/>
    </xf>
    <xf numFmtId="0" fontId="48" fillId="0" borderId="0" xfId="0" applyFont="1" applyAlignment="1">
      <alignment horizontal="left"/>
    </xf>
    <xf numFmtId="0" fontId="0" fillId="0" borderId="3" xfId="0" applyBorder="1" applyAlignment="1">
      <alignment vertical="top" wrapText="1"/>
    </xf>
    <xf numFmtId="0" fontId="0" fillId="38" borderId="41" xfId="0" applyFill="1" applyBorder="1" applyAlignment="1">
      <alignment horizontal="center"/>
    </xf>
    <xf numFmtId="0" fontId="0" fillId="38" borderId="23" xfId="0" applyFill="1" applyBorder="1" applyAlignment="1">
      <alignment horizontal="center"/>
    </xf>
    <xf numFmtId="0" fontId="0" fillId="38" borderId="42" xfId="0" applyFill="1" applyBorder="1" applyAlignment="1">
      <alignment horizontal="center"/>
    </xf>
    <xf numFmtId="0" fontId="0" fillId="42" borderId="23" xfId="0" applyFill="1" applyBorder="1" applyAlignment="1">
      <alignment horizontal="center"/>
    </xf>
    <xf numFmtId="0" fontId="0" fillId="42" borderId="42" xfId="0" applyFill="1" applyBorder="1" applyAlignment="1">
      <alignment horizontal="center"/>
    </xf>
    <xf numFmtId="0" fontId="1" fillId="0" borderId="0" xfId="0" applyFont="1" applyAlignment="1">
      <alignment horizontal="left" vertical="top" wrapText="1"/>
    </xf>
    <xf numFmtId="0" fontId="1" fillId="0" borderId="7" xfId="0" applyFont="1" applyBorder="1" applyAlignment="1">
      <alignment horizontal="left" vertical="top" wrapText="1"/>
    </xf>
    <xf numFmtId="0" fontId="48" fillId="0" borderId="7" xfId="0" applyFont="1" applyBorder="1" applyAlignment="1">
      <alignment horizontal="left" wrapText="1"/>
    </xf>
    <xf numFmtId="2" fontId="1" fillId="0" borderId="37" xfId="0" applyNumberFormat="1" applyFont="1" applyBorder="1" applyAlignment="1">
      <alignment horizontal="left" wrapText="1"/>
    </xf>
    <xf numFmtId="2" fontId="48" fillId="0" borderId="26" xfId="0" applyNumberFormat="1" applyFont="1" applyBorder="1" applyAlignment="1">
      <alignment horizontal="left" wrapText="1"/>
    </xf>
    <xf numFmtId="2" fontId="48" fillId="0" borderId="36" xfId="0" applyNumberFormat="1" applyFont="1" applyBorder="1" applyAlignment="1">
      <alignment horizontal="left" wrapText="1"/>
    </xf>
    <xf numFmtId="0" fontId="1" fillId="0" borderId="3" xfId="0" applyFont="1" applyBorder="1" applyAlignment="1">
      <alignment horizontal="center"/>
    </xf>
    <xf numFmtId="0" fontId="1" fillId="0" borderId="4" xfId="0" applyFont="1" applyBorder="1" applyAlignment="1">
      <alignment horizontal="center"/>
    </xf>
    <xf numFmtId="2" fontId="1" fillId="0" borderId="3" xfId="0" applyNumberFormat="1" applyFont="1" applyBorder="1" applyAlignment="1">
      <alignment horizontal="center"/>
    </xf>
    <xf numFmtId="2" fontId="1" fillId="0" borderId="4" xfId="0" applyNumberFormat="1" applyFont="1" applyBorder="1" applyAlignment="1">
      <alignment horizontal="center"/>
    </xf>
    <xf numFmtId="167" fontId="1" fillId="0" borderId="3" xfId="0" applyNumberFormat="1" applyFont="1" applyBorder="1" applyAlignment="1">
      <alignment horizontal="center"/>
    </xf>
    <xf numFmtId="167" fontId="1" fillId="0" borderId="4" xfId="0" applyNumberFormat="1" applyFont="1" applyBorder="1" applyAlignment="1">
      <alignment horizontal="center"/>
    </xf>
    <xf numFmtId="0" fontId="31" fillId="0" borderId="0" xfId="0" applyFont="1" applyAlignment="1">
      <alignment horizontal="left" vertical="top"/>
    </xf>
    <xf numFmtId="0" fontId="33" fillId="38" borderId="3" xfId="0" applyFont="1" applyFill="1" applyBorder="1" applyAlignment="1">
      <alignment horizontal="left" vertical="top" wrapText="1"/>
    </xf>
    <xf numFmtId="0" fontId="33" fillId="38" borderId="0" xfId="0" applyFont="1" applyFill="1" applyAlignment="1">
      <alignment horizontal="left" vertical="top" wrapText="1"/>
    </xf>
    <xf numFmtId="0" fontId="33" fillId="38" borderId="21" xfId="0" applyFont="1" applyFill="1" applyBorder="1" applyAlignment="1">
      <alignment horizontal="left" vertical="top" wrapText="1"/>
    </xf>
    <xf numFmtId="0" fontId="33" fillId="37" borderId="0" xfId="0" applyFont="1" applyFill="1" applyAlignment="1">
      <alignment horizontal="left" vertical="top" wrapText="1"/>
    </xf>
    <xf numFmtId="0" fontId="52" fillId="38" borderId="3" xfId="0" applyFont="1" applyFill="1" applyBorder="1" applyAlignment="1">
      <alignment horizontal="left" vertical="top" wrapText="1"/>
    </xf>
    <xf numFmtId="0" fontId="52" fillId="38" borderId="0" xfId="0" applyFont="1" applyFill="1" applyAlignment="1">
      <alignment horizontal="left" vertical="top" wrapText="1"/>
    </xf>
    <xf numFmtId="0" fontId="52" fillId="38" borderId="7" xfId="0" applyFont="1" applyFill="1" applyBorder="1" applyAlignment="1">
      <alignment horizontal="left" vertical="top" wrapText="1"/>
    </xf>
    <xf numFmtId="0" fontId="33" fillId="38" borderId="7" xfId="0" applyFont="1" applyFill="1" applyBorder="1" applyAlignment="1">
      <alignment horizontal="left" vertical="top" wrapText="1"/>
    </xf>
    <xf numFmtId="0" fontId="33" fillId="38" borderId="3" xfId="0" applyFont="1" applyFill="1" applyBorder="1" applyAlignment="1">
      <alignment horizontal="left" vertical="top"/>
    </xf>
    <xf numFmtId="0" fontId="33" fillId="38" borderId="0" xfId="0" applyFont="1" applyFill="1" applyAlignment="1">
      <alignment horizontal="left" vertical="top"/>
    </xf>
    <xf numFmtId="0" fontId="33" fillId="4" borderId="3" xfId="0" applyFont="1" applyFill="1" applyBorder="1" applyAlignment="1">
      <alignment horizontal="left" vertical="top" wrapText="1"/>
    </xf>
    <xf numFmtId="0" fontId="33" fillId="4" borderId="0" xfId="0" applyFont="1" applyFill="1" applyAlignment="1">
      <alignment horizontal="left" vertical="top" wrapText="1"/>
    </xf>
    <xf numFmtId="0" fontId="33" fillId="4" borderId="7" xfId="0" applyFont="1" applyFill="1" applyBorder="1" applyAlignment="1">
      <alignment horizontal="left" vertical="top" wrapText="1"/>
    </xf>
    <xf numFmtId="0" fontId="33" fillId="4" borderId="21" xfId="0" applyFont="1" applyFill="1" applyBorder="1" applyAlignment="1">
      <alignment horizontal="left" vertical="top" wrapText="1"/>
    </xf>
    <xf numFmtId="0" fontId="48" fillId="0" borderId="27" xfId="0" applyFont="1" applyBorder="1" applyAlignment="1">
      <alignment horizontal="left" wrapText="1"/>
    </xf>
    <xf numFmtId="0" fontId="33" fillId="40" borderId="3" xfId="0" applyFont="1" applyFill="1" applyBorder="1" applyAlignment="1">
      <alignment horizontal="left" vertical="top" wrapText="1"/>
    </xf>
    <xf numFmtId="0" fontId="33" fillId="40" borderId="0" xfId="0" applyFont="1" applyFill="1" applyAlignment="1">
      <alignment horizontal="left" vertical="top" wrapText="1"/>
    </xf>
    <xf numFmtId="0" fontId="33" fillId="40" borderId="21" xfId="0" applyFont="1" applyFill="1" applyBorder="1" applyAlignment="1">
      <alignment horizontal="left" vertical="top" wrapText="1"/>
    </xf>
    <xf numFmtId="0" fontId="33" fillId="39" borderId="0" xfId="0" applyFont="1" applyFill="1" applyAlignment="1">
      <alignment horizontal="left" vertical="top" wrapText="1"/>
    </xf>
    <xf numFmtId="0" fontId="33" fillId="39" borderId="7" xfId="0" applyFont="1" applyFill="1" applyBorder="1" applyAlignment="1">
      <alignment horizontal="left" vertical="top" wrapText="1"/>
    </xf>
    <xf numFmtId="0" fontId="33" fillId="39" borderId="3" xfId="0" applyFont="1" applyFill="1" applyBorder="1" applyAlignment="1">
      <alignment horizontal="left" vertical="top"/>
    </xf>
    <xf numFmtId="0" fontId="33" fillId="39" borderId="0" xfId="0" applyFont="1" applyFill="1" applyAlignment="1">
      <alignment horizontal="left" vertical="top"/>
    </xf>
    <xf numFmtId="0" fontId="33" fillId="39" borderId="21" xfId="0" applyFont="1" applyFill="1" applyBorder="1" applyAlignment="1">
      <alignment horizontal="left" vertical="top"/>
    </xf>
    <xf numFmtId="0" fontId="33" fillId="37" borderId="3" xfId="0" applyFont="1" applyFill="1" applyBorder="1" applyAlignment="1">
      <alignment horizontal="left" vertical="top" wrapText="1"/>
    </xf>
    <xf numFmtId="0" fontId="33" fillId="3" borderId="3" xfId="0" applyFont="1" applyFill="1" applyBorder="1" applyAlignment="1">
      <alignment horizontal="left" vertical="top" wrapText="1"/>
    </xf>
    <xf numFmtId="0" fontId="33" fillId="3" borderId="0" xfId="0" applyFont="1" applyFill="1" applyAlignment="1">
      <alignment horizontal="left" vertical="top" wrapText="1"/>
    </xf>
    <xf numFmtId="0" fontId="33" fillId="3" borderId="7" xfId="0" applyFont="1" applyFill="1" applyBorder="1" applyAlignment="1">
      <alignment horizontal="left" vertical="top" wrapText="1"/>
    </xf>
    <xf numFmtId="0" fontId="1" fillId="0" borderId="7" xfId="0" applyFont="1" applyBorder="1" applyAlignment="1">
      <alignment horizontal="center"/>
    </xf>
    <xf numFmtId="0" fontId="0" fillId="0" borderId="0" xfId="0"/>
    <xf numFmtId="0" fontId="39" fillId="0" borderId="0" xfId="0" applyFont="1" applyAlignment="1">
      <alignment horizontal="center"/>
    </xf>
    <xf numFmtId="0" fontId="0" fillId="0" borderId="27" xfId="0" applyBorder="1" applyAlignment="1">
      <alignment horizontal="center"/>
    </xf>
    <xf numFmtId="0" fontId="33" fillId="0" borderId="3" xfId="0" applyFont="1" applyBorder="1" applyAlignment="1">
      <alignment horizontal="left" vertical="top" wrapText="1"/>
    </xf>
  </cellXfs>
  <cellStyles count="61">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Comma" xfId="51" builtinId="3"/>
    <cellStyle name="Currency" xfId="2" builtinId="4"/>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builtinId="8"/>
    <cellStyle name="Hyperlink 2" xfId="60" xr:uid="{04192905-2FFE-440E-932E-030EFB622767}"/>
    <cellStyle name="Hyperlink 3" xfId="59" xr:uid="{CFA02BCF-6734-49F6-BBA0-92853AC280F9}"/>
    <cellStyle name="Input" xfId="11" builtinId="20" customBuiltin="1"/>
    <cellStyle name="Linked Cell" xfId="14" builtinId="24" customBuiltin="1"/>
    <cellStyle name="Neutral" xfId="10" builtinId="28" customBuiltin="1"/>
    <cellStyle name="Normal" xfId="0" builtinId="0"/>
    <cellStyle name="Normal 11" xfId="45" xr:uid="{35DD88DF-9E1E-4F35-BC5C-8F3559F08881}"/>
    <cellStyle name="Normal 2" xfId="46" xr:uid="{7C31BFDE-53C7-4644-B579-69A99BB3BAD7}"/>
    <cellStyle name="Normal 2 2" xfId="47" xr:uid="{B17901FB-6E79-4E09-8FD1-50072BAFC323}"/>
    <cellStyle name="Normal 2 3" xfId="58" xr:uid="{76C62020-3BE0-4003-AA20-ABA457EDA7DA}"/>
    <cellStyle name="Normal 3" xfId="49" xr:uid="{5D448E46-C9A6-4233-A4C7-9BA7B5350658}"/>
    <cellStyle name="Normal 4" xfId="50" xr:uid="{ACC59A2D-2411-47AB-8F8A-A877654784E0}"/>
    <cellStyle name="Normal 4 2" xfId="53" xr:uid="{1081DB97-8D60-4DAF-B8F8-3210542A746E}"/>
    <cellStyle name="Normal 5" xfId="43" xr:uid="{D6F5620F-36FA-41E4-9C67-6B3B611D71DF}"/>
    <cellStyle name="Normal 5 2" xfId="52" xr:uid="{F7579F57-027D-4404-A6CE-020A03D2B4A0}"/>
    <cellStyle name="Note 2" xfId="48" xr:uid="{EC4D6065-93E8-4B98-9F34-D44DA7CEAD86}"/>
    <cellStyle name="Note 3" xfId="54" xr:uid="{81DDC4CF-52F5-44E9-8981-D94EC1C036D9}"/>
    <cellStyle name="Output" xfId="12" builtinId="21" customBuiltin="1"/>
    <cellStyle name="Percent" xfId="1" builtinId="5"/>
    <cellStyle name="Percent 3" xfId="55" xr:uid="{0F0FCE9E-E42A-4C51-9CB3-756F9C8234D9}"/>
    <cellStyle name="Percent 4" xfId="56" xr:uid="{478354A0-9784-4345-890E-1A36EA092588}"/>
    <cellStyle name="Percent 5" xfId="57" xr:uid="{2B63710D-34EB-40CD-88F5-B2D07C206356}"/>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colors>
    <mruColors>
      <color rgb="FFFFB3B3"/>
      <color rgb="FFE0D0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 Id="rId30"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rop%20and%20grazing%20yield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iffa/Box%20Sync/PhD%20Research/A2%20-%20Food%20System%20LCA/Peters%202016%20-%20US%20FoodPrint%20Mode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tiffa/Box%20Sync/PhD%20Research/Article%202%20-%20Food%20System%20LCA/Peters%202016%20-%20US%20FoodPrint%20Model.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Livestock%20feed%20requirement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tiffa/Box%20Sync/PhD%20Research/A2%20-%20Food%20System%20LCA/Stone%20A2%20CleanMetrics%20LCA%20Model%207-5-22%20Alt%20Livestoc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tiffa/Box%20Sync/PhD%20Research/Iowa%20Urban%20FEWS%20-%20LCA,%20Human%20Systems/LCA/IA%20UrbanFEWS%20-%20USEEIO%20LCA%20Model%20-%20Stone%207-3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p and grazing yield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Users diet"/>
      <sheetName val="Dietary recommendations"/>
      <sheetName val="Food preferences"/>
      <sheetName val="Nutrient composition"/>
      <sheetName val="Processing conversions"/>
      <sheetName val="Losses and waste"/>
      <sheetName val="Dairy processing conversions"/>
      <sheetName val="Fats and oils"/>
      <sheetName val="Livestock feed requirements"/>
      <sheetName val="Food requirements"/>
      <sheetName val="Crop and grazing yields"/>
      <sheetName val="Land requirements"/>
      <sheetName val="Multiuse crop adjustment"/>
      <sheetName val="Grazing land adjustment"/>
      <sheetName val="Land availab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Users diet"/>
      <sheetName val="Dietary recommendations"/>
      <sheetName val="Food preferences"/>
      <sheetName val="Nutrient composition"/>
      <sheetName val="Losses and waste"/>
      <sheetName val="Processing conversions"/>
      <sheetName val="Dairy processing conversions"/>
      <sheetName val="Fats and oils"/>
      <sheetName val="Livestock feed requirements"/>
      <sheetName val="Food requirements"/>
      <sheetName val="Crop and grazing yields"/>
      <sheetName val="Land requirements"/>
      <sheetName val="Multiuse crop adjustment"/>
      <sheetName val="Grazing land adjustment"/>
      <sheetName val="Land availabil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vestock feed requirements"/>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Summary"/>
      <sheetName val="Inputs"/>
      <sheetName val="Outputs"/>
      <sheetName val="Results Environ"/>
      <sheetName val="Result Summary"/>
      <sheetName val="Alt Local"/>
      <sheetName val="Results LU"/>
      <sheetName val=" Land Availability"/>
      <sheetName val="Alt 1"/>
      <sheetName val="Alt 2"/>
      <sheetName val="Alt4"/>
      <sheetName val="Alt 3"/>
      <sheetName val="Sensitivity"/>
      <sheetName val="Diets"/>
      <sheetName val="Nutrition"/>
      <sheetName val="Local Prod"/>
      <sheetName val="Yield"/>
      <sheetName val="Transport"/>
      <sheetName val="Packaging, Retail"/>
      <sheetName val="Waste, Losses"/>
      <sheetName val="Nutrients"/>
    </sheetNames>
    <sheetDataSet>
      <sheetData sheetId="0"/>
      <sheetData sheetId="1">
        <row r="25">
          <cell r="A25" t="str">
            <v>Chicken</v>
          </cell>
        </row>
      </sheetData>
      <sheetData sheetId="2"/>
      <sheetData sheetId="3"/>
      <sheetData sheetId="4">
        <row r="3">
          <cell r="I3">
            <v>3.7110000000000003</v>
          </cell>
        </row>
      </sheetData>
      <sheetData sheetId="5"/>
      <sheetData sheetId="6"/>
      <sheetData sheetId="7"/>
      <sheetData sheetId="8"/>
      <sheetData sheetId="9">
        <row r="3">
          <cell r="C3">
            <v>2.5000000000000001E-2</v>
          </cell>
        </row>
      </sheetData>
      <sheetData sheetId="10"/>
      <sheetData sheetId="11"/>
      <sheetData sheetId="12"/>
      <sheetData sheetId="13"/>
      <sheetData sheetId="14">
        <row r="2">
          <cell r="B2" t="str">
            <v>Food</v>
          </cell>
        </row>
      </sheetData>
      <sheetData sheetId="15"/>
      <sheetData sheetId="16"/>
      <sheetData sheetId="17"/>
      <sheetData sheetId="18"/>
      <sheetData sheetId="19"/>
      <sheetData sheetId="20">
        <row r="18">
          <cell r="A18" t="str">
            <v>Preserved, Fruit</v>
          </cell>
        </row>
        <row r="24">
          <cell r="A24" t="str">
            <v>Preserved, Dark Green</v>
          </cell>
        </row>
        <row r="29">
          <cell r="A29" t="str">
            <v>Preserved, Orange &amp; Red</v>
          </cell>
        </row>
        <row r="33">
          <cell r="A33" t="str">
            <v>Preserved, Starchy</v>
          </cell>
        </row>
        <row r="34">
          <cell r="A34" t="str">
            <v>Beans, dry</v>
          </cell>
        </row>
        <row r="41">
          <cell r="A41" t="str">
            <v>Preserved, Other</v>
          </cell>
        </row>
        <row r="42">
          <cell r="A42" t="str">
            <v>Wheat flour</v>
          </cell>
        </row>
      </sheetData>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LCA Model Controls"/>
      <sheetName val="BASE DIET FS Outputs"/>
      <sheetName val="BASE to LOCAL"/>
      <sheetName val="LOCAL Assumptions"/>
      <sheetName val="BASE by Stage"/>
      <sheetName val="Diets"/>
      <sheetName val="Prices"/>
      <sheetName val="Population"/>
      <sheetName val="Production"/>
      <sheetName val="Processing, Waste"/>
      <sheetName val="Transport "/>
      <sheetName val="Yield"/>
      <sheetName val="Land Req"/>
      <sheetName val=" Land Availability"/>
      <sheetName val="Diet Nutrition"/>
    </sheetNames>
    <sheetDataSet>
      <sheetData sheetId="0"/>
      <sheetData sheetId="1"/>
      <sheetData sheetId="2"/>
      <sheetData sheetId="3"/>
      <sheetData sheetId="4">
        <row r="3">
          <cell r="A3" t="str">
            <v>Category</v>
          </cell>
          <cell r="B3" t="str">
            <v>Production</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persons/person.xml><?xml version="1.0" encoding="utf-8"?>
<personList xmlns="http://schemas.microsoft.com/office/spreadsheetml/2018/threadedcomments" xmlns:x="http://schemas.openxmlformats.org/spreadsheetml/2006/main">
  <person displayName="Elizabeth Hurley-Blewett" id="{0E48D0EC-E0E9-456E-909C-141D2D74FA14}" userId="" providerId=""/>
  <person displayName="Tiffanie Stone" id="{6FEEB8AC-7707-434A-9BAB-14D2A06D1811}" userId="Tiffanie Stone" providerId="Non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4" dT="2021-05-17T19:06:47.96" personId="{6FEEB8AC-7707-434A-9BAB-14D2A06D1811}" id="{3E97CC5E-701B-4609-BAD8-F52F3D61A4DF}">
    <text>https://anrcatalog.ucanr.edu/pdf/7218.pdf</text>
  </threadedComment>
</ThreadedComments>
</file>

<file path=xl/threadedComments/threadedComment2.xml><?xml version="1.0" encoding="utf-8"?>
<ThreadedComments xmlns="http://schemas.microsoft.com/office/spreadsheetml/2018/threadedcomments" xmlns:x="http://schemas.openxmlformats.org/spreadsheetml/2006/main">
  <threadedComment ref="N3" dT="2021-09-09T14:56:03.36" personId="{0E48D0EC-E0E9-456E-909C-141D2D74FA14}" id="{5FF6C2B5-D766-42B4-B4D6-3497BAC6F581}">
    <text>large numbers: divided kg by ha</text>
  </threadedComment>
  <threadedComment ref="R12" dT="2021-09-10T15:04:19.36" personId="{0E48D0EC-E0E9-456E-909C-141D2D74FA14}" id="{D08CC906-B41B-4301-97CA-4FFA1BFB0A3A}">
    <text xml:space="preserve">https://www.nass.usda.gov/Publications/Todays_Reports/reports/vegean20.pdf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 Id="rId4" Type="http://schemas.microsoft.com/office/2017/10/relationships/threadedComment" Target="../threadedComments/threadedComment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6.bin"/><Relationship Id="rId1" Type="http://schemas.openxmlformats.org/officeDocument/2006/relationships/hyperlink" Target="https://ask.usda.gov/s/article/How-is-the-county-average-yield-determined" TargetMode="Externa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5DA6F-278F-48F6-ADE7-75E60BAE1190}">
  <sheetPr codeName="Sheet1"/>
  <dimension ref="A1:G73"/>
  <sheetViews>
    <sheetView zoomScaleNormal="100" workbookViewId="0">
      <selection activeCell="I7" sqref="I7"/>
    </sheetView>
  </sheetViews>
  <sheetFormatPr defaultRowHeight="15" x14ac:dyDescent="0.25"/>
  <cols>
    <col min="1" max="1" width="25.140625" customWidth="1"/>
    <col min="2" max="2" width="66" customWidth="1"/>
    <col min="3" max="3" width="12.5703125" customWidth="1"/>
    <col min="4" max="4" width="3.7109375" customWidth="1"/>
    <col min="5" max="5" width="26.140625" bestFit="1" customWidth="1"/>
    <col min="6" max="6" width="25" customWidth="1"/>
    <col min="7" max="8" width="25.28515625" customWidth="1"/>
    <col min="9" max="9" width="11.140625" customWidth="1"/>
    <col min="10" max="10" width="11.28515625" customWidth="1"/>
  </cols>
  <sheetData>
    <row r="1" spans="1:7" x14ac:dyDescent="0.25">
      <c r="A1" s="7" t="s">
        <v>0</v>
      </c>
      <c r="B1" s="7" t="s">
        <v>1</v>
      </c>
      <c r="C1" s="7"/>
    </row>
    <row r="2" spans="1:7" ht="25.9" customHeight="1" x14ac:dyDescent="0.25">
      <c r="A2" s="1095" t="s">
        <v>1398</v>
      </c>
      <c r="B2" s="1096"/>
      <c r="C2" s="1096"/>
      <c r="D2" s="1096"/>
      <c r="E2" s="1096"/>
      <c r="F2" s="1096"/>
      <c r="G2" s="1096"/>
    </row>
    <row r="3" spans="1:7" ht="33.6" customHeight="1" x14ac:dyDescent="0.25">
      <c r="A3" s="1096"/>
      <c r="B3" s="1096"/>
      <c r="C3" s="1096"/>
      <c r="D3" s="1096"/>
      <c r="E3" s="1096"/>
      <c r="F3" s="1096"/>
      <c r="G3" s="1096"/>
    </row>
    <row r="4" spans="1:7" ht="32.25" customHeight="1" x14ac:dyDescent="0.25">
      <c r="A4" s="1096"/>
      <c r="B4" s="1096"/>
      <c r="C4" s="1096"/>
      <c r="D4" s="1096"/>
      <c r="E4" s="1096"/>
      <c r="F4" s="1096"/>
      <c r="G4" s="1096"/>
    </row>
    <row r="5" spans="1:7" x14ac:dyDescent="0.25">
      <c r="A5" s="637" t="s">
        <v>2</v>
      </c>
      <c r="B5" s="636" t="s">
        <v>3</v>
      </c>
      <c r="C5" s="213"/>
      <c r="D5" s="128"/>
      <c r="E5" s="1097" t="s">
        <v>4</v>
      </c>
      <c r="F5" s="1098"/>
      <c r="G5" s="1099"/>
    </row>
    <row r="6" spans="1:7" ht="42" customHeight="1" x14ac:dyDescent="0.25">
      <c r="A6" s="624" t="s">
        <v>5</v>
      </c>
      <c r="B6" s="624" t="s">
        <v>6</v>
      </c>
      <c r="D6" s="146"/>
      <c r="E6" s="1001" t="s">
        <v>7</v>
      </c>
      <c r="F6" s="1100" t="s">
        <v>8</v>
      </c>
      <c r="G6" s="1101"/>
    </row>
    <row r="7" spans="1:7" ht="46.15" customHeight="1" x14ac:dyDescent="0.25">
      <c r="A7" s="621" t="s">
        <v>9</v>
      </c>
      <c r="B7" s="969" t="s">
        <v>10</v>
      </c>
      <c r="C7" s="5"/>
      <c r="D7" s="146"/>
      <c r="E7" s="1002" t="s">
        <v>11</v>
      </c>
      <c r="F7" s="1096" t="s">
        <v>12</v>
      </c>
      <c r="G7" s="1102"/>
    </row>
    <row r="8" spans="1:7" ht="43.9" customHeight="1" x14ac:dyDescent="0.25">
      <c r="A8" s="630" t="s">
        <v>13</v>
      </c>
      <c r="B8" s="630" t="s">
        <v>14</v>
      </c>
      <c r="D8" s="146"/>
      <c r="E8" s="1003" t="s">
        <v>15</v>
      </c>
      <c r="F8" s="1104" t="s">
        <v>16</v>
      </c>
      <c r="G8" s="1105"/>
    </row>
    <row r="9" spans="1:7" ht="16.149999999999999" customHeight="1" x14ac:dyDescent="0.25">
      <c r="A9" s="630" t="s">
        <v>17</v>
      </c>
      <c r="B9" s="630" t="s">
        <v>18</v>
      </c>
    </row>
    <row r="10" spans="1:7" ht="27" customHeight="1" x14ac:dyDescent="0.25">
      <c r="A10" s="635" t="s">
        <v>19</v>
      </c>
      <c r="B10" s="970" t="s">
        <v>20</v>
      </c>
      <c r="D10" s="146"/>
      <c r="E10" s="1103" t="s">
        <v>21</v>
      </c>
      <c r="F10" s="1103"/>
      <c r="G10" s="1103"/>
    </row>
    <row r="11" spans="1:7" ht="75" x14ac:dyDescent="0.25">
      <c r="A11" s="973" t="s">
        <v>22</v>
      </c>
      <c r="B11" s="629" t="s">
        <v>23</v>
      </c>
      <c r="D11" s="146"/>
      <c r="E11" s="638" t="s">
        <v>24</v>
      </c>
      <c r="F11" s="639" t="s">
        <v>25</v>
      </c>
      <c r="G11" s="640" t="s">
        <v>26</v>
      </c>
    </row>
    <row r="12" spans="1:7" x14ac:dyDescent="0.25">
      <c r="A12" s="622" t="s">
        <v>27</v>
      </c>
      <c r="B12" s="630" t="s">
        <v>14</v>
      </c>
      <c r="D12" s="146"/>
      <c r="E12" s="575" t="s">
        <v>28</v>
      </c>
      <c r="F12" s="220">
        <f>SUM('11. Diet'!I3:I7)/G12</f>
        <v>0.50066796368352773</v>
      </c>
      <c r="G12" s="568">
        <v>7.71</v>
      </c>
    </row>
    <row r="13" spans="1:7" x14ac:dyDescent="0.25">
      <c r="A13" s="622" t="s">
        <v>29</v>
      </c>
      <c r="B13" s="3" t="s">
        <v>18</v>
      </c>
      <c r="D13" s="146"/>
      <c r="E13" s="641" t="s">
        <v>30</v>
      </c>
      <c r="F13" s="642">
        <f>'11. Diet'!I7/G13</f>
        <v>0.49609375</v>
      </c>
      <c r="G13" s="643">
        <v>0.32</v>
      </c>
    </row>
    <row r="14" spans="1:7" x14ac:dyDescent="0.25">
      <c r="A14" s="622" t="s">
        <v>31</v>
      </c>
      <c r="B14" s="3" t="s">
        <v>20</v>
      </c>
      <c r="D14" s="146"/>
      <c r="E14" s="644" t="s">
        <v>32</v>
      </c>
      <c r="F14" s="569">
        <f>SUM('11. Diet'!I8:I9)/G14</f>
        <v>0.50337748344370858</v>
      </c>
      <c r="G14" s="570">
        <v>1.51</v>
      </c>
    </row>
    <row r="15" spans="1:7" ht="30" x14ac:dyDescent="0.25">
      <c r="A15" s="631" t="s">
        <v>33</v>
      </c>
      <c r="B15" s="971" t="s">
        <v>34</v>
      </c>
      <c r="D15" s="146"/>
      <c r="E15" s="645" t="s">
        <v>35</v>
      </c>
      <c r="F15" s="569">
        <f>SUM('11. Diet'!I10:I18)/G15</f>
        <v>0.4988636363636364</v>
      </c>
      <c r="G15" s="570">
        <v>0.88</v>
      </c>
    </row>
    <row r="16" spans="1:7" ht="45" x14ac:dyDescent="0.25">
      <c r="A16" s="620" t="s">
        <v>36</v>
      </c>
      <c r="B16" s="623" t="s">
        <v>37</v>
      </c>
      <c r="D16" s="146"/>
      <c r="E16" s="571" t="s">
        <v>38</v>
      </c>
      <c r="F16" s="220">
        <f>SUM('11. Diet'!I19:I41)/G16</f>
        <v>0.50160540540540544</v>
      </c>
      <c r="G16" s="568">
        <v>1.85</v>
      </c>
    </row>
    <row r="17" spans="1:7" x14ac:dyDescent="0.25">
      <c r="A17" s="631" t="s">
        <v>39</v>
      </c>
      <c r="B17" s="633" t="s">
        <v>40</v>
      </c>
      <c r="D17" s="146"/>
      <c r="E17" s="572" t="s">
        <v>41</v>
      </c>
      <c r="F17" s="220"/>
      <c r="G17" s="568">
        <v>0.15</v>
      </c>
    </row>
    <row r="18" spans="1:7" ht="45" x14ac:dyDescent="0.25">
      <c r="A18" s="620" t="s">
        <v>42</v>
      </c>
      <c r="B18" s="623" t="s">
        <v>43</v>
      </c>
      <c r="D18" s="146"/>
      <c r="E18" s="572" t="s">
        <v>44</v>
      </c>
      <c r="F18" s="220"/>
      <c r="G18" s="568">
        <v>0.2</v>
      </c>
    </row>
    <row r="19" spans="1:7" x14ac:dyDescent="0.25">
      <c r="A19" s="635" t="s">
        <v>45</v>
      </c>
      <c r="B19" s="972" t="s">
        <v>46</v>
      </c>
      <c r="D19" s="146"/>
      <c r="E19" s="572" t="s">
        <v>47</v>
      </c>
      <c r="F19" s="220"/>
      <c r="G19" s="568">
        <v>0.3</v>
      </c>
    </row>
    <row r="20" spans="1:7" x14ac:dyDescent="0.25">
      <c r="A20" s="974" t="s">
        <v>48</v>
      </c>
      <c r="B20" s="624" t="s">
        <v>49</v>
      </c>
      <c r="C20" s="5"/>
      <c r="D20" s="146"/>
      <c r="E20" s="573" t="s">
        <v>50</v>
      </c>
      <c r="F20" s="222">
        <f>SUM('11. Diet'!I34)/G20</f>
        <v>0.49609374999999994</v>
      </c>
      <c r="G20" s="568">
        <f>G13/6.35</f>
        <v>5.0393700787401581E-2</v>
      </c>
    </row>
    <row r="21" spans="1:7" x14ac:dyDescent="0.25">
      <c r="A21" s="635" t="s">
        <v>51</v>
      </c>
      <c r="B21" s="972" t="s">
        <v>52</v>
      </c>
      <c r="C21" s="5"/>
      <c r="D21" s="146"/>
      <c r="E21" s="646" t="s">
        <v>53</v>
      </c>
      <c r="F21" s="569"/>
      <c r="G21" s="570">
        <v>0.25</v>
      </c>
    </row>
    <row r="22" spans="1:7" x14ac:dyDescent="0.25">
      <c r="A22" s="974" t="s">
        <v>54</v>
      </c>
      <c r="B22" s="624" t="s">
        <v>55</v>
      </c>
      <c r="C22" s="5"/>
      <c r="D22" s="146"/>
      <c r="E22" s="647" t="s">
        <v>56</v>
      </c>
      <c r="F22" s="569">
        <f>SUM('11. Diet'!I42:I43)/G22</f>
        <v>0.50209638554216873</v>
      </c>
      <c r="G22" s="570">
        <v>6.64</v>
      </c>
    </row>
    <row r="23" spans="1:7" x14ac:dyDescent="0.25">
      <c r="A23" s="630" t="s">
        <v>57</v>
      </c>
      <c r="B23" s="3" t="s">
        <v>58</v>
      </c>
      <c r="E23" s="648" t="s">
        <v>59</v>
      </c>
      <c r="F23" s="569">
        <f>SUM('11. Diet'!I44:I45)/G23</f>
        <v>0.50016431924882632</v>
      </c>
      <c r="G23" s="570">
        <v>63.9</v>
      </c>
    </row>
    <row r="24" spans="1:7" x14ac:dyDescent="0.25">
      <c r="A24" s="43" t="s">
        <v>60</v>
      </c>
      <c r="B24" s="43" t="s">
        <v>61</v>
      </c>
      <c r="C24" s="5"/>
      <c r="E24" s="574" t="s">
        <v>62</v>
      </c>
      <c r="F24" s="569">
        <f>SUM('11. Diet'!I46:I47)/G24</f>
        <v>0.50326785714285716</v>
      </c>
      <c r="G24" s="570">
        <v>22.4</v>
      </c>
    </row>
    <row r="25" spans="1:7" ht="30" x14ac:dyDescent="0.25">
      <c r="A25" s="625" t="s">
        <v>63</v>
      </c>
      <c r="B25" s="623" t="s">
        <v>64</v>
      </c>
    </row>
    <row r="26" spans="1:7" ht="15.75" thickBot="1" x14ac:dyDescent="0.3">
      <c r="A26" s="622" t="s">
        <v>65</v>
      </c>
      <c r="B26" s="1077" t="s">
        <v>66</v>
      </c>
      <c r="E26" s="88" t="s">
        <v>67</v>
      </c>
      <c r="F26" s="89" t="s">
        <v>68</v>
      </c>
    </row>
    <row r="27" spans="1:7" x14ac:dyDescent="0.25">
      <c r="A27" s="631" t="s">
        <v>69</v>
      </c>
      <c r="B27" s="632" t="s">
        <v>70</v>
      </c>
      <c r="E27" s="556" t="s">
        <v>71</v>
      </c>
      <c r="F27" s="553" t="s">
        <v>72</v>
      </c>
    </row>
    <row r="28" spans="1:7" ht="28.15" customHeight="1" x14ac:dyDescent="0.25">
      <c r="A28" s="626" t="s">
        <v>73</v>
      </c>
      <c r="B28" s="623" t="s">
        <v>74</v>
      </c>
      <c r="E28" s="557" t="s">
        <v>75</v>
      </c>
      <c r="F28" s="554" t="s">
        <v>76</v>
      </c>
    </row>
    <row r="29" spans="1:7" ht="27.6" customHeight="1" x14ac:dyDescent="0.25">
      <c r="A29" s="1083" t="s">
        <v>77</v>
      </c>
      <c r="B29" s="3" t="s">
        <v>78</v>
      </c>
      <c r="C29" s="5"/>
      <c r="E29" s="557" t="s">
        <v>75</v>
      </c>
      <c r="F29" s="554" t="s">
        <v>79</v>
      </c>
    </row>
    <row r="30" spans="1:7" x14ac:dyDescent="0.25">
      <c r="A30" s="631" t="s">
        <v>80</v>
      </c>
      <c r="B30" s="632" t="s">
        <v>81</v>
      </c>
      <c r="C30" s="5"/>
      <c r="E30" s="558" t="s">
        <v>82</v>
      </c>
      <c r="F30" s="554" t="s">
        <v>83</v>
      </c>
    </row>
    <row r="31" spans="1:7" ht="30.75" thickBot="1" x14ac:dyDescent="0.3">
      <c r="A31" s="627" t="s">
        <v>84</v>
      </c>
      <c r="B31" s="623" t="s">
        <v>85</v>
      </c>
      <c r="E31" s="559" t="s">
        <v>86</v>
      </c>
      <c r="F31" s="555" t="s">
        <v>87</v>
      </c>
    </row>
    <row r="32" spans="1:7" x14ac:dyDescent="0.25">
      <c r="A32" s="632" t="s">
        <v>88</v>
      </c>
      <c r="B32" s="632" t="s">
        <v>89</v>
      </c>
      <c r="C32" s="5"/>
      <c r="E32" s="557" t="s">
        <v>90</v>
      </c>
      <c r="F32" s="90" t="s">
        <v>91</v>
      </c>
    </row>
    <row r="33" spans="1:6" ht="30.75" thickBot="1" x14ac:dyDescent="0.3">
      <c r="A33" s="626" t="s">
        <v>92</v>
      </c>
      <c r="B33" s="623" t="s">
        <v>93</v>
      </c>
      <c r="C33" s="5"/>
      <c r="E33" s="557" t="s">
        <v>94</v>
      </c>
      <c r="F33" s="90" t="s">
        <v>95</v>
      </c>
    </row>
    <row r="34" spans="1:6" ht="25.5" customHeight="1" x14ac:dyDescent="0.25">
      <c r="A34" s="631" t="s">
        <v>96</v>
      </c>
      <c r="B34" s="632" t="s">
        <v>97</v>
      </c>
      <c r="C34" s="5"/>
      <c r="E34" s="556" t="s">
        <v>98</v>
      </c>
      <c r="F34" s="91" t="s">
        <v>99</v>
      </c>
    </row>
    <row r="35" spans="1:6" ht="45" x14ac:dyDescent="0.25">
      <c r="A35" s="626" t="s">
        <v>100</v>
      </c>
      <c r="B35" s="623" t="s">
        <v>101</v>
      </c>
      <c r="E35" s="557"/>
      <c r="F35" s="92" t="s">
        <v>102</v>
      </c>
    </row>
    <row r="36" spans="1:6" x14ac:dyDescent="0.25">
      <c r="A36" s="630" t="s">
        <v>103</v>
      </c>
      <c r="B36" s="630" t="s">
        <v>104</v>
      </c>
      <c r="E36" s="557"/>
      <c r="F36" s="92" t="s">
        <v>105</v>
      </c>
    </row>
    <row r="37" spans="1:6" x14ac:dyDescent="0.25">
      <c r="A37" s="1085" t="s">
        <v>106</v>
      </c>
      <c r="B37" s="630" t="s">
        <v>107</v>
      </c>
      <c r="E37" s="557"/>
      <c r="F37" s="92" t="s">
        <v>108</v>
      </c>
    </row>
    <row r="38" spans="1:6" x14ac:dyDescent="0.25">
      <c r="A38" s="1085" t="s">
        <v>109</v>
      </c>
      <c r="B38" s="364" t="s">
        <v>110</v>
      </c>
      <c r="E38" s="557"/>
      <c r="F38" s="92" t="s">
        <v>111</v>
      </c>
    </row>
    <row r="39" spans="1:6" x14ac:dyDescent="0.25">
      <c r="A39" s="33" t="s">
        <v>112</v>
      </c>
      <c r="B39" s="33" t="s">
        <v>113</v>
      </c>
      <c r="C39" s="351"/>
      <c r="E39" s="557"/>
      <c r="F39" s="92" t="s">
        <v>114</v>
      </c>
    </row>
    <row r="40" spans="1:6" x14ac:dyDescent="0.25">
      <c r="A40" s="977" t="s">
        <v>115</v>
      </c>
      <c r="B40" s="16" t="s">
        <v>116</v>
      </c>
      <c r="E40" s="557"/>
      <c r="F40" s="92" t="s">
        <v>117</v>
      </c>
    </row>
    <row r="41" spans="1:6" ht="30" x14ac:dyDescent="0.25">
      <c r="A41" s="628" t="s">
        <v>118</v>
      </c>
      <c r="B41" s="629" t="s">
        <v>119</v>
      </c>
      <c r="E41" s="557"/>
      <c r="F41" s="92" t="s">
        <v>120</v>
      </c>
    </row>
    <row r="42" spans="1:6" ht="26.25" thickBot="1" x14ac:dyDescent="0.3">
      <c r="A42" s="630" t="s">
        <v>121</v>
      </c>
      <c r="B42" s="364" t="s">
        <v>122</v>
      </c>
      <c r="E42" s="560" t="s">
        <v>123</v>
      </c>
      <c r="F42" s="92" t="s">
        <v>124</v>
      </c>
    </row>
    <row r="43" spans="1:6" ht="25.5" x14ac:dyDescent="0.25">
      <c r="A43" s="635" t="s">
        <v>125</v>
      </c>
      <c r="B43" s="970" t="s">
        <v>126</v>
      </c>
      <c r="E43" s="556" t="s">
        <v>127</v>
      </c>
      <c r="F43" s="93" t="s">
        <v>128</v>
      </c>
    </row>
    <row r="44" spans="1:6" ht="28.9" customHeight="1" x14ac:dyDescent="0.25">
      <c r="A44" s="978" t="s">
        <v>129</v>
      </c>
      <c r="B44" s="629" t="s">
        <v>130</v>
      </c>
      <c r="E44" s="557"/>
      <c r="F44" s="94" t="s">
        <v>131</v>
      </c>
    </row>
    <row r="45" spans="1:6" x14ac:dyDescent="0.25">
      <c r="A45" s="630" t="s">
        <v>132</v>
      </c>
      <c r="B45" s="630" t="s">
        <v>133</v>
      </c>
      <c r="E45" s="557"/>
      <c r="F45" s="94" t="s">
        <v>134</v>
      </c>
    </row>
    <row r="46" spans="1:6" x14ac:dyDescent="0.25">
      <c r="A46" s="635" t="s">
        <v>135</v>
      </c>
      <c r="B46" s="635" t="s">
        <v>136</v>
      </c>
      <c r="E46" s="557"/>
      <c r="F46" s="94" t="s">
        <v>137</v>
      </c>
    </row>
    <row r="47" spans="1:6" x14ac:dyDescent="0.25">
      <c r="A47" s="978" t="s">
        <v>138</v>
      </c>
      <c r="B47" s="979" t="s">
        <v>139</v>
      </c>
      <c r="E47" s="557"/>
      <c r="F47" s="94" t="s">
        <v>140</v>
      </c>
    </row>
    <row r="48" spans="1:6" ht="14.45" customHeight="1" thickBot="1" x14ac:dyDescent="0.3">
      <c r="A48" s="635" t="s">
        <v>141</v>
      </c>
      <c r="B48" s="635" t="s">
        <v>142</v>
      </c>
      <c r="E48" s="560" t="s">
        <v>123</v>
      </c>
      <c r="F48" s="94" t="s">
        <v>143</v>
      </c>
    </row>
    <row r="49" spans="1:6" ht="27" customHeight="1" x14ac:dyDescent="0.25">
      <c r="A49" s="980" t="s">
        <v>144</v>
      </c>
      <c r="B49" s="629" t="s">
        <v>145</v>
      </c>
      <c r="E49" s="556" t="s">
        <v>127</v>
      </c>
      <c r="F49" s="93" t="s">
        <v>146</v>
      </c>
    </row>
    <row r="50" spans="1:6" x14ac:dyDescent="0.25">
      <c r="A50" s="364" t="s">
        <v>147</v>
      </c>
      <c r="B50" s="364" t="s">
        <v>148</v>
      </c>
      <c r="E50" s="557"/>
      <c r="F50" s="94" t="s">
        <v>149</v>
      </c>
    </row>
    <row r="51" spans="1:6" x14ac:dyDescent="0.25">
      <c r="A51" s="630" t="s">
        <v>150</v>
      </c>
      <c r="B51" s="364" t="s">
        <v>151</v>
      </c>
      <c r="E51" s="557"/>
      <c r="F51" s="94" t="s">
        <v>152</v>
      </c>
    </row>
    <row r="52" spans="1:6" x14ac:dyDescent="0.25">
      <c r="A52" s="635" t="s">
        <v>153</v>
      </c>
      <c r="B52" s="970" t="s">
        <v>154</v>
      </c>
      <c r="E52" s="557"/>
      <c r="F52" s="94" t="s">
        <v>155</v>
      </c>
    </row>
    <row r="53" spans="1:6" ht="26.25" thickBot="1" x14ac:dyDescent="0.3">
      <c r="A53" s="980" t="s">
        <v>156</v>
      </c>
      <c r="B53" s="979" t="s">
        <v>157</v>
      </c>
      <c r="E53" s="560" t="s">
        <v>123</v>
      </c>
      <c r="F53" s="94" t="s">
        <v>158</v>
      </c>
    </row>
    <row r="54" spans="1:6" ht="25.5" x14ac:dyDescent="0.25">
      <c r="A54" s="1085" t="s">
        <v>159</v>
      </c>
      <c r="B54" s="364" t="s">
        <v>160</v>
      </c>
      <c r="E54" s="556" t="s">
        <v>127</v>
      </c>
      <c r="F54" s="93" t="s">
        <v>161</v>
      </c>
    </row>
    <row r="55" spans="1:6" x14ac:dyDescent="0.25">
      <c r="A55" s="630" t="s">
        <v>162</v>
      </c>
      <c r="B55" s="364" t="s">
        <v>163</v>
      </c>
      <c r="E55" s="557"/>
      <c r="F55" s="94" t="s">
        <v>164</v>
      </c>
    </row>
    <row r="56" spans="1:6" x14ac:dyDescent="0.25">
      <c r="A56" s="630" t="s">
        <v>165</v>
      </c>
      <c r="B56" s="630" t="s">
        <v>166</v>
      </c>
      <c r="E56" s="557"/>
      <c r="F56" s="94" t="s">
        <v>167</v>
      </c>
    </row>
    <row r="57" spans="1:6" ht="26.25" thickBot="1" x14ac:dyDescent="0.3">
      <c r="A57" s="630" t="s">
        <v>168</v>
      </c>
      <c r="B57" s="1078" t="s">
        <v>169</v>
      </c>
      <c r="E57" s="560" t="s">
        <v>123</v>
      </c>
      <c r="F57" s="94" t="s">
        <v>170</v>
      </c>
    </row>
    <row r="58" spans="1:6" ht="26.25" thickBot="1" x14ac:dyDescent="0.3">
      <c r="A58" s="1085" t="s">
        <v>171</v>
      </c>
      <c r="B58" s="630" t="s">
        <v>172</v>
      </c>
      <c r="E58" s="556" t="s">
        <v>127</v>
      </c>
      <c r="F58" s="93" t="s">
        <v>87</v>
      </c>
    </row>
    <row r="59" spans="1:6" ht="25.5" x14ac:dyDescent="0.25">
      <c r="A59" s="1085" t="s">
        <v>173</v>
      </c>
      <c r="B59" s="630" t="s">
        <v>174</v>
      </c>
      <c r="E59" s="556" t="s">
        <v>127</v>
      </c>
      <c r="F59" s="93" t="s">
        <v>175</v>
      </c>
    </row>
    <row r="60" spans="1:6" x14ac:dyDescent="0.25">
      <c r="A60" s="981" t="s">
        <v>176</v>
      </c>
      <c r="B60" s="969" t="s">
        <v>177</v>
      </c>
      <c r="E60" s="557"/>
      <c r="F60" s="94" t="s">
        <v>178</v>
      </c>
    </row>
    <row r="61" spans="1:6" x14ac:dyDescent="0.25">
      <c r="A61" s="635" t="s">
        <v>179</v>
      </c>
      <c r="B61" s="635" t="s">
        <v>180</v>
      </c>
      <c r="E61" s="557"/>
      <c r="F61" s="94" t="s">
        <v>181</v>
      </c>
    </row>
    <row r="62" spans="1:6" ht="45" x14ac:dyDescent="0.25">
      <c r="A62" s="980" t="s">
        <v>182</v>
      </c>
      <c r="B62" s="629" t="s">
        <v>183</v>
      </c>
      <c r="E62" s="557"/>
      <c r="F62" s="94" t="s">
        <v>184</v>
      </c>
    </row>
    <row r="63" spans="1:6" x14ac:dyDescent="0.25">
      <c r="A63" s="630" t="s">
        <v>185</v>
      </c>
      <c r="B63" s="630" t="s">
        <v>186</v>
      </c>
      <c r="E63" s="557"/>
      <c r="F63" s="94" t="s">
        <v>187</v>
      </c>
    </row>
    <row r="64" spans="1:6" ht="27" customHeight="1" x14ac:dyDescent="0.25">
      <c r="A64" s="634" t="s">
        <v>188</v>
      </c>
      <c r="B64" s="634" t="s">
        <v>189</v>
      </c>
      <c r="E64" s="557"/>
      <c r="F64" s="94" t="s">
        <v>190</v>
      </c>
    </row>
    <row r="65" spans="1:6" ht="33.75" customHeight="1" thickBot="1" x14ac:dyDescent="0.3">
      <c r="A65" s="33"/>
      <c r="B65" s="33"/>
      <c r="E65" s="560" t="s">
        <v>123</v>
      </c>
      <c r="F65" s="94" t="s">
        <v>191</v>
      </c>
    </row>
    <row r="66" spans="1:6" ht="31.9" customHeight="1" x14ac:dyDescent="0.25">
      <c r="A66" s="982" t="s">
        <v>192</v>
      </c>
      <c r="B66" s="982"/>
      <c r="E66" s="561" t="s">
        <v>193</v>
      </c>
      <c r="F66" s="95" t="s">
        <v>194</v>
      </c>
    </row>
    <row r="67" spans="1:6" ht="35.450000000000003" customHeight="1" thickBot="1" x14ac:dyDescent="0.3">
      <c r="A67" s="1094" t="s">
        <v>195</v>
      </c>
      <c r="B67" s="1094"/>
      <c r="E67" s="562"/>
      <c r="F67" s="96" t="s">
        <v>196</v>
      </c>
    </row>
    <row r="68" spans="1:6" ht="60.6" customHeight="1" x14ac:dyDescent="0.25">
      <c r="A68" s="1106" t="s">
        <v>197</v>
      </c>
      <c r="B68" s="1106"/>
      <c r="E68" s="1004" t="s">
        <v>198</v>
      </c>
      <c r="F68" s="97" t="s">
        <v>199</v>
      </c>
    </row>
    <row r="69" spans="1:6" ht="15.75" thickBot="1" x14ac:dyDescent="0.3">
      <c r="A69" s="983" t="s">
        <v>200</v>
      </c>
      <c r="B69" s="984"/>
      <c r="E69" s="1005"/>
      <c r="F69" s="98" t="s">
        <v>201</v>
      </c>
    </row>
    <row r="70" spans="1:6" ht="44.45" customHeight="1" x14ac:dyDescent="0.25">
      <c r="A70" s="1106" t="s">
        <v>202</v>
      </c>
      <c r="B70" s="1106"/>
      <c r="E70" s="610" t="s">
        <v>203</v>
      </c>
      <c r="F70" s="99" t="s">
        <v>204</v>
      </c>
    </row>
    <row r="71" spans="1:6" ht="15.75" thickBot="1" x14ac:dyDescent="0.3">
      <c r="A71" s="1069"/>
      <c r="B71" s="1063"/>
      <c r="E71" s="611"/>
      <c r="F71" s="564" t="s">
        <v>205</v>
      </c>
    </row>
    <row r="72" spans="1:6" ht="29.45" customHeight="1" thickBot="1" x14ac:dyDescent="0.3">
      <c r="A72" s="982" t="s">
        <v>206</v>
      </c>
      <c r="B72" s="982"/>
      <c r="E72" s="565" t="s">
        <v>86</v>
      </c>
      <c r="F72" s="566" t="s">
        <v>207</v>
      </c>
    </row>
    <row r="73" spans="1:6" ht="45.75" thickBot="1" x14ac:dyDescent="0.3">
      <c r="A73" s="1094" t="s">
        <v>208</v>
      </c>
      <c r="B73" s="1094"/>
      <c r="E73" s="563" t="s">
        <v>209</v>
      </c>
      <c r="F73" s="567" t="s">
        <v>210</v>
      </c>
    </row>
  </sheetData>
  <mergeCells count="10">
    <mergeCell ref="A73:B73"/>
    <mergeCell ref="A2:G4"/>
    <mergeCell ref="E5:G5"/>
    <mergeCell ref="F6:G6"/>
    <mergeCell ref="F7:G7"/>
    <mergeCell ref="E10:G10"/>
    <mergeCell ref="A67:B67"/>
    <mergeCell ref="F8:G8"/>
    <mergeCell ref="A68:B68"/>
    <mergeCell ref="A70:B70"/>
  </mergeCells>
  <phoneticPr fontId="51" type="noConversion"/>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F5553-15F6-4893-AC67-2093DBA57E58}">
  <sheetPr codeName="Sheet2">
    <tabColor rgb="FF8EA9DB"/>
  </sheetPr>
  <dimension ref="A1:G61"/>
  <sheetViews>
    <sheetView tabSelected="1" topLeftCell="A8" zoomScale="110" zoomScaleNormal="110" workbookViewId="0">
      <selection activeCell="C34" sqref="C34"/>
    </sheetView>
  </sheetViews>
  <sheetFormatPr defaultRowHeight="15" x14ac:dyDescent="0.25"/>
  <cols>
    <col min="1" max="1" width="40.28515625" customWidth="1"/>
    <col min="2" max="2" width="16.42578125" customWidth="1"/>
    <col min="3" max="3" width="20" customWidth="1"/>
    <col min="4" max="4" width="4" customWidth="1"/>
    <col min="5" max="5" width="32.140625" customWidth="1"/>
    <col min="6" max="6" width="12.5703125" customWidth="1"/>
    <col min="7" max="7" width="11.140625" customWidth="1"/>
  </cols>
  <sheetData>
    <row r="1" spans="1:7" ht="21" x14ac:dyDescent="0.35">
      <c r="A1" s="1107" t="s">
        <v>211</v>
      </c>
      <c r="B1" s="1107"/>
      <c r="C1" s="1107"/>
    </row>
    <row r="2" spans="1:7" ht="61.5" customHeight="1" x14ac:dyDescent="0.25">
      <c r="A2" s="1108" t="s">
        <v>212</v>
      </c>
      <c r="B2" s="1108"/>
      <c r="C2" s="1108"/>
      <c r="D2" s="5"/>
      <c r="E2" s="5"/>
      <c r="F2" s="5"/>
      <c r="G2" s="5"/>
    </row>
    <row r="3" spans="1:7" ht="6" customHeight="1" x14ac:dyDescent="0.25">
      <c r="A3" s="1108"/>
      <c r="B3" s="1108"/>
      <c r="C3" s="1108"/>
      <c r="D3" s="5"/>
      <c r="E3" s="5"/>
      <c r="F3" s="5"/>
      <c r="G3" s="5"/>
    </row>
    <row r="4" spans="1:7" ht="21" x14ac:dyDescent="0.35">
      <c r="A4" s="1112" t="s">
        <v>213</v>
      </c>
      <c r="B4" s="1112"/>
      <c r="C4" s="1112"/>
    </row>
    <row r="5" spans="1:7" x14ac:dyDescent="0.25">
      <c r="A5" s="7" t="s">
        <v>214</v>
      </c>
      <c r="B5" s="63">
        <v>2040</v>
      </c>
      <c r="C5" s="35" t="s">
        <v>215</v>
      </c>
      <c r="D5" s="9"/>
    </row>
    <row r="6" spans="1:7" ht="30" x14ac:dyDescent="0.25">
      <c r="A6" s="1080" t="s">
        <v>216</v>
      </c>
      <c r="B6" s="985">
        <f>VLOOKUP(B5,'10. Population'!A3:B34, 2, FALSE)</f>
        <v>823018</v>
      </c>
      <c r="C6" s="986" t="s">
        <v>217</v>
      </c>
      <c r="D6" s="29"/>
    </row>
    <row r="7" spans="1:7" x14ac:dyDescent="0.25">
      <c r="A7" s="7"/>
      <c r="B7" s="9"/>
      <c r="C7" s="9"/>
    </row>
    <row r="8" spans="1:7" ht="21" x14ac:dyDescent="0.35">
      <c r="A8" s="1110" t="s">
        <v>218</v>
      </c>
      <c r="B8" s="1110"/>
      <c r="C8" s="1110"/>
    </row>
    <row r="9" spans="1:7" ht="14.45" customHeight="1" x14ac:dyDescent="0.25">
      <c r="A9" s="1113" t="s">
        <v>219</v>
      </c>
      <c r="B9" s="1113"/>
      <c r="C9" s="1113"/>
      <c r="F9" s="187"/>
    </row>
    <row r="10" spans="1:7" x14ac:dyDescent="0.25">
      <c r="A10" s="30" t="s">
        <v>220</v>
      </c>
      <c r="B10" s="160" t="s">
        <v>7</v>
      </c>
      <c r="C10" s="160" t="s">
        <v>11</v>
      </c>
      <c r="F10" s="187"/>
    </row>
    <row r="11" spans="1:7" x14ac:dyDescent="0.25">
      <c r="A11" s="552" t="s">
        <v>221</v>
      </c>
      <c r="B11" s="139">
        <f>SUM('14. Land Req '!D4:D8)</f>
        <v>11882.411067169922</v>
      </c>
      <c r="C11" s="139">
        <f>SUM('14. Land Req '!E4:E8)</f>
        <v>10616.591412342026</v>
      </c>
      <c r="F11" s="187"/>
    </row>
    <row r="12" spans="1:7" x14ac:dyDescent="0.25">
      <c r="A12" s="552" t="s">
        <v>222</v>
      </c>
      <c r="B12" s="21">
        <f>'14. Land Req '!F5</f>
        <v>38928.865117498179</v>
      </c>
      <c r="C12" s="21">
        <f>SUM('14. Land Req '!G4:G8)</f>
        <v>37750.574399529483</v>
      </c>
      <c r="F12" s="187"/>
    </row>
    <row r="13" spans="1:7" x14ac:dyDescent="0.25">
      <c r="A13" s="147" t="s">
        <v>223</v>
      </c>
      <c r="B13" s="139">
        <f>SUM('14. Land Req '!D9:D10)</f>
        <v>525.18400979460512</v>
      </c>
      <c r="C13" s="139">
        <f>SUM('14. Land Req '!E9:E10)</f>
        <v>288.26283838772434</v>
      </c>
      <c r="F13" s="187"/>
    </row>
    <row r="14" spans="1:7" x14ac:dyDescent="0.25">
      <c r="A14" s="147" t="s">
        <v>224</v>
      </c>
      <c r="B14" s="139">
        <f>SUM('14. Land Req '!F9:F10)</f>
        <v>4164.7216177874525</v>
      </c>
      <c r="C14" s="139">
        <f>SUM('14. Land Req '!G9:G10)</f>
        <v>6737.9788600960692</v>
      </c>
    </row>
    <row r="15" spans="1:7" x14ac:dyDescent="0.25">
      <c r="A15" s="533" t="s">
        <v>225</v>
      </c>
      <c r="B15" s="139">
        <f>SUM('14. Land Req '!D11, '14. Land Req '!D14:D16, ('14. Land Req '!D19 * (SUM('11. Diet'!B51:B53,'11. Diet'!B55:B57))) )</f>
        <v>893.70383815975276</v>
      </c>
      <c r="C15" s="139">
        <f>SUM('14. Land Req '!E11,'14. Land Req '!E14:E16)+('14. Land Req '!E19*(SUM('11. Diet'!B51:B53,'11. Diet'!B55:B57)))</f>
        <v>1121.0000109772843</v>
      </c>
      <c r="E15" s="187"/>
      <c r="F15" s="187"/>
    </row>
    <row r="16" spans="1:7" x14ac:dyDescent="0.25">
      <c r="A16" s="533" t="s">
        <v>226</v>
      </c>
      <c r="B16" s="139">
        <f>SUM('14. Land Req '!D12:D13,'14. Land Req '!D17:D18) + ('14. Land Req '!D19*(SUM('11. Diet'!B54,'11. Diet'!B58:B59)))</f>
        <v>707.45033049184542</v>
      </c>
      <c r="C16" s="139">
        <f>SUM('14. Land Req '!E12:E13, '14. Land Req '!E17:E18) + ('14. Land Req '!E19*(SUM('11. Diet'!B54,'11. Diet'!B58:B59)))</f>
        <v>731.70053946719986</v>
      </c>
      <c r="E16" s="187"/>
      <c r="F16" s="187"/>
    </row>
    <row r="17" spans="1:6" x14ac:dyDescent="0.25">
      <c r="A17" s="534" t="s">
        <v>227</v>
      </c>
      <c r="B17" s="586">
        <f>SUM('14. Land Req '!D20:D26, '14. Land Req '!D28:D30, '14. Land Req '!D33, '14. Land Req '!D37:D41, ('14. Land Req '!D34*'2. ABM-LCA Controls'!$B59), ('14. Land Req '!D42*'2. ABM-LCA Controls'!$B61))</f>
        <v>1531.0112835471464</v>
      </c>
      <c r="C17" s="586">
        <f>SUM('14. Land Req '!E20:E26, '14. Land Req '!E28:E30, '14. Land Req '!E33, '14. Land Req '!E37:E41, ('14. Land Req '!E34*'2. ABM-LCA Controls'!$B59), ('14. Land Req '!E42*'2. ABM-LCA Controls'!$B61))</f>
        <v>1347.709066741774</v>
      </c>
      <c r="F17" s="187"/>
    </row>
    <row r="18" spans="1:6" x14ac:dyDescent="0.25">
      <c r="A18" s="534" t="s">
        <v>228</v>
      </c>
      <c r="B18" s="586">
        <f>SUM('14. Land Req '!D27, '14. Land Req '!D31:D32, '14. Land Req '!D35:D36, ('14. Land Req '!D34*'2. ABM-LCA Controls'!$B60), ('14. Land Req '!D42*'2. ABM-LCA Controls'!$B62))</f>
        <v>1081.5863314841758</v>
      </c>
      <c r="C18" s="586">
        <f>SUM('14. Land Req '!E27, '14. Land Req '!E31:E32, '14. Land Req '!E35:E36, ('14. Land Req '!E34*'2. ABM-LCA Controls'!$B60), ('14. Land Req '!E42*'2. ABM-LCA Controls'!$B62))</f>
        <v>1009.711765752369</v>
      </c>
      <c r="F18" s="187"/>
    </row>
    <row r="19" spans="1:6" x14ac:dyDescent="0.25">
      <c r="A19" s="150" t="s">
        <v>56</v>
      </c>
      <c r="B19" s="139">
        <f>SUM('14. Land Req '!D43:D44)</f>
        <v>14141.878464353684</v>
      </c>
      <c r="C19" s="139">
        <f>SUM('14. Land Req '!E43:E44)</f>
        <v>12440.968080319228</v>
      </c>
      <c r="F19" s="187"/>
    </row>
    <row r="20" spans="1:6" x14ac:dyDescent="0.25">
      <c r="A20" s="151" t="s">
        <v>59</v>
      </c>
      <c r="B20" s="139">
        <f>SUM('14. Land Req '!D45:D46)</f>
        <v>29555.907209946388</v>
      </c>
      <c r="C20" s="139">
        <f>SUM('14. Land Req '!E45:E46)</f>
        <v>23238.270637859398</v>
      </c>
      <c r="F20" s="187"/>
    </row>
    <row r="21" spans="1:6" x14ac:dyDescent="0.25">
      <c r="A21" s="352" t="s">
        <v>62</v>
      </c>
      <c r="B21" s="353">
        <f>SUM('14. Land Req '!D47:D48)</f>
        <v>4659.23405592992</v>
      </c>
      <c r="C21" s="353">
        <f>SUM('14. Land Req '!E47:E48)</f>
        <v>4279.1004254097434</v>
      </c>
      <c r="F21" s="9"/>
    </row>
    <row r="22" spans="1:6" x14ac:dyDescent="0.25">
      <c r="A22" s="512" t="s">
        <v>229</v>
      </c>
      <c r="B22" s="426">
        <f>SUM('14. Land Req '!D49:D50)</f>
        <v>468681.829982</v>
      </c>
      <c r="C22" s="426">
        <f>SUM('14. Land Req '!E49:E50)</f>
        <v>397349.1555600994</v>
      </c>
      <c r="F22" s="9"/>
    </row>
    <row r="23" spans="1:6" x14ac:dyDescent="0.25">
      <c r="A23" s="535" t="s">
        <v>230</v>
      </c>
      <c r="B23" s="536">
        <f>SUM(B12,B14)</f>
        <v>43093.586735285629</v>
      </c>
      <c r="C23" s="537">
        <f>SUM(C12,C14)</f>
        <v>44488.553259625551</v>
      </c>
      <c r="F23" s="270"/>
    </row>
    <row r="24" spans="1:6" x14ac:dyDescent="0.25">
      <c r="A24" s="540" t="s">
        <v>231</v>
      </c>
      <c r="B24" s="541"/>
      <c r="C24" s="542">
        <f>C23/'14. Land Req '!$B$66</f>
        <v>6.4072368932352491E-2</v>
      </c>
      <c r="F24" s="87"/>
    </row>
    <row r="25" spans="1:6" x14ac:dyDescent="0.25">
      <c r="A25" s="535" t="s">
        <v>232</v>
      </c>
      <c r="B25" s="538">
        <f>SUM(B11, B13, B15:B21)</f>
        <v>64978.366590877442</v>
      </c>
      <c r="C25" s="539">
        <f>SUM(C11, C13, C15:C21)</f>
        <v>55073.314777256739</v>
      </c>
      <c r="F25" s="270"/>
    </row>
    <row r="26" spans="1:6" x14ac:dyDescent="0.25">
      <c r="A26" s="549" t="s">
        <v>233</v>
      </c>
      <c r="B26" s="541"/>
      <c r="C26" s="542">
        <f>C25/'14. Land Req '!$B$66</f>
        <v>7.9316531651262637E-2</v>
      </c>
      <c r="F26" s="270"/>
    </row>
    <row r="27" spans="1:6" x14ac:dyDescent="0.25">
      <c r="A27" s="543" t="s">
        <v>234</v>
      </c>
      <c r="B27" s="544">
        <f>SUM(B23,B25)</f>
        <v>108071.95332616307</v>
      </c>
      <c r="C27" s="545">
        <f>SUM(C23,C25)</f>
        <v>99561.868036882282</v>
      </c>
      <c r="F27" s="270"/>
    </row>
    <row r="28" spans="1:6" x14ac:dyDescent="0.25">
      <c r="A28" s="546" t="s">
        <v>235</v>
      </c>
      <c r="B28" s="547"/>
      <c r="C28" s="548">
        <f>SUM(C24,C26)</f>
        <v>0.14338890058361514</v>
      </c>
      <c r="F28" s="270"/>
    </row>
    <row r="29" spans="1:6" x14ac:dyDescent="0.25">
      <c r="A29" s="140"/>
      <c r="B29" s="187"/>
      <c r="C29" s="580"/>
      <c r="F29" s="270"/>
    </row>
    <row r="30" spans="1:6" x14ac:dyDescent="0.25">
      <c r="A30" s="1113" t="s">
        <v>236</v>
      </c>
      <c r="B30" s="1113"/>
      <c r="C30" s="1113"/>
      <c r="F30" s="270"/>
    </row>
    <row r="31" spans="1:6" x14ac:dyDescent="0.25">
      <c r="A31" s="576" t="s">
        <v>237</v>
      </c>
      <c r="B31" s="576" t="s">
        <v>7</v>
      </c>
      <c r="C31" s="576" t="s">
        <v>11</v>
      </c>
      <c r="F31" s="270"/>
    </row>
    <row r="32" spans="1:6" x14ac:dyDescent="0.25">
      <c r="A32" s="7" t="s">
        <v>238</v>
      </c>
      <c r="B32" s="427">
        <f>'3. Outputs BASE'!B8</f>
        <v>7442987609.072298</v>
      </c>
      <c r="C32" s="428">
        <f>'4. Outputs LOCAL'!B8</f>
        <v>6432593201.2427225</v>
      </c>
      <c r="F32" s="270"/>
    </row>
    <row r="33" spans="1:6" x14ac:dyDescent="0.25">
      <c r="A33" s="7" t="s">
        <v>239</v>
      </c>
      <c r="B33" s="427">
        <f>'3. Outputs BASE'!B11</f>
        <v>269124609167.96991</v>
      </c>
      <c r="C33" s="428">
        <f>'4. Outputs LOCAL'!B11</f>
        <v>190295839402.26611</v>
      </c>
      <c r="F33" s="270"/>
    </row>
    <row r="34" spans="1:6" x14ac:dyDescent="0.25">
      <c r="A34" s="7" t="s">
        <v>240</v>
      </c>
      <c r="B34" s="427">
        <f>'3. Outputs BASE'!B12</f>
        <v>1641769866.1768844</v>
      </c>
      <c r="C34" s="428">
        <f>'4. Outputs LOCAL'!B12</f>
        <v>1408003328.9462614</v>
      </c>
      <c r="F34" s="270"/>
    </row>
    <row r="35" spans="1:6" x14ac:dyDescent="0.25">
      <c r="A35" s="7"/>
      <c r="B35" s="427"/>
      <c r="C35" s="428"/>
      <c r="F35" s="270"/>
    </row>
    <row r="36" spans="1:6" x14ac:dyDescent="0.25">
      <c r="A36" s="585" t="s">
        <v>241</v>
      </c>
      <c r="B36" s="581" t="s">
        <v>7</v>
      </c>
      <c r="F36" s="270"/>
    </row>
    <row r="37" spans="1:6" x14ac:dyDescent="0.25">
      <c r="A37" s="582" t="s">
        <v>242</v>
      </c>
      <c r="B37" s="578">
        <f>'3. Outputs BASE'!B4</f>
        <v>10691886.922147591</v>
      </c>
      <c r="C37" s="187"/>
      <c r="D37" s="20"/>
    </row>
    <row r="38" spans="1:6" x14ac:dyDescent="0.25">
      <c r="A38" s="582" t="s">
        <v>243</v>
      </c>
      <c r="B38" s="579">
        <f>'3. Outputs BASE'!B5</f>
        <v>4954033.292522762</v>
      </c>
      <c r="C38" s="187"/>
    </row>
    <row r="39" spans="1:6" x14ac:dyDescent="0.25">
      <c r="A39" s="582" t="s">
        <v>244</v>
      </c>
      <c r="B39" s="579">
        <f>'3. Outputs BASE'!B6</f>
        <v>9082193.0325185619</v>
      </c>
      <c r="C39" s="187"/>
    </row>
    <row r="40" spans="1:6" x14ac:dyDescent="0.25">
      <c r="A40" s="582" t="s">
        <v>245</v>
      </c>
      <c r="B40" s="579">
        <f>'3. Outputs BASE'!B7</f>
        <v>4825280.3915042095</v>
      </c>
      <c r="C40" s="187"/>
      <c r="D40" s="20"/>
    </row>
    <row r="41" spans="1:6" x14ac:dyDescent="0.25">
      <c r="A41" s="582" t="s">
        <v>246</v>
      </c>
      <c r="B41" s="579">
        <f>'3. Outputs BASE'!B9</f>
        <v>13386972.750444837</v>
      </c>
      <c r="F41" s="271"/>
    </row>
    <row r="42" spans="1:6" x14ac:dyDescent="0.25">
      <c r="A42" s="582" t="s">
        <v>247</v>
      </c>
      <c r="B42" s="579">
        <f>'3. Outputs BASE'!B10</f>
        <v>13973198127.218382</v>
      </c>
      <c r="F42" s="196"/>
    </row>
    <row r="43" spans="1:6" x14ac:dyDescent="0.25">
      <c r="A43" s="582" t="s">
        <v>248</v>
      </c>
      <c r="B43" s="579">
        <f>'3. Outputs BASE'!B11</f>
        <v>269124609167.96991</v>
      </c>
      <c r="F43" s="271"/>
    </row>
    <row r="44" spans="1:6" x14ac:dyDescent="0.25">
      <c r="A44" s="582" t="s">
        <v>249</v>
      </c>
      <c r="B44" s="579">
        <f>'3. Outputs BASE'!B12</f>
        <v>1641769866.1768844</v>
      </c>
    </row>
    <row r="45" spans="1:6" ht="30" x14ac:dyDescent="0.25">
      <c r="A45" s="583" t="s">
        <v>250</v>
      </c>
      <c r="B45" s="579">
        <f>'3. Outputs BASE'!B13</f>
        <v>116728.4913554044</v>
      </c>
    </row>
    <row r="46" spans="1:6" ht="30" x14ac:dyDescent="0.25">
      <c r="A46" s="583" t="s">
        <v>251</v>
      </c>
      <c r="B46" s="579">
        <f>'3. Outputs BASE'!B14</f>
        <v>0.4889521955130014</v>
      </c>
    </row>
    <row r="47" spans="1:6" x14ac:dyDescent="0.25">
      <c r="A47" s="582" t="s">
        <v>252</v>
      </c>
      <c r="B47" s="579">
        <f>'3. Outputs BASE'!B15</f>
        <v>5.5345628581891955</v>
      </c>
    </row>
    <row r="48" spans="1:6" x14ac:dyDescent="0.25">
      <c r="A48" s="582" t="s">
        <v>253</v>
      </c>
      <c r="B48" s="579">
        <f>'3. Outputs BASE'!B16</f>
        <v>3604055.213219922</v>
      </c>
    </row>
    <row r="49" spans="1:3" x14ac:dyDescent="0.25">
      <c r="A49" s="582" t="s">
        <v>254</v>
      </c>
      <c r="B49" s="579">
        <f>'3. Outputs BASE'!B17</f>
        <v>6.0235150537021962</v>
      </c>
    </row>
    <row r="50" spans="1:3" x14ac:dyDescent="0.25">
      <c r="A50" s="582" t="s">
        <v>255</v>
      </c>
      <c r="B50" s="579">
        <f>'3. Outputs BASE'!B18</f>
        <v>6145.9858951616552</v>
      </c>
    </row>
    <row r="51" spans="1:3" x14ac:dyDescent="0.25">
      <c r="A51" s="582" t="s">
        <v>256</v>
      </c>
      <c r="B51" s="579">
        <f>'3. Outputs BASE'!B19</f>
        <v>8513432478.6117382</v>
      </c>
    </row>
    <row r="52" spans="1:3" x14ac:dyDescent="0.25">
      <c r="A52" s="582" t="s">
        <v>257</v>
      </c>
      <c r="B52" s="579">
        <f>'3. Outputs BASE'!B20</f>
        <v>659157612.31823504</v>
      </c>
    </row>
    <row r="53" spans="1:3" x14ac:dyDescent="0.25">
      <c r="A53" s="582" t="s">
        <v>258</v>
      </c>
      <c r="B53" s="579">
        <f>'3. Outputs BASE'!B21</f>
        <v>6915881055.9295292</v>
      </c>
    </row>
    <row r="54" spans="1:3" x14ac:dyDescent="0.25">
      <c r="A54" s="582" t="s">
        <v>259</v>
      </c>
      <c r="B54" s="579">
        <f>'3. Outputs BASE'!B22</f>
        <v>1062.1326043199115</v>
      </c>
    </row>
    <row r="55" spans="1:3" x14ac:dyDescent="0.25">
      <c r="A55" s="584" t="s">
        <v>260</v>
      </c>
      <c r="B55" s="649">
        <f>'3. Outputs BASE'!B23</f>
        <v>445329.81554852647</v>
      </c>
    </row>
    <row r="56" spans="1:3" x14ac:dyDescent="0.25">
      <c r="B56" s="600"/>
    </row>
    <row r="58" spans="1:3" x14ac:dyDescent="0.25">
      <c r="A58" s="1109" t="s">
        <v>206</v>
      </c>
      <c r="B58" s="1109"/>
      <c r="C58" s="1109"/>
    </row>
    <row r="59" spans="1:3" x14ac:dyDescent="0.25">
      <c r="A59" s="1111" t="s">
        <v>261</v>
      </c>
      <c r="B59" s="1111"/>
      <c r="C59" s="1111"/>
    </row>
    <row r="60" spans="1:3" x14ac:dyDescent="0.25">
      <c r="A60" s="1108" t="s">
        <v>262</v>
      </c>
      <c r="B60" s="1108"/>
      <c r="C60" s="1108"/>
    </row>
    <row r="61" spans="1:3" ht="32.25" customHeight="1" x14ac:dyDescent="0.25">
      <c r="A61" s="1108" t="s">
        <v>263</v>
      </c>
      <c r="B61" s="1108"/>
      <c r="C61" s="1108"/>
    </row>
  </sheetData>
  <mergeCells count="10">
    <mergeCell ref="A1:C1"/>
    <mergeCell ref="A61:C61"/>
    <mergeCell ref="A58:C58"/>
    <mergeCell ref="A2:C3"/>
    <mergeCell ref="A8:C8"/>
    <mergeCell ref="A59:C59"/>
    <mergeCell ref="A60:C60"/>
    <mergeCell ref="A4:C4"/>
    <mergeCell ref="A9:C9"/>
    <mergeCell ref="A30:C3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3AC98-6587-40B8-9E21-364D28C4839C}">
  <sheetPr>
    <tabColor theme="7" tint="0.39997558519241921"/>
  </sheetPr>
  <dimension ref="A1:G62"/>
  <sheetViews>
    <sheetView zoomScale="110" zoomScaleNormal="110" workbookViewId="0">
      <selection activeCell="C24" sqref="C24"/>
    </sheetView>
  </sheetViews>
  <sheetFormatPr defaultRowHeight="15" x14ac:dyDescent="0.25"/>
  <cols>
    <col min="1" max="1" width="47" customWidth="1"/>
    <col min="2" max="2" width="27" bestFit="1" customWidth="1"/>
    <col min="3" max="3" width="25.28515625" customWidth="1"/>
    <col min="4" max="4" width="4" customWidth="1"/>
    <col min="5" max="6" width="12.5703125" customWidth="1"/>
    <col min="7" max="7" width="11.140625" customWidth="1"/>
  </cols>
  <sheetData>
    <row r="1" spans="1:7" ht="21" x14ac:dyDescent="0.35">
      <c r="A1" s="1112" t="s">
        <v>264</v>
      </c>
      <c r="B1" s="1112"/>
      <c r="C1" s="1112"/>
    </row>
    <row r="2" spans="1:7" ht="27" customHeight="1" x14ac:dyDescent="0.25">
      <c r="A2" s="1114" t="s">
        <v>265</v>
      </c>
      <c r="B2" s="1114"/>
      <c r="C2" s="1114"/>
      <c r="D2" s="5"/>
      <c r="E2" s="5"/>
      <c r="F2" s="5"/>
      <c r="G2" s="5"/>
    </row>
    <row r="3" spans="1:7" ht="24.75" customHeight="1" x14ac:dyDescent="0.25">
      <c r="A3" s="1114"/>
      <c r="B3" s="1114"/>
      <c r="C3" s="1114"/>
      <c r="D3" s="5"/>
      <c r="E3" s="5"/>
      <c r="F3" s="5"/>
      <c r="G3" s="5"/>
    </row>
    <row r="4" spans="1:7" ht="18" customHeight="1" x14ac:dyDescent="0.35">
      <c r="A4" s="1115" t="s">
        <v>266</v>
      </c>
      <c r="B4" s="1115"/>
      <c r="C4" s="1115"/>
      <c r="E4" s="100"/>
      <c r="F4" s="100"/>
      <c r="G4" s="100"/>
    </row>
    <row r="5" spans="1:7" x14ac:dyDescent="0.25">
      <c r="A5" s="7" t="s">
        <v>214</v>
      </c>
      <c r="B5" s="63">
        <v>2020</v>
      </c>
      <c r="C5" s="35" t="s">
        <v>215</v>
      </c>
      <c r="E5" s="100"/>
      <c r="F5" s="100"/>
      <c r="G5" s="100"/>
    </row>
    <row r="6" spans="1:7" ht="30" x14ac:dyDescent="0.25">
      <c r="A6" s="1066" t="s">
        <v>216</v>
      </c>
      <c r="B6" s="987">
        <f>VLOOKUP(B5,'10. Population'!A3:B34, 2, FALSE)</f>
        <v>704990</v>
      </c>
      <c r="C6" s="986" t="s">
        <v>217</v>
      </c>
      <c r="E6" s="100"/>
      <c r="F6" s="100"/>
      <c r="G6" s="100"/>
    </row>
    <row r="7" spans="1:7" x14ac:dyDescent="0.25">
      <c r="A7" s="1068"/>
      <c r="B7" s="577"/>
      <c r="C7" s="577"/>
      <c r="E7" s="100"/>
      <c r="F7" s="100"/>
      <c r="G7" s="100"/>
    </row>
    <row r="8" spans="1:7" x14ac:dyDescent="0.25">
      <c r="A8" s="1068"/>
      <c r="B8" s="577"/>
      <c r="C8" s="577"/>
      <c r="E8" s="100"/>
      <c r="F8" s="100"/>
      <c r="G8" s="100"/>
    </row>
    <row r="9" spans="1:7" x14ac:dyDescent="0.25">
      <c r="A9" s="1113" t="s">
        <v>267</v>
      </c>
      <c r="B9" s="1113"/>
      <c r="C9" s="7"/>
      <c r="E9" s="100"/>
      <c r="F9" s="100"/>
      <c r="G9" s="100"/>
    </row>
    <row r="10" spans="1:7" x14ac:dyDescent="0.25">
      <c r="A10" s="30" t="s">
        <v>220</v>
      </c>
      <c r="B10" s="160" t="s">
        <v>15</v>
      </c>
      <c r="C10" s="54"/>
      <c r="E10" s="100"/>
      <c r="F10" s="100"/>
      <c r="G10" s="100"/>
    </row>
    <row r="11" spans="1:7" x14ac:dyDescent="0.25">
      <c r="A11" s="552" t="s">
        <v>221</v>
      </c>
      <c r="B11" s="139">
        <v>9094.079084281273</v>
      </c>
      <c r="C11" s="188"/>
      <c r="E11" s="100"/>
      <c r="F11" s="100"/>
      <c r="G11" s="100"/>
    </row>
    <row r="12" spans="1:7" x14ac:dyDescent="0.25">
      <c r="A12" s="552" t="s">
        <v>268</v>
      </c>
      <c r="B12" s="21">
        <v>32336.810915343642</v>
      </c>
      <c r="E12" s="100"/>
      <c r="F12" s="100"/>
      <c r="G12" s="100"/>
    </row>
    <row r="13" spans="1:7" x14ac:dyDescent="0.25">
      <c r="A13" s="147" t="s">
        <v>223</v>
      </c>
      <c r="B13" s="139">
        <v>246.92341897134907</v>
      </c>
      <c r="E13" s="100"/>
      <c r="F13" s="100"/>
      <c r="G13" s="100"/>
    </row>
    <row r="14" spans="1:7" x14ac:dyDescent="0.25">
      <c r="A14" s="147" t="s">
        <v>224</v>
      </c>
      <c r="B14" s="139">
        <v>5771.6935918523386</v>
      </c>
      <c r="E14" s="100"/>
      <c r="F14" s="100"/>
      <c r="G14" s="100"/>
    </row>
    <row r="15" spans="1:7" x14ac:dyDescent="0.25">
      <c r="A15" s="148" t="s">
        <v>225</v>
      </c>
      <c r="B15" s="139">
        <v>960.23877696341481</v>
      </c>
      <c r="E15" s="100"/>
      <c r="F15" s="100"/>
      <c r="G15" s="100"/>
    </row>
    <row r="16" spans="1:7" x14ac:dyDescent="0.25">
      <c r="A16" s="148" t="s">
        <v>226</v>
      </c>
      <c r="B16" s="139">
        <v>626.76826426515731</v>
      </c>
      <c r="E16" s="100"/>
      <c r="F16" s="100"/>
      <c r="G16" s="100"/>
    </row>
    <row r="17" spans="1:7" x14ac:dyDescent="0.25">
      <c r="A17" s="149" t="s">
        <v>227</v>
      </c>
      <c r="B17" s="586">
        <v>1324.49146679926</v>
      </c>
      <c r="E17" s="100"/>
      <c r="F17" s="100"/>
      <c r="G17" s="100"/>
    </row>
    <row r="18" spans="1:7" x14ac:dyDescent="0.25">
      <c r="A18" s="149" t="s">
        <v>228</v>
      </c>
      <c r="B18" s="586">
        <v>1179.94667072383</v>
      </c>
      <c r="E18" s="100"/>
      <c r="F18" s="100"/>
      <c r="G18" s="100"/>
    </row>
    <row r="19" spans="1:7" x14ac:dyDescent="0.25">
      <c r="A19" s="150" t="s">
        <v>56</v>
      </c>
      <c r="B19" s="139">
        <v>10656.824136220897</v>
      </c>
      <c r="E19" s="100"/>
      <c r="F19" s="100"/>
      <c r="G19" s="100"/>
    </row>
    <row r="20" spans="1:7" x14ac:dyDescent="0.25">
      <c r="A20" s="151" t="s">
        <v>59</v>
      </c>
      <c r="B20" s="139">
        <v>19905.698802437488</v>
      </c>
      <c r="E20" s="100"/>
      <c r="F20" s="100"/>
      <c r="G20" s="100"/>
    </row>
    <row r="21" spans="1:7" x14ac:dyDescent="0.25">
      <c r="A21" s="152" t="s">
        <v>62</v>
      </c>
      <c r="B21" s="353">
        <v>3665.4398918487996</v>
      </c>
      <c r="E21" s="100"/>
      <c r="F21" s="100"/>
      <c r="G21" s="100"/>
    </row>
    <row r="22" spans="1:7" x14ac:dyDescent="0.25">
      <c r="A22" s="938" t="s">
        <v>229</v>
      </c>
      <c r="B22" s="137"/>
      <c r="C22" s="54"/>
      <c r="E22" s="100"/>
      <c r="F22" s="100"/>
      <c r="G22" s="100"/>
    </row>
    <row r="23" spans="1:7" x14ac:dyDescent="0.25">
      <c r="A23" s="535" t="s">
        <v>230</v>
      </c>
      <c r="B23" s="537">
        <f>SUM(B12,B14)</f>
        <v>38108.504507195983</v>
      </c>
      <c r="E23" s="100"/>
      <c r="F23" s="100"/>
      <c r="G23" s="100"/>
    </row>
    <row r="24" spans="1:7" x14ac:dyDescent="0.25">
      <c r="A24" s="540" t="s">
        <v>231</v>
      </c>
      <c r="B24" s="542">
        <f>B23/'14. Land Req '!$B$66</f>
        <v>5.4883829240210041E-2</v>
      </c>
      <c r="E24" s="100"/>
      <c r="F24" s="100"/>
      <c r="G24" s="100"/>
    </row>
    <row r="25" spans="1:7" x14ac:dyDescent="0.25">
      <c r="A25" s="535" t="s">
        <v>232</v>
      </c>
      <c r="B25" s="539">
        <f>SUM(B11, B13, B15:B21)</f>
        <v>47660.410512511473</v>
      </c>
      <c r="E25" s="100"/>
      <c r="F25" s="100"/>
      <c r="G25" s="100"/>
    </row>
    <row r="26" spans="1:7" x14ac:dyDescent="0.25">
      <c r="A26" s="549" t="s">
        <v>233</v>
      </c>
      <c r="B26" s="542">
        <f>B25/'14. Land Req '!$B$66</f>
        <v>6.8640474505974269E-2</v>
      </c>
      <c r="E26" s="100"/>
      <c r="F26" s="100"/>
      <c r="G26" s="100"/>
    </row>
    <row r="27" spans="1:7" x14ac:dyDescent="0.25">
      <c r="A27" s="543" t="s">
        <v>234</v>
      </c>
      <c r="B27" s="545">
        <f>SUM(B23,B25)</f>
        <v>85768.915019707463</v>
      </c>
      <c r="D27" s="9"/>
      <c r="E27" s="417"/>
      <c r="F27" s="354"/>
      <c r="G27" s="221"/>
    </row>
    <row r="28" spans="1:7" x14ac:dyDescent="0.25">
      <c r="A28" s="546" t="s">
        <v>235</v>
      </c>
      <c r="B28" s="548">
        <f>SUM(B24,B26)</f>
        <v>0.12352430374618431</v>
      </c>
      <c r="D28" s="29"/>
      <c r="E28" s="38"/>
      <c r="F28" s="222"/>
      <c r="G28" s="35"/>
    </row>
    <row r="29" spans="1:7" ht="21" x14ac:dyDescent="0.35">
      <c r="A29" s="615" t="s">
        <v>218</v>
      </c>
      <c r="E29" s="355"/>
      <c r="F29" s="354"/>
      <c r="G29" s="356"/>
    </row>
    <row r="30" spans="1:7" x14ac:dyDescent="0.25">
      <c r="A30" s="1113" t="s">
        <v>269</v>
      </c>
      <c r="B30" s="1113"/>
      <c r="C30" s="7"/>
      <c r="E30" s="355"/>
      <c r="F30" s="354"/>
      <c r="G30" s="356"/>
    </row>
    <row r="31" spans="1:7" x14ac:dyDescent="0.25">
      <c r="A31" s="18" t="s">
        <v>270</v>
      </c>
      <c r="B31" s="18" t="s">
        <v>15</v>
      </c>
      <c r="D31" s="20"/>
      <c r="E31" s="355"/>
      <c r="F31" s="354"/>
      <c r="G31" s="356"/>
    </row>
    <row r="32" spans="1:7" x14ac:dyDescent="0.25">
      <c r="A32" s="7" t="s">
        <v>238</v>
      </c>
      <c r="B32" s="428">
        <f>'5. Outputs ABM-LOCAL'!B4</f>
        <v>2669786305.2130175</v>
      </c>
      <c r="E32" s="140"/>
      <c r="F32" s="140"/>
      <c r="G32" s="140"/>
    </row>
    <row r="33" spans="1:6" x14ac:dyDescent="0.25">
      <c r="A33" s="7" t="s">
        <v>239</v>
      </c>
      <c r="B33" s="428">
        <f>'5. Outputs ABM-LOCAL'!B5</f>
        <v>55253737457.736443</v>
      </c>
    </row>
    <row r="34" spans="1:6" x14ac:dyDescent="0.25">
      <c r="A34" s="7" t="s">
        <v>240</v>
      </c>
      <c r="B34" s="428">
        <f>'5. Outputs ABM-LOCAL'!B6</f>
        <v>498095182.84151912</v>
      </c>
    </row>
    <row r="35" spans="1:6" x14ac:dyDescent="0.25">
      <c r="A35" s="7"/>
      <c r="F35" s="187"/>
    </row>
    <row r="36" spans="1:6" ht="30" x14ac:dyDescent="0.25">
      <c r="A36" s="153" t="s">
        <v>271</v>
      </c>
      <c r="B36" s="602" t="s">
        <v>272</v>
      </c>
      <c r="C36" s="54"/>
      <c r="F36" s="187"/>
    </row>
    <row r="37" spans="1:6" x14ac:dyDescent="0.25">
      <c r="A37" s="991" t="s">
        <v>273</v>
      </c>
      <c r="B37" s="988">
        <f>SUM('6. ABM-LCA Inputs'!G3:G6)/SUM('6. ABM-LCA Inputs'!B3:B6)</f>
        <v>1</v>
      </c>
      <c r="C37" s="137"/>
      <c r="F37" s="187"/>
    </row>
    <row r="38" spans="1:6" x14ac:dyDescent="0.25">
      <c r="A38" s="989" t="s">
        <v>274</v>
      </c>
      <c r="B38" s="990">
        <f>SUM('6. ABM-LCA Inputs'!G7)/SUM('6. ABM-LCA Inputs'!B7)</f>
        <v>0.99999999999999978</v>
      </c>
      <c r="C38" s="87"/>
      <c r="F38" s="187"/>
    </row>
    <row r="39" spans="1:6" x14ac:dyDescent="0.25">
      <c r="A39" s="992" t="s">
        <v>32</v>
      </c>
      <c r="B39" s="988">
        <f>SUM('6. ABM-LCA Inputs'!G8:G9)/ SUM('6. ABM-LCA Inputs'!B8:B9)</f>
        <v>0.99999999999999989</v>
      </c>
      <c r="C39" s="137"/>
      <c r="F39" s="9"/>
    </row>
    <row r="40" spans="1:6" x14ac:dyDescent="0.25">
      <c r="A40" s="993" t="s">
        <v>225</v>
      </c>
      <c r="B40" s="990">
        <f>(SUM('6. ABM-LCA Inputs'!G10, '6. ABM-LCA Inputs'!G13:G15) + ('6. ABM-LCA Inputs'!G18*'11. Diet'!F61)) / (SUM('6. ABM-LCA Inputs'!B10, '6. ABM-LCA Inputs'!B13:B15) + ('6. ABM-LCA Inputs'!B18*'11. Diet'!F61))</f>
        <v>1</v>
      </c>
      <c r="F40" s="9"/>
    </row>
    <row r="41" spans="1:6" x14ac:dyDescent="0.25">
      <c r="A41" s="993" t="s">
        <v>226</v>
      </c>
      <c r="B41" s="990">
        <f>(SUM('6. ABM-LCA Inputs'!G11:G12, '6. ABM-LCA Inputs'!G16:G17) + ('6. ABM-LCA Inputs'!G18*'11. Diet'!F62))/ (SUM('6. ABM-LCA Inputs'!B11:B12, '6. ABM-LCA Inputs'!B16:B17) + ('6. ABM-LCA Inputs'!B18*'11. Diet'!F62))</f>
        <v>1</v>
      </c>
      <c r="C41" s="137"/>
      <c r="F41" s="269"/>
    </row>
    <row r="42" spans="1:6" x14ac:dyDescent="0.25">
      <c r="A42" s="994" t="s">
        <v>227</v>
      </c>
      <c r="B42" s="990">
        <f>(SUM('6. ABM-LCA Inputs'!G19:G25, '6. ABM-LCA Inputs'!G27:G29, '6. ABM-LCA Inputs'!G32, '6. ABM-LCA Inputs'!G36:G40) + ('6. ABM-LCA Inputs'!G33*'11. Diet'!$E$63) + ('6. ABM-LCA Inputs'!G41*'11. Diet'!$E$65)) / (SUM('6. ABM-LCA Inputs'!B19:B25, '6. ABM-LCA Inputs'!B27:B29, '6. ABM-LCA Inputs'!B32, '6. ABM-LCA Inputs'!B36:B40) + ('6. ABM-LCA Inputs'!B33*'11. Diet'!$E$63) + ('6. ABM-LCA Inputs'!B41*'11. Diet'!$E$65))</f>
        <v>0.91608647987337921</v>
      </c>
      <c r="C42" s="137"/>
      <c r="F42" s="270"/>
    </row>
    <row r="43" spans="1:6" x14ac:dyDescent="0.25">
      <c r="A43" s="994" t="s">
        <v>228</v>
      </c>
      <c r="B43" s="990">
        <f>(SUM('6. ABM-LCA Inputs'!G26, '6. ABM-LCA Inputs'!G30:G31, '6. ABM-LCA Inputs'!G34:G35) + ('6. ABM-LCA Inputs'!G33*'11. Diet'!$E$64) + ('6. ABM-LCA Inputs'!G41*'11. Diet'!$E$66))/(SUM('6. ABM-LCA Inputs'!B26, '6. ABM-LCA Inputs'!B30:B31, '6. ABM-LCA Inputs'!B34:B35) + ('6. ABM-LCA Inputs'!B33*'11. Diet'!$E$64) + ('6. ABM-LCA Inputs'!B41*'11. Diet'!$E$66))</f>
        <v>1.0737220808165622</v>
      </c>
      <c r="C43" s="137"/>
      <c r="F43" s="87"/>
    </row>
    <row r="44" spans="1:6" x14ac:dyDescent="0.25">
      <c r="A44" s="650" t="s">
        <v>56</v>
      </c>
      <c r="B44" s="990">
        <f>(SUM('6. ABM-LCA Inputs'!G42:G43)) / (SUM('6. ABM-LCA Inputs'!B42:B43))</f>
        <v>0.99999999999999989</v>
      </c>
      <c r="F44" s="270"/>
    </row>
    <row r="45" spans="1:6" x14ac:dyDescent="0.25">
      <c r="A45" s="651" t="s">
        <v>59</v>
      </c>
      <c r="B45" s="990">
        <f>(SUM('6. ABM-LCA Inputs'!G44:G45)) / (SUM('6. ABM-LCA Inputs'!B44:B45))</f>
        <v>1</v>
      </c>
      <c r="F45" s="270"/>
    </row>
    <row r="46" spans="1:6" x14ac:dyDescent="0.25">
      <c r="A46" s="652" t="s">
        <v>62</v>
      </c>
      <c r="B46" s="990">
        <f>(SUM('6. ABM-LCA Inputs'!G46:G47)) / (SUM('6. ABM-LCA Inputs'!B46:B47))</f>
        <v>1.0000000000000004</v>
      </c>
      <c r="F46" s="270"/>
    </row>
    <row r="47" spans="1:6" x14ac:dyDescent="0.25">
      <c r="A47" s="967" t="s">
        <v>275</v>
      </c>
      <c r="B47" s="968">
        <f>AVERAGE(B37:B46)</f>
        <v>0.99898085606899412</v>
      </c>
      <c r="F47" s="270"/>
    </row>
    <row r="48" spans="1:6" x14ac:dyDescent="0.25">
      <c r="F48" s="9"/>
    </row>
    <row r="49" spans="1:6" x14ac:dyDescent="0.25">
      <c r="A49" s="1109" t="s">
        <v>206</v>
      </c>
      <c r="B49" s="1109"/>
      <c r="C49" s="1109"/>
      <c r="F49" s="269"/>
    </row>
    <row r="50" spans="1:6" x14ac:dyDescent="0.25">
      <c r="A50" s="1111" t="s">
        <v>276</v>
      </c>
      <c r="B50" s="1111"/>
      <c r="C50" s="1111"/>
      <c r="F50" s="254"/>
    </row>
    <row r="51" spans="1:6" x14ac:dyDescent="0.25">
      <c r="A51" s="1108" t="s">
        <v>277</v>
      </c>
      <c r="B51" s="1108"/>
      <c r="C51" s="1108"/>
      <c r="F51" s="271"/>
    </row>
    <row r="52" spans="1:6" ht="29.45" customHeight="1" x14ac:dyDescent="0.25">
      <c r="A52" s="1108" t="s">
        <v>278</v>
      </c>
      <c r="B52" s="1108"/>
      <c r="C52" s="1108"/>
      <c r="F52" s="196"/>
    </row>
    <row r="53" spans="1:6" x14ac:dyDescent="0.25">
      <c r="A53" s="1064"/>
      <c r="B53" s="1064"/>
      <c r="C53" s="1064"/>
      <c r="F53" s="196"/>
    </row>
    <row r="54" spans="1:6" x14ac:dyDescent="0.25">
      <c r="A54" s="54"/>
      <c r="B54" s="385"/>
      <c r="C54" s="385"/>
      <c r="F54" s="271"/>
    </row>
    <row r="55" spans="1:6" x14ac:dyDescent="0.25">
      <c r="A55" s="9"/>
      <c r="B55" s="925"/>
    </row>
    <row r="56" spans="1:6" x14ac:dyDescent="0.25">
      <c r="A56" s="9"/>
      <c r="B56" s="925"/>
    </row>
    <row r="57" spans="1:6" x14ac:dyDescent="0.25">
      <c r="A57" s="9"/>
      <c r="B57" s="925"/>
      <c r="C57" s="9"/>
    </row>
    <row r="58" spans="1:6" x14ac:dyDescent="0.25">
      <c r="A58" s="9"/>
      <c r="B58" s="925"/>
      <c r="C58" s="9"/>
    </row>
    <row r="59" spans="1:6" x14ac:dyDescent="0.25">
      <c r="A59" s="9"/>
      <c r="B59" s="925"/>
    </row>
    <row r="60" spans="1:6" x14ac:dyDescent="0.25">
      <c r="A60" s="9"/>
      <c r="B60" s="925"/>
    </row>
    <row r="61" spans="1:6" x14ac:dyDescent="0.25">
      <c r="A61" s="9"/>
      <c r="B61" s="925"/>
    </row>
    <row r="62" spans="1:6" x14ac:dyDescent="0.25">
      <c r="A62" s="9"/>
      <c r="B62" s="925"/>
    </row>
  </sheetData>
  <mergeCells count="9">
    <mergeCell ref="A1:C1"/>
    <mergeCell ref="A51:C51"/>
    <mergeCell ref="A52:C52"/>
    <mergeCell ref="A2:C3"/>
    <mergeCell ref="A49:C49"/>
    <mergeCell ref="A50:C50"/>
    <mergeCell ref="A4:C4"/>
    <mergeCell ref="A30:B30"/>
    <mergeCell ref="A9:B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954D1-A8B0-45C8-8EE5-9DAD79098633}">
  <sheetPr>
    <tabColor rgb="FFD9E1F2"/>
  </sheetPr>
  <dimension ref="A1:T39"/>
  <sheetViews>
    <sheetView workbookViewId="0">
      <selection activeCell="C11" sqref="C11"/>
    </sheetView>
  </sheetViews>
  <sheetFormatPr defaultRowHeight="15" x14ac:dyDescent="0.25"/>
  <cols>
    <col min="1" max="1" width="42.28515625" customWidth="1"/>
    <col min="2" max="2" width="17" bestFit="1" customWidth="1"/>
    <col min="3" max="3" width="17" customWidth="1"/>
    <col min="4" max="4" width="16.5703125" customWidth="1"/>
    <col min="5" max="5" width="15.85546875" customWidth="1"/>
    <col min="6" max="6" width="17.5703125" customWidth="1"/>
    <col min="7" max="8" width="17.7109375" customWidth="1"/>
    <col min="9" max="9" width="16.7109375" bestFit="1" customWidth="1"/>
    <col min="10" max="10" width="21.7109375" bestFit="1" customWidth="1"/>
    <col min="11" max="11" width="16.7109375" customWidth="1"/>
    <col min="12" max="14" width="16" customWidth="1"/>
    <col min="15" max="15" width="16" bestFit="1" customWidth="1"/>
    <col min="16" max="16" width="16.42578125" customWidth="1"/>
    <col min="17" max="18" width="14.85546875" customWidth="1"/>
    <col min="19" max="19" width="17.7109375" customWidth="1"/>
    <col min="20" max="20" width="16" customWidth="1"/>
    <col min="21" max="21" width="16.140625" bestFit="1" customWidth="1"/>
    <col min="22" max="22" width="14.7109375" bestFit="1" customWidth="1"/>
    <col min="23" max="23" width="16.28515625" customWidth="1"/>
  </cols>
  <sheetData>
    <row r="1" spans="1:20" x14ac:dyDescent="0.25">
      <c r="A1" s="7" t="s">
        <v>279</v>
      </c>
    </row>
    <row r="2" spans="1:20" x14ac:dyDescent="0.25">
      <c r="A2" s="7" t="s">
        <v>280</v>
      </c>
      <c r="B2" s="246">
        <f>SUM(C2:T2)</f>
        <v>964347387.34771347</v>
      </c>
      <c r="C2" s="24">
        <f>'8. Prices'!$C3</f>
        <v>57915801.63376043</v>
      </c>
      <c r="D2" s="24">
        <f>SUM('8. Prices'!C4:C5)</f>
        <v>116659787.97874759</v>
      </c>
      <c r="E2" s="24">
        <f>'8. Prices'!$C6</f>
        <v>16701263.151016528</v>
      </c>
      <c r="F2" s="24">
        <f>'8. Prices'!$C7</f>
        <v>3874311.721767413</v>
      </c>
      <c r="G2" s="24">
        <f>SUM('8. Prices'!C8)</f>
        <v>48567711.918733262</v>
      </c>
      <c r="H2" s="24">
        <f>SUM('8. Prices'!C9)</f>
        <v>10597502.592961429</v>
      </c>
      <c r="I2" s="886">
        <f>(SUM('8. Prices'!C10:C17))+((SUM('8. Prices'!C18)) *0.85)</f>
        <v>46821867.200860284</v>
      </c>
      <c r="J2" s="886">
        <f xml:space="preserve"> (SUM('8. Prices'!C19:C23, '8. Prices'!C25:C28, '8. Prices'!C30:C32, '8. Prices'!C34:C39)) + ((SUM('8. Prices'!C24, '8. Prices'!C29, '8. Prices'!C33, '8. Prices'!C40)) *0.85)</f>
        <v>68549350.068625733</v>
      </c>
      <c r="K2" s="887">
        <f>((SUM('8. Prices'!C18, '8. Prices'!C24, '8. Prices'!C29, '8. Prices'!C33, '8. Prices'!C40)) *0.15)</f>
        <v>6626687.2583979014</v>
      </c>
      <c r="L2" s="24">
        <f>'8. Prices'!$C41</f>
        <v>10628585.578417964</v>
      </c>
      <c r="M2" s="24">
        <f>'8. Prices'!$C42</f>
        <v>32603718.151404247</v>
      </c>
      <c r="N2" s="24">
        <f>'8. Prices'!$C43</f>
        <v>11393345.551429847</v>
      </c>
      <c r="O2" s="24">
        <f>'8. Prices'!C44</f>
        <v>3305815.194714027</v>
      </c>
      <c r="P2" s="24">
        <f>SUM('8. Prices'!$C45:$C46)</f>
        <v>10395663.857337054</v>
      </c>
      <c r="Q2" s="24">
        <f>SUM('8. Prices'!$C47:$C48)*0.656</f>
        <v>12114059.328345068</v>
      </c>
      <c r="R2" s="24">
        <f>SUM('8. Prices'!$C47:$C48)*0.344</f>
        <v>6352494.5258394862</v>
      </c>
      <c r="S2" s="24">
        <f>'8. Prices'!C50</f>
        <v>178823544.50880188</v>
      </c>
      <c r="T2" s="24">
        <f>'8. Prices'!C49</f>
        <v>322415877.12655336</v>
      </c>
    </row>
    <row r="3" spans="1:20" ht="60" x14ac:dyDescent="0.25">
      <c r="A3" s="1006" t="s">
        <v>281</v>
      </c>
      <c r="B3" s="1079" t="s">
        <v>7</v>
      </c>
      <c r="C3" s="28" t="s">
        <v>71</v>
      </c>
      <c r="D3" s="28" t="s">
        <v>75</v>
      </c>
      <c r="E3" s="249" t="s">
        <v>82</v>
      </c>
      <c r="F3" s="249" t="s">
        <v>86</v>
      </c>
      <c r="G3" s="28" t="s">
        <v>90</v>
      </c>
      <c r="H3" s="28" t="s">
        <v>94</v>
      </c>
      <c r="I3" s="165" t="s">
        <v>98</v>
      </c>
      <c r="J3" s="165" t="s">
        <v>127</v>
      </c>
      <c r="K3" s="165" t="s">
        <v>123</v>
      </c>
      <c r="L3" s="165" t="s">
        <v>282</v>
      </c>
      <c r="M3" s="165" t="s">
        <v>283</v>
      </c>
      <c r="N3" s="165" t="s">
        <v>284</v>
      </c>
      <c r="O3" s="165" t="s">
        <v>193</v>
      </c>
      <c r="P3" s="165" t="s">
        <v>198</v>
      </c>
      <c r="Q3" s="165" t="s">
        <v>285</v>
      </c>
      <c r="R3" s="165" t="s">
        <v>286</v>
      </c>
      <c r="S3" s="249" t="s">
        <v>209</v>
      </c>
      <c r="T3" s="249" t="s">
        <v>86</v>
      </c>
    </row>
    <row r="4" spans="1:20" x14ac:dyDescent="0.25">
      <c r="A4" t="s">
        <v>287</v>
      </c>
      <c r="B4" s="19">
        <f>(C4*$C$2)+(D4*$D$2)+(E4*$E$2)+(F4*$F$2)+(G4*$G$2)+(H4*$H$2)+(I4*$I$2)+(J4*$J$2)+(K4*$K$2)+(L4*$L$2)+(M4*$M$2)+(N4*$N$2)+(O4*$O$2)+(P4*$P$2)+(Q4*$Q$2)+(S4*$S$2)+(T4*$T$2)</f>
        <v>10691886.922147591</v>
      </c>
      <c r="C4" s="15">
        <v>1.318760305575036E-2</v>
      </c>
      <c r="D4" s="15">
        <v>2.109244462287722E-2</v>
      </c>
      <c r="E4" s="15">
        <v>2.3387754438690771E-2</v>
      </c>
      <c r="F4" s="15">
        <v>1.415805052990275E-2</v>
      </c>
      <c r="G4" s="15">
        <v>1.2497514962719331E-2</v>
      </c>
      <c r="H4" s="15">
        <v>1.086828588499571E-2</v>
      </c>
      <c r="I4" s="618">
        <v>3.6877408168439099E-3</v>
      </c>
      <c r="J4" s="618">
        <v>6.857138572401715E-3</v>
      </c>
      <c r="K4" s="618">
        <v>3.657624108268003E-3</v>
      </c>
      <c r="L4" s="618">
        <v>2.9477320854765341E-3</v>
      </c>
      <c r="M4" s="618">
        <v>2.6449998344612309E-3</v>
      </c>
      <c r="N4" s="618">
        <v>4.1461354630312683E-3</v>
      </c>
      <c r="O4" s="618">
        <v>9.1413082851830793E-3</v>
      </c>
      <c r="P4" s="618">
        <v>4.0758520867102124E-3</v>
      </c>
      <c r="Q4" s="618">
        <v>2.7536555275794869E-3</v>
      </c>
      <c r="R4" s="15">
        <v>1.6837131792773071E-3</v>
      </c>
      <c r="S4" s="618">
        <v>4.4590019541229124E-3</v>
      </c>
      <c r="T4" s="618">
        <v>1.415805052990275E-2</v>
      </c>
    </row>
    <row r="5" spans="1:20" ht="30" x14ac:dyDescent="0.25">
      <c r="A5" s="5" t="s">
        <v>243</v>
      </c>
      <c r="B5" s="19">
        <f t="shared" ref="B5:B26" si="0">(C5*$C$2)+(D5*$D$2)+(E5*$E$2)+(F5*$F$2)+(G5*$G$2)+(H5*$H$2)+(I5*$I$2)+(J5*$J$2)+(K5*$K$2)+(L5*$L$2)+(M5*$M$2)+(N5*$N$2)+(O5*$O$2)+(P5*$P$2)+(Q5*$Q$2)+(S5*$S$2)+(T5*$T$2)</f>
        <v>4954033.292522762</v>
      </c>
      <c r="C5" s="15">
        <v>3.8657476371254328E-3</v>
      </c>
      <c r="D5" s="15">
        <v>3.4433565040713921E-3</v>
      </c>
      <c r="E5" s="15">
        <v>4.4581216324825791E-3</v>
      </c>
      <c r="F5" s="15">
        <v>6.7071100775701713E-3</v>
      </c>
      <c r="G5" s="15">
        <v>4.198233246139384E-3</v>
      </c>
      <c r="H5" s="15">
        <v>4.1842981396979602E-3</v>
      </c>
      <c r="I5" s="618">
        <v>3.0253070559632051E-3</v>
      </c>
      <c r="J5" s="618">
        <v>5.0199593140635747E-3</v>
      </c>
      <c r="K5" s="618">
        <v>3.5699334226774199E-3</v>
      </c>
      <c r="L5" s="618">
        <v>3.845642883735153E-3</v>
      </c>
      <c r="M5" s="618">
        <v>4.3349566059106134E-3</v>
      </c>
      <c r="N5" s="618">
        <v>4.0436065638274682E-3</v>
      </c>
      <c r="O5" s="618">
        <v>5.9289980587759108E-3</v>
      </c>
      <c r="P5" s="618">
        <v>4.9060527933383101E-3</v>
      </c>
      <c r="Q5" s="618">
        <v>3.7875687779318802E-3</v>
      </c>
      <c r="R5" s="15">
        <v>3.5324277556353901E-3</v>
      </c>
      <c r="S5" s="618">
        <v>5.3857302260492158E-3</v>
      </c>
      <c r="T5" s="618">
        <v>6.7071100775701713E-3</v>
      </c>
    </row>
    <row r="6" spans="1:20" x14ac:dyDescent="0.25">
      <c r="A6" t="s">
        <v>244</v>
      </c>
      <c r="B6" s="19">
        <f t="shared" si="0"/>
        <v>9082193.0325185619</v>
      </c>
      <c r="C6" s="15">
        <v>1.148425862444561E-2</v>
      </c>
      <c r="D6" s="15">
        <v>1.033061167446972E-2</v>
      </c>
      <c r="E6" s="15">
        <v>1.0824935370576759E-2</v>
      </c>
      <c r="F6" s="15">
        <v>8.9774041245782275E-3</v>
      </c>
      <c r="G6" s="15">
        <v>1.210494261076385E-2</v>
      </c>
      <c r="H6" s="15">
        <v>1.0497136057304301E-2</v>
      </c>
      <c r="I6" s="618">
        <v>7.2716235677551038E-3</v>
      </c>
      <c r="J6" s="618">
        <v>8.3993285941228648E-3</v>
      </c>
      <c r="K6" s="618">
        <v>1.0497452134971009E-2</v>
      </c>
      <c r="L6" s="618">
        <v>9.6831689722426031E-3</v>
      </c>
      <c r="M6" s="618">
        <v>2.4146751600722018E-2</v>
      </c>
      <c r="N6" s="618">
        <v>1.014180225973396E-2</v>
      </c>
      <c r="O6" s="618">
        <v>1.027588586016177E-2</v>
      </c>
      <c r="P6" s="618">
        <v>1.1208462535976481E-2</v>
      </c>
      <c r="Q6" s="618">
        <v>9.8340678067687197E-3</v>
      </c>
      <c r="R6" s="15">
        <v>8.6417080071851185E-3</v>
      </c>
      <c r="S6" s="618">
        <v>6.3837231729818146E-3</v>
      </c>
      <c r="T6" s="618">
        <v>8.9774041245782275E-3</v>
      </c>
    </row>
    <row r="7" spans="1:20" x14ac:dyDescent="0.25">
      <c r="A7" t="s">
        <v>245</v>
      </c>
      <c r="B7" s="19">
        <f t="shared" si="0"/>
        <v>4825280.3915042095</v>
      </c>
      <c r="C7" s="15">
        <v>3.8991882352992419E-3</v>
      </c>
      <c r="D7" s="15">
        <v>2.4918276025826299E-3</v>
      </c>
      <c r="E7" s="15">
        <v>5.3477606688801162E-3</v>
      </c>
      <c r="F7" s="15">
        <v>7.0724436654265397E-3</v>
      </c>
      <c r="G7" s="15">
        <v>4.0825200668415974E-3</v>
      </c>
      <c r="H7" s="15">
        <v>5.0360625457291528E-3</v>
      </c>
      <c r="I7" s="618">
        <v>3.3645476188837562E-3</v>
      </c>
      <c r="J7" s="618">
        <v>4.4597973280153108E-3</v>
      </c>
      <c r="K7" s="618">
        <v>4.745471448021705E-3</v>
      </c>
      <c r="L7" s="618">
        <v>3.9618700100393289E-3</v>
      </c>
      <c r="M7" s="618">
        <v>3.8317334843613699E-3</v>
      </c>
      <c r="N7" s="618">
        <v>4.7816892294677187E-3</v>
      </c>
      <c r="O7" s="618">
        <v>7.9125861553823642E-3</v>
      </c>
      <c r="P7" s="618">
        <v>4.9211276104989656E-3</v>
      </c>
      <c r="Q7" s="618">
        <v>6.8115221201637708E-3</v>
      </c>
      <c r="R7" s="15">
        <v>9.9532515726685929E-3</v>
      </c>
      <c r="S7" s="618">
        <v>4.3846701766981321E-3</v>
      </c>
      <c r="T7" s="618">
        <v>7.0724436654265397E-3</v>
      </c>
    </row>
    <row r="8" spans="1:20" x14ac:dyDescent="0.25">
      <c r="A8" s="7" t="s">
        <v>288</v>
      </c>
      <c r="B8" s="19">
        <f t="shared" si="0"/>
        <v>7442987609.072298</v>
      </c>
      <c r="C8" s="15">
        <v>11.48864315876288</v>
      </c>
      <c r="D8" s="15">
        <v>6.8239097577488561</v>
      </c>
      <c r="E8" s="15">
        <v>15.811533300522241</v>
      </c>
      <c r="F8" s="15">
        <v>9.0002671692673957</v>
      </c>
      <c r="G8" s="15">
        <v>8.5255358614098657</v>
      </c>
      <c r="H8" s="15">
        <v>8.5379323975335062</v>
      </c>
      <c r="I8" s="618">
        <v>3.6274600804388331</v>
      </c>
      <c r="J8" s="618">
        <v>5.4361870285817542</v>
      </c>
      <c r="K8" s="618">
        <v>8.436637562485501</v>
      </c>
      <c r="L8" s="618">
        <v>9.1965957598425714</v>
      </c>
      <c r="M8" s="618">
        <v>7.1371818298118761</v>
      </c>
      <c r="N8" s="618">
        <v>8.6598622665190508</v>
      </c>
      <c r="O8" s="618">
        <v>10.60387417057623</v>
      </c>
      <c r="P8" s="618">
        <v>8.4091289717343116</v>
      </c>
      <c r="Q8" s="618">
        <v>11.14823744225029</v>
      </c>
      <c r="R8" s="15">
        <v>9.9489815470590912</v>
      </c>
      <c r="S8" s="618">
        <v>5.5428253312176601</v>
      </c>
      <c r="T8" s="618">
        <v>9.0002671692673957</v>
      </c>
    </row>
    <row r="9" spans="1:20" x14ac:dyDescent="0.25">
      <c r="A9" t="s">
        <v>289</v>
      </c>
      <c r="B9" s="19">
        <f t="shared" si="0"/>
        <v>13386972.750444837</v>
      </c>
      <c r="C9" s="15">
        <v>3.8826432517314888E-3</v>
      </c>
      <c r="D9" s="15">
        <v>3.9323711993003744E-3</v>
      </c>
      <c r="E9" s="15">
        <v>7.0893199633909054E-3</v>
      </c>
      <c r="F9" s="15">
        <v>2.8855575606602721E-2</v>
      </c>
      <c r="G9" s="15">
        <v>3.2863067725379131E-3</v>
      </c>
      <c r="H9" s="15">
        <v>3.0248408687016809E-3</v>
      </c>
      <c r="I9" s="618">
        <v>7.5435546676403873E-4</v>
      </c>
      <c r="J9" s="618">
        <v>1.0657922924799579E-2</v>
      </c>
      <c r="K9" s="618">
        <v>1.7974400944511539E-3</v>
      </c>
      <c r="L9" s="618">
        <v>4.0892826911716378E-3</v>
      </c>
      <c r="M9" s="618">
        <v>3.1753145560312859E-3</v>
      </c>
      <c r="N9" s="618">
        <v>4.9349493670722347E-3</v>
      </c>
      <c r="O9" s="618">
        <v>1.714507231374026E-2</v>
      </c>
      <c r="P9" s="618">
        <v>6.2635620604243446E-3</v>
      </c>
      <c r="Q9" s="618">
        <v>1.4966801876420399E-3</v>
      </c>
      <c r="R9" s="15">
        <v>1.292638118827294E-3</v>
      </c>
      <c r="S9" s="618">
        <v>1.038474306257807E-2</v>
      </c>
      <c r="T9" s="618">
        <v>2.8855575606602721E-2</v>
      </c>
    </row>
    <row r="10" spans="1:20" x14ac:dyDescent="0.25">
      <c r="A10" t="s">
        <v>290</v>
      </c>
      <c r="B10" s="19">
        <f t="shared" si="0"/>
        <v>13973198127.218382</v>
      </c>
      <c r="C10" s="15">
        <v>2.15516466275758</v>
      </c>
      <c r="D10" s="15">
        <v>1.2570094943422561</v>
      </c>
      <c r="E10" s="15">
        <v>4.1768202710636526</v>
      </c>
      <c r="F10" s="15">
        <v>10.27330534937348</v>
      </c>
      <c r="G10" s="15">
        <v>1.6998237137155769</v>
      </c>
      <c r="H10" s="15">
        <v>1.552539217888842</v>
      </c>
      <c r="I10" s="618">
        <v>22.498206603967869</v>
      </c>
      <c r="J10" s="618">
        <v>35.960704527833052</v>
      </c>
      <c r="K10" s="618">
        <v>3.1319901201409119</v>
      </c>
      <c r="L10" s="618">
        <v>5.986426979732058</v>
      </c>
      <c r="M10" s="618">
        <v>1.8466619336965331</v>
      </c>
      <c r="N10" s="618">
        <v>2.835546847243855</v>
      </c>
      <c r="O10" s="618">
        <v>6.2115251968282283</v>
      </c>
      <c r="P10" s="618">
        <v>14.163128707839141</v>
      </c>
      <c r="Q10" s="618">
        <v>3.2006210827993189</v>
      </c>
      <c r="R10" s="15">
        <v>0.70219977355045393</v>
      </c>
      <c r="S10" s="618">
        <v>35.112613113277732</v>
      </c>
      <c r="T10" s="618">
        <v>10.27330534937348</v>
      </c>
    </row>
    <row r="11" spans="1:20" x14ac:dyDescent="0.25">
      <c r="A11" s="7" t="s">
        <v>291</v>
      </c>
      <c r="B11" s="19">
        <f t="shared" si="0"/>
        <v>269124609167.96991</v>
      </c>
      <c r="C11" s="15">
        <v>80.634795374842355</v>
      </c>
      <c r="D11" s="15">
        <v>252.99446000405891</v>
      </c>
      <c r="E11" s="15">
        <v>112.29363213255969</v>
      </c>
      <c r="F11" s="15">
        <v>430.56331793637901</v>
      </c>
      <c r="G11" s="15">
        <v>60.680258761368833</v>
      </c>
      <c r="H11" s="15">
        <v>56.662583147371201</v>
      </c>
      <c r="I11" s="618">
        <v>846.64625749214156</v>
      </c>
      <c r="J11" s="618">
        <v>479.01443488637261</v>
      </c>
      <c r="K11" s="618">
        <v>109.8436190299405</v>
      </c>
      <c r="L11" s="618">
        <v>68.985960959434195</v>
      </c>
      <c r="M11" s="618">
        <v>69.424782310193393</v>
      </c>
      <c r="N11" s="618">
        <v>99.873641617751687</v>
      </c>
      <c r="O11" s="618">
        <v>264.62410604231951</v>
      </c>
      <c r="P11" s="618">
        <v>68.001095917826476</v>
      </c>
      <c r="Q11" s="618">
        <v>70.381685119427289</v>
      </c>
      <c r="R11" s="15">
        <v>39.508976815056442</v>
      </c>
      <c r="S11" s="618">
        <v>51.75018869018831</v>
      </c>
      <c r="T11" s="618">
        <v>430.56331793637901</v>
      </c>
    </row>
    <row r="12" spans="1:20" x14ac:dyDescent="0.25">
      <c r="A12" s="7" t="s">
        <v>292</v>
      </c>
      <c r="B12" s="19">
        <f t="shared" si="0"/>
        <v>1641769866.1768844</v>
      </c>
      <c r="C12" s="15">
        <v>1.01236738296022</v>
      </c>
      <c r="D12" s="15">
        <v>2.5143710668880388</v>
      </c>
      <c r="E12" s="15">
        <v>1.3324452322144069</v>
      </c>
      <c r="F12" s="15">
        <v>2.4682477402857659</v>
      </c>
      <c r="G12" s="15">
        <v>1.8196895789201879</v>
      </c>
      <c r="H12" s="15">
        <v>1.6326270304000741</v>
      </c>
      <c r="I12" s="618">
        <v>0.70979512929600053</v>
      </c>
      <c r="J12" s="618">
        <v>0.99290382245778963</v>
      </c>
      <c r="K12" s="618">
        <v>0.86379922728099912</v>
      </c>
      <c r="L12" s="618">
        <v>0.79679523585694068</v>
      </c>
      <c r="M12" s="618">
        <v>0.63548062233268898</v>
      </c>
      <c r="N12" s="618">
        <v>0.86922349864446269</v>
      </c>
      <c r="O12" s="618">
        <v>1.813786150662636</v>
      </c>
      <c r="P12" s="618">
        <v>1.0259955575785349</v>
      </c>
      <c r="Q12" s="618">
        <v>0.7390781536457911</v>
      </c>
      <c r="R12" s="15">
        <v>0.68006423519933579</v>
      </c>
      <c r="S12" s="618">
        <v>1.0333425476741129</v>
      </c>
      <c r="T12" s="618">
        <v>2.4682477402857659</v>
      </c>
    </row>
    <row r="13" spans="1:20" x14ac:dyDescent="0.25">
      <c r="A13" t="s">
        <v>293</v>
      </c>
      <c r="B13" s="19">
        <f t="shared" si="0"/>
        <v>116728.4913554044</v>
      </c>
      <c r="C13" s="15">
        <v>1.378600073578595E-4</v>
      </c>
      <c r="D13" s="15">
        <v>1.073252163736628E-4</v>
      </c>
      <c r="E13" s="15">
        <v>2.1878593806495461E-4</v>
      </c>
      <c r="F13" s="15">
        <v>1.4973661713544711E-4</v>
      </c>
      <c r="G13" s="15">
        <v>2.3517128391322659E-4</v>
      </c>
      <c r="H13" s="15">
        <v>2.1301600611344751E-4</v>
      </c>
      <c r="I13" s="618">
        <v>5.7446887168121483E-5</v>
      </c>
      <c r="J13" s="618">
        <v>9.8931974028496834E-5</v>
      </c>
      <c r="K13" s="618">
        <v>8.777182704396765E-5</v>
      </c>
      <c r="L13" s="618">
        <v>8.4759195484078855E-5</v>
      </c>
      <c r="M13" s="618">
        <v>5.9769290941126507E-5</v>
      </c>
      <c r="N13" s="618">
        <v>8.6163269966599743E-5</v>
      </c>
      <c r="O13" s="618">
        <v>1.2336281355901469E-4</v>
      </c>
      <c r="P13" s="618">
        <v>1.12391680678376E-4</v>
      </c>
      <c r="Q13" s="618">
        <v>1.033121761274759E-4</v>
      </c>
      <c r="R13" s="15">
        <v>8.1530109123951181E-5</v>
      </c>
      <c r="S13" s="618">
        <v>7.449132387348092E-5</v>
      </c>
      <c r="T13" s="618">
        <v>1.4973661713544711E-4</v>
      </c>
    </row>
    <row r="14" spans="1:20" x14ac:dyDescent="0.25">
      <c r="A14" t="s">
        <v>294</v>
      </c>
      <c r="B14" s="19">
        <f t="shared" si="0"/>
        <v>0.4889521955130014</v>
      </c>
      <c r="C14" s="15">
        <v>3.1816992731369689E-10</v>
      </c>
      <c r="D14" s="15">
        <v>3.4274691917767112E-10</v>
      </c>
      <c r="E14" s="15">
        <v>4.7612413390536121E-10</v>
      </c>
      <c r="F14" s="15">
        <v>8.8837153597897375E-10</v>
      </c>
      <c r="G14" s="15">
        <v>3.1963016615111651E-10</v>
      </c>
      <c r="H14" s="15">
        <v>2.9832839120739238E-10</v>
      </c>
      <c r="I14" s="618">
        <v>2.2755381377880461E-10</v>
      </c>
      <c r="J14" s="618">
        <v>3.4214639589535402E-10</v>
      </c>
      <c r="K14" s="618">
        <v>2.1148308863100121E-10</v>
      </c>
      <c r="L14" s="618">
        <v>2.7048924403086848E-10</v>
      </c>
      <c r="M14" s="618">
        <v>1.987882128715309E-10</v>
      </c>
      <c r="N14" s="618">
        <v>2.9422717507074292E-10</v>
      </c>
      <c r="O14" s="618">
        <v>6.5252321871725898E-10</v>
      </c>
      <c r="P14" s="618">
        <v>3.1600744356024579E-10</v>
      </c>
      <c r="Q14" s="618">
        <v>2.8123996086307361E-10</v>
      </c>
      <c r="R14" s="15">
        <v>2.002070764808246E-10</v>
      </c>
      <c r="S14" s="618">
        <v>3.185760767720199E-10</v>
      </c>
      <c r="T14" s="618">
        <v>8.8837153597897375E-10</v>
      </c>
    </row>
    <row r="15" spans="1:20" x14ac:dyDescent="0.25">
      <c r="A15" t="s">
        <v>295</v>
      </c>
      <c r="B15" s="19">
        <f t="shared" si="0"/>
        <v>5.5345628581891955</v>
      </c>
      <c r="C15" s="15">
        <v>4.0903361347430467E-9</v>
      </c>
      <c r="D15" s="15">
        <v>3.327999642246865E-9</v>
      </c>
      <c r="E15" s="15">
        <v>5.100438169702783E-9</v>
      </c>
      <c r="F15" s="15">
        <v>7.5694013190288883E-9</v>
      </c>
      <c r="G15" s="15">
        <v>3.9781843210250247E-9</v>
      </c>
      <c r="H15" s="15">
        <v>4.0560542901879546E-9</v>
      </c>
      <c r="I15" s="618">
        <v>3.7200482772273869E-9</v>
      </c>
      <c r="J15" s="618">
        <v>7.005825109389278E-9</v>
      </c>
      <c r="K15" s="618">
        <v>3.9877547587127367E-9</v>
      </c>
      <c r="L15" s="618">
        <v>4.4226233593489582E-9</v>
      </c>
      <c r="M15" s="618">
        <v>3.3342040324403109E-9</v>
      </c>
      <c r="N15" s="618">
        <v>4.3146538625336637E-9</v>
      </c>
      <c r="O15" s="618">
        <v>6.5033904764550723E-9</v>
      </c>
      <c r="P15" s="618">
        <v>5.0692613062538373E-9</v>
      </c>
      <c r="Q15" s="618">
        <v>6.5109925342485998E-9</v>
      </c>
      <c r="R15" s="15">
        <v>5.098187148620111E-9</v>
      </c>
      <c r="S15" s="618">
        <v>6.0362836853159548E-9</v>
      </c>
      <c r="T15" s="618">
        <v>7.5694013190288883E-9</v>
      </c>
    </row>
    <row r="16" spans="1:20" x14ac:dyDescent="0.25">
      <c r="A16" t="s">
        <v>296</v>
      </c>
      <c r="B16" s="19">
        <f t="shared" si="0"/>
        <v>3604055.213219922</v>
      </c>
      <c r="C16" s="15">
        <v>1.6052613185910049E-3</v>
      </c>
      <c r="D16" s="15">
        <v>3.8829399673370349E-3</v>
      </c>
      <c r="E16" s="15">
        <v>2.7042149787252002E-3</v>
      </c>
      <c r="F16" s="15">
        <v>5.4919898918951854E-3</v>
      </c>
      <c r="G16" s="15">
        <v>1.4974204325789429E-3</v>
      </c>
      <c r="H16" s="15">
        <v>1.3293936542505421E-3</v>
      </c>
      <c r="I16" s="618">
        <v>2.7563390968277931E-4</v>
      </c>
      <c r="J16" s="618">
        <v>1.0366355853467181E-3</v>
      </c>
      <c r="K16" s="618">
        <v>7.0092073073209642E-4</v>
      </c>
      <c r="L16" s="618">
        <v>1.4595897160430439E-3</v>
      </c>
      <c r="M16" s="618">
        <v>7.8565125871731738E-4</v>
      </c>
      <c r="N16" s="618">
        <v>1.248472741862844E-3</v>
      </c>
      <c r="O16" s="618">
        <v>3.381591430660592E-3</v>
      </c>
      <c r="P16" s="618">
        <v>2.6662440068393879E-3</v>
      </c>
      <c r="Q16" s="618">
        <v>1.010432534903198E-3</v>
      </c>
      <c r="R16" s="15">
        <v>3.9821522133958869E-4</v>
      </c>
      <c r="S16" s="618">
        <v>5.2512144967963494E-3</v>
      </c>
      <c r="T16" s="618">
        <v>5.4919898918951854E-3</v>
      </c>
    </row>
    <row r="17" spans="1:20" x14ac:dyDescent="0.25">
      <c r="A17" t="s">
        <v>297</v>
      </c>
      <c r="B17" s="19">
        <f t="shared" si="0"/>
        <v>6.0235150537021962</v>
      </c>
      <c r="C17" s="15">
        <v>4.4085060620567461E-9</v>
      </c>
      <c r="D17" s="15">
        <v>3.6707465614245348E-9</v>
      </c>
      <c r="E17" s="15">
        <v>5.5765623036081398E-9</v>
      </c>
      <c r="F17" s="15">
        <v>8.4577728550078589E-9</v>
      </c>
      <c r="G17" s="15">
        <v>4.2978144871761398E-9</v>
      </c>
      <c r="H17" s="15">
        <v>4.3543826813953474E-9</v>
      </c>
      <c r="I17" s="618">
        <v>3.9476020910061907E-9</v>
      </c>
      <c r="J17" s="618">
        <v>7.3479715052846302E-9</v>
      </c>
      <c r="K17" s="618">
        <v>4.1992378473437367E-9</v>
      </c>
      <c r="L17" s="618">
        <v>4.6931126033798291E-9</v>
      </c>
      <c r="M17" s="618">
        <v>3.532992245311846E-9</v>
      </c>
      <c r="N17" s="618">
        <v>4.6088810376044101E-9</v>
      </c>
      <c r="O17" s="618">
        <v>7.1559136951723319E-9</v>
      </c>
      <c r="P17" s="618">
        <v>5.38526874981408E-9</v>
      </c>
      <c r="Q17" s="618">
        <v>6.7922324951116763E-9</v>
      </c>
      <c r="R17" s="15">
        <v>5.2983942251009368E-9</v>
      </c>
      <c r="S17" s="618">
        <v>6.3548597620879803E-9</v>
      </c>
      <c r="T17" s="618">
        <v>8.4577728550078589E-9</v>
      </c>
    </row>
    <row r="18" spans="1:20" x14ac:dyDescent="0.25">
      <c r="A18" t="s">
        <v>298</v>
      </c>
      <c r="B18" s="19">
        <f t="shared" si="0"/>
        <v>6145.9858951616552</v>
      </c>
      <c r="C18" s="15">
        <v>9.2498891532403093E-6</v>
      </c>
      <c r="D18" s="15">
        <v>6.4614024153474043E-6</v>
      </c>
      <c r="E18" s="15">
        <v>6.3885893225730586E-6</v>
      </c>
      <c r="F18" s="15">
        <v>5.7124856894963139E-6</v>
      </c>
      <c r="G18" s="15">
        <v>7.6440406626576503E-6</v>
      </c>
      <c r="H18" s="15">
        <v>7.2858179783937343E-6</v>
      </c>
      <c r="I18" s="618">
        <v>9.5843276575365095E-6</v>
      </c>
      <c r="J18" s="618">
        <v>1.016117043949904E-5</v>
      </c>
      <c r="K18" s="618">
        <v>7.43761151214767E-6</v>
      </c>
      <c r="L18" s="618">
        <v>5.5561277527460064E-6</v>
      </c>
      <c r="M18" s="618">
        <v>1.1707584102528281E-5</v>
      </c>
      <c r="N18" s="618">
        <v>7.3351625707281104E-6</v>
      </c>
      <c r="O18" s="618">
        <v>5.7351791529333104E-6</v>
      </c>
      <c r="P18" s="618">
        <v>4.747120851093001E-6</v>
      </c>
      <c r="Q18" s="618">
        <v>6.942631449076733E-6</v>
      </c>
      <c r="R18" s="15">
        <v>7.4883735128728334E-6</v>
      </c>
      <c r="S18" s="618">
        <v>3.165474101383772E-6</v>
      </c>
      <c r="T18" s="618">
        <v>5.7124856894963139E-6</v>
      </c>
    </row>
    <row r="19" spans="1:20" x14ac:dyDescent="0.25">
      <c r="A19" t="s">
        <v>299</v>
      </c>
      <c r="B19" s="19">
        <f t="shared" si="0"/>
        <v>8513432478.6117382</v>
      </c>
      <c r="C19" s="15">
        <v>3.2959313297587829</v>
      </c>
      <c r="D19" s="15">
        <v>24.31995902632719</v>
      </c>
      <c r="E19" s="15">
        <v>3.6297654982879659</v>
      </c>
      <c r="F19" s="15">
        <v>9.3340126456825327</v>
      </c>
      <c r="G19" s="15">
        <v>3.6364051326924818</v>
      </c>
      <c r="H19" s="15">
        <v>3.250885640832669</v>
      </c>
      <c r="I19" s="618">
        <v>1.4845122733267391</v>
      </c>
      <c r="J19" s="618">
        <v>1.917472197595594</v>
      </c>
      <c r="K19" s="618">
        <v>2.1882343714974191</v>
      </c>
      <c r="L19" s="618">
        <v>2.8423033630557382</v>
      </c>
      <c r="M19" s="618">
        <v>1.5968853171967321</v>
      </c>
      <c r="N19" s="618">
        <v>2.717785319092318</v>
      </c>
      <c r="O19" s="618">
        <v>5.6995116495616278</v>
      </c>
      <c r="P19" s="618">
        <v>5.3399104459566402</v>
      </c>
      <c r="Q19" s="618">
        <v>2.4038395747771242</v>
      </c>
      <c r="R19" s="15">
        <v>1.185189163474214</v>
      </c>
      <c r="S19" s="618">
        <v>9.7075631999938459</v>
      </c>
      <c r="T19" s="618">
        <v>9.3340126456825327</v>
      </c>
    </row>
    <row r="20" spans="1:20" x14ac:dyDescent="0.25">
      <c r="A20" t="s">
        <v>300</v>
      </c>
      <c r="B20" s="19">
        <f t="shared" si="0"/>
        <v>659157612.31823504</v>
      </c>
      <c r="C20" s="15">
        <v>0.24836096591080689</v>
      </c>
      <c r="D20" s="15">
        <v>0.20929955811147699</v>
      </c>
      <c r="E20" s="15">
        <v>0.42945398488790049</v>
      </c>
      <c r="F20" s="15">
        <v>1.429304785003237</v>
      </c>
      <c r="G20" s="15">
        <v>0.26559980646018072</v>
      </c>
      <c r="H20" s="15">
        <v>0.2481386977588573</v>
      </c>
      <c r="I20" s="618">
        <v>0.2501930761690595</v>
      </c>
      <c r="J20" s="618">
        <v>0.43513511618851419</v>
      </c>
      <c r="K20" s="618">
        <v>0.17942235068675649</v>
      </c>
      <c r="L20" s="618">
        <v>0.2442323133714901</v>
      </c>
      <c r="M20" s="618">
        <v>0.19877037936799841</v>
      </c>
      <c r="N20" s="618">
        <v>0.29956211976162872</v>
      </c>
      <c r="O20" s="618">
        <v>0.87775641944196248</v>
      </c>
      <c r="P20" s="618">
        <v>0.29439394329859442</v>
      </c>
      <c r="Q20" s="618">
        <v>0.1622237408651328</v>
      </c>
      <c r="R20" s="15">
        <v>0.15297569635952549</v>
      </c>
      <c r="S20" s="618">
        <v>0.38103726757942202</v>
      </c>
      <c r="T20" s="618">
        <v>1.429304785003237</v>
      </c>
    </row>
    <row r="21" spans="1:20" x14ac:dyDescent="0.25">
      <c r="A21" t="s">
        <v>301</v>
      </c>
      <c r="B21" s="19">
        <f t="shared" si="0"/>
        <v>6915881055.9295292</v>
      </c>
      <c r="C21" s="15">
        <v>10.6825466363342</v>
      </c>
      <c r="D21" s="15">
        <v>6.3462491246491108</v>
      </c>
      <c r="E21" s="15">
        <v>15.289630462784171</v>
      </c>
      <c r="F21" s="15">
        <v>8.5143611306515474</v>
      </c>
      <c r="G21" s="15">
        <v>7.63506773071797</v>
      </c>
      <c r="H21" s="15">
        <v>7.5589274493724332</v>
      </c>
      <c r="I21" s="618">
        <v>3.3306210935047189</v>
      </c>
      <c r="J21" s="618">
        <v>4.9769181518787304</v>
      </c>
      <c r="K21" s="618">
        <v>7.3556248150191363</v>
      </c>
      <c r="L21" s="618">
        <v>7.4256407934105084</v>
      </c>
      <c r="M21" s="618">
        <v>6.134654674991852</v>
      </c>
      <c r="N21" s="618">
        <v>7.3402314034367091</v>
      </c>
      <c r="O21" s="618">
        <v>9.7539508023072443</v>
      </c>
      <c r="P21" s="618">
        <v>7.7239274997761553</v>
      </c>
      <c r="Q21" s="618">
        <v>9.6717285412653311</v>
      </c>
      <c r="R21" s="15">
        <v>8.5969413091254552</v>
      </c>
      <c r="S21" s="618">
        <v>5.2246158352782412</v>
      </c>
      <c r="T21" s="618">
        <v>8.5143611306515474</v>
      </c>
    </row>
    <row r="22" spans="1:20" x14ac:dyDescent="0.25">
      <c r="A22" t="s">
        <v>302</v>
      </c>
      <c r="B22" s="19">
        <f t="shared" si="0"/>
        <v>1062.1326043199115</v>
      </c>
      <c r="C22" s="15">
        <v>1.191348867028256E-7</v>
      </c>
      <c r="D22" s="15">
        <v>7.1969639935790091E-8</v>
      </c>
      <c r="E22" s="15">
        <v>1.848950491220726E-7</v>
      </c>
      <c r="F22" s="15">
        <v>1.8524704945950559E-7</v>
      </c>
      <c r="G22" s="15">
        <v>1.16011692701696E-7</v>
      </c>
      <c r="H22" s="15">
        <v>1.3328973010243791E-7</v>
      </c>
      <c r="I22" s="618">
        <v>1.7526447145886389E-6</v>
      </c>
      <c r="J22" s="618">
        <v>1.2545830139579159E-5</v>
      </c>
      <c r="K22" s="618">
        <v>4.5269889953147988E-7</v>
      </c>
      <c r="L22" s="618">
        <v>1.254307137938824E-7</v>
      </c>
      <c r="M22" s="618">
        <v>1.2150996891400739E-7</v>
      </c>
      <c r="N22" s="618">
        <v>1.707890539953856E-7</v>
      </c>
      <c r="O22" s="618">
        <v>2.9710291189507899E-7</v>
      </c>
      <c r="P22" s="618">
        <v>1.09379144114893E-7</v>
      </c>
      <c r="Q22" s="618">
        <v>2.087087123379548E-7</v>
      </c>
      <c r="R22" s="15">
        <v>2.08511997072819E-7</v>
      </c>
      <c r="S22" s="618">
        <v>1.079213922841616E-7</v>
      </c>
      <c r="T22" s="618">
        <v>1.8524704945950559E-7</v>
      </c>
    </row>
    <row r="23" spans="1:20" x14ac:dyDescent="0.25">
      <c r="A23" t="s">
        <v>303</v>
      </c>
      <c r="B23" s="19">
        <f t="shared" si="0"/>
        <v>445329.81554852647</v>
      </c>
      <c r="C23" s="15">
        <v>6.9730435087333117E-5</v>
      </c>
      <c r="D23" s="15">
        <v>5.0393514952694212E-5</v>
      </c>
      <c r="E23" s="15">
        <v>1.344692962212865E-4</v>
      </c>
      <c r="F23" s="15">
        <v>5.8896973760598568E-4</v>
      </c>
      <c r="G23" s="15">
        <v>5.4941076582180872E-5</v>
      </c>
      <c r="H23" s="15">
        <v>5.1024482337880917E-5</v>
      </c>
      <c r="I23" s="618">
        <v>5.7551368770407234E-4</v>
      </c>
      <c r="J23" s="618">
        <v>1.670596743718357E-3</v>
      </c>
      <c r="K23" s="618">
        <v>9.4827255916089148E-5</v>
      </c>
      <c r="L23" s="618">
        <v>1.2547113534711849E-4</v>
      </c>
      <c r="M23" s="618">
        <v>7.2920156404368352E-5</v>
      </c>
      <c r="N23" s="618">
        <v>1.130716509976565E-4</v>
      </c>
      <c r="O23" s="618">
        <v>3.4906321942515658E-4</v>
      </c>
      <c r="P23" s="618">
        <v>2.2826630089078489E-4</v>
      </c>
      <c r="Q23" s="618">
        <v>6.467940057103238E-5</v>
      </c>
      <c r="R23" s="15">
        <v>2.7638908580779239E-5</v>
      </c>
      <c r="S23" s="618">
        <v>4.8304253120696122E-4</v>
      </c>
      <c r="T23" s="618">
        <v>5.8896973760598568E-4</v>
      </c>
    </row>
    <row r="24" spans="1:20" x14ac:dyDescent="0.25">
      <c r="A24" t="s">
        <v>304</v>
      </c>
      <c r="B24" s="19">
        <f t="shared" si="0"/>
        <v>527106553.14276922</v>
      </c>
      <c r="C24" s="15">
        <v>0.80609652242867968</v>
      </c>
      <c r="D24" s="15">
        <v>0.4776606330997446</v>
      </c>
      <c r="E24" s="15">
        <v>0.521902837738068</v>
      </c>
      <c r="F24" s="15">
        <v>0.48590603861584791</v>
      </c>
      <c r="G24" s="15">
        <v>0.89046813069189723</v>
      </c>
      <c r="H24" s="15">
        <v>0.97900494816107275</v>
      </c>
      <c r="I24" s="618">
        <v>0.29683898693411431</v>
      </c>
      <c r="J24" s="618">
        <v>0.45926887670302358</v>
      </c>
      <c r="K24" s="618">
        <v>1.081012747466364</v>
      </c>
      <c r="L24" s="618">
        <v>1.770954966432065</v>
      </c>
      <c r="M24" s="618">
        <v>1.002527154820025</v>
      </c>
      <c r="N24" s="618">
        <v>1.3196308630823419</v>
      </c>
      <c r="O24" s="618">
        <v>0.84992336826898551</v>
      </c>
      <c r="P24" s="618">
        <v>0.68520147195815739</v>
      </c>
      <c r="Q24" s="618">
        <v>1.4765089009849559</v>
      </c>
      <c r="R24" s="15">
        <v>1.3520402379336349</v>
      </c>
      <c r="S24" s="618">
        <v>0.31820949593941961</v>
      </c>
      <c r="T24" s="618">
        <v>0.48590603861584791</v>
      </c>
    </row>
    <row r="25" spans="1:20" x14ac:dyDescent="0.25">
      <c r="A25" t="s">
        <v>305</v>
      </c>
      <c r="B25" s="19">
        <f t="shared" si="0"/>
        <v>26797698.8420467</v>
      </c>
      <c r="C25" s="15">
        <v>2.5303978064911289E-2</v>
      </c>
      <c r="D25" s="15">
        <v>2.8513446681106041E-2</v>
      </c>
      <c r="E25" s="15">
        <v>3.3993788269439357E-2</v>
      </c>
      <c r="F25" s="15">
        <v>3.815537604024595E-2</v>
      </c>
      <c r="G25" s="15">
        <v>2.534257313322287E-2</v>
      </c>
      <c r="H25" s="15">
        <v>2.3401529669657278E-2</v>
      </c>
      <c r="I25" s="618">
        <v>1.416190838496641E-2</v>
      </c>
      <c r="J25" s="618">
        <v>2.2095912281279641E-2</v>
      </c>
      <c r="K25" s="618">
        <v>1.6538843295166739E-2</v>
      </c>
      <c r="L25" s="618">
        <v>2.100269578747585E-2</v>
      </c>
      <c r="M25" s="618">
        <v>1.513827446786929E-2</v>
      </c>
      <c r="N25" s="618">
        <v>2.002087597591919E-2</v>
      </c>
      <c r="O25" s="618">
        <v>3.7516152122192468E-2</v>
      </c>
      <c r="P25" s="618">
        <v>2.4754355939744802E-2</v>
      </c>
      <c r="Q25" s="618">
        <v>2.168732595150696E-2</v>
      </c>
      <c r="R25" s="15">
        <v>1.5069380619409571E-2</v>
      </c>
      <c r="S25" s="618">
        <v>2.0317288351102029E-2</v>
      </c>
      <c r="T25" s="618">
        <v>3.815537604024595E-2</v>
      </c>
    </row>
    <row r="26" spans="1:20" x14ac:dyDescent="0.25">
      <c r="A26" t="s">
        <v>306</v>
      </c>
      <c r="B26" s="19">
        <f t="shared" si="0"/>
        <v>950639588.29935288</v>
      </c>
      <c r="C26" s="15">
        <v>0.990830244683645</v>
      </c>
      <c r="D26" s="15">
        <v>0.99182359549903998</v>
      </c>
      <c r="E26" s="15">
        <v>0.98841989699400234</v>
      </c>
      <c r="F26" s="15">
        <v>0.99152227996466391</v>
      </c>
      <c r="G26" s="15">
        <v>0.98805455394370822</v>
      </c>
      <c r="H26" s="15">
        <v>0.99039653258594607</v>
      </c>
      <c r="I26" s="618">
        <v>0.99780738034794014</v>
      </c>
      <c r="J26" s="618">
        <v>0.99648447125573625</v>
      </c>
      <c r="K26" s="618">
        <v>0.99057803570871705</v>
      </c>
      <c r="L26" s="618">
        <v>0.99064850785144909</v>
      </c>
      <c r="M26" s="618">
        <v>0.99197779912492612</v>
      </c>
      <c r="N26" s="618">
        <v>0.9915140102676685</v>
      </c>
      <c r="O26" s="618">
        <v>0.98947840313548718</v>
      </c>
      <c r="P26" s="618">
        <v>0.98893161346759928</v>
      </c>
      <c r="Q26" s="618">
        <v>0.99250625128737957</v>
      </c>
      <c r="R26" s="15">
        <v>0.99051966550514214</v>
      </c>
      <c r="S26" s="618">
        <v>0.99371169988393082</v>
      </c>
      <c r="T26" s="618">
        <v>0.99152227996466391</v>
      </c>
    </row>
    <row r="27" spans="1:20" x14ac:dyDescent="0.25">
      <c r="I27" s="33"/>
      <c r="J27" s="33"/>
      <c r="K27" s="33"/>
      <c r="L27" s="33"/>
      <c r="M27" s="33"/>
      <c r="N27" s="33"/>
      <c r="O27" s="33"/>
      <c r="P27" s="33"/>
      <c r="Q27" s="33"/>
      <c r="R27" s="33"/>
      <c r="S27" s="33"/>
      <c r="T27" s="33"/>
    </row>
    <row r="28" spans="1:20" x14ac:dyDescent="0.25">
      <c r="A28" s="1116" t="s">
        <v>307</v>
      </c>
      <c r="B28" s="1116"/>
      <c r="C28" s="1116"/>
      <c r="D28" s="1116"/>
      <c r="E28" s="1116"/>
      <c r="F28" s="1116"/>
      <c r="G28" s="1116"/>
      <c r="H28" s="1116"/>
      <c r="I28" s="1116"/>
      <c r="J28" s="33"/>
      <c r="K28" s="33"/>
      <c r="L28" s="33"/>
      <c r="M28" s="33"/>
      <c r="N28" s="33"/>
      <c r="O28" s="33"/>
      <c r="P28" s="33"/>
      <c r="Q28" s="33"/>
      <c r="R28" s="33"/>
      <c r="S28" s="33"/>
      <c r="T28" s="33"/>
    </row>
    <row r="29" spans="1:20" ht="33" customHeight="1" x14ac:dyDescent="0.25">
      <c r="A29" s="1119" t="s">
        <v>308</v>
      </c>
      <c r="B29" s="1119"/>
      <c r="C29" s="1119"/>
      <c r="D29" s="1119"/>
      <c r="E29" s="1119"/>
      <c r="F29" s="1119"/>
      <c r="G29" s="1119"/>
      <c r="H29" s="1119"/>
      <c r="I29" s="1119"/>
      <c r="J29" s="33"/>
      <c r="K29" s="33"/>
      <c r="L29" s="33"/>
      <c r="M29" s="33"/>
      <c r="N29" s="33"/>
      <c r="O29" s="33"/>
      <c r="P29" s="33"/>
      <c r="Q29" s="33"/>
      <c r="R29" s="33"/>
      <c r="S29" s="33"/>
      <c r="T29" s="33"/>
    </row>
    <row r="30" spans="1:20" ht="29.25" customHeight="1" x14ac:dyDescent="0.25">
      <c r="A30" s="1120" t="s">
        <v>309</v>
      </c>
      <c r="B30" s="1120"/>
      <c r="C30" s="1120"/>
      <c r="D30" s="1120"/>
      <c r="E30" s="1120"/>
      <c r="F30" s="1120"/>
      <c r="G30" s="1120"/>
      <c r="H30" s="1120"/>
      <c r="I30" s="1120"/>
    </row>
    <row r="31" spans="1:20" ht="30" customHeight="1" x14ac:dyDescent="0.25">
      <c r="A31" s="1096" t="s">
        <v>310</v>
      </c>
      <c r="B31" s="1096"/>
      <c r="C31" s="1096"/>
      <c r="D31" s="1096"/>
      <c r="E31" s="1096"/>
      <c r="F31" s="1096"/>
      <c r="G31" s="1096"/>
      <c r="H31" s="1096"/>
      <c r="I31" s="1096"/>
    </row>
    <row r="32" spans="1:20" ht="33.75" customHeight="1" x14ac:dyDescent="0.25">
      <c r="A32" s="1096" t="s">
        <v>311</v>
      </c>
      <c r="B32" s="1096"/>
      <c r="C32" s="1096"/>
      <c r="D32" s="1096"/>
      <c r="E32" s="1096"/>
      <c r="F32" s="1096"/>
      <c r="G32" s="1096"/>
      <c r="H32" s="1096"/>
      <c r="I32" s="1096"/>
    </row>
    <row r="33" spans="1:9" x14ac:dyDescent="0.25">
      <c r="A33" s="5"/>
      <c r="B33" s="5"/>
      <c r="C33" s="5"/>
      <c r="D33" s="5"/>
      <c r="E33" s="5"/>
      <c r="F33" s="5"/>
      <c r="G33" s="5"/>
      <c r="H33" s="5"/>
      <c r="I33" s="5"/>
    </row>
    <row r="34" spans="1:9" x14ac:dyDescent="0.25">
      <c r="A34" s="1116" t="s">
        <v>206</v>
      </c>
      <c r="B34" s="1116"/>
      <c r="C34" s="1116"/>
      <c r="D34" s="1116"/>
      <c r="E34" s="1116"/>
      <c r="F34" s="1116"/>
      <c r="G34" s="1116"/>
      <c r="H34" s="1116"/>
      <c r="I34" s="1116"/>
    </row>
    <row r="35" spans="1:9" x14ac:dyDescent="0.25">
      <c r="A35" s="1118" t="s">
        <v>312</v>
      </c>
      <c r="B35" s="1118"/>
      <c r="C35" s="1118"/>
      <c r="D35" s="1118"/>
      <c r="E35" s="1118"/>
      <c r="F35" s="1118"/>
      <c r="G35" s="1118"/>
      <c r="H35" s="1118"/>
      <c r="I35" s="1118"/>
    </row>
    <row r="36" spans="1:9" s="885" customFormat="1" ht="46.5" customHeight="1" x14ac:dyDescent="0.25">
      <c r="A36" s="1096" t="s">
        <v>313</v>
      </c>
      <c r="B36" s="1096"/>
      <c r="C36" s="1096"/>
      <c r="D36" s="1096"/>
      <c r="E36" s="1096"/>
      <c r="F36" s="1096"/>
      <c r="G36" s="1096"/>
      <c r="H36" s="1096"/>
      <c r="I36" s="1096"/>
    </row>
    <row r="38" spans="1:9" x14ac:dyDescent="0.25">
      <c r="A38" s="1116" t="s">
        <v>314</v>
      </c>
      <c r="B38" s="1116"/>
      <c r="C38" s="1116"/>
      <c r="D38" s="1116"/>
      <c r="E38" s="1116"/>
      <c r="F38" s="1116"/>
      <c r="G38" s="1116"/>
      <c r="H38" s="1116"/>
      <c r="I38" s="1116"/>
    </row>
    <row r="39" spans="1:9" ht="14.45" customHeight="1" x14ac:dyDescent="0.25">
      <c r="A39" t="s">
        <v>315</v>
      </c>
      <c r="B39" s="1117" t="s">
        <v>316</v>
      </c>
      <c r="C39" s="1118"/>
      <c r="D39" s="1118"/>
      <c r="E39" s="1118"/>
      <c r="F39" s="1118"/>
      <c r="G39" s="1118"/>
      <c r="H39" s="1118"/>
      <c r="I39" s="1118"/>
    </row>
  </sheetData>
  <mergeCells count="10">
    <mergeCell ref="A28:I28"/>
    <mergeCell ref="A34:I34"/>
    <mergeCell ref="A30:I30"/>
    <mergeCell ref="A36:I36"/>
    <mergeCell ref="A35:I35"/>
    <mergeCell ref="A38:I38"/>
    <mergeCell ref="B39:I39"/>
    <mergeCell ref="A31:I31"/>
    <mergeCell ref="A32:I32"/>
    <mergeCell ref="A29:I29"/>
  </mergeCells>
  <pageMargins left="0.7" right="0.7" top="0.75" bottom="0.75" header="0.3" footer="0.3"/>
  <pageSetup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3AD74-E0A3-4024-B4C4-7789FC24DEE0}">
  <sheetPr>
    <tabColor rgb="FFD9E1F2"/>
  </sheetPr>
  <dimension ref="A1:T39"/>
  <sheetViews>
    <sheetView topLeftCell="C1" workbookViewId="0">
      <selection activeCell="I3" sqref="I3"/>
    </sheetView>
  </sheetViews>
  <sheetFormatPr defaultRowHeight="15" x14ac:dyDescent="0.25"/>
  <cols>
    <col min="1" max="1" width="43.42578125" bestFit="1" customWidth="1"/>
    <col min="2" max="2" width="20.7109375" customWidth="1"/>
    <col min="3" max="3" width="16" customWidth="1"/>
    <col min="4" max="4" width="15.85546875" customWidth="1"/>
    <col min="5" max="5" width="15.28515625" bestFit="1" customWidth="1"/>
    <col min="6" max="6" width="19.5703125" customWidth="1"/>
    <col min="7" max="9" width="15.28515625" bestFit="1" customWidth="1"/>
    <col min="10" max="10" width="14.85546875" customWidth="1"/>
    <col min="11" max="11" width="15.7109375" customWidth="1"/>
    <col min="12" max="12" width="14.85546875" bestFit="1" customWidth="1"/>
    <col min="13" max="14" width="15.28515625" bestFit="1" customWidth="1"/>
    <col min="15" max="15" width="14.85546875" bestFit="1" customWidth="1"/>
    <col min="16" max="16" width="15.42578125" customWidth="1"/>
    <col min="17" max="17" width="15.28515625" bestFit="1" customWidth="1"/>
    <col min="18" max="18" width="15.28515625" customWidth="1"/>
    <col min="19" max="19" width="17.28515625" customWidth="1"/>
    <col min="20" max="20" width="18.140625" customWidth="1"/>
  </cols>
  <sheetData>
    <row r="1" spans="1:20" x14ac:dyDescent="0.25">
      <c r="A1" s="7" t="s">
        <v>317</v>
      </c>
    </row>
    <row r="2" spans="1:20" s="248" customFormat="1" x14ac:dyDescent="0.25">
      <c r="A2" s="505" t="s">
        <v>318</v>
      </c>
      <c r="B2" s="505">
        <f>SUM(C2:T2)</f>
        <v>798676583.42662477</v>
      </c>
      <c r="C2" s="506">
        <f>'8. Prices'!$D3</f>
        <v>56233534.986519448</v>
      </c>
      <c r="D2" s="506">
        <f>SUM('8. Prices'!D4:D5)</f>
        <v>113271198.59804824</v>
      </c>
      <c r="E2" s="506">
        <f>'8. Prices'!$D6</f>
        <v>16394708.453299638</v>
      </c>
      <c r="F2" s="506">
        <f>'8. Prices'!$D7</f>
        <v>3354969.9458235861</v>
      </c>
      <c r="G2" s="506">
        <f>SUM('8. Prices'!D8)</f>
        <v>47981737.79696703</v>
      </c>
      <c r="H2" s="506">
        <f>SUM('8. Prices'!D9)</f>
        <v>10469642.703551428</v>
      </c>
      <c r="I2" s="604">
        <f>SUM('8. Prices'!D10:D17)</f>
        <v>10125413.257638602</v>
      </c>
      <c r="J2" s="604">
        <f xml:space="preserve"> ((SUM('8. Prices'!D19:D23, '8. Prices'!D25:D28, '8. Prices'!D30:D32, '8. Prices'!D34:D39))+(SUM( '8. Prices'!D24, '8. Prices'!D29, '8. Prices'!D33, '8. Prices'!D40))*0.85)</f>
        <v>16428883.62276395</v>
      </c>
      <c r="K2" s="604">
        <f>SUM('8. Prices'!D18, '8. Prices'!D24, '8. Prices'!D29, '8. Prices'!D33, '8. Prices'!D40)</f>
        <v>23504055.722947445</v>
      </c>
      <c r="L2" s="506">
        <f>'8. Prices'!$D41</f>
        <v>9332231.1083779186</v>
      </c>
      <c r="M2" s="506">
        <f>'8. Prices'!$D42</f>
        <v>28627085.940687284</v>
      </c>
      <c r="N2" s="506">
        <f>'8. Prices'!$D43</f>
        <v>10003714.322953124</v>
      </c>
      <c r="O2" s="506">
        <f>'8. Prices'!D44</f>
        <v>2902609.3049768419</v>
      </c>
      <c r="P2" s="506">
        <f>SUM('8. Prices'!$D45:$D46)</f>
        <v>8937018.5613443125</v>
      </c>
      <c r="Q2" s="506">
        <f>SUM('8. Prices'!$D47:$D48)*0.656</f>
        <v>10599811.149471276</v>
      </c>
      <c r="R2" s="506">
        <f>SUM('8. Prices'!$D47:$D48)*0.344</f>
        <v>5558437.5539910337</v>
      </c>
      <c r="S2" s="506">
        <f>'8. Prices'!D50</f>
        <v>151606868.15523699</v>
      </c>
      <c r="T2" s="506">
        <f>'8. Prices'!D49</f>
        <v>273344662.24202669</v>
      </c>
    </row>
    <row r="3" spans="1:20" s="28" customFormat="1" ht="60" x14ac:dyDescent="0.25">
      <c r="A3" s="1071" t="s">
        <v>237</v>
      </c>
      <c r="B3" s="245" t="s">
        <v>11</v>
      </c>
      <c r="C3" s="28" t="s">
        <v>71</v>
      </c>
      <c r="D3" s="28" t="s">
        <v>75</v>
      </c>
      <c r="E3" s="28" t="s">
        <v>82</v>
      </c>
      <c r="F3" s="28" t="s">
        <v>86</v>
      </c>
      <c r="G3" s="28" t="s">
        <v>90</v>
      </c>
      <c r="H3" s="28" t="s">
        <v>94</v>
      </c>
      <c r="I3" s="28" t="s">
        <v>98</v>
      </c>
      <c r="J3" s="28" t="s">
        <v>127</v>
      </c>
      <c r="K3" s="28" t="s">
        <v>123</v>
      </c>
      <c r="L3" s="28" t="s">
        <v>282</v>
      </c>
      <c r="M3" s="28" t="s">
        <v>283</v>
      </c>
      <c r="N3" s="28" t="s">
        <v>284</v>
      </c>
      <c r="O3" s="28" t="s">
        <v>193</v>
      </c>
      <c r="P3" s="28" t="s">
        <v>198</v>
      </c>
      <c r="Q3" s="28" t="s">
        <v>285</v>
      </c>
      <c r="R3" s="165" t="s">
        <v>286</v>
      </c>
      <c r="S3" s="28" t="s">
        <v>209</v>
      </c>
      <c r="T3" s="28" t="s">
        <v>86</v>
      </c>
    </row>
    <row r="4" spans="1:20" x14ac:dyDescent="0.25">
      <c r="A4" t="s">
        <v>287</v>
      </c>
      <c r="B4" s="139">
        <f>(C4*$C$2)+(D4*$D$2)+(E4*$E$2)+(F4*$F$2)+(G4*$G$2)+(H4*$H$2)+(I4*$I$2)+(J4*$J$2)+(K4*$K$2)+(L4*$L$2)+(M4*$M$2)+(N4*$N$2)+(O4*$O$2)+(P4*$P$2)+(Q4*$Q$2)+(S4*$S$2)+(T4*$T$2)</f>
        <v>9293985.8709388897</v>
      </c>
      <c r="C4" s="618">
        <v>1.318760305575036E-2</v>
      </c>
      <c r="D4" s="618">
        <v>2.109244462287722E-2</v>
      </c>
      <c r="E4" s="618">
        <v>2.3387754438690771E-2</v>
      </c>
      <c r="F4" s="618">
        <v>1.415805052990275E-2</v>
      </c>
      <c r="G4" s="618">
        <v>1.2497514962719331E-2</v>
      </c>
      <c r="H4" s="618">
        <v>1.086828588499571E-2</v>
      </c>
      <c r="I4" s="618">
        <v>3.6877408168439099E-3</v>
      </c>
      <c r="J4" s="618">
        <v>6.857138572401715E-3</v>
      </c>
      <c r="K4" s="618">
        <v>3.657624108268003E-3</v>
      </c>
      <c r="L4" s="618">
        <v>2.9477320854765341E-3</v>
      </c>
      <c r="M4" s="618">
        <v>2.6449998344612309E-3</v>
      </c>
      <c r="N4" s="618">
        <v>4.1461354630312683E-3</v>
      </c>
      <c r="O4" s="618">
        <v>9.1413082851830793E-3</v>
      </c>
      <c r="P4" s="618">
        <v>4.0758520867102124E-3</v>
      </c>
      <c r="Q4" s="15">
        <v>2.7536555275794869E-3</v>
      </c>
      <c r="R4" s="15">
        <v>1.6837131792773071E-3</v>
      </c>
      <c r="S4" s="15">
        <v>4.4590019541229124E-3</v>
      </c>
      <c r="T4" s="15">
        <v>1.415805052990275E-2</v>
      </c>
    </row>
    <row r="5" spans="1:20" x14ac:dyDescent="0.25">
      <c r="A5" t="s">
        <v>243</v>
      </c>
      <c r="B5" s="139">
        <f t="shared" ref="B5:B26" si="0">(C5*$C$2)+(D5*$D$2)+(E5*$E$2)+(F5*$F$2)+(G5*$G$2)+(H5*$H$2)+(I5*$I$2)+(J5*$J$2)+(K5*$K$2)+(L5*$L$2)+(M5*$M$2)+(N5*$N$2)+(O5*$O$2)+(P5*$P$2)+(Q5*$Q$2)+(S5*$S$2)+(T5*$T$2)</f>
        <v>4096774.5725123212</v>
      </c>
      <c r="C5" s="618">
        <v>3.8657476371254328E-3</v>
      </c>
      <c r="D5" s="618">
        <v>3.4433565040713921E-3</v>
      </c>
      <c r="E5" s="618">
        <v>4.4581216324825791E-3</v>
      </c>
      <c r="F5" s="618">
        <v>6.7071100775701713E-3</v>
      </c>
      <c r="G5" s="618">
        <v>4.198233246139384E-3</v>
      </c>
      <c r="H5" s="618">
        <v>4.1842981396979602E-3</v>
      </c>
      <c r="I5" s="618">
        <v>3.0253070559632051E-3</v>
      </c>
      <c r="J5" s="618">
        <v>5.0199593140635747E-3</v>
      </c>
      <c r="K5" s="618">
        <v>3.5699334226774199E-3</v>
      </c>
      <c r="L5" s="618">
        <v>3.845642883735153E-3</v>
      </c>
      <c r="M5" s="618">
        <v>4.3349566059106134E-3</v>
      </c>
      <c r="N5" s="618">
        <v>4.0436065638274682E-3</v>
      </c>
      <c r="O5" s="618">
        <v>5.9289980587759108E-3</v>
      </c>
      <c r="P5" s="618">
        <v>4.9060527933383101E-3</v>
      </c>
      <c r="Q5" s="15">
        <v>3.7875687779318802E-3</v>
      </c>
      <c r="R5" s="15">
        <v>3.5324277556353901E-3</v>
      </c>
      <c r="S5" s="15">
        <v>5.3857302260492158E-3</v>
      </c>
      <c r="T5" s="15">
        <v>6.7071100775701713E-3</v>
      </c>
    </row>
    <row r="6" spans="1:20" x14ac:dyDescent="0.25">
      <c r="A6" t="s">
        <v>244</v>
      </c>
      <c r="B6" s="139">
        <f t="shared" si="0"/>
        <v>7711672.2915360276</v>
      </c>
      <c r="C6" s="15">
        <v>1.148425862444561E-2</v>
      </c>
      <c r="D6" s="15">
        <v>1.033061167446972E-2</v>
      </c>
      <c r="E6" s="15">
        <v>1.0824935370576759E-2</v>
      </c>
      <c r="F6" s="15">
        <v>8.9774041245782275E-3</v>
      </c>
      <c r="G6" s="15">
        <v>1.210494261076385E-2</v>
      </c>
      <c r="H6" s="15">
        <v>1.0497136057304301E-2</v>
      </c>
      <c r="I6" s="15">
        <v>7.2716235677551038E-3</v>
      </c>
      <c r="J6" s="15">
        <v>8.3993285941228648E-3</v>
      </c>
      <c r="K6" s="15">
        <v>1.0497452134971009E-2</v>
      </c>
      <c r="L6" s="15">
        <v>9.6831689722426031E-3</v>
      </c>
      <c r="M6" s="15">
        <v>2.4146751600722018E-2</v>
      </c>
      <c r="N6" s="15">
        <v>1.014180225973396E-2</v>
      </c>
      <c r="O6" s="15">
        <v>1.027588586016177E-2</v>
      </c>
      <c r="P6" s="15">
        <v>1.1208462535976481E-2</v>
      </c>
      <c r="Q6" s="15">
        <v>9.8340678067687197E-3</v>
      </c>
      <c r="R6" s="15">
        <v>8.6417080071851185E-3</v>
      </c>
      <c r="S6" s="15">
        <v>6.3837231729818146E-3</v>
      </c>
      <c r="T6" s="15">
        <v>8.9774041245782275E-3</v>
      </c>
    </row>
    <row r="7" spans="1:20" x14ac:dyDescent="0.25">
      <c r="A7" t="s">
        <v>245</v>
      </c>
      <c r="B7" s="139">
        <f t="shared" si="0"/>
        <v>4012015.3296521669</v>
      </c>
      <c r="C7" s="15">
        <v>3.8991882352992419E-3</v>
      </c>
      <c r="D7" s="15">
        <v>2.4918276025826299E-3</v>
      </c>
      <c r="E7" s="15">
        <v>5.3477606688801162E-3</v>
      </c>
      <c r="F7" s="15">
        <v>7.0724436654265397E-3</v>
      </c>
      <c r="G7" s="15">
        <v>4.0825200668415974E-3</v>
      </c>
      <c r="H7" s="15">
        <v>5.0360625457291528E-3</v>
      </c>
      <c r="I7" s="15">
        <v>3.3645476188837562E-3</v>
      </c>
      <c r="J7" s="15">
        <v>4.4597973280153108E-3</v>
      </c>
      <c r="K7" s="15">
        <v>4.745471448021705E-3</v>
      </c>
      <c r="L7" s="15">
        <v>3.9618700100393289E-3</v>
      </c>
      <c r="M7" s="15">
        <v>3.8317334843613699E-3</v>
      </c>
      <c r="N7" s="15">
        <v>4.7816892294677187E-3</v>
      </c>
      <c r="O7" s="15">
        <v>7.9125861553823642E-3</v>
      </c>
      <c r="P7" s="15">
        <v>4.9211276104989656E-3</v>
      </c>
      <c r="Q7" s="15">
        <v>6.8115221201637708E-3</v>
      </c>
      <c r="R7" s="15">
        <v>9.9532515726685929E-3</v>
      </c>
      <c r="S7" s="15">
        <v>4.3846701766981321E-3</v>
      </c>
      <c r="T7" s="15">
        <v>7.0724436654265397E-3</v>
      </c>
    </row>
    <row r="8" spans="1:20" x14ac:dyDescent="0.25">
      <c r="A8" s="7" t="s">
        <v>288</v>
      </c>
      <c r="B8" s="507">
        <f>(C8*$C$2)+(D8*$D$2)+(E8*$E$2)+(F8*$F$2)+(G8*$G$2)+(H8*$H$2)+(I8*$I$2)+(J8*$J$2)+(K8*$K$2)+(L8*$L$2)+(M8*$M$2)+(N8*$N$2)+(O8*$O$2)+(P8*$P$2)+(Q8*$Q$2)+(S8*$S$2)+(T8*$T$2)</f>
        <v>6432593201.2427225</v>
      </c>
      <c r="C8" s="15">
        <v>11.48864315876288</v>
      </c>
      <c r="D8" s="15">
        <v>6.8239097577488561</v>
      </c>
      <c r="E8" s="15">
        <v>15.811533300522241</v>
      </c>
      <c r="F8" s="15">
        <v>9.0002671692673957</v>
      </c>
      <c r="G8" s="15">
        <v>8.5255358614098657</v>
      </c>
      <c r="H8" s="15">
        <v>8.5379323975335062</v>
      </c>
      <c r="I8" s="15">
        <v>3.6274600804388331</v>
      </c>
      <c r="J8" s="15">
        <v>5.4361870285817542</v>
      </c>
      <c r="K8" s="15">
        <v>8.436637562485501</v>
      </c>
      <c r="L8" s="15">
        <v>9.1965957598425714</v>
      </c>
      <c r="M8" s="15">
        <v>7.1371818298118761</v>
      </c>
      <c r="N8" s="15">
        <v>8.6598622665190508</v>
      </c>
      <c r="O8" s="15">
        <v>10.60387417057623</v>
      </c>
      <c r="P8" s="15">
        <v>8.4091289717343116</v>
      </c>
      <c r="Q8" s="15">
        <v>11.14823744225029</v>
      </c>
      <c r="R8" s="15">
        <v>9.9489815470590912</v>
      </c>
      <c r="S8" s="15">
        <v>5.5428253312176601</v>
      </c>
      <c r="T8" s="15">
        <v>9.0002671692673957</v>
      </c>
    </row>
    <row r="9" spans="1:20" x14ac:dyDescent="0.25">
      <c r="A9" t="s">
        <v>289</v>
      </c>
      <c r="B9" s="139">
        <f t="shared" si="0"/>
        <v>11053084.300419774</v>
      </c>
      <c r="C9" s="15">
        <v>3.8826432517314888E-3</v>
      </c>
      <c r="D9" s="15">
        <v>3.9323711993003744E-3</v>
      </c>
      <c r="E9" s="15">
        <v>7.0893199633909054E-3</v>
      </c>
      <c r="F9" s="15">
        <v>2.8855575606602721E-2</v>
      </c>
      <c r="G9" s="15">
        <v>3.2863067725379131E-3</v>
      </c>
      <c r="H9" s="15">
        <v>3.0248408687016809E-3</v>
      </c>
      <c r="I9" s="15">
        <v>7.5435546676403873E-4</v>
      </c>
      <c r="J9" s="15">
        <v>1.0657922924799579E-2</v>
      </c>
      <c r="K9" s="15">
        <v>1.7974400944511539E-3</v>
      </c>
      <c r="L9" s="15">
        <v>4.0892826911716378E-3</v>
      </c>
      <c r="M9" s="15">
        <v>3.1753145560312859E-3</v>
      </c>
      <c r="N9" s="15">
        <v>4.9349493670722347E-3</v>
      </c>
      <c r="O9" s="15">
        <v>1.714507231374026E-2</v>
      </c>
      <c r="P9" s="15">
        <v>6.2635620604243446E-3</v>
      </c>
      <c r="Q9" s="15">
        <v>1.4966801876420399E-3</v>
      </c>
      <c r="R9" s="15">
        <v>1.292638118827294E-3</v>
      </c>
      <c r="S9" s="15">
        <v>1.038474306257807E-2</v>
      </c>
      <c r="T9" s="15">
        <v>2.8855575606602721E-2</v>
      </c>
    </row>
    <row r="10" spans="1:20" x14ac:dyDescent="0.25">
      <c r="A10" t="s">
        <v>290</v>
      </c>
      <c r="B10" s="507">
        <f t="shared" si="0"/>
        <v>9803642759.1542072</v>
      </c>
      <c r="C10" s="15">
        <v>2.15516466275758</v>
      </c>
      <c r="D10" s="15">
        <v>1.2570094943422561</v>
      </c>
      <c r="E10" s="15">
        <v>4.1768202710636526</v>
      </c>
      <c r="F10" s="15">
        <v>10.27330534937348</v>
      </c>
      <c r="G10" s="15">
        <v>1.6998237137155769</v>
      </c>
      <c r="H10" s="15">
        <v>1.552539217888842</v>
      </c>
      <c r="I10" s="15">
        <v>22.498206603967869</v>
      </c>
      <c r="J10" s="15">
        <v>35.960704527833052</v>
      </c>
      <c r="K10" s="15">
        <v>3.1319901201409119</v>
      </c>
      <c r="L10" s="15">
        <v>5.986426979732058</v>
      </c>
      <c r="M10" s="15">
        <v>1.8466619336965331</v>
      </c>
      <c r="N10" s="15">
        <v>2.835546847243855</v>
      </c>
      <c r="O10" s="15">
        <v>6.2115251968282283</v>
      </c>
      <c r="P10" s="15">
        <v>14.163128707839141</v>
      </c>
      <c r="Q10" s="15">
        <v>3.2006210827993189</v>
      </c>
      <c r="R10" s="15">
        <v>0.70219977355045393</v>
      </c>
      <c r="S10" s="15">
        <v>35.112613113277732</v>
      </c>
      <c r="T10" s="15">
        <v>10.27330534937348</v>
      </c>
    </row>
    <row r="11" spans="1:20" x14ac:dyDescent="0.25">
      <c r="A11" s="7" t="s">
        <v>291</v>
      </c>
      <c r="B11" s="507">
        <f t="shared" si="0"/>
        <v>190295839402.26611</v>
      </c>
      <c r="C11" s="15">
        <v>80.634795374842355</v>
      </c>
      <c r="D11" s="15">
        <v>252.99446000405891</v>
      </c>
      <c r="E11" s="15">
        <v>112.29363213255969</v>
      </c>
      <c r="F11" s="896">
        <v>430.56331793637901</v>
      </c>
      <c r="G11" s="15">
        <v>60.680258761368833</v>
      </c>
      <c r="H11" s="15">
        <v>56.662583147371201</v>
      </c>
      <c r="I11" s="15">
        <v>846.64625749214156</v>
      </c>
      <c r="J11" s="15">
        <v>479.01443488637261</v>
      </c>
      <c r="K11" s="15">
        <v>109.8436190299405</v>
      </c>
      <c r="L11" s="15">
        <v>68.985960959434195</v>
      </c>
      <c r="M11" s="15">
        <v>69.424782310193393</v>
      </c>
      <c r="N11" s="15">
        <v>99.873641617751687</v>
      </c>
      <c r="O11" s="15">
        <v>264.62410604231951</v>
      </c>
      <c r="P11" s="15">
        <v>68.001095917826476</v>
      </c>
      <c r="Q11" s="15">
        <v>70.381685119427289</v>
      </c>
      <c r="R11" s="15">
        <v>39.508976815056442</v>
      </c>
      <c r="S11" s="15">
        <v>51.75018869018831</v>
      </c>
      <c r="T11" s="15">
        <v>430.56331793637901</v>
      </c>
    </row>
    <row r="12" spans="1:20" x14ac:dyDescent="0.25">
      <c r="A12" s="7" t="s">
        <v>292</v>
      </c>
      <c r="B12" s="139">
        <f t="shared" si="0"/>
        <v>1408003328.9462614</v>
      </c>
      <c r="C12" s="15">
        <v>1.01236738296022</v>
      </c>
      <c r="D12" s="15">
        <v>2.5143710668880388</v>
      </c>
      <c r="E12" s="15">
        <v>1.3324452322144069</v>
      </c>
      <c r="F12" s="15">
        <v>2.4682477402857659</v>
      </c>
      <c r="G12" s="15">
        <v>1.8196895789201879</v>
      </c>
      <c r="H12" s="15">
        <v>1.6326270304000741</v>
      </c>
      <c r="I12" s="15">
        <v>0.70979512929600053</v>
      </c>
      <c r="J12" s="15">
        <v>0.99290382245778963</v>
      </c>
      <c r="K12" s="15">
        <v>0.86379922728099912</v>
      </c>
      <c r="L12" s="15">
        <v>0.79679523585694068</v>
      </c>
      <c r="M12" s="15">
        <v>0.63548062233268898</v>
      </c>
      <c r="N12" s="15">
        <v>0.86922349864446269</v>
      </c>
      <c r="O12" s="15">
        <v>1.813786150662636</v>
      </c>
      <c r="P12" s="15">
        <v>1.0259955575785349</v>
      </c>
      <c r="Q12" s="15">
        <v>0.7390781536457911</v>
      </c>
      <c r="R12" s="15">
        <v>0.68006423519933579</v>
      </c>
      <c r="S12" s="15">
        <v>1.0333425476741129</v>
      </c>
      <c r="T12" s="15">
        <v>2.4682477402857659</v>
      </c>
    </row>
    <row r="13" spans="1:20" x14ac:dyDescent="0.25">
      <c r="A13" t="s">
        <v>293</v>
      </c>
      <c r="B13" s="139">
        <f t="shared" si="0"/>
        <v>99827.319858502684</v>
      </c>
      <c r="C13" s="15">
        <v>1.378600073578595E-4</v>
      </c>
      <c r="D13" s="15">
        <v>1.073252163736628E-4</v>
      </c>
      <c r="E13" s="15">
        <v>2.1878593806495461E-4</v>
      </c>
      <c r="F13" s="15">
        <v>1.4973661713544711E-4</v>
      </c>
      <c r="G13" s="15">
        <v>2.3517128391322659E-4</v>
      </c>
      <c r="H13" s="15">
        <v>2.1301600611344751E-4</v>
      </c>
      <c r="I13" s="15">
        <v>5.7446887168121483E-5</v>
      </c>
      <c r="J13" s="15">
        <v>9.8931974028496834E-5</v>
      </c>
      <c r="K13" s="15">
        <v>8.777182704396765E-5</v>
      </c>
      <c r="L13" s="15">
        <v>8.4759195484078855E-5</v>
      </c>
      <c r="M13" s="15">
        <v>5.9769290941126507E-5</v>
      </c>
      <c r="N13" s="15">
        <v>8.6163269966599743E-5</v>
      </c>
      <c r="O13" s="15">
        <v>1.2336281355901469E-4</v>
      </c>
      <c r="P13" s="15">
        <v>1.12391680678376E-4</v>
      </c>
      <c r="Q13" s="15">
        <v>1.033121761274759E-4</v>
      </c>
      <c r="R13" s="15">
        <v>8.1530109123951181E-5</v>
      </c>
      <c r="S13" s="15">
        <v>7.449132387348092E-5</v>
      </c>
      <c r="T13" s="15">
        <v>1.4973661713544711E-4</v>
      </c>
    </row>
    <row r="14" spans="1:20" x14ac:dyDescent="0.25">
      <c r="A14" t="s">
        <v>294</v>
      </c>
      <c r="B14" s="139">
        <f t="shared" si="0"/>
        <v>0.40884479630929915</v>
      </c>
      <c r="C14" s="15">
        <v>3.1816992731369689E-10</v>
      </c>
      <c r="D14" s="15">
        <v>3.4274691917767112E-10</v>
      </c>
      <c r="E14" s="15">
        <v>4.7612413390536121E-10</v>
      </c>
      <c r="F14" s="15">
        <v>8.8837153597897375E-10</v>
      </c>
      <c r="G14" s="15">
        <v>3.1963016615111651E-10</v>
      </c>
      <c r="H14" s="15">
        <v>2.9832839120739238E-10</v>
      </c>
      <c r="I14" s="15">
        <v>2.2755381377880461E-10</v>
      </c>
      <c r="J14" s="15">
        <v>3.4214639589535402E-10</v>
      </c>
      <c r="K14" s="15">
        <v>2.1148308863100121E-10</v>
      </c>
      <c r="L14" s="15">
        <v>2.7048924403086848E-10</v>
      </c>
      <c r="M14" s="15">
        <v>1.987882128715309E-10</v>
      </c>
      <c r="N14" s="15">
        <v>2.9422717507074292E-10</v>
      </c>
      <c r="O14" s="15">
        <v>6.5252321871725898E-10</v>
      </c>
      <c r="P14" s="15">
        <v>3.1600744356024579E-10</v>
      </c>
      <c r="Q14" s="15">
        <v>2.8123996086307361E-10</v>
      </c>
      <c r="R14" s="15">
        <v>2.002070764808246E-10</v>
      </c>
      <c r="S14" s="15">
        <v>3.185760767720199E-10</v>
      </c>
      <c r="T14" s="15">
        <v>8.8837153597897375E-10</v>
      </c>
    </row>
    <row r="15" spans="1:20" x14ac:dyDescent="0.25">
      <c r="A15" t="s">
        <v>295</v>
      </c>
      <c r="B15" s="139">
        <f t="shared" si="0"/>
        <v>4.4931125774973113</v>
      </c>
      <c r="C15" s="15">
        <v>4.0903361347430467E-9</v>
      </c>
      <c r="D15" s="15">
        <v>3.327999642246865E-9</v>
      </c>
      <c r="E15" s="15">
        <v>5.100438169702783E-9</v>
      </c>
      <c r="F15" s="15">
        <v>7.5694013190288883E-9</v>
      </c>
      <c r="G15" s="15">
        <v>3.9781843210250247E-9</v>
      </c>
      <c r="H15" s="15">
        <v>4.0560542901879546E-9</v>
      </c>
      <c r="I15" s="15">
        <v>3.7200482772273869E-9</v>
      </c>
      <c r="J15" s="15">
        <v>7.005825109389278E-9</v>
      </c>
      <c r="K15" s="15">
        <v>3.9877547587127367E-9</v>
      </c>
      <c r="L15" s="15">
        <v>4.4226233593489582E-9</v>
      </c>
      <c r="M15" s="15">
        <v>3.3342040324403109E-9</v>
      </c>
      <c r="N15" s="15">
        <v>4.3146538625336637E-9</v>
      </c>
      <c r="O15" s="15">
        <v>6.5033904764550723E-9</v>
      </c>
      <c r="P15" s="15">
        <v>5.0692613062538373E-9</v>
      </c>
      <c r="Q15" s="15">
        <v>6.5109925342485998E-9</v>
      </c>
      <c r="R15" s="15">
        <v>5.098187148620111E-9</v>
      </c>
      <c r="S15" s="15">
        <v>6.0362836853159548E-9</v>
      </c>
      <c r="T15" s="15">
        <v>7.5694013190288883E-9</v>
      </c>
    </row>
    <row r="16" spans="1:20" x14ac:dyDescent="0.25">
      <c r="A16" t="s">
        <v>296</v>
      </c>
      <c r="B16" s="139">
        <f t="shared" si="0"/>
        <v>3105200.2337872023</v>
      </c>
      <c r="C16" s="15">
        <v>1.6052613185910049E-3</v>
      </c>
      <c r="D16" s="15">
        <v>3.8829399673370349E-3</v>
      </c>
      <c r="E16" s="15">
        <v>2.7042149787252002E-3</v>
      </c>
      <c r="F16" s="15">
        <v>5.4919898918951854E-3</v>
      </c>
      <c r="G16" s="15">
        <v>1.4974204325789429E-3</v>
      </c>
      <c r="H16" s="15">
        <v>1.3293936542505421E-3</v>
      </c>
      <c r="I16" s="15">
        <v>2.7563390968277931E-4</v>
      </c>
      <c r="J16" s="15">
        <v>1.0366355853467181E-3</v>
      </c>
      <c r="K16" s="15">
        <v>7.0092073073209642E-4</v>
      </c>
      <c r="L16" s="15">
        <v>1.4595897160430439E-3</v>
      </c>
      <c r="M16" s="15">
        <v>7.8565125871731738E-4</v>
      </c>
      <c r="N16" s="15">
        <v>1.248472741862844E-3</v>
      </c>
      <c r="O16" s="15">
        <v>3.381591430660592E-3</v>
      </c>
      <c r="P16" s="15">
        <v>2.6662440068393879E-3</v>
      </c>
      <c r="Q16" s="15">
        <v>1.010432534903198E-3</v>
      </c>
      <c r="R16" s="15">
        <v>3.9821522133958869E-4</v>
      </c>
      <c r="S16" s="15">
        <v>5.2512144967963494E-3</v>
      </c>
      <c r="T16" s="15">
        <v>5.4919898918951854E-3</v>
      </c>
    </row>
    <row r="17" spans="1:20" x14ac:dyDescent="0.25">
      <c r="A17" t="s">
        <v>297</v>
      </c>
      <c r="B17" s="139">
        <f t="shared" si="0"/>
        <v>4.90195737380661</v>
      </c>
      <c r="C17" s="15">
        <v>4.4085060620567461E-9</v>
      </c>
      <c r="D17" s="15">
        <v>3.6707465614245348E-9</v>
      </c>
      <c r="E17" s="15">
        <v>5.5765623036081398E-9</v>
      </c>
      <c r="F17" s="15">
        <v>8.4577728550078589E-9</v>
      </c>
      <c r="G17" s="15">
        <v>4.2978144871761398E-9</v>
      </c>
      <c r="H17" s="15">
        <v>4.3543826813953474E-9</v>
      </c>
      <c r="I17" s="15">
        <v>3.9476020910061907E-9</v>
      </c>
      <c r="J17" s="15">
        <v>7.3479715052846302E-9</v>
      </c>
      <c r="K17" s="15">
        <v>4.1992378473437367E-9</v>
      </c>
      <c r="L17" s="15">
        <v>4.6931126033798291E-9</v>
      </c>
      <c r="M17" s="15">
        <v>3.532992245311846E-9</v>
      </c>
      <c r="N17" s="15">
        <v>4.6088810376044101E-9</v>
      </c>
      <c r="O17" s="15">
        <v>7.1559136951723319E-9</v>
      </c>
      <c r="P17" s="15">
        <v>5.38526874981408E-9</v>
      </c>
      <c r="Q17" s="15">
        <v>6.7922324951116763E-9</v>
      </c>
      <c r="R17" s="15">
        <v>5.2983942251009368E-9</v>
      </c>
      <c r="S17" s="15">
        <v>6.3548597620879803E-9</v>
      </c>
      <c r="T17" s="15">
        <v>8.4577728550078589E-9</v>
      </c>
    </row>
    <row r="18" spans="1:20" x14ac:dyDescent="0.25">
      <c r="A18" t="s">
        <v>298</v>
      </c>
      <c r="B18" s="139">
        <f t="shared" si="0"/>
        <v>4892.2310201633973</v>
      </c>
      <c r="C18" s="15">
        <v>9.2498891532403093E-6</v>
      </c>
      <c r="D18" s="15">
        <v>6.4614024153474043E-6</v>
      </c>
      <c r="E18" s="15">
        <v>6.3885893225730586E-6</v>
      </c>
      <c r="F18" s="15">
        <v>5.7124856894963139E-6</v>
      </c>
      <c r="G18" s="15">
        <v>7.6440406626576503E-6</v>
      </c>
      <c r="H18" s="15">
        <v>7.2858179783937343E-6</v>
      </c>
      <c r="I18" s="15">
        <v>9.5843276575365095E-6</v>
      </c>
      <c r="J18" s="15">
        <v>1.016117043949904E-5</v>
      </c>
      <c r="K18" s="15">
        <v>7.43761151214767E-6</v>
      </c>
      <c r="L18" s="15">
        <v>5.5561277527460064E-6</v>
      </c>
      <c r="M18" s="15">
        <v>1.1707584102528281E-5</v>
      </c>
      <c r="N18" s="15">
        <v>7.3351625707281104E-6</v>
      </c>
      <c r="O18" s="15">
        <v>5.7351791529333104E-6</v>
      </c>
      <c r="P18" s="15">
        <v>4.747120851093001E-6</v>
      </c>
      <c r="Q18" s="15">
        <v>6.942631449076733E-6</v>
      </c>
      <c r="R18" s="15">
        <v>7.4883735128728334E-6</v>
      </c>
      <c r="S18" s="15">
        <v>3.165474101383772E-6</v>
      </c>
      <c r="T18" s="15">
        <v>5.7124856894963139E-6</v>
      </c>
    </row>
    <row r="19" spans="1:20" x14ac:dyDescent="0.25">
      <c r="A19" t="s">
        <v>299</v>
      </c>
      <c r="B19" s="139">
        <f t="shared" si="0"/>
        <v>7549708837.69417</v>
      </c>
      <c r="C19" s="15">
        <v>3.2959313297587829</v>
      </c>
      <c r="D19" s="15">
        <v>24.31995902632719</v>
      </c>
      <c r="E19" s="15">
        <v>3.6297654982879659</v>
      </c>
      <c r="F19" s="15">
        <v>9.3340126456825327</v>
      </c>
      <c r="G19" s="15">
        <v>3.6364051326924818</v>
      </c>
      <c r="H19" s="15">
        <v>3.250885640832669</v>
      </c>
      <c r="I19" s="15">
        <v>1.4845122733267391</v>
      </c>
      <c r="J19" s="15">
        <v>1.917472197595594</v>
      </c>
      <c r="K19" s="15">
        <v>2.1882343714974191</v>
      </c>
      <c r="L19" s="15">
        <v>2.8423033630557382</v>
      </c>
      <c r="M19" s="15">
        <v>1.5968853171967321</v>
      </c>
      <c r="N19" s="15">
        <v>2.717785319092318</v>
      </c>
      <c r="O19" s="15">
        <v>5.6995116495616278</v>
      </c>
      <c r="P19" s="15">
        <v>5.3399104459566402</v>
      </c>
      <c r="Q19" s="15">
        <v>2.4038395747771242</v>
      </c>
      <c r="R19" s="15">
        <v>1.185189163474214</v>
      </c>
      <c r="S19" s="15">
        <v>9.7075631999938459</v>
      </c>
      <c r="T19" s="15">
        <v>9.3340126456825327</v>
      </c>
    </row>
    <row r="20" spans="1:20" x14ac:dyDescent="0.25">
      <c r="A20" t="s">
        <v>300</v>
      </c>
      <c r="B20" s="139">
        <f t="shared" si="0"/>
        <v>545076196.11680603</v>
      </c>
      <c r="C20" s="15">
        <v>0.24836096591080689</v>
      </c>
      <c r="D20" s="15">
        <v>0.20929955811147699</v>
      </c>
      <c r="E20" s="15">
        <v>0.42945398488790049</v>
      </c>
      <c r="F20" s="15">
        <v>1.429304785003237</v>
      </c>
      <c r="G20" s="15">
        <v>0.26559980646018072</v>
      </c>
      <c r="H20" s="15">
        <v>0.2481386977588573</v>
      </c>
      <c r="I20" s="15">
        <v>0.2501930761690595</v>
      </c>
      <c r="J20" s="15">
        <v>0.43513511618851419</v>
      </c>
      <c r="K20" s="15">
        <v>0.17942235068675649</v>
      </c>
      <c r="L20" s="15">
        <v>0.2442323133714901</v>
      </c>
      <c r="M20" s="15">
        <v>0.19877037936799841</v>
      </c>
      <c r="N20" s="15">
        <v>0.29956211976162872</v>
      </c>
      <c r="O20" s="15">
        <v>0.87775641944196248</v>
      </c>
      <c r="P20" s="15">
        <v>0.29439394329859442</v>
      </c>
      <c r="Q20" s="15">
        <v>0.1622237408651328</v>
      </c>
      <c r="R20" s="15">
        <v>0.15297569635952549</v>
      </c>
      <c r="S20" s="15">
        <v>0.38103726757942202</v>
      </c>
      <c r="T20" s="15">
        <v>1.429304785003237</v>
      </c>
    </row>
    <row r="21" spans="1:20" x14ac:dyDescent="0.25">
      <c r="A21" t="s">
        <v>301</v>
      </c>
      <c r="B21" s="139">
        <f t="shared" si="0"/>
        <v>5970305051.6412506</v>
      </c>
      <c r="C21" s="15">
        <v>10.6825466363342</v>
      </c>
      <c r="D21" s="15">
        <v>6.3462491246491108</v>
      </c>
      <c r="E21" s="15">
        <v>15.289630462784171</v>
      </c>
      <c r="F21" s="15">
        <v>8.5143611306515474</v>
      </c>
      <c r="G21" s="15">
        <v>7.63506773071797</v>
      </c>
      <c r="H21" s="15">
        <v>7.5589274493724332</v>
      </c>
      <c r="I21" s="15">
        <v>3.3306210935047189</v>
      </c>
      <c r="J21" s="15">
        <v>4.9769181518787304</v>
      </c>
      <c r="K21" s="15">
        <v>7.3556248150191363</v>
      </c>
      <c r="L21" s="15">
        <v>7.4256407934105084</v>
      </c>
      <c r="M21" s="15">
        <v>6.134654674991852</v>
      </c>
      <c r="N21" s="15">
        <v>7.3402314034367091</v>
      </c>
      <c r="O21" s="15">
        <v>9.7539508023072443</v>
      </c>
      <c r="P21" s="15">
        <v>7.7239274997761553</v>
      </c>
      <c r="Q21" s="15">
        <v>9.6717285412653311</v>
      </c>
      <c r="R21" s="15">
        <v>8.5969413091254552</v>
      </c>
      <c r="S21" s="15">
        <v>5.2246158352782412</v>
      </c>
      <c r="T21" s="15">
        <v>8.5143611306515474</v>
      </c>
    </row>
    <row r="22" spans="1:20" x14ac:dyDescent="0.25">
      <c r="A22" t="s">
        <v>302</v>
      </c>
      <c r="B22" s="139">
        <f t="shared" si="0"/>
        <v>337.37433202871102</v>
      </c>
      <c r="C22" s="15">
        <v>1.191348867028256E-7</v>
      </c>
      <c r="D22" s="15">
        <v>7.1969639935790091E-8</v>
      </c>
      <c r="E22" s="15">
        <v>1.848950491220726E-7</v>
      </c>
      <c r="F22" s="15">
        <v>1.8524704945950559E-7</v>
      </c>
      <c r="G22" s="15">
        <v>1.16011692701696E-7</v>
      </c>
      <c r="H22" s="15">
        <v>1.3328973010243791E-7</v>
      </c>
      <c r="I22" s="15">
        <v>1.7526447145886389E-6</v>
      </c>
      <c r="J22" s="15">
        <v>1.2545830139579159E-5</v>
      </c>
      <c r="K22" s="15">
        <v>4.5269889953147988E-7</v>
      </c>
      <c r="L22" s="15">
        <v>1.254307137938824E-7</v>
      </c>
      <c r="M22" s="15">
        <v>1.2150996891400739E-7</v>
      </c>
      <c r="N22" s="15">
        <v>1.707890539953856E-7</v>
      </c>
      <c r="O22" s="15">
        <v>2.9710291189507899E-7</v>
      </c>
      <c r="P22" s="15">
        <v>1.09379144114893E-7</v>
      </c>
      <c r="Q22" s="15">
        <v>2.087087123379548E-7</v>
      </c>
      <c r="R22" s="15">
        <v>2.08511997072819E-7</v>
      </c>
      <c r="S22" s="15">
        <v>1.079213922841616E-7</v>
      </c>
      <c r="T22" s="15">
        <v>1.8524704945950559E-7</v>
      </c>
    </row>
    <row r="23" spans="1:20" x14ac:dyDescent="0.25">
      <c r="A23" t="s">
        <v>303</v>
      </c>
      <c r="B23" s="139">
        <f t="shared" si="0"/>
        <v>294835.09511929349</v>
      </c>
      <c r="C23" s="15">
        <v>6.9730435087333117E-5</v>
      </c>
      <c r="D23" s="15">
        <v>5.0393514952694212E-5</v>
      </c>
      <c r="E23" s="15">
        <v>1.344692962212865E-4</v>
      </c>
      <c r="F23" s="15">
        <v>5.8896973760598568E-4</v>
      </c>
      <c r="G23" s="15">
        <v>5.4941076582180872E-5</v>
      </c>
      <c r="H23" s="15">
        <v>5.1024482337880917E-5</v>
      </c>
      <c r="I23" s="15">
        <v>5.7551368770407234E-4</v>
      </c>
      <c r="J23" s="15">
        <v>1.670596743718357E-3</v>
      </c>
      <c r="K23" s="15">
        <v>9.4827255916089148E-5</v>
      </c>
      <c r="L23" s="15">
        <v>1.2547113534711849E-4</v>
      </c>
      <c r="M23" s="15">
        <v>7.2920156404368352E-5</v>
      </c>
      <c r="N23" s="15">
        <v>1.130716509976565E-4</v>
      </c>
      <c r="O23" s="15">
        <v>3.4906321942515658E-4</v>
      </c>
      <c r="P23" s="15">
        <v>2.2826630089078489E-4</v>
      </c>
      <c r="Q23" s="15">
        <v>6.467940057103238E-5</v>
      </c>
      <c r="R23" s="15">
        <v>2.7638908580779239E-5</v>
      </c>
      <c r="S23" s="15">
        <v>4.8304253120696122E-4</v>
      </c>
      <c r="T23" s="15">
        <v>5.8896973760598568E-4</v>
      </c>
    </row>
    <row r="24" spans="1:20" x14ac:dyDescent="0.25">
      <c r="A24" t="s">
        <v>304</v>
      </c>
      <c r="B24" s="139">
        <f t="shared" si="0"/>
        <v>462288149.60147303</v>
      </c>
      <c r="C24" s="15">
        <v>0.80609652242867968</v>
      </c>
      <c r="D24" s="15">
        <v>0.4776606330997446</v>
      </c>
      <c r="E24" s="15">
        <v>0.521902837738068</v>
      </c>
      <c r="F24" s="15">
        <v>0.48590603861584791</v>
      </c>
      <c r="G24" s="15">
        <v>0.89046813069189723</v>
      </c>
      <c r="H24" s="15">
        <v>0.97900494816107275</v>
      </c>
      <c r="I24" s="15">
        <v>0.29683898693411431</v>
      </c>
      <c r="J24" s="15">
        <v>0.45926887670302358</v>
      </c>
      <c r="K24" s="15">
        <v>1.081012747466364</v>
      </c>
      <c r="L24" s="15">
        <v>1.770954966432065</v>
      </c>
      <c r="M24" s="15">
        <v>1.002527154820025</v>
      </c>
      <c r="N24" s="15">
        <v>1.3196308630823419</v>
      </c>
      <c r="O24" s="15">
        <v>0.84992336826898551</v>
      </c>
      <c r="P24" s="15">
        <v>0.68520147195815739</v>
      </c>
      <c r="Q24" s="15">
        <v>1.4765089009849559</v>
      </c>
      <c r="R24" s="15">
        <v>1.3520402379336349</v>
      </c>
      <c r="S24" s="15">
        <v>0.31820949593941961</v>
      </c>
      <c r="T24" s="15">
        <v>0.48590603861584791</v>
      </c>
    </row>
    <row r="25" spans="1:20" x14ac:dyDescent="0.25">
      <c r="A25" t="s">
        <v>305</v>
      </c>
      <c r="B25" s="33">
        <f t="shared" si="0"/>
        <v>22593600.481445767</v>
      </c>
      <c r="C25" s="15">
        <v>2.5303978064911289E-2</v>
      </c>
      <c r="D25" s="15">
        <v>2.8513446681106041E-2</v>
      </c>
      <c r="E25" s="15">
        <v>3.3993788269439357E-2</v>
      </c>
      <c r="F25" s="15">
        <v>3.815537604024595E-2</v>
      </c>
      <c r="G25" s="15">
        <v>2.534257313322287E-2</v>
      </c>
      <c r="H25" s="15">
        <v>2.3401529669657278E-2</v>
      </c>
      <c r="I25" s="15">
        <v>1.416190838496641E-2</v>
      </c>
      <c r="J25" s="15">
        <v>2.2095912281279641E-2</v>
      </c>
      <c r="K25" s="15">
        <v>1.6538843295166739E-2</v>
      </c>
      <c r="L25" s="15">
        <v>2.100269578747585E-2</v>
      </c>
      <c r="M25" s="15">
        <v>1.513827446786929E-2</v>
      </c>
      <c r="N25" s="15">
        <v>2.002087597591919E-2</v>
      </c>
      <c r="O25" s="15">
        <v>3.7516152122192468E-2</v>
      </c>
      <c r="P25" s="15">
        <v>2.4754355939744802E-2</v>
      </c>
      <c r="Q25" s="15">
        <v>2.168732595150696E-2</v>
      </c>
      <c r="R25" s="15">
        <v>1.5069380619409571E-2</v>
      </c>
      <c r="S25" s="15">
        <v>2.0317288351102029E-2</v>
      </c>
      <c r="T25" s="15">
        <v>3.815537604024595E-2</v>
      </c>
    </row>
    <row r="26" spans="1:20" x14ac:dyDescent="0.25">
      <c r="A26" t="s">
        <v>306</v>
      </c>
      <c r="B26" s="33">
        <f t="shared" si="0"/>
        <v>786601538.4449954</v>
      </c>
      <c r="C26" s="15">
        <v>0.990830244683645</v>
      </c>
      <c r="D26" s="15">
        <v>0.99182359549903998</v>
      </c>
      <c r="E26" s="15">
        <v>0.98841989699400234</v>
      </c>
      <c r="F26" s="15">
        <v>0.99152227996466391</v>
      </c>
      <c r="G26" s="15">
        <v>0.98805455394370822</v>
      </c>
      <c r="H26" s="15">
        <v>0.99039653258594607</v>
      </c>
      <c r="I26" s="15">
        <v>0.99780738034794014</v>
      </c>
      <c r="J26" s="15">
        <v>0.99648447125573625</v>
      </c>
      <c r="K26" s="15">
        <v>0.99057803570871705</v>
      </c>
      <c r="L26" s="15">
        <v>0.99064850785144909</v>
      </c>
      <c r="M26" s="15">
        <v>0.99197779912492612</v>
      </c>
      <c r="N26" s="15">
        <v>0.9915140102676685</v>
      </c>
      <c r="O26" s="15">
        <v>0.98947840313548718</v>
      </c>
      <c r="P26" s="15">
        <v>0.98893161346759928</v>
      </c>
      <c r="Q26" s="15">
        <v>0.99250625128737957</v>
      </c>
      <c r="R26" s="15">
        <v>0.99051966550514214</v>
      </c>
      <c r="S26" s="15">
        <v>0.99371169988393082</v>
      </c>
      <c r="T26" s="15">
        <v>0.99152227996466391</v>
      </c>
    </row>
    <row r="27" spans="1:20" x14ac:dyDescent="0.25">
      <c r="B27" s="9"/>
    </row>
    <row r="28" spans="1:20" x14ac:dyDescent="0.25">
      <c r="A28" s="1116" t="s">
        <v>307</v>
      </c>
      <c r="B28" s="1116"/>
      <c r="C28" s="1116"/>
      <c r="D28" s="1116"/>
      <c r="E28" s="1116"/>
      <c r="F28" s="1116"/>
      <c r="G28" s="1116"/>
      <c r="H28" s="1116"/>
      <c r="I28" s="1116"/>
    </row>
    <row r="29" spans="1:20" ht="30.75" customHeight="1" x14ac:dyDescent="0.25">
      <c r="A29" s="1119" t="s">
        <v>308</v>
      </c>
      <c r="B29" s="1119"/>
      <c r="C29" s="1119"/>
      <c r="D29" s="1119"/>
      <c r="E29" s="1119"/>
      <c r="F29" s="1119"/>
      <c r="G29" s="1119"/>
      <c r="H29" s="1119"/>
      <c r="I29" s="1119"/>
    </row>
    <row r="30" spans="1:20" ht="29.25" customHeight="1" x14ac:dyDescent="0.25">
      <c r="A30" s="1120" t="s">
        <v>309</v>
      </c>
      <c r="B30" s="1120"/>
      <c r="C30" s="1120"/>
      <c r="D30" s="1120"/>
      <c r="E30" s="1120"/>
      <c r="F30" s="1120"/>
      <c r="G30" s="1120"/>
      <c r="H30" s="1120"/>
      <c r="I30" s="1120"/>
    </row>
    <row r="31" spans="1:20" ht="30.75" customHeight="1" x14ac:dyDescent="0.25">
      <c r="A31" s="1096" t="s">
        <v>310</v>
      </c>
      <c r="B31" s="1096"/>
      <c r="C31" s="1096"/>
      <c r="D31" s="1096"/>
      <c r="E31" s="1096"/>
      <c r="F31" s="1096"/>
      <c r="G31" s="1096"/>
      <c r="H31" s="1096"/>
      <c r="I31" s="1096"/>
    </row>
    <row r="32" spans="1:20" ht="27.75" customHeight="1" x14ac:dyDescent="0.25">
      <c r="A32" s="1096" t="s">
        <v>311</v>
      </c>
      <c r="B32" s="1096"/>
      <c r="C32" s="1096"/>
      <c r="D32" s="1096"/>
      <c r="E32" s="1096"/>
      <c r="F32" s="1096"/>
      <c r="G32" s="1096"/>
      <c r="H32" s="1096"/>
      <c r="I32" s="1096"/>
    </row>
    <row r="33" spans="1:9" x14ac:dyDescent="0.25">
      <c r="A33" s="5"/>
      <c r="B33" s="5"/>
      <c r="C33" s="5"/>
      <c r="D33" s="5"/>
      <c r="E33" s="5"/>
      <c r="F33" s="5"/>
      <c r="G33" s="5"/>
      <c r="H33" s="5"/>
      <c r="I33" s="5"/>
    </row>
    <row r="34" spans="1:9" ht="14.45" customHeight="1" x14ac:dyDescent="0.25">
      <c r="A34" s="1116" t="s">
        <v>206</v>
      </c>
      <c r="B34" s="1116"/>
      <c r="C34" s="1116"/>
      <c r="D34" s="1116"/>
      <c r="E34" s="1116"/>
      <c r="F34" s="1116"/>
      <c r="G34" s="1116"/>
      <c r="H34" s="1116"/>
      <c r="I34" s="1116"/>
    </row>
    <row r="35" spans="1:9" ht="20.25" customHeight="1" x14ac:dyDescent="0.25">
      <c r="A35" s="1118" t="s">
        <v>312</v>
      </c>
      <c r="B35" s="1118"/>
      <c r="C35" s="1118"/>
      <c r="D35" s="1118"/>
      <c r="E35" s="1118"/>
      <c r="F35" s="1118"/>
      <c r="G35" s="1118"/>
      <c r="H35" s="1118"/>
      <c r="I35" s="1118"/>
    </row>
    <row r="36" spans="1:9" ht="48.75" customHeight="1" x14ac:dyDescent="0.25">
      <c r="A36" s="1096" t="s">
        <v>313</v>
      </c>
      <c r="B36" s="1096"/>
      <c r="C36" s="1096"/>
      <c r="D36" s="1096"/>
      <c r="E36" s="1096"/>
      <c r="F36" s="1096"/>
      <c r="G36" s="1096"/>
      <c r="H36" s="1096"/>
      <c r="I36" s="1096"/>
    </row>
    <row r="37" spans="1:9" ht="14.45" customHeight="1" x14ac:dyDescent="0.25"/>
    <row r="38" spans="1:9" ht="14.45" customHeight="1" x14ac:dyDescent="0.25">
      <c r="A38" s="1116" t="s">
        <v>314</v>
      </c>
      <c r="B38" s="1116"/>
      <c r="C38" s="1116"/>
      <c r="D38" s="1116"/>
      <c r="E38" s="1116"/>
      <c r="F38" s="1116"/>
      <c r="G38" s="1116"/>
      <c r="H38" s="1116"/>
      <c r="I38" s="1116"/>
    </row>
    <row r="39" spans="1:9" ht="14.45" customHeight="1" x14ac:dyDescent="0.25">
      <c r="A39" t="s">
        <v>319</v>
      </c>
      <c r="B39" s="1117" t="s">
        <v>320</v>
      </c>
      <c r="C39" s="1118"/>
      <c r="D39" s="1118"/>
      <c r="E39" s="1118"/>
      <c r="F39" s="1118"/>
      <c r="G39" s="1118"/>
      <c r="H39" s="1118"/>
      <c r="I39" s="1118"/>
    </row>
  </sheetData>
  <mergeCells count="10">
    <mergeCell ref="A29:I29"/>
    <mergeCell ref="A28:I28"/>
    <mergeCell ref="A30:I30"/>
    <mergeCell ref="A31:I31"/>
    <mergeCell ref="A32:I32"/>
    <mergeCell ref="A34:I34"/>
    <mergeCell ref="A35:I35"/>
    <mergeCell ref="A36:I36"/>
    <mergeCell ref="A38:I38"/>
    <mergeCell ref="B39:I39"/>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DE5CA-8596-4928-B6A3-0CEE6D387BC1}">
  <sheetPr>
    <tabColor theme="7" tint="0.79998168889431442"/>
  </sheetPr>
  <dimension ref="A1:T19"/>
  <sheetViews>
    <sheetView workbookViewId="0">
      <selection activeCell="D2" sqref="D2"/>
    </sheetView>
  </sheetViews>
  <sheetFormatPr defaultRowHeight="15" x14ac:dyDescent="0.25"/>
  <cols>
    <col min="1" max="1" width="32.7109375" customWidth="1"/>
    <col min="2" max="2" width="20.140625" customWidth="1"/>
    <col min="3" max="3" width="16" customWidth="1"/>
    <col min="4" max="4" width="15.85546875" customWidth="1"/>
    <col min="5" max="5" width="15.28515625" bestFit="1" customWidth="1"/>
    <col min="6" max="6" width="19.5703125" customWidth="1"/>
    <col min="7" max="9" width="15.28515625" bestFit="1" customWidth="1"/>
    <col min="10" max="10" width="14.85546875" customWidth="1"/>
    <col min="11" max="11" width="15.7109375" customWidth="1"/>
    <col min="12" max="12" width="14.85546875" bestFit="1" customWidth="1"/>
    <col min="13" max="14" width="15.28515625" bestFit="1" customWidth="1"/>
    <col min="15" max="15" width="17" customWidth="1"/>
    <col min="16" max="16" width="15.42578125" customWidth="1"/>
    <col min="17" max="17" width="15.28515625" bestFit="1" customWidth="1"/>
    <col min="18" max="18" width="15.28515625" customWidth="1"/>
    <col min="19" max="20" width="17.28515625" customWidth="1"/>
  </cols>
  <sheetData>
    <row r="1" spans="1:20" x14ac:dyDescent="0.25">
      <c r="A1" s="7" t="s">
        <v>321</v>
      </c>
    </row>
    <row r="2" spans="1:20" s="248" customFormat="1" x14ac:dyDescent="0.25">
      <c r="A2" s="603" t="s">
        <v>318</v>
      </c>
      <c r="B2" s="603">
        <f>SUM(C2:T2)</f>
        <v>314082007.22089618</v>
      </c>
      <c r="C2" s="604">
        <f>'6. ABM-LCA Inputs'!H3</f>
        <v>48169152.837661318</v>
      </c>
      <c r="D2" s="604">
        <f>SUM('6. ABM-LCA Inputs'!H4:H5)</f>
        <v>97027115.202386856</v>
      </c>
      <c r="E2" s="604">
        <f>'6. ABM-LCA Inputs'!H6</f>
        <v>14043563.460934892</v>
      </c>
      <c r="F2" s="604">
        <f>'6. ABM-LCA Inputs'!H7</f>
        <v>2873837.8287062603</v>
      </c>
      <c r="G2" s="604">
        <f>'6. ABM-LCA Inputs'!H8</f>
        <v>41100735.742697947</v>
      </c>
      <c r="H2" s="604">
        <f>'6. ABM-LCA Inputs'!H9</f>
        <v>8968204.1092378553</v>
      </c>
      <c r="I2" s="604">
        <f>SUM('6. ABM-LCA Inputs'!H10:H17)</f>
        <v>8673340.1851510387</v>
      </c>
      <c r="J2" s="604">
        <f xml:space="preserve"> SUM('6. ABM-LCA Inputs'!H19:H23, '6. ABM-LCA Inputs'!H25:H28, '6. ABM-LCA Inputs'!H30:H32, '6. ABM-LCA Inputs'!H34:H40)</f>
        <v>11515513.677823747</v>
      </c>
      <c r="K2" s="604">
        <f>SUM( '6. ABM-LCA Inputs'!G24, '6. ABM-LCA Inputs'!G29, '6. ABM-LCA Inputs'!G33, '6. ABM-LCA Inputs'!G41)</f>
        <v>10719867.58083993</v>
      </c>
      <c r="L2" s="506">
        <f>'6. ABM-LCA Inputs'!H42*'11. Diet'!B81</f>
        <v>4375521.826206902</v>
      </c>
      <c r="M2" s="506">
        <f>'6. ABM-LCA Inputs'!H42*'11. Diet'!B82</f>
        <v>27239164.044837341</v>
      </c>
      <c r="N2" s="506">
        <f>'6. ABM-LCA Inputs'!H42*'11. Diet'!B83</f>
        <v>9456673.580724638</v>
      </c>
      <c r="O2" s="506">
        <v>0</v>
      </c>
      <c r="P2" s="604">
        <f>SUM('6. ABM-LCA Inputs'!H44:H45)</f>
        <v>7655371.7118727993</v>
      </c>
      <c r="Q2" s="604">
        <f>SUM('6. ABM-LCA Inputs'!H46:H47)*0.656</f>
        <v>9079705.2582881004</v>
      </c>
      <c r="R2" s="604">
        <f>SUM('6. ABM-LCA Inputs'!H46:H47)*0.344</f>
        <v>4761308.8549559545</v>
      </c>
      <c r="S2" s="604">
        <f>'6. ABM-LCA Inputs'!H49</f>
        <v>3016850.0985601707</v>
      </c>
      <c r="T2" s="604">
        <f>'6. ABM-LCA Inputs'!H48</f>
        <v>5406081.2200104129</v>
      </c>
    </row>
    <row r="3" spans="1:20" s="28" customFormat="1" ht="60" x14ac:dyDescent="0.25">
      <c r="A3" s="527" t="s">
        <v>237</v>
      </c>
      <c r="B3" s="245" t="s">
        <v>15</v>
      </c>
      <c r="C3" s="28" t="s">
        <v>71</v>
      </c>
      <c r="D3" s="28" t="s">
        <v>75</v>
      </c>
      <c r="E3" s="28" t="s">
        <v>82</v>
      </c>
      <c r="F3" s="28" t="s">
        <v>86</v>
      </c>
      <c r="G3" s="28" t="s">
        <v>90</v>
      </c>
      <c r="H3" s="28" t="s">
        <v>94</v>
      </c>
      <c r="I3" s="28" t="s">
        <v>98</v>
      </c>
      <c r="J3" s="28" t="s">
        <v>127</v>
      </c>
      <c r="K3" s="28" t="s">
        <v>123</v>
      </c>
      <c r="L3" s="28" t="s">
        <v>282</v>
      </c>
      <c r="M3" s="28" t="s">
        <v>283</v>
      </c>
      <c r="N3" s="28" t="s">
        <v>284</v>
      </c>
      <c r="O3" s="28" t="s">
        <v>193</v>
      </c>
      <c r="P3" s="28" t="s">
        <v>198</v>
      </c>
      <c r="Q3" s="28" t="s">
        <v>285</v>
      </c>
      <c r="R3" s="165" t="s">
        <v>286</v>
      </c>
      <c r="S3" s="28" t="s">
        <v>209</v>
      </c>
      <c r="T3" s="28" t="s">
        <v>86</v>
      </c>
    </row>
    <row r="4" spans="1:20" x14ac:dyDescent="0.25">
      <c r="A4" t="s">
        <v>288</v>
      </c>
      <c r="B4" s="601">
        <f>(C4*$C$2)+(D4*$D$2)+(E4*$E$2)+(F4*$F$2)+(G4*$G$2)+(H4*$H$2)+(I4*$I$2)+(J4*$J$2)+(K4*$K$2)+(L4*$L$2)+(M4*$M$2)+(N4*$N$2)+(O4*$O$2)+(P4*$P$2)+(Q4*$Q$2)++(R4*R2) + (S4*$S$2)+(T4*$T$2)</f>
        <v>2669786305.2130175</v>
      </c>
      <c r="C4" s="21">
        <v>11.48864315876288</v>
      </c>
      <c r="D4" s="21">
        <v>6.8239097577488561</v>
      </c>
      <c r="E4" s="21">
        <v>15.811533300522241</v>
      </c>
      <c r="F4" s="21">
        <v>9.0002671692673957</v>
      </c>
      <c r="G4" s="21">
        <v>8.5255358614098657</v>
      </c>
      <c r="H4" s="21">
        <v>8.5379323975335062</v>
      </c>
      <c r="I4" s="21">
        <v>3.6274600804388331</v>
      </c>
      <c r="J4" s="21">
        <v>5.4361870285817542</v>
      </c>
      <c r="K4" s="21">
        <v>8.436637562485501</v>
      </c>
      <c r="L4" s="21">
        <v>9.1965957598425714</v>
      </c>
      <c r="M4" s="21">
        <v>7.1371818298118761</v>
      </c>
      <c r="N4" s="21">
        <v>8.6598622665190508</v>
      </c>
      <c r="O4" s="21">
        <v>10.60387417057623</v>
      </c>
      <c r="P4" s="21">
        <v>8.4091289717343116</v>
      </c>
      <c r="Q4" s="21">
        <v>11.14823744225029</v>
      </c>
      <c r="R4" s="21">
        <v>9.9489815470590912</v>
      </c>
      <c r="S4" s="21">
        <v>5.5428253312176601</v>
      </c>
      <c r="T4" s="21">
        <v>9.0002671692673957</v>
      </c>
    </row>
    <row r="5" spans="1:20" x14ac:dyDescent="0.25">
      <c r="A5" t="s">
        <v>291</v>
      </c>
      <c r="B5" s="601">
        <f>(C5*$C$2)+(D5*$D$2)+(E5*$E$2)+(F5*$F$2)+(G5*$G$2)+(H5*$H$2)+(I5*$I$2)+(J5*$J$2)+(K5*$K$2)+(L5*$L$2)+(M5*$M$2)+(N5*$N$2)+(O5*$O$2)+(P5*$P$2)+(Q5*$Q$2)++(R5*R2) + (S5*$S$2)+(T5*$T$2)</f>
        <v>55253737457.736443</v>
      </c>
      <c r="C5" s="21">
        <v>80.634795374842355</v>
      </c>
      <c r="D5" s="21">
        <v>252.99446000405891</v>
      </c>
      <c r="E5" s="21">
        <v>112.29363213255969</v>
      </c>
      <c r="F5" s="895">
        <v>430.56331793637901</v>
      </c>
      <c r="G5" s="21">
        <v>60.680258761368833</v>
      </c>
      <c r="H5" s="21">
        <v>56.662583147371201</v>
      </c>
      <c r="I5" s="21">
        <v>846.64625749214156</v>
      </c>
      <c r="J5" s="21">
        <v>479.01443488637261</v>
      </c>
      <c r="K5" s="21">
        <v>109.8436190299405</v>
      </c>
      <c r="L5" s="21">
        <v>68.985960959434195</v>
      </c>
      <c r="M5" s="21">
        <v>69.424782310193393</v>
      </c>
      <c r="N5" s="21">
        <v>99.873641617751687</v>
      </c>
      <c r="O5" s="21">
        <v>264.62410604231951</v>
      </c>
      <c r="P5" s="21">
        <v>68.001095917826476</v>
      </c>
      <c r="Q5" s="21">
        <v>70.381685119427289</v>
      </c>
      <c r="R5" s="21">
        <v>39.508976815056442</v>
      </c>
      <c r="S5" s="21">
        <v>51.75018869018831</v>
      </c>
      <c r="T5" s="21">
        <v>430.56331793637901</v>
      </c>
    </row>
    <row r="6" spans="1:20" x14ac:dyDescent="0.25">
      <c r="A6" t="s">
        <v>292</v>
      </c>
      <c r="B6" s="601">
        <f>(C6*$C$2)+(D6*$D$2)+(E6*$E$2)+(F6*$F$2)+(G6*$G$2)+(H6*$H$2)+(I6*$I$2)+(J6*$J$2)+(K6*$K$2)+(L6*$L$2)+(M6*$M$2)+(N6*$N$2)+(O6*$O$2)+(P6*$P$2)+(Q6*$Q$2)++(R6*R2) + (S6*$S$2)+(T6*$T$2)</f>
        <v>498095182.84151912</v>
      </c>
      <c r="C6" s="21">
        <v>1.01236738296022</v>
      </c>
      <c r="D6" s="21">
        <v>2.5143710668880388</v>
      </c>
      <c r="E6" s="21">
        <v>1.3324452322144069</v>
      </c>
      <c r="F6" s="21">
        <v>2.4682477402857659</v>
      </c>
      <c r="G6" s="21">
        <v>1.8196895789201879</v>
      </c>
      <c r="H6" s="21">
        <v>1.6326270304000741</v>
      </c>
      <c r="I6" s="21">
        <v>0.70979512929600053</v>
      </c>
      <c r="J6" s="21">
        <v>0.99290382245778963</v>
      </c>
      <c r="K6" s="21">
        <v>0.86379922728099912</v>
      </c>
      <c r="L6" s="21">
        <v>0.79679523585694068</v>
      </c>
      <c r="M6" s="21">
        <v>0.63548062233268898</v>
      </c>
      <c r="N6" s="21">
        <v>0.86922349864446269</v>
      </c>
      <c r="O6" s="21">
        <v>1.813786150662636</v>
      </c>
      <c r="P6" s="21">
        <v>1.0259955575785349</v>
      </c>
      <c r="Q6" s="21">
        <v>0.7390781536457911</v>
      </c>
      <c r="R6" s="21">
        <v>0.68006423519933579</v>
      </c>
      <c r="S6" s="21">
        <v>1.0333425476741129</v>
      </c>
      <c r="T6" s="21">
        <v>2.4682477402857659</v>
      </c>
    </row>
    <row r="7" spans="1:20" x14ac:dyDescent="0.25">
      <c r="B7" s="9"/>
    </row>
    <row r="8" spans="1:20" ht="14.45" customHeight="1" x14ac:dyDescent="0.25">
      <c r="A8" s="1116" t="s">
        <v>307</v>
      </c>
      <c r="B8" s="1116"/>
      <c r="C8" s="1116"/>
      <c r="D8" s="1116"/>
      <c r="E8" s="1116"/>
      <c r="F8" s="1116"/>
      <c r="G8" s="1116"/>
      <c r="H8" s="1116"/>
      <c r="I8" s="1116"/>
    </row>
    <row r="9" spans="1:20" ht="32.25" customHeight="1" x14ac:dyDescent="0.25">
      <c r="A9" s="1119" t="s">
        <v>308</v>
      </c>
      <c r="B9" s="1119"/>
      <c r="C9" s="1119"/>
      <c r="D9" s="1119"/>
      <c r="E9" s="1119"/>
      <c r="F9" s="1119"/>
      <c r="G9" s="1119"/>
      <c r="H9" s="1119"/>
      <c r="I9" s="1119"/>
    </row>
    <row r="10" spans="1:20" ht="28.5" customHeight="1" x14ac:dyDescent="0.25">
      <c r="A10" s="1120" t="s">
        <v>309</v>
      </c>
      <c r="B10" s="1120"/>
      <c r="C10" s="1120"/>
      <c r="D10" s="1120"/>
      <c r="E10" s="1120"/>
      <c r="F10" s="1120"/>
      <c r="G10" s="1120"/>
      <c r="H10" s="1120"/>
      <c r="I10" s="1120"/>
    </row>
    <row r="11" spans="1:20" ht="34.5" customHeight="1" x14ac:dyDescent="0.25">
      <c r="A11" s="1096" t="s">
        <v>310</v>
      </c>
      <c r="B11" s="1096"/>
      <c r="C11" s="1096"/>
      <c r="D11" s="1096"/>
      <c r="E11" s="1096"/>
      <c r="F11" s="1096"/>
      <c r="G11" s="1096"/>
      <c r="H11" s="1096"/>
      <c r="I11" s="1096"/>
    </row>
    <row r="12" spans="1:20" ht="30.75" customHeight="1" x14ac:dyDescent="0.25">
      <c r="A12" s="1096" t="s">
        <v>311</v>
      </c>
      <c r="B12" s="1096"/>
      <c r="C12" s="1096"/>
      <c r="D12" s="1096"/>
      <c r="E12" s="1096"/>
      <c r="F12" s="1096"/>
      <c r="G12" s="1096"/>
      <c r="H12" s="1096"/>
      <c r="I12" s="1096"/>
    </row>
    <row r="13" spans="1:20" x14ac:dyDescent="0.25">
      <c r="A13" s="5"/>
      <c r="B13" s="5"/>
      <c r="C13" s="5"/>
      <c r="D13" s="5"/>
      <c r="E13" s="5"/>
      <c r="F13" s="5"/>
      <c r="G13" s="5"/>
      <c r="H13" s="5"/>
      <c r="I13" s="5"/>
    </row>
    <row r="14" spans="1:20" x14ac:dyDescent="0.25">
      <c r="A14" s="1116" t="s">
        <v>206</v>
      </c>
      <c r="B14" s="1116"/>
      <c r="C14" s="1116"/>
      <c r="D14" s="1116"/>
      <c r="E14" s="1116"/>
      <c r="F14" s="1116"/>
      <c r="G14" s="1116"/>
      <c r="H14" s="1116"/>
      <c r="I14" s="1116"/>
    </row>
    <row r="15" spans="1:20" ht="14.45" customHeight="1" x14ac:dyDescent="0.25">
      <c r="A15" s="1118" t="s">
        <v>312</v>
      </c>
      <c r="B15" s="1118"/>
      <c r="C15" s="1118"/>
      <c r="D15" s="1118"/>
      <c r="E15" s="1118"/>
      <c r="F15" s="1118"/>
      <c r="G15" s="1118"/>
      <c r="H15" s="1118"/>
      <c r="I15" s="1118"/>
    </row>
    <row r="16" spans="1:20" ht="46.5" customHeight="1" x14ac:dyDescent="0.25">
      <c r="A16" s="1096" t="s">
        <v>313</v>
      </c>
      <c r="B16" s="1096"/>
      <c r="C16" s="1096"/>
      <c r="D16" s="1096"/>
      <c r="E16" s="1096"/>
      <c r="F16" s="1096"/>
      <c r="G16" s="1096"/>
      <c r="H16" s="1096"/>
      <c r="I16" s="1096"/>
    </row>
    <row r="17" spans="1:9" ht="14.45" customHeight="1" x14ac:dyDescent="0.25"/>
    <row r="18" spans="1:9" ht="14.45" customHeight="1" x14ac:dyDescent="0.25">
      <c r="A18" s="1116" t="s">
        <v>314</v>
      </c>
      <c r="B18" s="1116"/>
      <c r="C18" s="1116"/>
      <c r="D18" s="1116"/>
      <c r="E18" s="1116"/>
      <c r="F18" s="1116"/>
      <c r="G18" s="1116"/>
      <c r="H18" s="1116"/>
      <c r="I18" s="1116"/>
    </row>
    <row r="19" spans="1:9" ht="14.45" customHeight="1" x14ac:dyDescent="0.25">
      <c r="A19" s="38" t="s">
        <v>322</v>
      </c>
      <c r="B19" s="1117" t="s">
        <v>323</v>
      </c>
      <c r="C19" s="1118"/>
      <c r="D19" s="1118"/>
      <c r="E19" s="1118"/>
      <c r="F19" s="1118"/>
      <c r="G19" s="1118"/>
      <c r="H19" s="1118"/>
      <c r="I19" s="1118"/>
    </row>
  </sheetData>
  <mergeCells count="10">
    <mergeCell ref="A11:I11"/>
    <mergeCell ref="A9:I9"/>
    <mergeCell ref="A8:I8"/>
    <mergeCell ref="A10:I10"/>
    <mergeCell ref="A12:I12"/>
    <mergeCell ref="A14:I14"/>
    <mergeCell ref="A15:I15"/>
    <mergeCell ref="A16:I16"/>
    <mergeCell ref="A18:I18"/>
    <mergeCell ref="B19:I19"/>
  </mergeCells>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42DD-86F8-49C6-BE10-636C052406EC}">
  <sheetPr>
    <tabColor theme="7" tint="0.79998168889431442"/>
  </sheetPr>
  <dimension ref="A1:O131"/>
  <sheetViews>
    <sheetView zoomScale="80" zoomScaleNormal="80" workbookViewId="0">
      <selection activeCell="G3" sqref="G3"/>
    </sheetView>
  </sheetViews>
  <sheetFormatPr defaultColWidth="8.85546875" defaultRowHeight="15" x14ac:dyDescent="0.25"/>
  <cols>
    <col min="1" max="1" width="18.85546875" customWidth="1"/>
    <col min="2" max="2" width="20" style="9" bestFit="1" customWidth="1"/>
    <col min="3" max="6" width="17.7109375" style="9" customWidth="1"/>
    <col min="7" max="7" width="18.5703125" style="35" customWidth="1"/>
    <col min="8" max="8" width="15.85546875" customWidth="1"/>
    <col min="9" max="9" width="16.5703125" customWidth="1"/>
    <col min="10" max="10" width="23.42578125" customWidth="1"/>
    <col min="11" max="11" width="18.5703125" customWidth="1"/>
    <col min="12" max="13" width="10" customWidth="1"/>
    <col min="14" max="14" width="15.42578125" customWidth="1"/>
    <col min="15" max="15" width="12.28515625" customWidth="1"/>
  </cols>
  <sheetData>
    <row r="1" spans="1:14" x14ac:dyDescent="0.25">
      <c r="A1" s="1133" t="s">
        <v>324</v>
      </c>
      <c r="B1" s="1133"/>
      <c r="C1" s="1133"/>
      <c r="D1" s="1133"/>
      <c r="E1" s="1133"/>
      <c r="F1" s="1133"/>
      <c r="G1" s="1133"/>
      <c r="H1" s="1133"/>
    </row>
    <row r="2" spans="1:14" ht="45" x14ac:dyDescent="0.25">
      <c r="A2" s="1006" t="s">
        <v>325</v>
      </c>
      <c r="B2" s="153" t="s">
        <v>326</v>
      </c>
      <c r="C2" s="165" t="s">
        <v>327</v>
      </c>
      <c r="D2" s="165" t="s">
        <v>328</v>
      </c>
      <c r="E2" s="165" t="s">
        <v>329</v>
      </c>
      <c r="F2" s="165" t="s">
        <v>330</v>
      </c>
      <c r="G2" s="165" t="s">
        <v>331</v>
      </c>
      <c r="H2" s="598" t="s">
        <v>332</v>
      </c>
    </row>
    <row r="3" spans="1:14" ht="15" customHeight="1" x14ac:dyDescent="0.25">
      <c r="A3" s="186" t="s">
        <v>72</v>
      </c>
      <c r="B3" s="590">
        <f>(('11. Diet'!I3*('11. Diet'!K3/1000))*365*'2. ABM-LCA Controls'!$B$6)</f>
        <v>10221838.453826999</v>
      </c>
      <c r="C3" s="703">
        <f>'14. Land Req '!E4/SUM('14. Land Req '!$E$4:$E$8)</f>
        <v>0.39422139446337473</v>
      </c>
      <c r="D3" s="703">
        <f>'14. Land Req '!G4/SUM('14. Land Req '!$G$4:$G$8)</f>
        <v>8.8693484273416039E-3</v>
      </c>
      <c r="E3" s="703">
        <f>C3*'2. ABM-LCA Controls'!$B$11</f>
        <v>3585.0805379655735</v>
      </c>
      <c r="F3" s="703">
        <f>D3*'2. ABM-LCA Controls'!$B$12</f>
        <v>286.80644303724591</v>
      </c>
      <c r="G3" s="946">
        <f>((E3 * (('13. Yields'!K3/B52) + ('13. Yields'!K4/C52)) /'15. Ag Prod'!G45)) / (PRODUCT('18. Waste, Losses'!H4:L4))</f>
        <v>10221838.453826997</v>
      </c>
      <c r="H3" s="591">
        <f>G3*'8. Prices'!H3*'7. BASE to LOCAL'!$O$4</f>
        <v>48169152.837661318</v>
      </c>
      <c r="I3" s="928"/>
      <c r="J3" s="9"/>
      <c r="K3" s="939"/>
      <c r="L3" s="592"/>
      <c r="M3" s="592"/>
    </row>
    <row r="4" spans="1:14" x14ac:dyDescent="0.25">
      <c r="A4" s="189" t="s">
        <v>76</v>
      </c>
      <c r="B4" s="590">
        <f>(('11. Diet'!I4*('11. Diet'!K4/1000))*365*'2. ABM-LCA Controls'!$B$6)</f>
        <v>8050828.5167309986</v>
      </c>
      <c r="C4" s="703">
        <f>'14. Land Req '!E5/SUM('14. Land Req '!$E$4:$E$8)</f>
        <v>7.2105778097834014E-2</v>
      </c>
      <c r="D4" s="703">
        <f>'14. Land Req '!G5/SUM('14. Land Req '!$G$4:$G$8)</f>
        <v>0.97832281248991304</v>
      </c>
      <c r="E4" s="703">
        <f>C4*'2. ABM-LCA Controls'!$B$11</f>
        <v>655.73564845533906</v>
      </c>
      <c r="F4" s="703">
        <f>D4*'2. ABM-LCA Controls'!$B$12</f>
        <v>31635.83980165351</v>
      </c>
      <c r="G4" s="939">
        <f>(((E4*(('13. Yields'!K7/B53)+('13. Yields'!K8/C53)))/'15. Ag Prod'!G46)/PRODUCT('18. Waste, Losses'!H5:L5))</f>
        <v>8050828.5167309986</v>
      </c>
      <c r="H4" s="591">
        <f>G4*'8. Prices'!H4*'7. BASE to LOCAL'!$O$4</f>
        <v>71576260.368480429</v>
      </c>
      <c r="I4" s="925"/>
      <c r="J4" s="254"/>
      <c r="K4" s="240"/>
      <c r="L4" s="240"/>
    </row>
    <row r="5" spans="1:14" x14ac:dyDescent="0.25">
      <c r="A5" s="186" t="s">
        <v>79</v>
      </c>
      <c r="B5" s="590">
        <f>(('11. Diet'!I5*('11. Diet'!K5/1000))*365*'2. ABM-LCA Controls'!$B$6)</f>
        <v>6286882.9428404989</v>
      </c>
      <c r="C5" s="703">
        <f>'14. Land Req '!E6/SUM('14. Land Req '!$E$4:$E$8)</f>
        <v>0.3390778483229559</v>
      </c>
      <c r="D5" s="703">
        <f>'14. Land Req '!G6/SUM('14. Land Req '!$G$4:$G$8)</f>
        <v>1.1736472578048301E-2</v>
      </c>
      <c r="E5" s="703">
        <f>C5*'2. ABM-LCA Controls'!$B$11</f>
        <v>3083.6007683768912</v>
      </c>
      <c r="F5" s="703">
        <f>D5*'2. ABM-LCA Controls'!$B$12</f>
        <v>379.52009456946365</v>
      </c>
      <c r="G5" s="939">
        <f>((E5 * (('13. Yields'!K9/B54) + ('13. Yields'!K10/C54)))/'15. Ag Prod'!G47) / PRODUCT('18. Waste, Losses'!H6:L6)</f>
        <v>6286882.9428404998</v>
      </c>
      <c r="H5" s="591">
        <f>G5*'8. Prices'!H5*'7. BASE to LOCAL'!$O$4</f>
        <v>25450854.833906434</v>
      </c>
      <c r="I5" s="882"/>
      <c r="J5" s="350"/>
      <c r="K5" s="350"/>
      <c r="L5" s="350"/>
    </row>
    <row r="6" spans="1:14" x14ac:dyDescent="0.25">
      <c r="A6" s="186" t="s">
        <v>83</v>
      </c>
      <c r="B6" s="590">
        <f>(('11. Diet'!I6*('11. Diet'!K6/1000))*365*'2. ABM-LCA Controls'!$B$6)</f>
        <v>4307559.3990000002</v>
      </c>
      <c r="C6" s="703">
        <f>'14. Land Req '!E7/SUM('14. Land Req '!$E$4:$E$8)</f>
        <v>7.6191499463212617E-2</v>
      </c>
      <c r="D6" s="703">
        <f>'14. Land Req '!G7/SUM('14. Land Req '!$G$4:$G$8)</f>
        <v>1.0713665046970611E-3</v>
      </c>
      <c r="E6" s="703">
        <f>C6*'2. ABM-LCA Controls'!$B$11</f>
        <v>692.89152166842973</v>
      </c>
      <c r="F6" s="703">
        <f>D6*'2. ABM-LCA Controls'!$B$12</f>
        <v>34.644576083421491</v>
      </c>
      <c r="G6" s="946">
        <f>((E6 * (('13. Yields'!K11/B55) + ('13. Yields'!K12/C55)))/'15. Ag Prod'!G48) / PRODUCT('18. Waste, Losses'!H7:L7)</f>
        <v>4307559.3990000002</v>
      </c>
      <c r="H6" s="591">
        <f>G6*'8. Prices'!H6*'7. BASE to LOCAL'!$O$5</f>
        <v>14043563.460934892</v>
      </c>
      <c r="I6" s="9"/>
      <c r="J6" s="240"/>
      <c r="L6" s="350"/>
    </row>
    <row r="7" spans="1:14" x14ac:dyDescent="0.25">
      <c r="A7" s="190" t="s">
        <v>87</v>
      </c>
      <c r="B7" s="590">
        <f>(('11. Diet'!I7*('11. Diet'!K7/1000))*365*'2. ABM-LCA Controls'!$B$6)</f>
        <v>1787177.1886718748</v>
      </c>
      <c r="C7" s="703">
        <f>'14. Land Req '!E8/SUM('14. Land Req '!$E$4:$E$8)</f>
        <v>0.11840347965262261</v>
      </c>
      <c r="D7" s="703">
        <v>0</v>
      </c>
      <c r="E7" s="703">
        <f>C7*'2. ABM-LCA Controls'!$B$11</f>
        <v>1076.7706078150386</v>
      </c>
      <c r="F7" s="703">
        <f>D7*'2. ABM-LCA Controls'!$B$12</f>
        <v>0</v>
      </c>
      <c r="G7" s="599">
        <f>(E7*('13. Yields'!K13))/PRODUCT('18. Waste, Losses'!H8:L8)</f>
        <v>1787177.1886718743</v>
      </c>
      <c r="H7" s="591">
        <f>G7*'8. Prices'!H7*'7. BASE to LOCAL'!O9</f>
        <v>2873837.8287062603</v>
      </c>
      <c r="J7" s="240"/>
      <c r="K7" s="241"/>
      <c r="L7" s="240"/>
    </row>
    <row r="8" spans="1:14" x14ac:dyDescent="0.25">
      <c r="A8" s="191" t="s">
        <v>91</v>
      </c>
      <c r="B8" s="590">
        <f>(('11. Diet'!I8*('11. Diet'!K8/1000))*365*'2. ABM-LCA Controls'!$B$6)</f>
        <v>4832247.9245040016</v>
      </c>
      <c r="C8" s="703">
        <f>'14. Land Req '!E9/SUM('14. Land Req '!$E$9:$E$10)</f>
        <v>0.61751424823764534</v>
      </c>
      <c r="D8" s="703">
        <f>'14. Land Req '!G9/SUM('14. Land Req '!$G$9:$G$10)</f>
        <v>0.69832762901926282</v>
      </c>
      <c r="E8" s="703">
        <f>C8*'2. ABM-LCA Controls'!$B$13</f>
        <v>152.47872943836174</v>
      </c>
      <c r="F8" s="703">
        <f>D8*'2. ABM-LCA Controls'!$B$14</f>
        <v>4030.5331014239164</v>
      </c>
      <c r="G8" s="939">
        <f>((E8 * (('13. Yields'!K17/B56) + ('13. Yields'!K18/C56) + ('13. Yields'!K16/E56)))/'15. Ag Prod'!G49) / PRODUCT('18. Waste, Losses'!H9:L9)</f>
        <v>4832247.9245039998</v>
      </c>
      <c r="H8" s="591">
        <f>G8*'8. Prices'!H8*'7. BASE to LOCAL'!$O$6</f>
        <v>41100735.742697947</v>
      </c>
      <c r="I8" s="9"/>
      <c r="J8" s="350"/>
      <c r="K8" s="240"/>
      <c r="L8" s="350"/>
    </row>
    <row r="9" spans="1:14" x14ac:dyDescent="0.25">
      <c r="A9" s="192" t="s">
        <v>95</v>
      </c>
      <c r="B9" s="590">
        <f>(('11. Diet'!I9*('11. Diet'!K9/1000))*365*'2. ABM-LCA Controls'!$B$6)</f>
        <v>20079428.243875001</v>
      </c>
      <c r="C9" s="703">
        <f>'14. Land Req '!E10/SUM('14. Land Req '!$E$9:$E$10)</f>
        <v>0.38248575176235461</v>
      </c>
      <c r="D9" s="703">
        <f>'14. Land Req '!G10/SUM('14. Land Req '!$G$9:$G$10)</f>
        <v>0.30167237098073718</v>
      </c>
      <c r="E9" s="703">
        <f>C9*'2. ABM-LCA Controls'!$B$13</f>
        <v>94.444689532987297</v>
      </c>
      <c r="F9" s="703">
        <f>D9*'2. ABM-LCA Controls'!$B$14</f>
        <v>1741.1604904284222</v>
      </c>
      <c r="G9" s="939">
        <f>((E9*(('13. Yields'!K22/B56)+('13. Yields'!K23/C56)+('13. Yields'!K16/E56))) /'15. Ag Prod'!G50) /(PRODUCT('18. Waste, Losses'!H10:L10))</f>
        <v>20079428.243874997</v>
      </c>
      <c r="H9" s="591">
        <f>G9*'8. Prices'!H9*'7. BASE to LOCAL'!$O$6</f>
        <v>8968204.1092378553</v>
      </c>
      <c r="J9" s="385"/>
      <c r="K9" s="240"/>
      <c r="L9" s="350"/>
    </row>
    <row r="10" spans="1:14" ht="16.5" customHeight="1" x14ac:dyDescent="0.25">
      <c r="A10" s="193" t="s">
        <v>99</v>
      </c>
      <c r="B10" s="590">
        <f>(('11. Diet'!I10*('11. Diet'!K10/1000))*365*'2. ABM-LCA Controls'!$B$6)</f>
        <v>3509863.2140000002</v>
      </c>
      <c r="C10" s="703">
        <f>'14. Land Req '!E11/(SUM('14. Land Req '!E$11,'14. Land Req '!E$14:E$16) +('14. Land Req '!E$19*'11. Diet'!$E$61))</f>
        <v>0.27791361190571218</v>
      </c>
      <c r="D10" s="703"/>
      <c r="E10" s="929">
        <f>'2. ABM-LCA Controls'!B$15*C10</f>
        <v>266.86342679782615</v>
      </c>
      <c r="F10" s="929"/>
      <c r="G10" s="599">
        <f>(E10*'13. Yields'!K24) / PRODUCT('18. Waste, Losses'!H11:L11)</f>
        <v>3509863.2139999997</v>
      </c>
      <c r="H10" s="591">
        <f>G10*'8. Prices'!H10*'7. BASE to LOCAL'!$O$7</f>
        <v>2751590.3691571457</v>
      </c>
      <c r="J10" s="9"/>
    </row>
    <row r="11" spans="1:14" x14ac:dyDescent="0.25">
      <c r="A11" s="194" t="s">
        <v>102</v>
      </c>
      <c r="B11" s="590">
        <f>(('11. Diet'!I11*('11. Diet'!K11/1000))*365*'2. ABM-LCA Controls'!$B$6)</f>
        <v>3193357.9535000003</v>
      </c>
      <c r="C11" s="703">
        <f>'14. Land Req '!E12/(SUM('14. Land Req '!E$12:E$13, '14. Land Req '!E$17:E$18) +('14. Land Req '!E$19*'11. Diet'!E$62))</f>
        <v>0.4581963491548719</v>
      </c>
      <c r="D11" s="703"/>
      <c r="E11" s="929">
        <f>'2. ABM-LCA Controls'!B$16*C11</f>
        <v>287.18293045243104</v>
      </c>
      <c r="F11" s="929"/>
      <c r="G11" s="939">
        <f>(E11*'13. Yields'!K25)/PRODUCT('18. Waste, Losses'!H12:L12)</f>
        <v>3193357.9535000003</v>
      </c>
      <c r="H11" s="591">
        <f>G11*'8. Prices'!H11*'7. BASE to LOCAL'!$O$7</f>
        <v>860243.48810191394</v>
      </c>
      <c r="J11" s="925"/>
      <c r="K11" s="9"/>
      <c r="L11" s="925"/>
      <c r="M11" s="586"/>
      <c r="N11" s="21"/>
    </row>
    <row r="12" spans="1:14" x14ac:dyDescent="0.25">
      <c r="A12" s="195" t="s">
        <v>105</v>
      </c>
      <c r="B12" s="590">
        <f>(('11. Diet'!I12*('11. Diet'!K12/1000))*365*'2. ABM-LCA Controls'!$B$6)</f>
        <v>410427.55325</v>
      </c>
      <c r="C12" s="703">
        <f>'14. Land Req '!E13/(SUM('14. Land Req '!E$12:E$13, '14. Land Req '!E$17:E$18) +('14. Land Req '!E$19*'11. Diet'!E$62))</f>
        <v>0.19422929630495653</v>
      </c>
      <c r="D12" s="703"/>
      <c r="E12" s="929">
        <f>'2. ABM-LCA Controls'!B$16*C12</f>
        <v>121.73675891450054</v>
      </c>
      <c r="F12" s="929"/>
      <c r="G12" s="939">
        <f>(E12*'13. Yields'!K26)/PRODUCT('18. Waste, Losses'!H13:L13)</f>
        <v>410427.55324999994</v>
      </c>
      <c r="H12" s="591">
        <f>G12*'8. Prices'!H12*'7. BASE to LOCAL'!$O$7</f>
        <v>871925.95056102215</v>
      </c>
      <c r="J12" s="925"/>
      <c r="K12" s="9"/>
      <c r="L12" s="925"/>
      <c r="M12" s="586"/>
    </row>
    <row r="13" spans="1:14" x14ac:dyDescent="0.25">
      <c r="A13" s="195" t="s">
        <v>108</v>
      </c>
      <c r="B13" s="590">
        <f>(('11. Diet'!I13*('11. Diet'!K13/1000))*365*'2. ABM-LCA Controls'!$B$6)</f>
        <v>119654.42775000002</v>
      </c>
      <c r="C13" s="703">
        <f>'14. Land Req '!E14/(SUM('14. Land Req '!E$11,'14. Land Req '!E$14:E$16) +('14. Land Req '!E$19*'11. Diet'!$E$61))</f>
        <v>2.11060486651308E-2</v>
      </c>
      <c r="D13" s="703"/>
      <c r="E13" s="929">
        <f>'2. ABM-LCA Controls'!B$15*C13</f>
        <v>20.266846356735513</v>
      </c>
      <c r="F13" s="929"/>
      <c r="G13" s="599">
        <f>(E13*'13. Yields'!K27)/PRODUCT('18. Waste, Losses'!H14:L14)</f>
        <v>119654.42775000002</v>
      </c>
      <c r="H13" s="591">
        <f>G13*'8. Prices'!H13*'7. BASE to LOCAL'!$O$7</f>
        <v>207692.05436394471</v>
      </c>
    </row>
    <row r="14" spans="1:14" x14ac:dyDescent="0.25">
      <c r="A14" s="195" t="s">
        <v>111</v>
      </c>
      <c r="B14" s="590">
        <f>(('11. Diet'!I14*('11. Diet'!K14/1000))*365*'2. ABM-LCA Controls'!$B$6)</f>
        <v>1389535.2899999998</v>
      </c>
      <c r="C14" s="703">
        <f>'14. Land Req '!E15/(SUM('14. Land Req '!E$11,'14. Land Req '!E$14:E$16) +('14. Land Req '!E$19*'11. Diet'!$E$61))</f>
        <v>0.2911438475280525</v>
      </c>
      <c r="D14" s="703"/>
      <c r="E14" s="929">
        <f>'2. ABM-LCA Controls'!B$15*C14</f>
        <v>279.56761207076005</v>
      </c>
      <c r="F14" s="929"/>
      <c r="G14" s="599">
        <f>(E14*'13. Yields'!K28)/PRODUCT('18. Waste, Losses'!H15:L15)</f>
        <v>1389535.2899999998</v>
      </c>
      <c r="H14" s="591">
        <f>G14*'8. Prices'!H14*'7. BASE to LOCAL'!$O$7</f>
        <v>1690095.9262580471</v>
      </c>
    </row>
    <row r="15" spans="1:14" x14ac:dyDescent="0.25">
      <c r="A15" s="195" t="s">
        <v>114</v>
      </c>
      <c r="B15" s="590">
        <f>(('11. Diet'!I15*('11. Diet'!K15/1000))*365*'2. ABM-LCA Controls'!$B$6)</f>
        <v>594412.31849999994</v>
      </c>
      <c r="C15" s="703">
        <f>'14. Land Req '!E16/(SUM('14. Land Req '!E$11,'14. Land Req '!E$14:E$16) +('14. Land Req '!E$19*'11. Diet'!$E$61))</f>
        <v>4.5682291310173234E-2</v>
      </c>
      <c r="D15" s="703"/>
      <c r="E15" s="929">
        <f>'2. ABM-LCA Controls'!B$15*C15</f>
        <v>43.865907536567178</v>
      </c>
      <c r="F15" s="929"/>
      <c r="G15" s="599">
        <f>(E15*'13. Yields'!K29)/PRODUCT('18. Waste, Losses'!H16:L16)</f>
        <v>594412.31849999994</v>
      </c>
      <c r="H15" s="591">
        <f>G15*'8. Prices'!H15*'7. BASE to LOCAL'!$O$7</f>
        <v>437230.01086965413</v>
      </c>
    </row>
    <row r="16" spans="1:14" x14ac:dyDescent="0.25">
      <c r="A16" s="195" t="s">
        <v>117</v>
      </c>
      <c r="B16" s="590">
        <f>(('11. Diet'!I16*('11. Diet'!K16/1000))*365*'2. ABM-LCA Controls'!$B$6)</f>
        <v>186557.97875000001</v>
      </c>
      <c r="C16" s="703">
        <f>'14. Land Req '!E17/(SUM('14. Land Req '!E$12:E$13, '14. Land Req '!E$17:E$18) +('14. Land Req '!E$19*'11. Diet'!E$62))</f>
        <v>9.1147456140940497E-2</v>
      </c>
      <c r="D16" s="703"/>
      <c r="E16" s="929">
        <f>'2. ABM-LCA Controls'!B$16*C16</f>
        <v>57.128332877641832</v>
      </c>
      <c r="F16" s="929"/>
      <c r="G16" s="939">
        <f>(E16*'13. Yields'!K30)/PRODUCT('18. Waste, Losses'!H17:L17)</f>
        <v>186557.97875000001</v>
      </c>
      <c r="H16" s="591">
        <f>G16*'8. Prices'!H16*'7. BASE to LOCAL'!$O$7</f>
        <v>621127.61854005314</v>
      </c>
      <c r="J16" s="958"/>
      <c r="K16" s="9"/>
      <c r="L16" s="586"/>
      <c r="M16" s="87"/>
    </row>
    <row r="17" spans="1:14" x14ac:dyDescent="0.25">
      <c r="A17" s="194" t="s">
        <v>120</v>
      </c>
      <c r="B17" s="590">
        <f>(('11. Diet'!I17*('11. Diet'!K17/1000))*365*'2. ABM-LCA Controls'!$B$6)</f>
        <v>1156659.4682499999</v>
      </c>
      <c r="C17" s="703">
        <f>'14. Land Req '!E18/(SUM('14. Land Req '!E$12:E$13, '14. Land Req '!E$17:E$18) +('14. Land Req '!E$19*'11. Diet'!E$62))</f>
        <v>0.17544118997359276</v>
      </c>
      <c r="D17" s="703"/>
      <c r="E17" s="929">
        <f>'2. ABM-LCA Controls'!B$16*C17</f>
        <v>109.96097012036246</v>
      </c>
      <c r="F17" s="929"/>
      <c r="G17" s="939">
        <f>(E17*'13. Yields'!K31)/PRODUCT('18. Waste, Losses'!H18:L18)</f>
        <v>1156659.4682500002</v>
      </c>
      <c r="H17" s="591">
        <f>G17*'8. Prices'!H17*'7. BASE to LOCAL'!$O$7</f>
        <v>1233434.7672992577</v>
      </c>
      <c r="J17" s="925"/>
      <c r="K17" s="9"/>
      <c r="L17" s="601"/>
      <c r="M17" s="925"/>
    </row>
    <row r="18" spans="1:14" x14ac:dyDescent="0.25">
      <c r="A18" s="197" t="s">
        <v>124</v>
      </c>
      <c r="B18" s="590">
        <f>(('11. Diet'!I18*('11. Diet'!K18/1000))*365*'2. ABM-LCA Controls'!$B$6)</f>
        <v>8544355.4267500024</v>
      </c>
      <c r="C18" s="686">
        <f>('14. Land Req '!E$19)/(SUM('14. Land Req '!E$11:E$19))</f>
        <v>0.25232040293391111</v>
      </c>
      <c r="D18" s="703"/>
      <c r="E18" s="686">
        <f>SUM('2. ABM-LCA Controls'!B$15:B$16) * C18</f>
        <v>400.43425610174745</v>
      </c>
      <c r="F18" s="703"/>
      <c r="G18" s="599">
        <f>(E18*'13. Yields'!K32)/PRODUCT('18. Waste, Losses'!H19:L19)</f>
        <v>8544355.4267500006</v>
      </c>
      <c r="H18" s="591">
        <f>G18*'8. Prices'!H18*'7. BASE to LOCAL'!$O$9</f>
        <v>12600736.722569056</v>
      </c>
      <c r="N18" s="9"/>
    </row>
    <row r="19" spans="1:14" ht="18.75" customHeight="1" x14ac:dyDescent="0.25">
      <c r="A19" s="198" t="s">
        <v>128</v>
      </c>
      <c r="B19" s="590">
        <f>(('11. Diet'!I19*('11. Diet'!K19/1000))*365*'2. ABM-LCA Controls'!$B$6)</f>
        <v>764347.33804000006</v>
      </c>
      <c r="C19" s="703">
        <f>'14. Land Req '!E20/(SUM('14. Land Req '!E$20:E$26, '14. Land Req '!E$28:E$30, '14. Land Req '!E$33, '14. Land Req '!E$37:E$41) + ('14. Land Req '!E$34*'11. Diet'!$E$63) + ('14. Land Req '!E$42*'11. Diet'!$E$65))</f>
        <v>6.807397262807667E-2</v>
      </c>
      <c r="D19" s="703"/>
      <c r="E19" s="703">
        <f>'2. ABM-LCA Controls'!B$17*C19</f>
        <v>90.163395857013953</v>
      </c>
      <c r="F19" s="703"/>
      <c r="G19" s="939">
        <f>(E19*'13. Yields'!K33)/PRODUCT('18. Waste, Losses'!H20:L20)</f>
        <v>688935.47693330818</v>
      </c>
      <c r="H19" s="591">
        <f>G19*'8. Prices'!H19*'7. BASE to LOCAL'!$O$7</f>
        <v>569807.11413090571</v>
      </c>
      <c r="N19" s="9"/>
    </row>
    <row r="20" spans="1:14" x14ac:dyDescent="0.25">
      <c r="A20" s="199" t="s">
        <v>131</v>
      </c>
      <c r="B20" s="590">
        <f>(('11. Diet'!I20*('11. Diet'!K20/1000))*365*'2. ABM-LCA Controls'!$B$6)</f>
        <v>99609.094585000013</v>
      </c>
      <c r="C20" s="703">
        <f>'14. Land Req '!E21/(SUM('14. Land Req '!E$20:E$26, '14. Land Req '!E$28:E$30, '14. Land Req '!E$33, '14. Land Req '!E$37:E$41) + ('14. Land Req '!E$34*'11. Diet'!$E$63) + ('14. Land Req '!E$42*'11. Diet'!$E$65))</f>
        <v>1.4171979189000754E-2</v>
      </c>
      <c r="D20" s="703"/>
      <c r="E20" s="703">
        <f>'2. ABM-LCA Controls'!B$17*C20</f>
        <v>18.770665503488196</v>
      </c>
      <c r="F20" s="703"/>
      <c r="G20" s="939">
        <f>(E20*'13. Yields'!K34)/PRODUCT('18. Waste, Losses'!H21:L21)</f>
        <v>89781.48502588323</v>
      </c>
      <c r="H20" s="591">
        <f>G20*'8. Prices'!H20*'7. BASE to LOCAL'!$O$7</f>
        <v>100606.47147628355</v>
      </c>
      <c r="N20" s="9"/>
    </row>
    <row r="21" spans="1:14" x14ac:dyDescent="0.25">
      <c r="A21" s="199" t="s">
        <v>134</v>
      </c>
      <c r="B21" s="590">
        <f>(('11. Diet'!I21*('11. Diet'!K21/1000))*365*'2. ABM-LCA Controls'!$B$6)</f>
        <v>28459.741310000005</v>
      </c>
      <c r="C21" s="703">
        <f>'14. Land Req '!E22/(SUM('14. Land Req '!E$20:E$26, '14. Land Req '!E$28:E$30, '14. Land Req '!E$33, '14. Land Req '!E$37:E$41) + ('14. Land Req '!E$34*'11. Diet'!$E$63) + ('14. Land Req '!E$42*'11. Diet'!$E$65))</f>
        <v>1.8815881961850723E-3</v>
      </c>
      <c r="D21" s="703"/>
      <c r="E21" s="703">
        <f>'2. ABM-LCA Controls'!B$17*C21</f>
        <v>2.4921475098773405</v>
      </c>
      <c r="F21" s="703"/>
      <c r="G21" s="939">
        <f>(E21*'13. Yields'!K35)/PRODUCT('18. Waste, Losses'!H22:L22)</f>
        <v>25651.852864538072</v>
      </c>
      <c r="H21" s="591">
        <f>G21*'8. Prices'!H21*'7. BASE to LOCAL'!$O$7</f>
        <v>31483.456674951747</v>
      </c>
      <c r="N21" s="9"/>
    </row>
    <row r="22" spans="1:14" x14ac:dyDescent="0.25">
      <c r="A22" s="199" t="s">
        <v>137</v>
      </c>
      <c r="B22" s="590">
        <f>(('11. Diet'!I22*('11. Diet'!K22/1000))*365*'2. ABM-LCA Controls'!$B$6)</f>
        <v>1380297.4535350003</v>
      </c>
      <c r="C22" s="703">
        <f>'14. Land Req '!E23/(SUM('14. Land Req '!E$20:E$26, '14. Land Req '!E$28:E$30, '14. Land Req '!E$33, '14. Land Req '!E$37:E$41) + ('14. Land Req '!E$34*'11. Diet'!$E$63) + ('14. Land Req '!E$42*'11. Diet'!$E$65))</f>
        <v>5.0943248122303122E-2</v>
      </c>
      <c r="D22" s="703"/>
      <c r="E22" s="703">
        <f>'2. ABM-LCA Controls'!B$17*C22</f>
        <v>67.473897429027915</v>
      </c>
      <c r="F22" s="703"/>
      <c r="G22" s="939">
        <f>(E22*'13. Yields'!K36)/PRODUCT('18. Waste, Losses'!H23:L23)</f>
        <v>1244114.8639300964</v>
      </c>
      <c r="H22" s="591">
        <f>G22*'8. Prices'!H22*'7. BASE to LOCAL'!$O$7</f>
        <v>795815.42387203977</v>
      </c>
      <c r="N22" s="9"/>
    </row>
    <row r="23" spans="1:14" x14ac:dyDescent="0.25">
      <c r="A23" s="13" t="s">
        <v>140</v>
      </c>
      <c r="B23" s="590">
        <f>(('11. Diet'!I23*('11. Diet'!K23/1000))*365*'2. ABM-LCA Controls'!$B$6)</f>
        <v>270367.54244500003</v>
      </c>
      <c r="C23" s="703">
        <f>'14. Land Req '!E24/(SUM('14. Land Req '!E$20:E$26, '14. Land Req '!E$28:E$30, '14. Land Req '!E$33, '14. Land Req '!E$37:E$41) + ('14. Land Req '!E$34*'11. Diet'!$E$63) + ('14. Land Req '!E$42*'11. Diet'!$E$65))</f>
        <v>2.190614982253709E-2</v>
      </c>
      <c r="D23" s="703"/>
      <c r="E23" s="703">
        <f>'2. ABM-LCA Controls'!B$17*C23</f>
        <v>29.014508510376501</v>
      </c>
      <c r="F23" s="703"/>
      <c r="G23" s="939">
        <f>(E23*'13. Yields'!K37)/PRODUCT('18. Waste, Losses'!H24:L24)</f>
        <v>243692.60221311165</v>
      </c>
      <c r="H23" s="591">
        <f>G23*'8. Prices'!H23*'7. BASE to LOCAL'!$O$7</f>
        <v>397751.93441601371</v>
      </c>
      <c r="N23" s="9"/>
    </row>
    <row r="24" spans="1:14" x14ac:dyDescent="0.25">
      <c r="A24" s="200" t="s">
        <v>143</v>
      </c>
      <c r="B24" s="590">
        <f>(('11. Diet'!I24*('11. Diet'!K24/1000))*365*'2. ABM-LCA Controls'!$B$6)</f>
        <v>409616.99099749996</v>
      </c>
      <c r="C24" s="703">
        <f>'14. Land Req '!E25/(SUM('14. Land Req '!E$20:E$26, '14. Land Req '!E$28:E$30, '14. Land Req '!E$33, '14. Land Req '!E$37:E$41) + ('14. Land Req '!E$34*'11. Diet'!$E$63) + ('14. Land Req '!E$42*'11. Diet'!$E$65))</f>
        <v>2.6646878008924867E-2</v>
      </c>
      <c r="D24" s="703"/>
      <c r="E24" s="703">
        <f>'2. ABM-LCA Controls'!B$17*C24</f>
        <v>35.293562539661842</v>
      </c>
      <c r="F24" s="703"/>
      <c r="G24" s="939">
        <f>(E24*'13. Yields'!K38)/PRODUCT('18. Waste, Losses'!H25:L25)</f>
        <v>369203.45372888714</v>
      </c>
      <c r="H24" s="591">
        <f>G24*'8. Prices'!H24*'7. BASE to LOCAL'!$O$9</f>
        <v>943118.23108624469</v>
      </c>
      <c r="N24" s="9"/>
    </row>
    <row r="25" spans="1:14" x14ac:dyDescent="0.25">
      <c r="A25" s="198" t="s">
        <v>146</v>
      </c>
      <c r="B25" s="590">
        <f>(('11. Diet'!I25*('11. Diet'!K25/1000))*365*'2. ABM-LCA Controls'!$B$6)</f>
        <v>1016419.3325</v>
      </c>
      <c r="C25" s="703">
        <f>'14. Land Req '!E26/(SUM('14. Land Req '!E$20:E$26, '14. Land Req '!E$28:E$30, '14. Land Req '!E$33, '14. Land Req '!E$37:E$41) + ('14. Land Req '!E$34*'11. Diet'!$E$63) + ('14. Land Req '!E$42*'11. Diet'!$E$65))</f>
        <v>2.3844133233442311E-2</v>
      </c>
      <c r="D25" s="703"/>
      <c r="E25" s="703">
        <f>'2. ABM-LCA Controls'!B$17*C25</f>
        <v>31.581351000918989</v>
      </c>
      <c r="F25" s="703"/>
      <c r="G25" s="939">
        <f>(E25*'13. Yields'!K39)/PRODUCT('18. Waste, Losses'!H26:L26)</f>
        <v>916137.60230493103</v>
      </c>
      <c r="H25" s="591">
        <f>G25*'8. Prices'!H25*'7. BASE to LOCAL'!$O$8</f>
        <v>281953.83206022187</v>
      </c>
    </row>
    <row r="26" spans="1:14" x14ac:dyDescent="0.25">
      <c r="A26" s="199" t="s">
        <v>149</v>
      </c>
      <c r="B26" s="590">
        <f>(('11. Diet'!I26*('11. Diet'!K26/1000))*365*'2. ABM-LCA Controls'!$B$6)</f>
        <v>280531.73577000009</v>
      </c>
      <c r="C26" s="703">
        <f>'14. Land Req '!E27 / (SUM('14. Land Req '!E$27, '14. Land Req '!E$31:E$32, '14. Land Req '!E$35:E$36) + ('14. Land Req '!E$34*'11. Diet'!$E$64) + ('14. Land Req '!E$42*'11. Diet'!$E$66))</f>
        <v>1.4991599258647839E-2</v>
      </c>
      <c r="D26" s="703"/>
      <c r="E26" s="703">
        <f>'2. ABM-LCA Controls'!B$18*C26</f>
        <v>17.689287634067355</v>
      </c>
      <c r="F26" s="703"/>
      <c r="G26" s="939">
        <f>(E26*'13. Yields'!K40)/PRODUCT('18. Waste, Losses'!H27:L27)</f>
        <v>319829.35261588037</v>
      </c>
      <c r="H26" s="591">
        <f>G26*'8. Prices'!H26*'7. BASE to LOCAL'!$O$7</f>
        <v>59867.776648270061</v>
      </c>
    </row>
    <row r="27" spans="1:14" x14ac:dyDescent="0.25">
      <c r="A27" s="13" t="s">
        <v>152</v>
      </c>
      <c r="B27" s="590">
        <f>(('11. Diet'!I27*('11. Diet'!K27/1000))*365*'2. ABM-LCA Controls'!$B$6)</f>
        <v>607818.76083500008</v>
      </c>
      <c r="C27" s="703">
        <f>'14. Land Req '!E28/(SUM('14. Land Req '!E$20:E$26, '14. Land Req '!E$28:E$30, '14. Land Req '!E$33, '14. Land Req '!E$37:E$41) + ('14. Land Req '!E$34*'11. Diet'!$E$63) + ('14. Land Req '!E$42*'11. Diet'!$E$65))</f>
        <v>3.7150164685550532E-2</v>
      </c>
      <c r="D27" s="703"/>
      <c r="E27" s="703">
        <f>'2. ABM-LCA Controls'!B$17*C27</f>
        <v>49.205076116198896</v>
      </c>
      <c r="F27" s="703"/>
      <c r="G27" s="939">
        <f>(E27*'13. Yields'!K41)/PRODUCT('18. Waste, Losses'!H28:L28)</f>
        <v>547850.2861783487</v>
      </c>
      <c r="H27" s="591">
        <f>G27*'8. Prices'!H27*'7. BASE to LOCAL'!$O$8</f>
        <v>212925.78889345951</v>
      </c>
    </row>
    <row r="28" spans="1:14" x14ac:dyDescent="0.25">
      <c r="A28" s="13" t="s">
        <v>155</v>
      </c>
      <c r="B28" s="590">
        <f>(('11. Diet'!I28*('11. Diet'!K28/1000))*365*'2. ABM-LCA Controls'!$B$6)</f>
        <v>2972010.1282300004</v>
      </c>
      <c r="C28" s="703">
        <f>'14. Land Req '!E29/(SUM('14. Land Req '!E$20:E$26, '14. Land Req '!E$28:E$30, '14. Land Req '!E$33, '14. Land Req '!E$37:E$41) + ('14. Land Req '!E$34*'11. Diet'!$E$63) + ('14. Land Req '!E$42*'11. Diet'!$E$65))</f>
        <v>9.9212613492059232E-2</v>
      </c>
      <c r="D28" s="703"/>
      <c r="E28" s="703">
        <f>'2. ABM-LCA Controls'!B$17*C28</f>
        <v>131.4062599690856</v>
      </c>
      <c r="F28" s="703"/>
      <c r="G28" s="939">
        <f>(E28*'13. Yields'!K42)/PRODUCT('18. Waste, Losses'!H29:L29)</f>
        <v>2678786.3491396182</v>
      </c>
      <c r="H28" s="591">
        <f>G28*'8. Prices'!H28*'7. BASE to LOCAL'!$O$7</f>
        <v>2355880.3566660006</v>
      </c>
    </row>
    <row r="29" spans="1:14" s="9" customFormat="1" x14ac:dyDescent="0.25">
      <c r="A29" s="200" t="s">
        <v>158</v>
      </c>
      <c r="B29" s="590">
        <f>(('11. Diet'!I29*('11. Diet'!K29/1000))*365*'2. ABM-LCA Controls'!$B$6)</f>
        <v>4677561.7681649989</v>
      </c>
      <c r="C29" s="703">
        <f>'14. Land Req '!E30/(SUM('14. Land Req '!E$20:E$26, '14. Land Req '!E$28:E$30, '14. Land Req '!E$33, '14. Land Req '!E$37:E$41) + ('14. Land Req '!E$34*'11. Diet'!$E$63) + ('14. Land Req '!E$42*'11. Diet'!$E$65))</f>
        <v>9.1934808607027782E-2</v>
      </c>
      <c r="D29" s="703"/>
      <c r="E29" s="686">
        <f>'2. ABM-LCA Controls'!B$17*C29</f>
        <v>121.76686950183147</v>
      </c>
      <c r="F29" s="933"/>
      <c r="G29" s="939">
        <f>(E29*'13. Yields'!K43)/PRODUCT('18. Waste, Losses'!H30:L30)</f>
        <v>4216065.2458072919</v>
      </c>
      <c r="H29" s="591">
        <f>G29*((('8. Prices'!H29*0.9)*'7. BASE to LOCAL'!$O$9) +(('8. Prices'!H29*0.1)*'7. BASE to LOCAL'!$O$10))</f>
        <v>6958258.6890791059</v>
      </c>
    </row>
    <row r="30" spans="1:14" x14ac:dyDescent="0.25">
      <c r="A30" s="198" t="s">
        <v>161</v>
      </c>
      <c r="B30" s="590">
        <f>(('11. Diet'!I30*('11. Diet'!K30/1000))*365*'2. ABM-LCA Controls'!$B$6)</f>
        <v>396403.53967500001</v>
      </c>
      <c r="C30" s="703">
        <f>'14. Land Req '!E31 / (SUM('14. Land Req '!E$27, '14. Land Req '!E$31:E$32, '14. Land Req '!E$35:E$36) + ('14. Land Req '!E$34*'11. Diet'!$E$64) + ('14. Land Req '!E$42*'11. Diet'!$E$66))</f>
        <v>0.10538618551139306</v>
      </c>
      <c r="D30" s="703"/>
      <c r="E30" s="686">
        <f>'2. ABM-LCA Controls'!B$18*C30</f>
        <v>124.35007873445217</v>
      </c>
      <c r="F30" s="703"/>
      <c r="G30" s="939">
        <f>(E30*'13. Yields'!K44)/PRODUCT('18. Waste, Losses'!H31:L31)</f>
        <v>451932.78087026573</v>
      </c>
      <c r="H30" s="591">
        <f>G30*'8. Prices'!H30*'7. BASE to LOCAL'!$O$7</f>
        <v>627859.72433508432</v>
      </c>
    </row>
    <row r="31" spans="1:14" x14ac:dyDescent="0.25">
      <c r="A31" s="201" t="s">
        <v>164</v>
      </c>
      <c r="B31" s="590">
        <f>(('11. Diet'!I31*('11. Diet'!K31/1000))*365*'2. ABM-LCA Controls'!$B$6)</f>
        <v>0</v>
      </c>
      <c r="C31" s="703">
        <f>'14. Land Req '!E32 / (SUM('14. Land Req '!E$27, '14. Land Req '!E$31:E$32, '14. Land Req '!E$35:E$36) + ('14. Land Req '!E$34*'11. Diet'!$E$64) + ('14. Land Req '!E$42*'11. Diet'!$E$66))</f>
        <v>0</v>
      </c>
      <c r="D31" s="703"/>
      <c r="E31" s="686">
        <f>'2. ABM-LCA Controls'!B$18*C31</f>
        <v>0</v>
      </c>
      <c r="F31" s="703"/>
      <c r="G31" s="939">
        <f>(E31*'13. Yields'!K45)/PRODUCT('18. Waste, Losses'!H32:L32)</f>
        <v>0</v>
      </c>
      <c r="H31" s="591">
        <f>G31*'8. Prices'!H31*'7. BASE to LOCAL'!$O$7</f>
        <v>0</v>
      </c>
    </row>
    <row r="32" spans="1:14" x14ac:dyDescent="0.25">
      <c r="A32" s="13" t="s">
        <v>167</v>
      </c>
      <c r="B32" s="590">
        <f>(('11. Diet'!I32*('11. Diet'!K32/1000))*365*'2. ABM-LCA Controls'!$B$6)</f>
        <v>6098515.995000001</v>
      </c>
      <c r="C32" s="703">
        <f>'14. Land Req '!E33/(SUM('14. Land Req '!E$20:E$26, '14. Land Req '!E$28:E$30, '14. Land Req '!E$33, '14. Land Req '!E$37:E$41) + ('14. Land Req '!E$34*'11. Diet'!$E$63) + ('14. Land Req '!E$42*'11. Diet'!$E$65))</f>
        <v>0.14946501018892674</v>
      </c>
      <c r="D32" s="703"/>
      <c r="E32" s="686">
        <f>'2. ABM-LCA Controls'!B$17*C32</f>
        <v>197.96513058029794</v>
      </c>
      <c r="F32" s="703"/>
      <c r="G32" s="939">
        <f>((E32)*(('13. Yields'!K46)))/PRODUCT('18. Waste, Losses'!H33:L33)</f>
        <v>5496825.6138295867</v>
      </c>
      <c r="H32" s="591">
        <f>G32*'8. Prices'!H32*'7. BASE to LOCAL'!$O$8</f>
        <v>1324172.9984432098</v>
      </c>
    </row>
    <row r="33" spans="1:10" x14ac:dyDescent="0.25">
      <c r="A33" s="200" t="s">
        <v>170</v>
      </c>
      <c r="B33" s="590">
        <f>(('11. Diet'!I33*('11. Diet'!K33/1000))*365*'2. ABM-LCA Controls'!$B$6)</f>
        <v>5325020.8829675009</v>
      </c>
      <c r="C33" s="686">
        <f>('14. Land Req '!E34)/(SUM('14. Land Req '!E$20:E$42))</f>
        <v>0.14389738690104559</v>
      </c>
      <c r="D33" s="686"/>
      <c r="E33" s="686">
        <f>SUM('2. ABM-LCA Controls'!B$17:B$18) * C33</f>
        <v>360.38210364489413</v>
      </c>
      <c r="F33" s="703"/>
      <c r="G33" s="939">
        <f>((E33)*(('13. Yields'!K47)))/PRODUCT('18. Waste, Losses'!H34:L34)</f>
        <v>5325020.8829675009</v>
      </c>
      <c r="H33" s="591">
        <f>G33*((('8. Prices'!H33*0.25)*'7. BASE to LOCAL'!$O$9)*(('8. Prices'!H33*0.75)*'7. BASE to LOCAL'!$O$10))</f>
        <v>3902548.3550035418</v>
      </c>
    </row>
    <row r="34" spans="1:10" x14ac:dyDescent="0.25">
      <c r="A34" s="202" t="s">
        <v>87</v>
      </c>
      <c r="B34" s="254">
        <f>(('11. Diet'!I34*('11. Diet'!K34/1000))*365*'2. ABM-LCA Controls'!$B$6)</f>
        <v>1125780.9062499998</v>
      </c>
      <c r="C34" s="686">
        <f>'14. Land Req '!E35 / (SUM('14. Land Req '!E$27, '14. Land Req '!E$31:E$32, '14. Land Req '!E$35:E$36) + ('14. Land Req '!E$34*'11. Diet'!$E$64) + ('14. Land Req '!E$42*'11. Diet'!$E$66))</f>
        <v>0.68985814121927924</v>
      </c>
      <c r="D34" s="686"/>
      <c r="E34" s="686">
        <f>'2. ABM-LCA Controls'!B$18*C34</f>
        <v>813.99581700341832</v>
      </c>
      <c r="F34" s="686"/>
      <c r="G34" s="939">
        <f>((E34)*(('13. Yields'!K48)))/PRODUCT('18. Waste, Losses'!H35:L35)</f>
        <v>1283483.2303196448</v>
      </c>
      <c r="H34" s="591">
        <f>G34*'8. Prices'!H7*'7. BASE to LOCAL'!$O$9</f>
        <v>2063881.9044818941</v>
      </c>
    </row>
    <row r="35" spans="1:10" x14ac:dyDescent="0.25">
      <c r="A35" s="198" t="s">
        <v>175</v>
      </c>
      <c r="B35" s="590">
        <f>(('11. Diet'!I35*('11. Diet'!K35/1000))*365*'2. ABM-LCA Controls'!$B$6)</f>
        <v>223612.25315000003</v>
      </c>
      <c r="C35" s="686">
        <f>'14. Land Req '!E36 / (SUM('14. Land Req '!E$27, '14. Land Req '!E$31:E$32, '14. Land Req '!E$35:E$36) + ('14. Land Req '!E$34*'11. Diet'!$E$64) + ('14. Land Req '!E$42*'11. Diet'!$E$66))</f>
        <v>2.5453642107949412E-2</v>
      </c>
      <c r="D35" s="686"/>
      <c r="E35" s="686">
        <f>'2. ABM-LCA Controls'!B$18*C35</f>
        <v>30.0339402630708</v>
      </c>
      <c r="F35" s="703"/>
      <c r="G35" s="939">
        <f>((E35)*(('13. Yields'!K49)))/PRODUCT('18. Waste, Losses'!H36:L36)</f>
        <v>254936.44049091922</v>
      </c>
      <c r="H35" s="591">
        <f>G35*'8. Prices'!H34*'7. BASE to LOCAL'!$O$7</f>
        <v>231410.30896918403</v>
      </c>
    </row>
    <row r="36" spans="1:10" x14ac:dyDescent="0.25">
      <c r="A36" s="199" t="s">
        <v>178</v>
      </c>
      <c r="B36" s="590">
        <f>(('11. Diet'!I36*('11. Diet'!K36/1000))*365*'2. ABM-LCA Controls'!$B$6)</f>
        <v>786708.56335499999</v>
      </c>
      <c r="C36" s="703">
        <f>'14. Land Req '!E37/(SUM('14. Land Req '!E$20:E$26, '14. Land Req '!E$28:E$30, '14. Land Req '!E$33, '14. Land Req '!E$37:E$41) + ('14. Land Req '!E$34*'11. Diet'!$E$63) + ('14. Land Req '!E$42*'11. Diet'!$E$65))</f>
        <v>2.2096556606253856E-2</v>
      </c>
      <c r="D36" s="686"/>
      <c r="E36" s="686">
        <f>'2. ABM-LCA Controls'!B$17*C36</f>
        <v>29.266700670630048</v>
      </c>
      <c r="F36" s="703"/>
      <c r="G36" s="939">
        <f>((E36)*(('13. Yields'!K50)))/PRODUCT('18. Waste, Losses'!H37:L37)</f>
        <v>709090.50418401626</v>
      </c>
      <c r="H36" s="591">
        <f>G36*'8. Prices'!H35*'7. BASE to LOCAL'!$O$7</f>
        <v>187354.67744513691</v>
      </c>
    </row>
    <row r="37" spans="1:10" ht="17.25" customHeight="1" x14ac:dyDescent="0.25">
      <c r="A37" s="199" t="s">
        <v>181</v>
      </c>
      <c r="B37" s="590">
        <f>(('11. Diet'!I37*('11. Diet'!K37/1000))*365*'2. ABM-LCA Controls'!$B$6)</f>
        <v>829398.17532000004</v>
      </c>
      <c r="C37" s="703">
        <f>'14. Land Req '!E38/(SUM('14. Land Req '!E$20:E$26, '14. Land Req '!E$28:E$30, '14. Land Req '!E$33, '14. Land Req '!E$37:E$41) + ('14. Land Req '!E$34*'11. Diet'!$E$63) + ('14. Land Req '!E$42*'11. Diet'!$E$65))</f>
        <v>5.1043558193671616E-2</v>
      </c>
      <c r="D37" s="686"/>
      <c r="E37" s="686">
        <f>'2. ABM-LCA Controls'!B$17*C37</f>
        <v>67.606757262589511</v>
      </c>
      <c r="F37" s="703"/>
      <c r="G37" s="939">
        <f>((E37)*(('13. Yields'!K51)))/PRODUCT('18. Waste, Losses'!H38:L38)</f>
        <v>747568.28348082374</v>
      </c>
      <c r="H37" s="591">
        <f>G37*'8. Prices'!H36*'7. BASE to LOCAL'!$O$7</f>
        <v>401414.07260563481</v>
      </c>
    </row>
    <row r="38" spans="1:10" x14ac:dyDescent="0.25">
      <c r="A38" s="199" t="s">
        <v>184</v>
      </c>
      <c r="B38" s="590">
        <f>(('11. Diet'!I38*('11. Diet'!K38/1000))*365*'2. ABM-LCA Controls'!$B$6)</f>
        <v>1351837.7122250004</v>
      </c>
      <c r="C38" s="703">
        <f>'14. Land Req '!E39/(SUM('14. Land Req '!E$20:E$26, '14. Land Req '!E$28:E$30, '14. Land Req '!E$33, '14. Land Req '!E$37:E$41) + ('14. Land Req '!E$34*'11. Diet'!$E$63) + ('14. Land Req '!E$42*'11. Diet'!$E$65))</f>
        <v>3.7986689144265902E-2</v>
      </c>
      <c r="D38" s="686"/>
      <c r="E38" s="686">
        <f>'2. ABM-LCA Controls'!B$17*C38</f>
        <v>50.313045623536269</v>
      </c>
      <c r="F38" s="703"/>
      <c r="G38" s="939">
        <f>((E38)*(('13. Yields'!K52)))/PRODUCT('18. Waste, Losses'!H39:L39)</f>
        <v>1218463.0110655585</v>
      </c>
      <c r="H38" s="591">
        <f>G38*'8. Prices'!H37*'7. BASE to LOCAL'!$O$7</f>
        <v>426260.0892065973</v>
      </c>
    </row>
    <row r="39" spans="1:10" x14ac:dyDescent="0.25">
      <c r="A39" s="199" t="s">
        <v>187</v>
      </c>
      <c r="B39" s="590">
        <f>(('11. Diet'!I39*('11. Diet'!K39/1000))*365*'2. ABM-LCA Controls'!$B$6)</f>
        <v>2602033.4912</v>
      </c>
      <c r="C39" s="703">
        <f>'14. Land Req '!E40/(SUM('14. Land Req '!E$20:E$26, '14. Land Req '!E$28:E$30, '14. Land Req '!E$33, '14. Land Req '!E$37:E$41) + ('14. Land Req '!E$34*'11. Diet'!$E$63) + ('14. Land Req '!E$42*'11. Diet'!$E$65))</f>
        <v>5.4750762121375571E-2</v>
      </c>
      <c r="D39" s="686"/>
      <c r="E39" s="686">
        <f>'2. ABM-LCA Controls'!B$17*C39</f>
        <v>72.516917230518089</v>
      </c>
      <c r="F39" s="703"/>
      <c r="G39" s="939">
        <f>((E39)*(('13. Yields'!K53)))/PRODUCT('18. Waste, Losses'!H40:L40)</f>
        <v>2345312.2619006233</v>
      </c>
      <c r="H39" s="591">
        <f>G39*'8. Prices'!H38*'7. BASE to LOCAL'!$O$7</f>
        <v>1049448.555831725</v>
      </c>
    </row>
    <row r="40" spans="1:10" x14ac:dyDescent="0.25">
      <c r="A40" s="13" t="s">
        <v>190</v>
      </c>
      <c r="B40" s="590">
        <f>(('11. Diet'!I40*('11. Diet'!K40/1000))*365*'2. ABM-LCA Controls'!$B$6)</f>
        <v>631196.40548250009</v>
      </c>
      <c r="C40" s="703">
        <f>'14. Land Req '!E41/(SUM('14. Land Req '!E$20:E$26, '14. Land Req '!E$28:E$30, '14. Land Req '!E$33, '14. Land Req '!E$37:E$41) + ('14. Land Req '!E$34*'11. Diet'!$E$63) + ('14. Land Req '!E$42*'11. Diet'!$E$65))</f>
        <v>3.4504416017754148E-2</v>
      </c>
      <c r="D40" s="686"/>
      <c r="E40" s="686">
        <f>'2. ABM-LCA Controls'!B$17*C40</f>
        <v>45.700804582407073</v>
      </c>
      <c r="F40" s="703"/>
      <c r="G40" s="939">
        <f>((E40)*(('13. Yields'!K54)))/PRODUCT('18. Waste, Losses'!H41:L41)</f>
        <v>568921.45103136206</v>
      </c>
      <c r="H40" s="591">
        <f>G40*'8. Prices'!H39*'7. BASE to LOCAL'!$O$7</f>
        <v>397619.19166713604</v>
      </c>
    </row>
    <row r="41" spans="1:10" ht="16.899999999999999" customHeight="1" x14ac:dyDescent="0.25">
      <c r="A41" s="200" t="s">
        <v>191</v>
      </c>
      <c r="B41" s="590">
        <f>(('11. Diet'!I41*('11. Diet'!K41/1000))*365*'2. ABM-LCA Controls'!$B$6)</f>
        <v>809577.99833624996</v>
      </c>
      <c r="C41" s="686">
        <f>('14. Land Req '!E42)/(SUM('14. Land Req '!E$20:E$42))</f>
        <v>4.9795610498783956E-2</v>
      </c>
      <c r="D41" s="686"/>
      <c r="E41" s="686">
        <f>SUM('2. ABM-LCA Controls'!B$17:B$18)*C41</f>
        <v>124.71002601439972</v>
      </c>
      <c r="F41" s="703"/>
      <c r="G41" s="939">
        <f>((E41)*(('13. Yields'!K55)))/PRODUCT('18. Waste, Losses'!H42:L42)</f>
        <v>809577.99833625008</v>
      </c>
      <c r="H41" s="591">
        <f>G41*'8. Prices'!H40*'7. BASE to LOCAL'!$O$7</f>
        <v>652673.9275919433</v>
      </c>
    </row>
    <row r="42" spans="1:10" x14ac:dyDescent="0.25">
      <c r="A42" s="203" t="s">
        <v>194</v>
      </c>
      <c r="B42" s="590">
        <f>(('11. Diet'!I42*('11. Diet'!K42/1000))*365*'2. ABM-LCA Controls'!$B$6)</f>
        <v>18768731.069087997</v>
      </c>
      <c r="C42" s="703">
        <f>'14. Land Req '!E43/SUM('14. Land Req '!E$43:E$44)</f>
        <v>0.90537751401802624</v>
      </c>
      <c r="D42" s="703"/>
      <c r="E42" s="686">
        <f>'2. ABM-LCA Controls'!B$19*C42</f>
        <v>9648.4489437789762</v>
      </c>
      <c r="F42" s="703"/>
      <c r="G42" s="939">
        <f>(E42*'13. Yields'!K56)/PRODUCT('18. Waste, Losses'!H43:L43)</f>
        <v>18768731.069087993</v>
      </c>
      <c r="H42" s="591">
        <f>G42*(('8. Prices'!H41*'11. Diet'!B81)+('8. Prices'!H42*'11. Diet'!B82)+('8. Prices'!H43*'11. Diet'!B83))*'7. BASE to LOCAL'!$O$11</f>
        <v>41084711.983163409</v>
      </c>
    </row>
    <row r="43" spans="1:10" x14ac:dyDescent="0.25">
      <c r="A43" s="204" t="s">
        <v>196</v>
      </c>
      <c r="B43" s="590">
        <f>(('11. Diet'!I43*('11. Diet'!K43/1000))*365*'2. ABM-LCA Controls'!$B$6)</f>
        <v>5552416.2746052006</v>
      </c>
      <c r="C43" s="703">
        <f>'14. Land Req '!E44/SUM('14. Land Req '!E$43:E$44)</f>
        <v>9.4622485981973689E-2</v>
      </c>
      <c r="D43" s="703"/>
      <c r="E43" s="686">
        <f>'2. ABM-LCA Controls'!B$19*C43</f>
        <v>1008.3751924419207</v>
      </c>
      <c r="F43" s="703"/>
      <c r="G43" s="939">
        <f>(E43*'13. Yields'!K57)/PRODUCT('18. Waste, Losses'!H44:L44)</f>
        <v>5552416.2746051997</v>
      </c>
      <c r="H43" s="591">
        <f>G43*'8. Prices'!H44*'7. BASE to LOCAL'!$O$11</f>
        <v>2486349.6714720982</v>
      </c>
    </row>
    <row r="44" spans="1:10" x14ac:dyDescent="0.25">
      <c r="A44" s="205" t="s">
        <v>199</v>
      </c>
      <c r="B44" s="590">
        <f>(('11. Diet'!I44*('11. Diet'!K44/1000))*365*'2. ABM-LCA Controls'!$B$6)</f>
        <v>6579295.2053400017</v>
      </c>
      <c r="C44" s="703">
        <f>'14. Land Req '!E45/SUM('14. Land Req '!E$45:E$46)</f>
        <v>0.84498475269635309</v>
      </c>
      <c r="D44" s="703"/>
      <c r="E44" s="703">
        <f>'2. ABM-LCA Controls'!B$20*C44</f>
        <v>16820.011979825733</v>
      </c>
      <c r="F44" s="703"/>
      <c r="G44" s="939">
        <f>(E44*'13. Yields'!K58)/PRODUCT('18. Waste, Losses'!H45:L45)</f>
        <v>6579295.2053400017</v>
      </c>
      <c r="H44" s="591">
        <f>G44*'8. Prices'!H45*'7. BASE to LOCAL'!$O$12</f>
        <v>4569610.9867219813</v>
      </c>
    </row>
    <row r="45" spans="1:10" x14ac:dyDescent="0.25">
      <c r="A45" s="206" t="s">
        <v>201</v>
      </c>
      <c r="B45" s="590">
        <f>(('11. Diet'!I45*('11. Diet'!K45/1000))*365*'2. ABM-LCA Controls'!$B$6)</f>
        <v>1644823.8013350004</v>
      </c>
      <c r="C45" s="703">
        <f>'14. Land Req '!E46/SUM('14. Land Req '!E$45:E$46)</f>
        <v>0.15501524730364696</v>
      </c>
      <c r="D45" s="703"/>
      <c r="E45" s="703">
        <f>'2. ABM-LCA Controls'!B$20*C45</f>
        <v>3085.6868226117563</v>
      </c>
      <c r="F45" s="703"/>
      <c r="G45" s="939">
        <f>(E45*'13. Yields'!K59)/PRODUCT('18. Waste, Losses'!H46:L46)</f>
        <v>1644823.8013350002</v>
      </c>
      <c r="H45" s="591">
        <f>G45*'8. Prices'!H46*'7. BASE to LOCAL'!$O$12</f>
        <v>3085760.7251508175</v>
      </c>
    </row>
    <row r="46" spans="1:10" x14ac:dyDescent="0.25">
      <c r="A46" s="207" t="s">
        <v>204</v>
      </c>
      <c r="B46" s="590">
        <f>(('11. Diet'!I46*('11. Diet'!K46/1000))*365*'2. ABM-LCA Controls'!$B$6)</f>
        <v>17258697.337310001</v>
      </c>
      <c r="C46" s="703">
        <f>'14. Land Req '!E47/SUM('14. Land Req '!E$47:E$48)</f>
        <v>0.93652976781093622</v>
      </c>
      <c r="D46" s="703"/>
      <c r="E46" s="703">
        <f>'2. ABM-LCA Controls'!B$21*C46</f>
        <v>3432.7935708380996</v>
      </c>
      <c r="F46" s="703"/>
      <c r="G46" s="939">
        <f>(E46*'13. Yields'!K60)/PRODUCT('18. Waste, Losses'!H47:L47)</f>
        <v>17258697.337310005</v>
      </c>
      <c r="H46" s="591">
        <f>G46*'8. Prices'!H47*'7. BASE to LOCAL'!$O$13</f>
        <v>12685153.59735677</v>
      </c>
    </row>
    <row r="47" spans="1:10" ht="25.5" x14ac:dyDescent="0.25">
      <c r="A47" s="425" t="s">
        <v>333</v>
      </c>
      <c r="B47" s="590">
        <f>(('11. Diet'!I47*('11. Diet'!K47/1000))*365*'2. ABM-LCA Controls'!$B$6)</f>
        <v>1572642.276813084</v>
      </c>
      <c r="C47" s="703">
        <f>'14. Land Req '!E48/SUM('14. Land Req '!E$47:E$48)</f>
        <v>6.3470232189063849E-2</v>
      </c>
      <c r="D47" s="703"/>
      <c r="E47" s="703">
        <f>'2. ABM-LCA Controls'!B$21*C47</f>
        <v>232.6463210107004</v>
      </c>
      <c r="F47" s="703"/>
      <c r="G47" s="939">
        <f>(E47*'13. Yields'!K61)/PRODUCT('18. Waste, Losses'!H48:L48)</f>
        <v>1572642.2768130843</v>
      </c>
      <c r="H47" s="591">
        <f>G47*'8. Prices'!H48*'7. BASE to LOCAL'!$O$13</f>
        <v>1155860.5158872849</v>
      </c>
    </row>
    <row r="48" spans="1:10" x14ac:dyDescent="0.25">
      <c r="A48" s="551" t="s">
        <v>207</v>
      </c>
      <c r="B48" s="905">
        <f>'14. Land Req '!C49</f>
        <v>1003467923.061772</v>
      </c>
      <c r="C48" s="703">
        <f>'14. Land Req '!E49/SUM('14. Land Req '!E$49:E$50)</f>
        <v>0.53057367133594735</v>
      </c>
      <c r="D48" s="703"/>
      <c r="E48" s="703">
        <f>'2. ABM-LCA Controls'!B$22*C48</f>
        <v>0</v>
      </c>
      <c r="F48" s="703"/>
      <c r="G48" s="939">
        <f>('2. ABM-LCA Controls'!B$11*C48)*(AVERAGE('13. Yields'!K62,'13. Yields'!K64,'13. Yields'!K66,'13. Yields'!K68,'13. Yields'!K70,'13. Yields'!K72))</f>
        <v>22681252.397312097</v>
      </c>
      <c r="H48" s="591">
        <f>G48*'8. Prices'!H49*'7. BASE to LOCAL'!$O$13</f>
        <v>5406081.2200104129</v>
      </c>
      <c r="I48" s="9"/>
      <c r="J48" s="508"/>
    </row>
    <row r="49" spans="1:15" ht="26.25" customHeight="1" x14ac:dyDescent="0.25">
      <c r="A49" s="513" t="s">
        <v>210</v>
      </c>
      <c r="B49" s="905">
        <f>'14. Land Req '!C50</f>
        <v>286537267.35066527</v>
      </c>
      <c r="C49" s="703">
        <f>'14. Land Req '!E50/SUM('14. Land Req '!E$49:E$50)</f>
        <v>0.46942632866405265</v>
      </c>
      <c r="D49" s="703"/>
      <c r="E49" s="703">
        <f>'2. ABM-LCA Controls'!B$22*C49</f>
        <v>0</v>
      </c>
      <c r="F49" s="703"/>
      <c r="G49" s="939">
        <f>('2. ABM-LCA Controls'!B$11*C49)*(AVERAGE('13. Yields'!K63,'13. Yields'!K65,'13. Yields'!K67,'13. Yields'!K69,'13. Yields'!K71,'13. Yields'!K73))</f>
        <v>6516397.050595724</v>
      </c>
      <c r="H49" s="591">
        <f>G49*'8. Prices'!H50*'7. BASE to LOCAL'!$O$13</f>
        <v>3016850.0985601707</v>
      </c>
      <c r="I49" s="9"/>
      <c r="J49" s="508"/>
    </row>
    <row r="50" spans="1:15" x14ac:dyDescent="0.25">
      <c r="C50" s="282"/>
      <c r="D50" s="282"/>
      <c r="E50" s="282"/>
      <c r="F50" s="282"/>
      <c r="G50" s="131"/>
      <c r="H50" s="129"/>
    </row>
    <row r="51" spans="1:15" ht="45" x14ac:dyDescent="0.25">
      <c r="A51" s="596" t="s">
        <v>334</v>
      </c>
      <c r="B51" s="597" t="s">
        <v>335</v>
      </c>
      <c r="C51" s="594" t="s">
        <v>336</v>
      </c>
      <c r="D51" s="594" t="s">
        <v>337</v>
      </c>
      <c r="E51" s="595" t="s">
        <v>338</v>
      </c>
      <c r="F51" s="942" t="s">
        <v>339</v>
      </c>
      <c r="G51" s="976"/>
      <c r="J51" s="6"/>
      <c r="K51" s="6"/>
      <c r="L51" s="6"/>
      <c r="M51" s="6"/>
      <c r="N51" s="6"/>
      <c r="O51" s="6"/>
    </row>
    <row r="52" spans="1:15" x14ac:dyDescent="0.25">
      <c r="A52" s="593" t="s">
        <v>72</v>
      </c>
      <c r="B52" s="1007">
        <v>1.43</v>
      </c>
      <c r="C52" s="1008">
        <v>0.68</v>
      </c>
      <c r="D52" s="922"/>
      <c r="E52" s="922"/>
      <c r="F52" s="955"/>
      <c r="G52" s="976"/>
      <c r="J52" s="925"/>
      <c r="K52" s="618"/>
      <c r="L52" s="925"/>
      <c r="M52" s="925"/>
      <c r="N52" s="925"/>
      <c r="O52" s="925"/>
    </row>
    <row r="53" spans="1:15" x14ac:dyDescent="0.25">
      <c r="A53" s="593" t="s">
        <v>76</v>
      </c>
      <c r="B53" s="1009">
        <v>2.14</v>
      </c>
      <c r="C53" s="1010">
        <v>0.13</v>
      </c>
      <c r="D53" s="1010">
        <v>5.09</v>
      </c>
      <c r="E53" s="923"/>
      <c r="F53" s="956">
        <v>7.61</v>
      </c>
      <c r="G53" s="976"/>
      <c r="J53" s="975"/>
      <c r="K53" s="618"/>
      <c r="L53" s="925"/>
      <c r="M53" s="925"/>
      <c r="N53" s="925"/>
      <c r="O53" s="925"/>
    </row>
    <row r="54" spans="1:15" x14ac:dyDescent="0.25">
      <c r="A54" s="593" t="s">
        <v>79</v>
      </c>
      <c r="B54" s="1009">
        <v>2.37</v>
      </c>
      <c r="C54" s="1010">
        <v>0.56999999999999995</v>
      </c>
      <c r="D54" s="924"/>
      <c r="E54" s="923"/>
      <c r="F54" s="957"/>
      <c r="G54" s="976"/>
      <c r="J54" s="925"/>
      <c r="K54" s="618"/>
      <c r="L54" s="925"/>
      <c r="M54" s="925"/>
      <c r="N54" s="925"/>
      <c r="O54" s="925"/>
    </row>
    <row r="55" spans="1:15" x14ac:dyDescent="0.25">
      <c r="A55" s="593" t="s">
        <v>83</v>
      </c>
      <c r="B55" s="1009">
        <v>2.0099999999999998</v>
      </c>
      <c r="C55" s="1010">
        <v>0.56999999999999995</v>
      </c>
      <c r="D55" s="924"/>
      <c r="E55" s="923"/>
      <c r="F55" s="957"/>
      <c r="G55" s="976"/>
      <c r="J55" s="925"/>
      <c r="K55" s="618"/>
      <c r="L55" s="925"/>
      <c r="M55" s="925"/>
      <c r="N55" s="925"/>
      <c r="O55" s="925"/>
    </row>
    <row r="56" spans="1:15" x14ac:dyDescent="0.25">
      <c r="A56" s="593" t="s">
        <v>340</v>
      </c>
      <c r="B56" s="1009">
        <v>0.13</v>
      </c>
      <c r="C56" s="1010">
        <v>7.0000000000000007E-2</v>
      </c>
      <c r="D56" s="1010">
        <v>0.65999999999999992</v>
      </c>
      <c r="E56" s="1010">
        <v>0.96</v>
      </c>
      <c r="F56" s="945"/>
      <c r="G56" s="976"/>
      <c r="J56" s="925"/>
      <c r="K56" s="618"/>
      <c r="L56" s="925"/>
      <c r="M56" s="925"/>
      <c r="N56" s="925"/>
      <c r="O56" s="925"/>
    </row>
    <row r="57" spans="1:15" x14ac:dyDescent="0.25">
      <c r="C57" s="282"/>
      <c r="D57" s="282"/>
      <c r="E57" s="282"/>
      <c r="F57" s="282"/>
      <c r="G57" s="131"/>
      <c r="H57" s="129"/>
    </row>
    <row r="58" spans="1:15" x14ac:dyDescent="0.25">
      <c r="A58" s="1127" t="s">
        <v>307</v>
      </c>
      <c r="B58" s="1127"/>
      <c r="C58" s="1127"/>
      <c r="D58" s="1127"/>
      <c r="E58" s="1127"/>
      <c r="F58" s="1127"/>
      <c r="G58" s="1127"/>
      <c r="H58" s="1127"/>
      <c r="I58" s="1127"/>
      <c r="J58" s="1127"/>
      <c r="K58" s="1127"/>
      <c r="L58" s="1127"/>
    </row>
    <row r="59" spans="1:15" ht="31.9" customHeight="1" x14ac:dyDescent="0.25">
      <c r="A59" s="1134" t="s">
        <v>341</v>
      </c>
      <c r="B59" s="1134"/>
      <c r="C59" s="1134"/>
      <c r="D59" s="1134"/>
      <c r="E59" s="1134"/>
      <c r="F59" s="1134"/>
      <c r="G59" s="1134"/>
      <c r="H59" s="1134"/>
      <c r="I59" s="1134"/>
      <c r="J59" s="1134"/>
      <c r="K59" s="1134"/>
    </row>
    <row r="60" spans="1:15" x14ac:dyDescent="0.25">
      <c r="A60" s="25"/>
      <c r="B60" s="6"/>
      <c r="C60" s="282"/>
      <c r="D60" s="282"/>
      <c r="E60" s="282"/>
      <c r="F60" s="282"/>
      <c r="G60" s="131"/>
      <c r="H60" s="129"/>
    </row>
    <row r="61" spans="1:15" s="9" customFormat="1" x14ac:dyDescent="0.25">
      <c r="A61" s="1127" t="s">
        <v>206</v>
      </c>
      <c r="B61" s="1127"/>
      <c r="C61" s="1127"/>
      <c r="D61" s="1127"/>
      <c r="E61" s="1127"/>
      <c r="F61" s="1127"/>
      <c r="G61" s="1127"/>
      <c r="H61" s="1127"/>
      <c r="I61" s="1127"/>
      <c r="J61" s="1127"/>
      <c r="K61" s="1127"/>
      <c r="L61" s="1127"/>
    </row>
    <row r="62" spans="1:15" x14ac:dyDescent="0.25">
      <c r="A62" s="1135" t="s">
        <v>342</v>
      </c>
      <c r="B62" s="1135"/>
      <c r="C62" s="1135"/>
      <c r="D62" s="1135"/>
      <c r="E62" s="1135"/>
      <c r="F62" s="1135"/>
      <c r="G62" s="1135"/>
      <c r="H62" s="1135"/>
      <c r="I62" s="1135"/>
      <c r="J62" s="1135"/>
      <c r="K62" s="1135"/>
      <c r="L62" s="1135"/>
    </row>
    <row r="63" spans="1:15" x14ac:dyDescent="0.25">
      <c r="A63" s="1130" t="s">
        <v>343</v>
      </c>
      <c r="B63" s="1130"/>
      <c r="C63" s="1130"/>
      <c r="D63" s="1130"/>
      <c r="E63" s="1130"/>
      <c r="F63" s="1130"/>
      <c r="G63" s="1130"/>
      <c r="H63" s="1130"/>
      <c r="I63" s="1130"/>
      <c r="J63" s="1130"/>
      <c r="K63" s="1130"/>
      <c r="L63" s="1130"/>
    </row>
    <row r="64" spans="1:15" ht="14.45" customHeight="1" x14ac:dyDescent="0.25">
      <c r="A64" s="1095" t="s">
        <v>344</v>
      </c>
      <c r="B64" s="1095"/>
      <c r="C64" s="1095"/>
      <c r="D64" s="1095"/>
      <c r="E64" s="1095"/>
      <c r="F64" s="1095"/>
      <c r="G64" s="1095"/>
      <c r="H64" s="1095"/>
      <c r="I64" s="1095"/>
      <c r="J64" s="1095"/>
      <c r="K64" s="1095"/>
      <c r="L64" s="1095"/>
    </row>
    <row r="65" spans="1:15" x14ac:dyDescent="0.25">
      <c r="A65" s="1131"/>
      <c r="B65" s="1131"/>
      <c r="G65"/>
    </row>
    <row r="66" spans="1:15" x14ac:dyDescent="0.25">
      <c r="A66" s="1127" t="s">
        <v>314</v>
      </c>
      <c r="B66" s="1127"/>
      <c r="C66" s="1127"/>
      <c r="D66" s="1127"/>
      <c r="E66" s="1127"/>
      <c r="F66" s="1127"/>
      <c r="G66" s="1127"/>
      <c r="H66" s="1127"/>
      <c r="I66" s="1127"/>
      <c r="J66" s="1127"/>
      <c r="K66" s="1127"/>
      <c r="L66" s="1127"/>
    </row>
    <row r="67" spans="1:15" x14ac:dyDescent="0.25">
      <c r="A67" s="1132" t="s">
        <v>345</v>
      </c>
      <c r="B67" s="1132"/>
      <c r="C67" s="1132"/>
      <c r="D67" s="1132"/>
      <c r="E67" s="1132"/>
      <c r="F67" s="1132"/>
      <c r="G67" s="1132"/>
      <c r="H67" s="1132"/>
      <c r="I67" s="1132"/>
      <c r="J67" s="1132"/>
      <c r="K67" s="1132"/>
      <c r="L67" s="1132"/>
    </row>
    <row r="68" spans="1:15" x14ac:dyDescent="0.25">
      <c r="A68" s="1106" t="s">
        <v>346</v>
      </c>
      <c r="B68" s="1106"/>
      <c r="C68" s="1106"/>
      <c r="D68" s="1106"/>
      <c r="E68" s="1106"/>
      <c r="F68" s="1106"/>
      <c r="G68" s="1106"/>
      <c r="H68" s="1106"/>
      <c r="I68" s="1106"/>
      <c r="J68" s="1106"/>
      <c r="K68" s="1106"/>
      <c r="L68" s="1106"/>
    </row>
    <row r="69" spans="1:15" x14ac:dyDescent="0.25">
      <c r="A69" s="1128" t="s">
        <v>347</v>
      </c>
      <c r="B69" s="1128"/>
      <c r="C69" s="1128"/>
      <c r="D69" s="1128"/>
      <c r="E69" s="1128"/>
      <c r="F69" s="1128"/>
      <c r="G69" s="1128"/>
      <c r="H69" s="1128"/>
      <c r="I69" s="1128"/>
      <c r="J69" s="1128"/>
      <c r="K69" s="1128"/>
      <c r="L69" s="1128"/>
      <c r="M69" s="932"/>
      <c r="N69" s="932"/>
      <c r="O69" s="932"/>
    </row>
    <row r="70" spans="1:15" ht="34.9" customHeight="1" x14ac:dyDescent="0.25">
      <c r="A70" s="1121" t="s">
        <v>348</v>
      </c>
      <c r="B70" s="1121"/>
      <c r="C70" s="1121"/>
      <c r="D70" s="1121"/>
      <c r="E70" s="1121"/>
      <c r="F70" s="1121"/>
      <c r="G70" s="1121"/>
      <c r="H70" s="1121"/>
      <c r="I70" s="1121"/>
      <c r="J70" s="1121"/>
      <c r="K70" s="1121"/>
      <c r="L70" s="1121"/>
      <c r="M70" s="9"/>
    </row>
    <row r="71" spans="1:15" ht="15" customHeight="1" x14ac:dyDescent="0.25">
      <c r="A71" s="1128" t="s">
        <v>349</v>
      </c>
      <c r="B71" s="1128"/>
      <c r="C71" s="1128"/>
      <c r="D71" s="1128"/>
      <c r="E71" s="1128"/>
      <c r="F71" s="1128"/>
      <c r="G71" s="1128"/>
      <c r="H71" s="1128"/>
      <c r="I71" s="1128"/>
      <c r="J71" s="1128"/>
      <c r="K71" s="1128"/>
      <c r="L71" s="1128"/>
    </row>
    <row r="72" spans="1:15" ht="35.450000000000003" customHeight="1" x14ac:dyDescent="0.25">
      <c r="A72" s="1121" t="s">
        <v>350</v>
      </c>
      <c r="B72" s="1121"/>
      <c r="C72" s="1121"/>
      <c r="D72" s="1121"/>
      <c r="E72" s="1121"/>
      <c r="F72" s="1121"/>
      <c r="G72" s="1121"/>
      <c r="H72" s="1121"/>
      <c r="I72" s="1121"/>
      <c r="J72" s="1121"/>
      <c r="K72" s="1121"/>
      <c r="L72" s="1121"/>
    </row>
    <row r="73" spans="1:15" x14ac:dyDescent="0.25">
      <c r="A73" s="1129" t="s">
        <v>351</v>
      </c>
      <c r="B73" s="1129"/>
      <c r="C73" s="1129"/>
      <c r="D73" s="1129"/>
      <c r="E73" s="1129"/>
      <c r="F73" s="1129"/>
      <c r="G73" s="1129"/>
      <c r="H73" s="1129"/>
      <c r="I73" s="1129"/>
      <c r="J73" s="1129"/>
      <c r="K73" s="1129"/>
      <c r="L73" s="1129"/>
    </row>
    <row r="74" spans="1:15" x14ac:dyDescent="0.25">
      <c r="A74" s="1121" t="s">
        <v>352</v>
      </c>
      <c r="B74" s="1121"/>
      <c r="C74" s="1121"/>
      <c r="D74" s="1121"/>
      <c r="E74" s="1121"/>
      <c r="F74" s="1121"/>
      <c r="G74" s="1121"/>
      <c r="H74" s="1121"/>
      <c r="I74" s="1121"/>
      <c r="J74" s="1121"/>
      <c r="K74" s="1121"/>
      <c r="L74" s="1121"/>
    </row>
    <row r="75" spans="1:15" x14ac:dyDescent="0.25">
      <c r="A75" s="49"/>
      <c r="C75" s="282"/>
      <c r="D75" s="282"/>
      <c r="E75" s="282"/>
      <c r="F75" s="282"/>
      <c r="G75" s="131"/>
      <c r="H75" s="129"/>
      <c r="J75" s="348"/>
    </row>
    <row r="76" spans="1:15" x14ac:dyDescent="0.25">
      <c r="B76" s="894"/>
      <c r="C76" s="282"/>
      <c r="D76" s="282"/>
      <c r="E76" s="282"/>
      <c r="F76" s="282"/>
      <c r="G76" s="131"/>
      <c r="H76" s="129"/>
    </row>
    <row r="77" spans="1:15" x14ac:dyDescent="0.25">
      <c r="C77" s="282"/>
      <c r="D77" s="282"/>
      <c r="E77" s="282"/>
      <c r="F77" s="282"/>
      <c r="G77" s="131"/>
      <c r="H77" s="129"/>
    </row>
    <row r="78" spans="1:15" x14ac:dyDescent="0.25">
      <c r="B78" s="894"/>
      <c r="C78" s="282"/>
      <c r="D78" s="282"/>
      <c r="E78" s="282"/>
      <c r="F78" s="282"/>
      <c r="G78" s="131"/>
      <c r="H78" s="129"/>
    </row>
    <row r="79" spans="1:15" x14ac:dyDescent="0.25">
      <c r="C79" s="282"/>
      <c r="D79" s="282"/>
      <c r="E79" s="282"/>
      <c r="F79" s="282"/>
      <c r="G79" s="131"/>
      <c r="H79" s="129"/>
    </row>
    <row r="80" spans="1:15" x14ac:dyDescent="0.25">
      <c r="B80" s="894"/>
      <c r="C80" s="282"/>
      <c r="D80" s="282"/>
      <c r="E80" s="282"/>
      <c r="F80" s="282"/>
      <c r="G80" s="131"/>
      <c r="H80" s="129"/>
    </row>
    <row r="81" spans="1:8" x14ac:dyDescent="0.25">
      <c r="C81" s="282"/>
      <c r="D81" s="282"/>
      <c r="E81" s="282"/>
      <c r="F81" s="282"/>
      <c r="G81" s="131"/>
      <c r="H81" s="129"/>
    </row>
    <row r="82" spans="1:8" x14ac:dyDescent="0.25">
      <c r="B82" s="894"/>
      <c r="C82" s="282"/>
      <c r="D82" s="282"/>
      <c r="E82" s="282"/>
      <c r="F82" s="282"/>
      <c r="G82" s="131"/>
      <c r="H82" s="129"/>
    </row>
    <row r="83" spans="1:8" x14ac:dyDescent="0.25">
      <c r="C83" s="282"/>
      <c r="D83" s="282"/>
      <c r="E83" s="282"/>
      <c r="F83" s="282"/>
      <c r="G83" s="131"/>
      <c r="H83" s="129"/>
    </row>
    <row r="84" spans="1:8" x14ac:dyDescent="0.25">
      <c r="B84" s="894"/>
      <c r="C84" s="282"/>
      <c r="D84" s="282"/>
      <c r="E84" s="282"/>
      <c r="F84" s="282"/>
      <c r="G84" s="131"/>
      <c r="H84" s="129"/>
    </row>
    <row r="85" spans="1:8" x14ac:dyDescent="0.25">
      <c r="C85" s="282"/>
      <c r="D85" s="282"/>
      <c r="E85" s="282"/>
      <c r="F85" s="282"/>
      <c r="G85" s="131"/>
      <c r="H85" s="129"/>
    </row>
    <row r="86" spans="1:8" x14ac:dyDescent="0.25">
      <c r="B86" s="894"/>
      <c r="C86" s="282"/>
      <c r="D86" s="282"/>
      <c r="E86" s="282"/>
      <c r="F86" s="282"/>
      <c r="G86" s="131"/>
      <c r="H86" s="129"/>
    </row>
    <row r="87" spans="1:8" x14ac:dyDescent="0.25">
      <c r="A87" s="275"/>
      <c r="B87" s="588"/>
      <c r="C87" s="282"/>
      <c r="D87" s="282"/>
      <c r="E87" s="282"/>
      <c r="F87" s="282"/>
      <c r="G87" s="131"/>
      <c r="H87" s="129"/>
    </row>
    <row r="88" spans="1:8" x14ac:dyDescent="0.25">
      <c r="A88" s="1122"/>
      <c r="B88" s="1122"/>
      <c r="C88" s="1122"/>
      <c r="D88" s="1070"/>
      <c r="E88" s="1070"/>
      <c r="F88" s="1070"/>
      <c r="G88" s="1070"/>
      <c r="H88" s="1070"/>
    </row>
    <row r="89" spans="1:8" x14ac:dyDescent="0.25">
      <c r="A89" s="1084"/>
      <c r="B89" s="587"/>
      <c r="C89" s="282"/>
      <c r="D89" s="282"/>
      <c r="E89" s="282"/>
      <c r="F89" s="282"/>
      <c r="G89" s="131"/>
      <c r="H89" s="129"/>
    </row>
    <row r="90" spans="1:8" x14ac:dyDescent="0.25">
      <c r="A90" s="1084"/>
      <c r="B90" s="587"/>
      <c r="C90" s="282"/>
      <c r="D90" s="282"/>
      <c r="E90" s="282"/>
      <c r="F90" s="282"/>
      <c r="G90" s="131"/>
      <c r="H90" s="129"/>
    </row>
    <row r="91" spans="1:8" x14ac:dyDescent="0.25">
      <c r="A91" s="1084"/>
      <c r="B91" s="587"/>
      <c r="C91" s="282"/>
      <c r="D91" s="282"/>
      <c r="E91" s="282"/>
      <c r="F91" s="282"/>
      <c r="G91" s="131"/>
      <c r="H91" s="129"/>
    </row>
    <row r="92" spans="1:8" x14ac:dyDescent="0.25">
      <c r="A92" s="1084"/>
      <c r="B92" s="587"/>
      <c r="C92" s="282"/>
      <c r="D92" s="282"/>
      <c r="E92" s="282"/>
      <c r="F92" s="282"/>
      <c r="G92" s="131"/>
      <c r="H92" s="129"/>
    </row>
    <row r="93" spans="1:8" x14ac:dyDescent="0.25">
      <c r="A93" s="1084"/>
      <c r="B93" s="587"/>
      <c r="C93" s="282"/>
      <c r="D93" s="282"/>
      <c r="E93" s="282"/>
      <c r="F93" s="282"/>
      <c r="G93" s="131"/>
      <c r="H93" s="129"/>
    </row>
    <row r="94" spans="1:8" x14ac:dyDescent="0.25">
      <c r="A94" s="1084"/>
      <c r="B94" s="587"/>
      <c r="C94" s="282"/>
      <c r="D94" s="282"/>
      <c r="E94" s="282"/>
      <c r="F94" s="282"/>
      <c r="G94" s="131"/>
      <c r="H94" s="129"/>
    </row>
    <row r="95" spans="1:8" x14ac:dyDescent="0.25">
      <c r="A95" s="1084"/>
      <c r="B95" s="587"/>
      <c r="C95" s="282"/>
      <c r="D95" s="282"/>
      <c r="E95" s="282"/>
      <c r="F95" s="282"/>
      <c r="G95" s="131"/>
      <c r="H95" s="129"/>
    </row>
    <row r="96" spans="1:8" x14ac:dyDescent="0.25">
      <c r="A96" s="1084"/>
      <c r="B96" s="587"/>
      <c r="C96" s="282"/>
      <c r="D96" s="282"/>
      <c r="E96" s="282"/>
      <c r="F96" s="282"/>
      <c r="G96" s="131"/>
      <c r="H96" s="129"/>
    </row>
    <row r="97" spans="1:8" x14ac:dyDescent="0.25">
      <c r="A97" s="1084"/>
      <c r="B97" s="587"/>
      <c r="C97" s="282"/>
      <c r="D97" s="282"/>
      <c r="E97" s="282"/>
      <c r="F97" s="282"/>
      <c r="G97" s="131"/>
      <c r="H97" s="129"/>
    </row>
    <row r="98" spans="1:8" x14ac:dyDescent="0.25">
      <c r="A98" s="424"/>
      <c r="B98" s="589"/>
      <c r="C98" s="282"/>
      <c r="D98" s="282"/>
      <c r="E98" s="282"/>
      <c r="F98" s="282"/>
      <c r="G98" s="131"/>
      <c r="H98" s="129"/>
    </row>
    <row r="99" spans="1:8" x14ac:dyDescent="0.25">
      <c r="A99" s="1084"/>
      <c r="B99" s="587"/>
      <c r="C99" s="282"/>
      <c r="D99" s="282"/>
      <c r="E99" s="282"/>
      <c r="F99" s="282"/>
      <c r="G99" s="131"/>
      <c r="H99" s="129"/>
    </row>
    <row r="100" spans="1:8" x14ac:dyDescent="0.25">
      <c r="A100" s="1084"/>
      <c r="B100" s="587"/>
      <c r="C100" s="282"/>
      <c r="D100" s="282"/>
      <c r="E100" s="282"/>
      <c r="F100" s="282"/>
      <c r="G100" s="131"/>
      <c r="H100" s="129"/>
    </row>
    <row r="101" spans="1:8" x14ac:dyDescent="0.25">
      <c r="A101" s="1084"/>
      <c r="B101" s="587"/>
      <c r="C101" s="282"/>
      <c r="D101" s="282"/>
      <c r="E101" s="282"/>
      <c r="F101" s="282"/>
      <c r="G101" s="131"/>
      <c r="H101" s="129"/>
    </row>
    <row r="102" spans="1:8" x14ac:dyDescent="0.25">
      <c r="A102" s="1084"/>
      <c r="B102" s="587"/>
      <c r="C102" s="282"/>
      <c r="D102" s="282"/>
      <c r="E102" s="282"/>
      <c r="F102" s="282"/>
      <c r="G102" s="131"/>
      <c r="H102" s="129"/>
    </row>
    <row r="103" spans="1:8" x14ac:dyDescent="0.25">
      <c r="A103" s="1084"/>
      <c r="B103" s="587"/>
      <c r="C103" s="282"/>
      <c r="D103" s="282"/>
      <c r="E103" s="282"/>
      <c r="F103" s="282"/>
      <c r="G103" s="131"/>
      <c r="H103" s="129"/>
    </row>
    <row r="104" spans="1:8" ht="27" customHeight="1" x14ac:dyDescent="0.25">
      <c r="A104" s="1084"/>
      <c r="B104" s="587"/>
      <c r="C104" s="282"/>
      <c r="D104" s="282"/>
      <c r="E104" s="282"/>
      <c r="F104" s="282"/>
      <c r="G104" s="131"/>
      <c r="H104" s="129"/>
    </row>
    <row r="105" spans="1:8" x14ac:dyDescent="0.25">
      <c r="A105" s="1084"/>
      <c r="B105" s="587"/>
      <c r="C105" s="282"/>
      <c r="D105" s="282"/>
      <c r="E105" s="282"/>
      <c r="F105" s="282"/>
      <c r="G105" s="131"/>
      <c r="H105" s="129"/>
    </row>
    <row r="106" spans="1:8" x14ac:dyDescent="0.25">
      <c r="A106" s="1084"/>
      <c r="B106" s="587"/>
      <c r="C106" s="282"/>
      <c r="D106" s="282"/>
      <c r="E106" s="282"/>
      <c r="F106" s="282"/>
      <c r="G106" s="131"/>
      <c r="H106" s="129"/>
    </row>
    <row r="107" spans="1:8" x14ac:dyDescent="0.25">
      <c r="A107" s="1084"/>
      <c r="B107" s="587"/>
      <c r="C107" s="282"/>
      <c r="D107" s="282"/>
      <c r="E107" s="282"/>
      <c r="F107" s="282"/>
      <c r="G107" s="131"/>
      <c r="H107" s="129"/>
    </row>
    <row r="108" spans="1:8" x14ac:dyDescent="0.25">
      <c r="A108" s="1084"/>
      <c r="B108" s="587"/>
      <c r="C108" s="282"/>
      <c r="D108" s="282"/>
      <c r="E108" s="282"/>
      <c r="F108" s="282"/>
      <c r="G108" s="131"/>
      <c r="H108" s="129"/>
    </row>
    <row r="109" spans="1:8" x14ac:dyDescent="0.25">
      <c r="A109" s="1084"/>
      <c r="B109" s="587"/>
      <c r="C109" s="282"/>
      <c r="D109" s="282"/>
      <c r="E109" s="282"/>
      <c r="F109" s="282"/>
      <c r="G109" s="131"/>
      <c r="H109" s="129"/>
    </row>
    <row r="110" spans="1:8" x14ac:dyDescent="0.25">
      <c r="A110" s="1084"/>
      <c r="B110" s="587"/>
      <c r="C110" s="282"/>
      <c r="D110" s="282"/>
      <c r="E110" s="282"/>
      <c r="F110" s="282"/>
      <c r="G110" s="131"/>
      <c r="H110" s="129"/>
    </row>
    <row r="111" spans="1:8" x14ac:dyDescent="0.25">
      <c r="A111" s="1084"/>
      <c r="B111" s="587"/>
      <c r="C111" s="282"/>
      <c r="D111" s="282"/>
      <c r="E111" s="282"/>
      <c r="F111" s="282"/>
      <c r="G111" s="131"/>
      <c r="H111" s="129"/>
    </row>
    <row r="112" spans="1:8" x14ac:dyDescent="0.25">
      <c r="A112" s="1084"/>
      <c r="B112" s="587"/>
      <c r="C112" s="282"/>
      <c r="D112" s="282"/>
      <c r="E112" s="282"/>
      <c r="F112" s="282"/>
      <c r="G112" s="131"/>
      <c r="H112" s="129"/>
    </row>
    <row r="113" spans="1:8" x14ac:dyDescent="0.25">
      <c r="A113" s="1084"/>
      <c r="B113" s="587"/>
      <c r="C113" s="282"/>
      <c r="D113" s="282"/>
      <c r="E113" s="282"/>
      <c r="F113" s="282"/>
      <c r="G113" s="131"/>
      <c r="H113" s="129"/>
    </row>
    <row r="114" spans="1:8" x14ac:dyDescent="0.25">
      <c r="A114" s="230"/>
      <c r="B114" s="588"/>
      <c r="C114" s="282"/>
      <c r="D114" s="282"/>
      <c r="E114" s="282"/>
      <c r="F114" s="282"/>
      <c r="G114" s="131"/>
      <c r="H114" s="129"/>
    </row>
    <row r="115" spans="1:8" x14ac:dyDescent="0.25">
      <c r="A115" s="1123"/>
      <c r="B115" s="1123"/>
      <c r="C115" s="1123"/>
      <c r="D115" s="1071"/>
      <c r="E115" s="1071"/>
      <c r="F115" s="1071"/>
      <c r="G115" s="135"/>
      <c r="H115" s="1071"/>
    </row>
    <row r="116" spans="1:8" ht="30" customHeight="1" x14ac:dyDescent="0.25">
      <c r="A116" s="1124"/>
      <c r="B116" s="1124"/>
      <c r="C116" s="1124"/>
      <c r="D116" s="1072"/>
      <c r="E116" s="1072"/>
      <c r="F116" s="1072"/>
      <c r="G116" s="1081"/>
      <c r="H116" s="1072"/>
    </row>
    <row r="117" spans="1:8" ht="30.75" customHeight="1" x14ac:dyDescent="0.25">
      <c r="A117" s="1125"/>
      <c r="B117" s="1125"/>
      <c r="C117" s="1125"/>
      <c r="D117" s="1073"/>
      <c r="E117" s="1073"/>
      <c r="F117" s="1073"/>
      <c r="G117" s="1073"/>
      <c r="H117" s="1073"/>
    </row>
    <row r="118" spans="1:8" ht="30.75" customHeight="1" x14ac:dyDescent="0.25">
      <c r="A118" s="1124"/>
      <c r="B118" s="1124"/>
      <c r="C118" s="1124"/>
      <c r="D118" s="1072"/>
      <c r="E118" s="1072"/>
      <c r="F118" s="1072"/>
      <c r="G118" s="1081"/>
      <c r="H118" s="1072"/>
    </row>
    <row r="119" spans="1:8" x14ac:dyDescent="0.25">
      <c r="A119" s="1126"/>
      <c r="B119" s="1126"/>
      <c r="C119" s="1126"/>
      <c r="D119" s="1074"/>
      <c r="E119" s="1074"/>
      <c r="F119" s="1074"/>
      <c r="G119" s="926"/>
      <c r="H119" s="1074"/>
    </row>
    <row r="121" spans="1:8" x14ac:dyDescent="0.25">
      <c r="A121" s="1123"/>
      <c r="B121" s="1123"/>
      <c r="C121" s="1123"/>
      <c r="D121" s="1071"/>
      <c r="E121" s="1071"/>
      <c r="F121" s="1071"/>
      <c r="G121" s="135"/>
      <c r="H121" s="1071"/>
    </row>
    <row r="122" spans="1:8" x14ac:dyDescent="0.25">
      <c r="A122" s="1096"/>
      <c r="B122" s="1096"/>
      <c r="C122" s="1096"/>
      <c r="D122" s="885"/>
      <c r="E122" s="885"/>
      <c r="F122" s="885"/>
      <c r="G122" s="1073"/>
      <c r="H122" s="885"/>
    </row>
    <row r="123" spans="1:8" ht="28.15" customHeight="1" x14ac:dyDescent="0.25">
      <c r="A123" s="1095"/>
      <c r="B123" s="1095"/>
      <c r="C123" s="1095"/>
      <c r="D123" s="1061"/>
      <c r="E123" s="1061"/>
      <c r="F123" s="1061"/>
      <c r="G123" s="1073"/>
      <c r="H123" s="1061"/>
    </row>
    <row r="124" spans="1:8" ht="27" customHeight="1" x14ac:dyDescent="0.25">
      <c r="A124" s="1095"/>
      <c r="B124" s="1095"/>
      <c r="C124" s="1095"/>
      <c r="D124" s="1061"/>
      <c r="E124" s="1061"/>
      <c r="F124" s="1061"/>
      <c r="G124" s="1073"/>
      <c r="H124" s="1061"/>
    </row>
    <row r="125" spans="1:8" x14ac:dyDescent="0.25">
      <c r="A125" s="1096"/>
      <c r="B125" s="1096"/>
      <c r="C125" s="1096"/>
      <c r="D125" s="885"/>
      <c r="E125" s="885"/>
      <c r="F125" s="885"/>
      <c r="G125" s="1073"/>
      <c r="H125" s="885"/>
    </row>
    <row r="126" spans="1:8" x14ac:dyDescent="0.25">
      <c r="A126" s="1095"/>
      <c r="B126" s="1095"/>
      <c r="C126" s="1095"/>
      <c r="D126" s="1061"/>
      <c r="E126" s="1061"/>
      <c r="F126" s="1061"/>
      <c r="G126" s="1073"/>
      <c r="H126" s="1061"/>
    </row>
    <row r="127" spans="1:8" x14ac:dyDescent="0.25">
      <c r="A127" s="1095"/>
      <c r="B127" s="1095"/>
      <c r="C127" s="1095"/>
      <c r="D127" s="1061"/>
      <c r="E127" s="1061"/>
      <c r="F127" s="1061"/>
      <c r="G127" s="1073"/>
      <c r="H127" s="1061"/>
    </row>
    <row r="128" spans="1:8" x14ac:dyDescent="0.25">
      <c r="A128" s="1095"/>
      <c r="B128" s="1095"/>
      <c r="C128" s="1095"/>
      <c r="D128" s="1061"/>
      <c r="E128" s="1061"/>
      <c r="F128" s="1061"/>
      <c r="G128" s="1073"/>
      <c r="H128" s="1061"/>
    </row>
    <row r="129" spans="1:8" x14ac:dyDescent="0.25">
      <c r="A129" s="1096"/>
      <c r="B129" s="1096"/>
      <c r="C129" s="1096"/>
      <c r="D129" s="885"/>
      <c r="E129" s="885"/>
      <c r="F129" s="885"/>
      <c r="G129" s="1073"/>
      <c r="H129" s="885"/>
    </row>
    <row r="131" spans="1:8" ht="30.6" customHeight="1" x14ac:dyDescent="0.25">
      <c r="A131" s="1096"/>
      <c r="B131" s="1096"/>
      <c r="C131" s="1096"/>
      <c r="D131" s="885"/>
      <c r="E131" s="885"/>
      <c r="F131" s="885"/>
      <c r="G131" s="1073"/>
      <c r="H131" s="885"/>
    </row>
  </sheetData>
  <mergeCells count="33">
    <mergeCell ref="A1:H1"/>
    <mergeCell ref="A58:L58"/>
    <mergeCell ref="A59:K59"/>
    <mergeCell ref="A61:L61"/>
    <mergeCell ref="A62:L62"/>
    <mergeCell ref="A66:L66"/>
    <mergeCell ref="A71:L71"/>
    <mergeCell ref="A73:L73"/>
    <mergeCell ref="A63:L63"/>
    <mergeCell ref="A65:B65"/>
    <mergeCell ref="A67:L67"/>
    <mergeCell ref="A68:L68"/>
    <mergeCell ref="A64:L64"/>
    <mergeCell ref="A69:L69"/>
    <mergeCell ref="A70:L70"/>
    <mergeCell ref="A123:C123"/>
    <mergeCell ref="A124:C124"/>
    <mergeCell ref="A72:L72"/>
    <mergeCell ref="A74:L74"/>
    <mergeCell ref="A88:C88"/>
    <mergeCell ref="A115:C115"/>
    <mergeCell ref="A116:C116"/>
    <mergeCell ref="A117:C117"/>
    <mergeCell ref="A118:C118"/>
    <mergeCell ref="A119:C119"/>
    <mergeCell ref="A121:C121"/>
    <mergeCell ref="A122:C122"/>
    <mergeCell ref="A128:C128"/>
    <mergeCell ref="A129:C129"/>
    <mergeCell ref="A131:C131"/>
    <mergeCell ref="A125:C125"/>
    <mergeCell ref="A127:C127"/>
    <mergeCell ref="A126:C126"/>
  </mergeCells>
  <pageMargins left="0.7" right="0.7" top="0.75" bottom="0.75" header="0.3" footer="0.3"/>
  <pageSetup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4EB80-CF6A-44B7-9F4A-F43EFB7B9B61}">
  <sheetPr>
    <tabColor theme="9" tint="-0.249977111117893"/>
  </sheetPr>
  <dimension ref="A1:S106"/>
  <sheetViews>
    <sheetView topLeftCell="A11" workbookViewId="0">
      <selection activeCell="B5" sqref="B5"/>
    </sheetView>
  </sheetViews>
  <sheetFormatPr defaultRowHeight="15" x14ac:dyDescent="0.25"/>
  <cols>
    <col min="1" max="1" width="10.5703125" customWidth="1"/>
    <col min="2" max="2" width="21.140625" customWidth="1"/>
    <col min="3" max="3" width="10.5703125" customWidth="1"/>
    <col min="4" max="4" width="10.28515625" customWidth="1"/>
    <col min="5" max="5" width="9" customWidth="1"/>
    <col min="6" max="6" width="8" customWidth="1"/>
    <col min="7" max="8" width="10.5703125" customWidth="1"/>
    <col min="9" max="9" width="7.5703125" bestFit="1" customWidth="1"/>
    <col min="10" max="10" width="11.28515625" customWidth="1"/>
    <col min="11" max="11" width="11.140625" customWidth="1"/>
    <col min="12" max="12" width="9.140625" bestFit="1" customWidth="1"/>
    <col min="13" max="13" width="7.28515625" customWidth="1"/>
    <col min="14" max="14" width="10.7109375" customWidth="1"/>
    <col min="15" max="15" width="11" customWidth="1"/>
    <col min="16" max="16" width="13.7109375" bestFit="1" customWidth="1"/>
    <col min="17" max="17" width="9.28515625" bestFit="1" customWidth="1"/>
    <col min="18" max="18" width="12.28515625" bestFit="1" customWidth="1"/>
    <col min="19" max="19" width="11.42578125" customWidth="1"/>
  </cols>
  <sheetData>
    <row r="1" spans="1:19" x14ac:dyDescent="0.25">
      <c r="A1" s="1113" t="s">
        <v>353</v>
      </c>
      <c r="B1" s="1113"/>
      <c r="C1" s="1113"/>
      <c r="D1" s="1113"/>
      <c r="E1" s="1113"/>
      <c r="F1" s="1113"/>
      <c r="G1" s="1113"/>
      <c r="H1" s="1113"/>
      <c r="I1" s="1113"/>
      <c r="J1" s="1113"/>
      <c r="K1" s="1113"/>
      <c r="L1" s="1113"/>
      <c r="M1" s="1113"/>
      <c r="N1" s="1113"/>
      <c r="O1" s="1113"/>
      <c r="P1" s="1113"/>
    </row>
    <row r="2" spans="1:19" ht="14.45" customHeight="1" x14ac:dyDescent="0.25">
      <c r="B2" s="612" t="s">
        <v>7</v>
      </c>
      <c r="C2" s="612"/>
      <c r="D2" s="612"/>
      <c r="E2" s="612"/>
      <c r="F2" s="612"/>
      <c r="G2" s="612"/>
      <c r="I2" s="613" t="s">
        <v>11</v>
      </c>
      <c r="J2" s="613"/>
      <c r="K2" s="613"/>
      <c r="L2" s="613"/>
      <c r="M2" s="613"/>
      <c r="N2" s="613"/>
      <c r="O2" s="613"/>
    </row>
    <row r="3" spans="1:19" ht="28.9" customHeight="1" x14ac:dyDescent="0.25">
      <c r="A3" s="28" t="s">
        <v>354</v>
      </c>
      <c r="B3" s="1071" t="s">
        <v>355</v>
      </c>
      <c r="C3" s="1071" t="s">
        <v>356</v>
      </c>
      <c r="D3" s="135" t="s">
        <v>357</v>
      </c>
      <c r="E3" s="135" t="s">
        <v>358</v>
      </c>
      <c r="F3" s="135" t="s">
        <v>359</v>
      </c>
      <c r="G3" s="135" t="s">
        <v>360</v>
      </c>
      <c r="H3" s="135"/>
      <c r="I3" s="1071" t="s">
        <v>355</v>
      </c>
      <c r="J3" s="268" t="s">
        <v>356</v>
      </c>
      <c r="K3" s="135" t="s">
        <v>357</v>
      </c>
      <c r="L3" s="135" t="s">
        <v>361</v>
      </c>
      <c r="M3" s="268" t="s">
        <v>359</v>
      </c>
      <c r="N3" s="268" t="s">
        <v>360</v>
      </c>
      <c r="O3" s="273" t="s">
        <v>362</v>
      </c>
      <c r="Q3" s="280"/>
    </row>
    <row r="4" spans="1:19" ht="14.45" customHeight="1" x14ac:dyDescent="0.25">
      <c r="A4" s="28" t="s">
        <v>363</v>
      </c>
      <c r="B4" s="881">
        <f>SUM($K$17:$K$26)/SUM(K17:K90)</f>
        <v>0.12574310934966676</v>
      </c>
      <c r="C4" s="881">
        <f>SUM($K$27:$K$51)/SUM(K17:K90)</f>
        <v>0.19176724914429838</v>
      </c>
      <c r="D4" s="134">
        <f>SUM($K$52:$K$57)/SUM(K17:K90)</f>
        <v>1.234011889749595E-2</v>
      </c>
      <c r="E4" s="134">
        <f>SUM($K$58:$K$62)/SUM(K17:K90)</f>
        <v>4.8369663123761494E-2</v>
      </c>
      <c r="F4" s="134">
        <f>SUM($K$63:$K$74)/SUM(K17:K90)</f>
        <v>0.16060169338857869</v>
      </c>
      <c r="G4" s="134">
        <f>SUM($K$75:$K$90)/SUM(K17:K90)</f>
        <v>0.46117816609619894</v>
      </c>
      <c r="H4" s="238"/>
      <c r="I4" s="247">
        <f>B4*'15. Ag Prod'!B54</f>
        <v>0.1331777876771934</v>
      </c>
      <c r="J4" s="247">
        <f t="shared" ref="J4:J13" si="0">C4</f>
        <v>0.19176724914429838</v>
      </c>
      <c r="K4" s="247">
        <f>D4*'17. Transport'!K4</f>
        <v>2.7038391665683481E-3</v>
      </c>
      <c r="L4" s="247">
        <f>E4*'16. Packaging, Market'!J13</f>
        <v>2.152450009007387E-2</v>
      </c>
      <c r="M4" s="247">
        <f>F4</f>
        <v>0.16060169338857869</v>
      </c>
      <c r="N4" s="247">
        <f>G4</f>
        <v>0.46117816609619894</v>
      </c>
      <c r="O4" s="274">
        <f>SUM(I4:N4)</f>
        <v>0.97095323556291158</v>
      </c>
      <c r="Q4" s="239"/>
    </row>
    <row r="5" spans="1:19" ht="14.45" customHeight="1" x14ac:dyDescent="0.25">
      <c r="A5" s="28" t="s">
        <v>364</v>
      </c>
      <c r="B5" s="134">
        <f>SUM($O$17:$O$26)/SUM(O17:O90)</f>
        <v>0.2988013698630137</v>
      </c>
      <c r="C5" s="134">
        <f>SUM($O$27:$O$51)/SUM(O17:O90)</f>
        <v>0.38484589041095896</v>
      </c>
      <c r="D5" s="134">
        <f>SUM($O$52:$O$57)/SUM(O17:O90)</f>
        <v>1.327054794520548E-2</v>
      </c>
      <c r="E5" s="134">
        <f>SUM($O$58:$O$62)/SUM(O17:O90)</f>
        <v>4.6232876712328778E-2</v>
      </c>
      <c r="F5" s="134">
        <f>SUM($O$63:$O$74)/SUM(O17:O90)</f>
        <v>8.7328767123287701E-2</v>
      </c>
      <c r="G5" s="134">
        <f>SUM($O$75:$O$90)/SUM(O17:O90)</f>
        <v>0.16952054794520555</v>
      </c>
      <c r="H5" s="238"/>
      <c r="I5" s="247">
        <f>B5*'15. Ag Prod'!B54</f>
        <v>0.31646827885107037</v>
      </c>
      <c r="J5" s="247">
        <f t="shared" si="0"/>
        <v>0.38484589041095896</v>
      </c>
      <c r="K5" s="247">
        <f>D5*'17. Transport'!K4</f>
        <v>2.9077051521238365E-3</v>
      </c>
      <c r="L5" s="247">
        <f>E5*'16. Packaging, Market'!J13</f>
        <v>2.057363013698631E-2</v>
      </c>
      <c r="M5" s="247">
        <f t="shared" ref="M5:M13" si="1">F5</f>
        <v>8.7328767123287701E-2</v>
      </c>
      <c r="N5" s="247">
        <f t="shared" ref="N5:N13" si="2">G5</f>
        <v>0.16952054794520555</v>
      </c>
      <c r="O5" s="274">
        <f>SUM(I5:N5)</f>
        <v>0.98164481961963268</v>
      </c>
    </row>
    <row r="6" spans="1:19" ht="14.45" customHeight="1" x14ac:dyDescent="0.25">
      <c r="A6" s="153" t="s">
        <v>365</v>
      </c>
      <c r="B6" s="134">
        <f>SUM($N$17:$N$26)/SUM(N17:N90)</f>
        <v>0.10956028964214504</v>
      </c>
      <c r="C6" s="134">
        <f>SUM($N$27:$N$51)/SUM(N17:N90)</f>
        <v>0.37359638996746775</v>
      </c>
      <c r="D6" s="134">
        <f>SUM($N$52:$N$57)/SUM(N17:N90)</f>
        <v>9.8646237800398776E-3</v>
      </c>
      <c r="E6" s="134">
        <f>SUM($N$58:$N$62)/SUM(N17:N90)</f>
        <v>7.2410536257739522E-2</v>
      </c>
      <c r="F6" s="134">
        <f>SUM($N$63:$N$74)/SUM(N17:N90)</f>
        <v>0.18060656941966627</v>
      </c>
      <c r="G6" s="134">
        <f>SUM($N$75:$N$90)/SUM(N17:N90)</f>
        <v>0.25396159093294152</v>
      </c>
      <c r="H6" s="238"/>
      <c r="I6" s="247">
        <f>B6*'15. Ag Prod'!B55</f>
        <v>0.146148087639694</v>
      </c>
      <c r="J6" s="247">
        <f t="shared" si="0"/>
        <v>0.37359638996746775</v>
      </c>
      <c r="K6" s="247">
        <f>D6*'17. Transport'!K5</f>
        <v>1.3995770973816116E-3</v>
      </c>
      <c r="L6" s="247">
        <f>E6*'16. Packaging, Market'!J14</f>
        <v>3.2222688634694095E-2</v>
      </c>
      <c r="M6" s="247">
        <f t="shared" si="1"/>
        <v>0.18060656941966627</v>
      </c>
      <c r="N6" s="247">
        <f t="shared" si="2"/>
        <v>0.25396159093294152</v>
      </c>
      <c r="O6" s="274">
        <f t="shared" ref="O6:O13" si="3">SUM(I6:N6)</f>
        <v>0.98793490369184522</v>
      </c>
      <c r="Q6" s="239"/>
      <c r="R6" s="100"/>
      <c r="S6" s="100"/>
    </row>
    <row r="7" spans="1:19" ht="28.9" customHeight="1" x14ac:dyDescent="0.25">
      <c r="A7" s="153" t="s">
        <v>366</v>
      </c>
      <c r="B7" s="134">
        <f>SUM($I$17:$I$26)/SUM(I17:I90)</f>
        <v>0.73375984251968518</v>
      </c>
      <c r="C7" s="134">
        <f>SUM($I$27:$I$51)/SUM(I17:I90)</f>
        <v>0</v>
      </c>
      <c r="D7" s="134">
        <f>SUM($I$52:$I$57)/SUM(I17:I90)</f>
        <v>0.11146653543307089</v>
      </c>
      <c r="E7" s="134">
        <f>SUM($I$58:$I$62)/SUM(I17:I90)</f>
        <v>9.5226377952755931E-2</v>
      </c>
      <c r="F7" s="134">
        <f>SUM($I$63:$I$74)/SUM(I17:I90)</f>
        <v>1.4517716535433076E-2</v>
      </c>
      <c r="G7" s="134">
        <f>SUM($I$75:$I$90)/SUM(I17:I90)</f>
        <v>4.5029527559055128E-2</v>
      </c>
      <c r="H7" s="238"/>
      <c r="I7" s="247">
        <f>B7*'15. Ag Prod'!$B$57</f>
        <v>0.21037664267272851</v>
      </c>
      <c r="J7" s="247">
        <f t="shared" si="0"/>
        <v>0</v>
      </c>
      <c r="K7" s="247">
        <f>D7*'17. Transport'!K8</f>
        <v>3.8169742131969426E-4</v>
      </c>
      <c r="L7" s="247">
        <f>E7*'16. Packaging, Market'!J17</f>
        <v>4.23757381889764E-2</v>
      </c>
      <c r="M7" s="247">
        <f t="shared" si="1"/>
        <v>1.4517716535433076E-2</v>
      </c>
      <c r="N7" s="247">
        <f t="shared" si="2"/>
        <v>4.5029527559055128E-2</v>
      </c>
      <c r="O7" s="274">
        <f t="shared" si="3"/>
        <v>0.31268132237751284</v>
      </c>
      <c r="Q7" s="239"/>
      <c r="R7" s="100"/>
      <c r="S7" s="100"/>
    </row>
    <row r="8" spans="1:19" ht="28.9" customHeight="1" x14ac:dyDescent="0.25">
      <c r="A8" s="153" t="s">
        <v>367</v>
      </c>
      <c r="B8" s="134">
        <f>SUM($F$17:$F$26)/SUM(F17:F90)</f>
        <v>0.66532258064516125</v>
      </c>
      <c r="C8" s="134">
        <f>SUM($F$27:$F$51)/SUM(F17:F90)</f>
        <v>0</v>
      </c>
      <c r="D8" s="134">
        <f>SUM($F$52:$F$57)/SUM(F17:F90)</f>
        <v>0.282258064516129</v>
      </c>
      <c r="E8" s="134">
        <f>SUM($F$58:$F$62)/SUM(F17:F90)</f>
        <v>8.0645161290322578E-3</v>
      </c>
      <c r="F8" s="134">
        <f>SUM($F$63:$F$74)/SUM(F17:F90)</f>
        <v>1.2096774193548387E-2</v>
      </c>
      <c r="G8" s="134">
        <f>SUM($F$75:$F$90)/SUM(F17:F90)</f>
        <v>3.2258064516129031E-2</v>
      </c>
      <c r="H8" s="238"/>
      <c r="I8" s="247">
        <f>B8*'15. Ag Prod'!$B$57</f>
        <v>0.19075496190939292</v>
      </c>
      <c r="J8" s="247">
        <f t="shared" si="0"/>
        <v>0</v>
      </c>
      <c r="K8" s="247">
        <f>D8*'17. Transport'!K8</f>
        <v>9.6654278303270847E-4</v>
      </c>
      <c r="L8" s="247">
        <f>E8*'16. Packaging, Market'!J17</f>
        <v>3.5887096774193557E-3</v>
      </c>
      <c r="M8" s="247">
        <f t="shared" si="1"/>
        <v>1.2096774193548387E-2</v>
      </c>
      <c r="N8" s="247">
        <f t="shared" si="2"/>
        <v>3.2258064516129031E-2</v>
      </c>
      <c r="O8" s="274">
        <f>SUM(I8:N8)</f>
        <v>0.23966505307952241</v>
      </c>
      <c r="Q8" s="239"/>
      <c r="R8" s="100"/>
      <c r="S8" s="100"/>
    </row>
    <row r="9" spans="1:19" ht="28.9" customHeight="1" x14ac:dyDescent="0.25">
      <c r="A9" s="165" t="s">
        <v>368</v>
      </c>
      <c r="B9" s="253">
        <f>SUM($J$17:$J$26)/SUM(J17:J90)</f>
        <v>0</v>
      </c>
      <c r="C9" s="253">
        <f>SUM($J$27:$J$51)/SUM(J17:J90)</f>
        <v>0.46298138411254797</v>
      </c>
      <c r="D9" s="253">
        <f>SUM($J$52:$J$57)/SUM(J17:J90)</f>
        <v>0.130027000142106</v>
      </c>
      <c r="E9" s="253">
        <f>SUM($J$58:$J$62)/SUM(J17:J90)</f>
        <v>2.2168537729145944E-2</v>
      </c>
      <c r="F9" s="253">
        <f>SUM($J$63:$J$74)/SUM(J17:J90)</f>
        <v>0.15546397612619015</v>
      </c>
      <c r="G9" s="253">
        <f>SUM($J$75:$J$90)/SUM(J17:J90)</f>
        <v>0.22935910189000994</v>
      </c>
      <c r="H9" s="247"/>
      <c r="I9" s="247">
        <f>B9*'15. Ag Prod'!$B$57</f>
        <v>0</v>
      </c>
      <c r="J9" s="247">
        <f t="shared" si="0"/>
        <v>0.46298138411254797</v>
      </c>
      <c r="K9" s="247">
        <f>D9*'17. Transport'!K9</f>
        <v>8.2830449260805229E-3</v>
      </c>
      <c r="L9" s="247">
        <f>E9*'16. Packaging, Market'!J18</f>
        <v>9.8649992894699473E-3</v>
      </c>
      <c r="M9" s="247">
        <f t="shared" si="1"/>
        <v>0.15546397612619015</v>
      </c>
      <c r="N9" s="247">
        <f t="shared" si="2"/>
        <v>0.22935910189000994</v>
      </c>
      <c r="O9" s="504">
        <f>SUM(I9:N9)</f>
        <v>0.86595250634429854</v>
      </c>
      <c r="Q9" s="239"/>
      <c r="R9" s="100"/>
      <c r="S9" s="100"/>
    </row>
    <row r="10" spans="1:19" ht="28.9" customHeight="1" x14ac:dyDescent="0.25">
      <c r="A10" s="165" t="s">
        <v>369</v>
      </c>
      <c r="B10" s="253">
        <f>SUM($G$17:$G$26)/SUM(G17:G90)</f>
        <v>0</v>
      </c>
      <c r="C10" s="253">
        <f>SUM($G$27:$G$51)/SUM(G17:G90)</f>
        <v>0.48148148148148134</v>
      </c>
      <c r="D10" s="253">
        <f>SUM($G$52:$G$57)/SUM(G17:G90)</f>
        <v>5.1851851851851836E-2</v>
      </c>
      <c r="E10" s="253">
        <f>SUM($G$58:$G$62)/SUM(G17:G90)</f>
        <v>7.407407407407406E-3</v>
      </c>
      <c r="F10" s="253">
        <f>SUM($G$63:$G$74)/SUM(G17:G90)</f>
        <v>0.17037037037037037</v>
      </c>
      <c r="G10" s="253">
        <f>SUM($G$75:$G$90)/SUM(G17:G90)</f>
        <v>0.28888888888888886</v>
      </c>
      <c r="H10" s="247"/>
      <c r="I10" s="247">
        <f>B10*'15. Ag Prod'!B59</f>
        <v>0</v>
      </c>
      <c r="J10" s="247">
        <f t="shared" si="0"/>
        <v>0.48148148148148134</v>
      </c>
      <c r="K10" s="247">
        <f>D10*'17. Transport'!K9</f>
        <v>3.3030925724654957E-3</v>
      </c>
      <c r="L10" s="247">
        <f>E10*'16. Packaging, Market'!J18</f>
        <v>3.2962962962962967E-3</v>
      </c>
      <c r="M10" s="247">
        <f t="shared" si="1"/>
        <v>0.17037037037037037</v>
      </c>
      <c r="N10" s="247">
        <f t="shared" si="2"/>
        <v>0.28888888888888886</v>
      </c>
      <c r="O10" s="504">
        <f t="shared" si="3"/>
        <v>0.94734012960950231</v>
      </c>
      <c r="Q10" s="239"/>
      <c r="R10" s="100"/>
      <c r="S10" s="100"/>
    </row>
    <row r="11" spans="1:19" ht="14.45" customHeight="1" x14ac:dyDescent="0.25">
      <c r="A11" s="28" t="s">
        <v>370</v>
      </c>
      <c r="B11" s="134">
        <f>SUM($E$17:$E$26)/SUM(E17:E90)</f>
        <v>8.8920505068468797E-2</v>
      </c>
      <c r="C11" s="134">
        <f>SUM($E$27:$E$51)/SUM(E17:E90)</f>
        <v>0.52294149030766501</v>
      </c>
      <c r="D11" s="134">
        <f>SUM($E$52:$E$57)/SUM(E17:E90)</f>
        <v>5.1307131424506505E-2</v>
      </c>
      <c r="E11" s="134">
        <f>SUM($E$58:$E$62)/SUM(E17:E90)</f>
        <v>0.1484972434643429</v>
      </c>
      <c r="F11" s="134">
        <f>SUM($E$63:$E$74)/SUM(E17:E90)</f>
        <v>6.5534412235461512E-2</v>
      </c>
      <c r="G11" s="134">
        <f>SUM($E$75:$E$90)/SUM(E17:E90)</f>
        <v>0.12279921749955543</v>
      </c>
      <c r="H11" s="238"/>
      <c r="I11" s="251">
        <f>B11*'15. Ag Prod'!B60</f>
        <v>8.8920505068468797E-2</v>
      </c>
      <c r="J11" s="247">
        <f t="shared" si="0"/>
        <v>0.52294149030766501</v>
      </c>
      <c r="K11" s="247">
        <f>D11*'17. Transport'!K10</f>
        <v>1.1754429377668735E-2</v>
      </c>
      <c r="L11" s="247">
        <f>E11*'16. Packaging, Market'!J19</f>
        <v>6.6081273341632607E-2</v>
      </c>
      <c r="M11" s="247">
        <f t="shared" si="1"/>
        <v>6.5534412235461512E-2</v>
      </c>
      <c r="N11" s="247">
        <f t="shared" si="2"/>
        <v>0.12279921749955543</v>
      </c>
      <c r="O11" s="274">
        <f t="shared" si="3"/>
        <v>0.87803132783045212</v>
      </c>
      <c r="Q11" s="239"/>
      <c r="R11" s="100"/>
      <c r="S11" s="100"/>
    </row>
    <row r="12" spans="1:19" ht="14.45" customHeight="1" x14ac:dyDescent="0.25">
      <c r="A12" s="153" t="s">
        <v>371</v>
      </c>
      <c r="B12" s="134">
        <f>SUM($H$17:$H$26)/SUM(H17:H90)</f>
        <v>0.27218290691344599</v>
      </c>
      <c r="C12" s="134">
        <f>SUM($H$27:$H$51)/SUM(H17:H90)</f>
        <v>0.40990745781164956</v>
      </c>
      <c r="D12" s="134">
        <f>SUM($H$52:$H$57)/SUM(H17:H90)</f>
        <v>2.3679912901469799E-2</v>
      </c>
      <c r="E12" s="134">
        <f>SUM($H$58:$H$62)/SUM(H17:H90)</f>
        <v>0.21393576483396851</v>
      </c>
      <c r="F12" s="134">
        <f>SUM($H$63:$H$74)/SUM(H17:H90)</f>
        <v>5.9063690800217783E-2</v>
      </c>
      <c r="G12" s="134">
        <f>SUM($H$75:$H$90)/SUM(H17:H90)</f>
        <v>2.1230266739248785E-2</v>
      </c>
      <c r="H12" s="238"/>
      <c r="I12" s="250">
        <f>B12*'15. Ag Prod'!B61</f>
        <v>0.27218290691344599</v>
      </c>
      <c r="J12" s="247">
        <f t="shared" si="0"/>
        <v>0.40990745781164956</v>
      </c>
      <c r="K12" s="247">
        <f>D12*'17. Transport'!K11</f>
        <v>2.1014054075874497E-3</v>
      </c>
      <c r="L12" s="247">
        <f>E12*'16. Packaging, Market'!J20</f>
        <v>9.5201415351116009E-2</v>
      </c>
      <c r="M12" s="247">
        <f t="shared" si="1"/>
        <v>5.9063690800217783E-2</v>
      </c>
      <c r="N12" s="247">
        <f t="shared" si="2"/>
        <v>2.1230266739248785E-2</v>
      </c>
      <c r="O12" s="274">
        <f t="shared" si="3"/>
        <v>0.85968714302326554</v>
      </c>
      <c r="Q12" s="239"/>
      <c r="R12" s="100"/>
      <c r="S12" s="100"/>
    </row>
    <row r="13" spans="1:19" ht="14.45" customHeight="1" x14ac:dyDescent="0.25">
      <c r="A13" s="153" t="s">
        <v>372</v>
      </c>
      <c r="B13" s="134">
        <f>SUM($P$17:$P$26)/SUM(P17:P90)</f>
        <v>0.25397546569741031</v>
      </c>
      <c r="C13" s="134">
        <f>SUM($P$27:$P$51)/SUM(P17:P90)</f>
        <v>0.31826442526124493</v>
      </c>
      <c r="D13" s="134">
        <f>SUM($P$52:$P$57)/SUM(P17:P90)</f>
        <v>0.16560654248069059</v>
      </c>
      <c r="E13" s="134">
        <f>SUM($P$58:$P$62)/SUM(P17:P90)</f>
        <v>2.3171285779191277E-2</v>
      </c>
      <c r="F13" s="134">
        <f>SUM($P$63:$P$74)/SUM(P17:P90)</f>
        <v>0.14856883234893237</v>
      </c>
      <c r="G13" s="134">
        <f>SUM($P$75:$P$90)/SUM(P17:P90)</f>
        <v>9.0413448432530713E-2</v>
      </c>
      <c r="H13" s="238"/>
      <c r="I13" s="250">
        <f>B13*'15. Ag Prod'!B62</f>
        <v>0.25397546569741031</v>
      </c>
      <c r="J13" s="247">
        <f t="shared" si="0"/>
        <v>0.31826442526124493</v>
      </c>
      <c r="K13" s="247">
        <f>D13*'17. Transport'!K12</f>
        <v>5.3467368604577278E-2</v>
      </c>
      <c r="L13" s="247">
        <f>E13*'16. Packaging, Market'!J21</f>
        <v>1.031122217174012E-2</v>
      </c>
      <c r="M13" s="247">
        <f t="shared" si="1"/>
        <v>0.14856883234893237</v>
      </c>
      <c r="N13" s="247">
        <f t="shared" si="2"/>
        <v>9.0413448432530713E-2</v>
      </c>
      <c r="O13" s="274">
        <f t="shared" si="3"/>
        <v>0.87500076251643566</v>
      </c>
      <c r="Q13" s="239"/>
      <c r="R13" s="100"/>
      <c r="S13" s="100"/>
    </row>
    <row r="14" spans="1:19" x14ac:dyDescent="0.25">
      <c r="A14" s="279"/>
      <c r="B14" s="136"/>
      <c r="C14" s="237"/>
      <c r="D14" s="237"/>
      <c r="E14" s="237"/>
      <c r="F14" s="237"/>
      <c r="G14" s="237"/>
      <c r="H14" s="237"/>
      <c r="I14" s="238"/>
      <c r="J14" s="250"/>
      <c r="K14" s="239"/>
      <c r="L14" s="247"/>
      <c r="M14" s="247"/>
      <c r="N14" s="247"/>
      <c r="O14" s="247"/>
      <c r="P14" s="274"/>
      <c r="Q14" s="239"/>
      <c r="R14" s="100"/>
      <c r="S14" s="100"/>
    </row>
    <row r="15" spans="1:19" x14ac:dyDescent="0.25">
      <c r="A15" s="1140" t="s">
        <v>373</v>
      </c>
      <c r="B15" s="1140"/>
      <c r="C15" s="1140"/>
      <c r="D15" s="1140"/>
      <c r="E15" s="1137" t="s">
        <v>374</v>
      </c>
      <c r="F15" s="1137"/>
      <c r="G15" s="1137"/>
      <c r="H15" s="1137"/>
      <c r="I15" s="1137"/>
      <c r="J15" s="1137"/>
      <c r="K15" s="1137"/>
      <c r="L15" s="1137"/>
      <c r="M15" s="1137"/>
      <c r="N15" s="1137"/>
      <c r="O15" s="1137"/>
      <c r="P15" s="1137"/>
      <c r="Q15" s="1137"/>
      <c r="R15" s="1136" t="s">
        <v>375</v>
      </c>
      <c r="S15" s="1136"/>
    </row>
    <row r="16" spans="1:19" ht="147.6" customHeight="1" x14ac:dyDescent="0.25">
      <c r="A16" s="1076" t="s">
        <v>376</v>
      </c>
      <c r="B16" s="1076" t="s">
        <v>377</v>
      </c>
      <c r="C16" s="1076" t="s">
        <v>378</v>
      </c>
      <c r="D16" s="1076" t="s">
        <v>379</v>
      </c>
      <c r="E16" s="412" t="s">
        <v>380</v>
      </c>
      <c r="F16" s="412" t="s">
        <v>367</v>
      </c>
      <c r="G16" s="412" t="s">
        <v>369</v>
      </c>
      <c r="H16" s="412" t="s">
        <v>381</v>
      </c>
      <c r="I16" s="412" t="s">
        <v>382</v>
      </c>
      <c r="J16" s="412" t="s">
        <v>383</v>
      </c>
      <c r="K16" s="412" t="s">
        <v>363</v>
      </c>
      <c r="L16" s="412" t="s">
        <v>384</v>
      </c>
      <c r="M16" s="412" t="s">
        <v>385</v>
      </c>
      <c r="N16" s="412" t="s">
        <v>365</v>
      </c>
      <c r="O16" s="412" t="s">
        <v>364</v>
      </c>
      <c r="P16" s="412" t="s">
        <v>386</v>
      </c>
      <c r="Q16" s="412" t="s">
        <v>387</v>
      </c>
      <c r="R16" s="1076" t="s">
        <v>388</v>
      </c>
      <c r="S16" s="1076" t="s">
        <v>389</v>
      </c>
    </row>
    <row r="17" spans="1:19" ht="45" x14ac:dyDescent="0.25">
      <c r="A17" s="413" t="s">
        <v>390</v>
      </c>
      <c r="B17" s="172" t="s">
        <v>391</v>
      </c>
      <c r="C17" s="127" t="s">
        <v>392</v>
      </c>
      <c r="D17" s="127">
        <v>1</v>
      </c>
      <c r="E17" s="127">
        <v>0</v>
      </c>
      <c r="F17" s="127">
        <v>0</v>
      </c>
      <c r="G17" s="127">
        <v>0</v>
      </c>
      <c r="H17" s="127">
        <v>1</v>
      </c>
      <c r="I17" s="127">
        <v>0</v>
      </c>
      <c r="J17" s="127">
        <v>0</v>
      </c>
      <c r="K17" s="127">
        <v>0</v>
      </c>
      <c r="L17" s="127">
        <v>0</v>
      </c>
      <c r="M17" s="127">
        <v>0</v>
      </c>
      <c r="N17" s="127">
        <v>0</v>
      </c>
      <c r="O17" s="127">
        <v>0</v>
      </c>
      <c r="P17" s="127">
        <v>0</v>
      </c>
      <c r="Q17" s="127">
        <v>0</v>
      </c>
      <c r="R17" s="172" t="s">
        <v>393</v>
      </c>
      <c r="S17" s="172" t="s">
        <v>393</v>
      </c>
    </row>
    <row r="18" spans="1:19" ht="30" x14ac:dyDescent="0.25">
      <c r="A18" s="63" t="s">
        <v>394</v>
      </c>
      <c r="B18" s="100" t="s">
        <v>395</v>
      </c>
      <c r="C18" s="35" t="s">
        <v>392</v>
      </c>
      <c r="D18" s="35">
        <v>1</v>
      </c>
      <c r="E18" s="35">
        <v>1</v>
      </c>
      <c r="F18" s="35">
        <v>0</v>
      </c>
      <c r="G18" s="35">
        <v>0</v>
      </c>
      <c r="H18" s="35">
        <v>0</v>
      </c>
      <c r="I18" s="35">
        <v>0</v>
      </c>
      <c r="J18" s="35">
        <v>0</v>
      </c>
      <c r="K18" s="35">
        <v>0</v>
      </c>
      <c r="L18" s="35">
        <v>0</v>
      </c>
      <c r="M18" s="35">
        <v>0</v>
      </c>
      <c r="N18" s="35">
        <v>0</v>
      </c>
      <c r="O18" s="35">
        <v>0</v>
      </c>
      <c r="P18" s="35">
        <v>0</v>
      </c>
      <c r="Q18" s="35">
        <v>0</v>
      </c>
      <c r="R18" s="100" t="s">
        <v>393</v>
      </c>
      <c r="S18" s="100" t="s">
        <v>393</v>
      </c>
    </row>
    <row r="19" spans="1:19" ht="30" x14ac:dyDescent="0.25">
      <c r="A19" s="63">
        <v>111200</v>
      </c>
      <c r="B19" s="100" t="s">
        <v>396</v>
      </c>
      <c r="C19" s="35" t="s">
        <v>392</v>
      </c>
      <c r="D19" s="35">
        <v>1</v>
      </c>
      <c r="E19" s="35">
        <v>0</v>
      </c>
      <c r="F19" s="35">
        <v>0.16500000000000001</v>
      </c>
      <c r="G19" s="35">
        <v>0</v>
      </c>
      <c r="H19" s="35">
        <v>0</v>
      </c>
      <c r="I19" s="35">
        <v>0.83499999999999996</v>
      </c>
      <c r="J19" s="35">
        <v>0</v>
      </c>
      <c r="K19" s="35">
        <v>0</v>
      </c>
      <c r="L19" s="35">
        <v>0</v>
      </c>
      <c r="M19" s="35">
        <v>0</v>
      </c>
      <c r="N19" s="35">
        <v>0</v>
      </c>
      <c r="O19" s="35">
        <v>0</v>
      </c>
      <c r="P19" s="35">
        <v>0</v>
      </c>
      <c r="Q19" s="35">
        <v>0</v>
      </c>
      <c r="R19" s="100" t="s">
        <v>393</v>
      </c>
      <c r="S19" s="100" t="s">
        <v>397</v>
      </c>
    </row>
    <row r="20" spans="1:19" ht="30" x14ac:dyDescent="0.25">
      <c r="A20" s="63">
        <v>111300</v>
      </c>
      <c r="B20" s="100" t="s">
        <v>398</v>
      </c>
      <c r="C20" s="35" t="s">
        <v>392</v>
      </c>
      <c r="D20" s="35">
        <v>1</v>
      </c>
      <c r="E20" s="35">
        <v>0</v>
      </c>
      <c r="F20" s="35">
        <v>0</v>
      </c>
      <c r="G20" s="35">
        <v>0</v>
      </c>
      <c r="H20" s="35">
        <v>0</v>
      </c>
      <c r="I20" s="35">
        <v>1</v>
      </c>
      <c r="J20" s="35">
        <v>0</v>
      </c>
      <c r="K20" s="35">
        <v>0</v>
      </c>
      <c r="L20" s="35">
        <v>0</v>
      </c>
      <c r="M20" s="35">
        <v>0</v>
      </c>
      <c r="N20" s="35">
        <v>0</v>
      </c>
      <c r="O20" s="35">
        <v>0</v>
      </c>
      <c r="P20" s="35">
        <v>0</v>
      </c>
      <c r="Q20" s="35">
        <v>0</v>
      </c>
      <c r="R20" s="100" t="s">
        <v>393</v>
      </c>
      <c r="S20" s="100" t="s">
        <v>393</v>
      </c>
    </row>
    <row r="21" spans="1:19" ht="45" x14ac:dyDescent="0.25">
      <c r="A21" s="35">
        <v>111400</v>
      </c>
      <c r="B21" s="100" t="s">
        <v>399</v>
      </c>
      <c r="C21" s="35" t="s">
        <v>392</v>
      </c>
      <c r="D21" s="35">
        <v>0.14699999999999999</v>
      </c>
      <c r="E21" s="35">
        <v>0</v>
      </c>
      <c r="F21" s="35">
        <v>0</v>
      </c>
      <c r="G21" s="35">
        <v>0</v>
      </c>
      <c r="H21" s="35">
        <v>0</v>
      </c>
      <c r="I21" s="35">
        <v>1</v>
      </c>
      <c r="J21" s="35">
        <v>0</v>
      </c>
      <c r="K21" s="35">
        <v>0</v>
      </c>
      <c r="L21" s="35">
        <v>0</v>
      </c>
      <c r="M21" s="35">
        <v>0</v>
      </c>
      <c r="N21" s="35">
        <v>0</v>
      </c>
      <c r="O21" s="35">
        <v>0</v>
      </c>
      <c r="P21" s="35">
        <v>0</v>
      </c>
      <c r="Q21" s="35">
        <v>0</v>
      </c>
      <c r="R21" s="100" t="s">
        <v>397</v>
      </c>
      <c r="S21" s="100" t="s">
        <v>393</v>
      </c>
    </row>
    <row r="22" spans="1:19" ht="75" x14ac:dyDescent="0.25">
      <c r="A22" s="35">
        <v>111900</v>
      </c>
      <c r="B22" s="100" t="s">
        <v>400</v>
      </c>
      <c r="C22" s="35" t="s">
        <v>392</v>
      </c>
      <c r="D22" s="35">
        <v>0.115</v>
      </c>
      <c r="E22" s="35">
        <v>0</v>
      </c>
      <c r="F22" s="35">
        <v>0</v>
      </c>
      <c r="G22" s="35">
        <v>0</v>
      </c>
      <c r="H22" s="35">
        <v>0</v>
      </c>
      <c r="I22" s="35">
        <v>0.14699999999999999</v>
      </c>
      <c r="J22" s="35">
        <v>0</v>
      </c>
      <c r="K22" s="35">
        <v>0</v>
      </c>
      <c r="L22" s="35">
        <v>0</v>
      </c>
      <c r="M22" s="35">
        <v>0</v>
      </c>
      <c r="N22" s="35">
        <v>0</v>
      </c>
      <c r="O22" s="35">
        <v>0</v>
      </c>
      <c r="P22" s="35">
        <v>0.85299999999999998</v>
      </c>
      <c r="Q22" s="35">
        <v>0</v>
      </c>
      <c r="R22" s="100" t="s">
        <v>397</v>
      </c>
      <c r="S22" s="100" t="s">
        <v>397</v>
      </c>
    </row>
    <row r="23" spans="1:19" x14ac:dyDescent="0.25">
      <c r="A23" s="63">
        <v>112120</v>
      </c>
      <c r="B23" s="100" t="s">
        <v>401</v>
      </c>
      <c r="C23" s="35" t="s">
        <v>392</v>
      </c>
      <c r="D23" s="35">
        <v>1</v>
      </c>
      <c r="E23" s="35">
        <v>0</v>
      </c>
      <c r="F23" s="35">
        <v>0</v>
      </c>
      <c r="G23" s="35">
        <v>0</v>
      </c>
      <c r="H23" s="35">
        <v>0</v>
      </c>
      <c r="I23" s="35">
        <v>0</v>
      </c>
      <c r="J23" s="35">
        <v>0</v>
      </c>
      <c r="K23" s="35">
        <v>0</v>
      </c>
      <c r="L23" s="35">
        <v>0</v>
      </c>
      <c r="M23" s="35">
        <v>0</v>
      </c>
      <c r="N23" s="35">
        <v>1</v>
      </c>
      <c r="O23" s="35">
        <v>0</v>
      </c>
      <c r="P23" s="35">
        <v>0</v>
      </c>
      <c r="Q23" s="35">
        <v>0</v>
      </c>
      <c r="R23" s="100" t="s">
        <v>393</v>
      </c>
      <c r="S23" s="100" t="s">
        <v>393</v>
      </c>
    </row>
    <row r="24" spans="1:19" ht="30" x14ac:dyDescent="0.25">
      <c r="A24" s="35" t="s">
        <v>402</v>
      </c>
      <c r="B24" s="100" t="s">
        <v>403</v>
      </c>
      <c r="C24" s="35" t="s">
        <v>392</v>
      </c>
      <c r="D24" s="35">
        <v>1</v>
      </c>
      <c r="E24" s="35">
        <v>0</v>
      </c>
      <c r="F24" s="35">
        <v>0</v>
      </c>
      <c r="G24" s="35">
        <v>0</v>
      </c>
      <c r="H24" s="35">
        <v>0</v>
      </c>
      <c r="I24" s="35">
        <v>0</v>
      </c>
      <c r="J24" s="35">
        <v>0</v>
      </c>
      <c r="K24" s="35">
        <v>1</v>
      </c>
      <c r="L24" s="35">
        <v>0</v>
      </c>
      <c r="M24" s="35">
        <v>0</v>
      </c>
      <c r="N24" s="35">
        <v>0</v>
      </c>
      <c r="O24" s="35">
        <v>0</v>
      </c>
      <c r="P24" s="35">
        <v>0</v>
      </c>
      <c r="Q24" s="35">
        <v>0</v>
      </c>
      <c r="R24" s="100" t="s">
        <v>393</v>
      </c>
      <c r="S24" s="100" t="s">
        <v>393</v>
      </c>
    </row>
    <row r="25" spans="1:19" x14ac:dyDescent="0.25">
      <c r="A25" s="63">
        <v>112300</v>
      </c>
      <c r="B25" s="100" t="s">
        <v>404</v>
      </c>
      <c r="C25" s="35" t="s">
        <v>392</v>
      </c>
      <c r="D25" s="35">
        <v>1</v>
      </c>
      <c r="E25" s="35">
        <v>0</v>
      </c>
      <c r="F25" s="35">
        <v>0</v>
      </c>
      <c r="G25" s="35">
        <v>0</v>
      </c>
      <c r="H25" s="35">
        <v>0</v>
      </c>
      <c r="I25" s="35">
        <v>0</v>
      </c>
      <c r="J25" s="35">
        <v>0</v>
      </c>
      <c r="K25" s="35">
        <v>0.30199999999999999</v>
      </c>
      <c r="L25" s="35">
        <v>0</v>
      </c>
      <c r="M25" s="35">
        <v>0</v>
      </c>
      <c r="N25" s="35">
        <v>0</v>
      </c>
      <c r="O25" s="35">
        <v>0.69799999999999995</v>
      </c>
      <c r="P25" s="35">
        <v>0</v>
      </c>
      <c r="Q25" s="35">
        <v>0</v>
      </c>
      <c r="R25" s="100" t="s">
        <v>393</v>
      </c>
      <c r="S25" s="100" t="s">
        <v>397</v>
      </c>
    </row>
    <row r="26" spans="1:19" ht="60" x14ac:dyDescent="0.25">
      <c r="A26" s="35" t="s">
        <v>405</v>
      </c>
      <c r="B26" s="100" t="s">
        <v>406</v>
      </c>
      <c r="C26" s="35" t="s">
        <v>392</v>
      </c>
      <c r="D26" s="35">
        <v>0.36499999999999999</v>
      </c>
      <c r="E26" s="35">
        <v>0</v>
      </c>
      <c r="F26" s="35">
        <v>0</v>
      </c>
      <c r="G26" s="35">
        <v>0</v>
      </c>
      <c r="H26" s="35">
        <v>0</v>
      </c>
      <c r="I26" s="35">
        <v>0</v>
      </c>
      <c r="J26" s="35">
        <v>0</v>
      </c>
      <c r="K26" s="35">
        <v>9.4E-2</v>
      </c>
      <c r="L26" s="35">
        <v>0.59599999999999997</v>
      </c>
      <c r="M26" s="35">
        <v>0</v>
      </c>
      <c r="N26" s="35">
        <v>4.3999999999999997E-2</v>
      </c>
      <c r="O26" s="35">
        <v>0</v>
      </c>
      <c r="P26" s="35">
        <v>0.26500000000000001</v>
      </c>
      <c r="Q26" s="35">
        <v>0</v>
      </c>
      <c r="R26" s="100" t="s">
        <v>397</v>
      </c>
      <c r="S26" s="100" t="s">
        <v>397</v>
      </c>
    </row>
    <row r="27" spans="1:19" x14ac:dyDescent="0.25">
      <c r="A27" s="63">
        <v>311210</v>
      </c>
      <c r="B27" s="100" t="s">
        <v>407</v>
      </c>
      <c r="C27" s="35" t="s">
        <v>408</v>
      </c>
      <c r="D27" s="35">
        <v>1</v>
      </c>
      <c r="E27" s="35">
        <v>1</v>
      </c>
      <c r="F27" s="35">
        <v>0</v>
      </c>
      <c r="G27" s="35">
        <v>0</v>
      </c>
      <c r="H27" s="35">
        <v>0</v>
      </c>
      <c r="I27" s="35">
        <v>0</v>
      </c>
      <c r="J27" s="35">
        <v>0</v>
      </c>
      <c r="K27" s="35">
        <v>0</v>
      </c>
      <c r="L27" s="35">
        <v>0</v>
      </c>
      <c r="M27" s="35">
        <v>0</v>
      </c>
      <c r="N27" s="35">
        <v>0</v>
      </c>
      <c r="O27" s="35">
        <v>0</v>
      </c>
      <c r="P27" s="35">
        <v>0</v>
      </c>
      <c r="Q27" s="35">
        <v>0</v>
      </c>
      <c r="R27" s="100" t="s">
        <v>393</v>
      </c>
      <c r="S27" s="100" t="s">
        <v>393</v>
      </c>
    </row>
    <row r="28" spans="1:19" x14ac:dyDescent="0.25">
      <c r="A28" s="63">
        <v>311221</v>
      </c>
      <c r="B28" s="100" t="s">
        <v>409</v>
      </c>
      <c r="C28" s="35" t="s">
        <v>408</v>
      </c>
      <c r="D28" s="35">
        <v>1</v>
      </c>
      <c r="E28" s="35">
        <v>0.99</v>
      </c>
      <c r="F28" s="35">
        <v>0</v>
      </c>
      <c r="G28" s="35">
        <v>0</v>
      </c>
      <c r="H28" s="35">
        <v>0.01</v>
      </c>
      <c r="I28" s="35">
        <v>0</v>
      </c>
      <c r="J28" s="35">
        <v>0</v>
      </c>
      <c r="K28" s="35">
        <v>0</v>
      </c>
      <c r="L28" s="35">
        <v>0</v>
      </c>
      <c r="M28" s="35">
        <v>0</v>
      </c>
      <c r="N28" s="35">
        <v>0</v>
      </c>
      <c r="O28" s="35">
        <v>0</v>
      </c>
      <c r="P28" s="35">
        <v>0</v>
      </c>
      <c r="Q28" s="35">
        <v>0</v>
      </c>
      <c r="R28" s="100" t="s">
        <v>393</v>
      </c>
      <c r="S28" s="100" t="s">
        <v>410</v>
      </c>
    </row>
    <row r="29" spans="1:19" ht="30" x14ac:dyDescent="0.25">
      <c r="A29" s="63">
        <v>311225</v>
      </c>
      <c r="B29" s="100" t="s">
        <v>411</v>
      </c>
      <c r="C29" s="35" t="s">
        <v>408</v>
      </c>
      <c r="D29" s="35">
        <v>1</v>
      </c>
      <c r="E29" s="35">
        <v>0.44800000000000001</v>
      </c>
      <c r="F29" s="35">
        <v>0</v>
      </c>
      <c r="G29" s="35">
        <v>0</v>
      </c>
      <c r="H29" s="35">
        <v>0.47799999999999998</v>
      </c>
      <c r="I29" s="35">
        <v>0</v>
      </c>
      <c r="J29" s="35">
        <v>7.3999999999999996E-2</v>
      </c>
      <c r="K29" s="35">
        <v>0</v>
      </c>
      <c r="L29" s="35">
        <v>0</v>
      </c>
      <c r="M29" s="35">
        <v>0</v>
      </c>
      <c r="N29" s="35">
        <v>0</v>
      </c>
      <c r="O29" s="35">
        <v>0</v>
      </c>
      <c r="P29" s="35">
        <v>0</v>
      </c>
      <c r="Q29" s="35">
        <v>0</v>
      </c>
      <c r="R29" s="100" t="s">
        <v>393</v>
      </c>
      <c r="S29" s="100" t="s">
        <v>410</v>
      </c>
    </row>
    <row r="30" spans="1:19" ht="30" x14ac:dyDescent="0.25">
      <c r="A30" s="35" t="s">
        <v>412</v>
      </c>
      <c r="B30" s="100" t="s">
        <v>413</v>
      </c>
      <c r="C30" s="35" t="s">
        <v>408</v>
      </c>
      <c r="D30" s="35">
        <v>1</v>
      </c>
      <c r="E30" s="35">
        <v>6.0000000000000001E-3</v>
      </c>
      <c r="F30" s="35">
        <v>0</v>
      </c>
      <c r="G30" s="35">
        <v>0</v>
      </c>
      <c r="H30" s="35">
        <v>0.96799999999999997</v>
      </c>
      <c r="I30" s="35">
        <v>0</v>
      </c>
      <c r="J30" s="35">
        <v>2.5999999999999999E-2</v>
      </c>
      <c r="K30" s="35">
        <v>0</v>
      </c>
      <c r="L30" s="35">
        <v>0</v>
      </c>
      <c r="M30" s="35">
        <v>0</v>
      </c>
      <c r="N30" s="35">
        <v>0</v>
      </c>
      <c r="O30" s="35">
        <v>0</v>
      </c>
      <c r="P30" s="35">
        <v>0</v>
      </c>
      <c r="Q30" s="35">
        <v>0</v>
      </c>
      <c r="R30" s="100" t="s">
        <v>393</v>
      </c>
      <c r="S30" s="100" t="s">
        <v>410</v>
      </c>
    </row>
    <row r="31" spans="1:19" x14ac:dyDescent="0.25">
      <c r="A31" s="63">
        <v>311230</v>
      </c>
      <c r="B31" s="100" t="s">
        <v>414</v>
      </c>
      <c r="C31" s="35" t="s">
        <v>408</v>
      </c>
      <c r="D31" s="35">
        <v>1</v>
      </c>
      <c r="E31" s="35">
        <v>0.89200000000000002</v>
      </c>
      <c r="F31" s="35">
        <v>0</v>
      </c>
      <c r="G31" s="35">
        <v>0</v>
      </c>
      <c r="H31" s="35">
        <v>0</v>
      </c>
      <c r="I31" s="35">
        <v>0</v>
      </c>
      <c r="J31" s="35">
        <v>0.108</v>
      </c>
      <c r="K31" s="35">
        <v>0</v>
      </c>
      <c r="L31" s="35">
        <v>0</v>
      </c>
      <c r="M31" s="35">
        <v>0</v>
      </c>
      <c r="N31" s="35">
        <v>0</v>
      </c>
      <c r="O31" s="35">
        <v>0</v>
      </c>
      <c r="P31" s="35">
        <v>0</v>
      </c>
      <c r="Q31" s="35">
        <v>0</v>
      </c>
      <c r="R31" s="100" t="s">
        <v>393</v>
      </c>
      <c r="S31" s="100" t="s">
        <v>410</v>
      </c>
    </row>
    <row r="32" spans="1:19" ht="30" x14ac:dyDescent="0.25">
      <c r="A32" s="63">
        <v>311300</v>
      </c>
      <c r="B32" s="100" t="s">
        <v>415</v>
      </c>
      <c r="C32" s="35" t="s">
        <v>408</v>
      </c>
      <c r="D32" s="35">
        <v>1</v>
      </c>
      <c r="E32" s="35">
        <v>0</v>
      </c>
      <c r="F32" s="35">
        <v>0</v>
      </c>
      <c r="G32" s="35">
        <v>0</v>
      </c>
      <c r="H32" s="35">
        <v>0</v>
      </c>
      <c r="I32" s="35">
        <v>0</v>
      </c>
      <c r="J32" s="35">
        <v>0.40400000000000003</v>
      </c>
      <c r="K32" s="35">
        <v>0</v>
      </c>
      <c r="L32" s="35">
        <v>0</v>
      </c>
      <c r="M32" s="35">
        <v>0</v>
      </c>
      <c r="N32" s="35">
        <v>0</v>
      </c>
      <c r="O32" s="35">
        <v>5.3999999999999999E-2</v>
      </c>
      <c r="P32" s="35">
        <v>0.54200000000000004</v>
      </c>
      <c r="Q32" s="35">
        <v>0</v>
      </c>
      <c r="R32" s="100" t="s">
        <v>393</v>
      </c>
      <c r="S32" s="100" t="s">
        <v>410</v>
      </c>
    </row>
    <row r="33" spans="1:19" s="33" customFormat="1" x14ac:dyDescent="0.25">
      <c r="A33" s="33">
        <v>311410</v>
      </c>
      <c r="B33" s="25" t="s">
        <v>416</v>
      </c>
      <c r="C33" s="33" t="s">
        <v>408</v>
      </c>
      <c r="D33" s="33">
        <v>1</v>
      </c>
      <c r="E33" s="33">
        <v>0.72299999999999998</v>
      </c>
      <c r="F33" s="33">
        <v>0</v>
      </c>
      <c r="G33" s="33">
        <v>1.9E-2</v>
      </c>
      <c r="H33" s="33">
        <v>0</v>
      </c>
      <c r="I33" s="33">
        <v>0</v>
      </c>
      <c r="J33" s="33">
        <v>0.221</v>
      </c>
      <c r="K33" s="33">
        <v>0</v>
      </c>
      <c r="L33" s="33">
        <v>0</v>
      </c>
      <c r="M33" s="33">
        <v>1.4E-2</v>
      </c>
      <c r="N33" s="33">
        <v>0</v>
      </c>
      <c r="O33" s="33">
        <v>2.4E-2</v>
      </c>
      <c r="P33" s="33">
        <v>0</v>
      </c>
      <c r="Q33" s="33">
        <v>0</v>
      </c>
      <c r="R33" s="25" t="s">
        <v>393</v>
      </c>
      <c r="S33" s="25" t="s">
        <v>417</v>
      </c>
    </row>
    <row r="34" spans="1:19" ht="30" x14ac:dyDescent="0.25">
      <c r="A34" s="63">
        <v>311420</v>
      </c>
      <c r="B34" s="100" t="s">
        <v>418</v>
      </c>
      <c r="C34" s="35" t="s">
        <v>408</v>
      </c>
      <c r="D34" s="35">
        <v>1</v>
      </c>
      <c r="E34" s="35">
        <v>7.4999999999999997E-2</v>
      </c>
      <c r="F34" s="35">
        <v>0</v>
      </c>
      <c r="G34" s="35">
        <v>1.7999999999999999E-2</v>
      </c>
      <c r="H34" s="35">
        <v>0</v>
      </c>
      <c r="I34" s="35">
        <v>0</v>
      </c>
      <c r="J34" s="35">
        <v>0.74199999999999999</v>
      </c>
      <c r="K34" s="35">
        <v>0</v>
      </c>
      <c r="L34" s="35">
        <v>0</v>
      </c>
      <c r="M34" s="35">
        <v>0.15</v>
      </c>
      <c r="N34" s="35">
        <v>0</v>
      </c>
      <c r="O34" s="35">
        <v>1.2999999999999999E-2</v>
      </c>
      <c r="P34" s="35">
        <v>0</v>
      </c>
      <c r="Q34" s="35">
        <v>0</v>
      </c>
      <c r="R34" s="100" t="s">
        <v>393</v>
      </c>
      <c r="S34" s="100" t="s">
        <v>417</v>
      </c>
    </row>
    <row r="35" spans="1:19" x14ac:dyDescent="0.25">
      <c r="A35" s="63">
        <v>311513</v>
      </c>
      <c r="B35" s="100" t="s">
        <v>91</v>
      </c>
      <c r="C35" s="35" t="s">
        <v>408</v>
      </c>
      <c r="D35" s="35">
        <v>1</v>
      </c>
      <c r="E35" s="35">
        <v>0</v>
      </c>
      <c r="F35" s="35">
        <v>0</v>
      </c>
      <c r="G35" s="35">
        <v>0</v>
      </c>
      <c r="H35" s="35">
        <v>0</v>
      </c>
      <c r="I35" s="35">
        <v>0</v>
      </c>
      <c r="J35" s="35">
        <v>0</v>
      </c>
      <c r="K35" s="35">
        <v>0</v>
      </c>
      <c r="L35" s="35">
        <v>0</v>
      </c>
      <c r="M35" s="35">
        <v>0</v>
      </c>
      <c r="N35" s="35">
        <v>1</v>
      </c>
      <c r="O35" s="35">
        <v>0</v>
      </c>
      <c r="P35" s="35">
        <v>0</v>
      </c>
      <c r="Q35" s="35">
        <v>0</v>
      </c>
      <c r="R35" s="100" t="s">
        <v>393</v>
      </c>
      <c r="S35" s="100" t="s">
        <v>393</v>
      </c>
    </row>
    <row r="36" spans="1:19" ht="30" x14ac:dyDescent="0.25">
      <c r="A36" s="35">
        <v>311514</v>
      </c>
      <c r="B36" s="100" t="s">
        <v>419</v>
      </c>
      <c r="C36" s="35" t="s">
        <v>408</v>
      </c>
      <c r="D36" s="35">
        <v>1</v>
      </c>
      <c r="E36" s="35">
        <v>0</v>
      </c>
      <c r="F36" s="35">
        <v>0</v>
      </c>
      <c r="G36" s="35">
        <v>0</v>
      </c>
      <c r="H36" s="35">
        <v>0</v>
      </c>
      <c r="I36" s="35">
        <v>0</v>
      </c>
      <c r="J36" s="35">
        <v>0</v>
      </c>
      <c r="K36" s="35">
        <v>0</v>
      </c>
      <c r="L36" s="35">
        <v>0</v>
      </c>
      <c r="M36" s="35">
        <v>0</v>
      </c>
      <c r="N36" s="35">
        <v>1</v>
      </c>
      <c r="O36" s="35">
        <v>0</v>
      </c>
      <c r="P36" s="35">
        <v>0</v>
      </c>
      <c r="Q36" s="35">
        <v>0</v>
      </c>
      <c r="R36" s="100" t="s">
        <v>393</v>
      </c>
      <c r="S36" s="100" t="s">
        <v>393</v>
      </c>
    </row>
    <row r="37" spans="1:19" x14ac:dyDescent="0.25">
      <c r="A37" s="63" t="s">
        <v>420</v>
      </c>
      <c r="B37" s="100" t="s">
        <v>421</v>
      </c>
      <c r="C37" s="35" t="s">
        <v>408</v>
      </c>
      <c r="D37" s="35">
        <v>1</v>
      </c>
      <c r="E37" s="35">
        <v>0</v>
      </c>
      <c r="F37" s="35">
        <v>0</v>
      </c>
      <c r="G37" s="35">
        <v>0</v>
      </c>
      <c r="H37" s="35">
        <v>0</v>
      </c>
      <c r="I37" s="35">
        <v>0</v>
      </c>
      <c r="J37" s="35">
        <v>0</v>
      </c>
      <c r="K37" s="35">
        <v>0</v>
      </c>
      <c r="L37" s="35">
        <v>0</v>
      </c>
      <c r="M37" s="35">
        <v>0</v>
      </c>
      <c r="N37" s="35">
        <v>1</v>
      </c>
      <c r="O37" s="35">
        <v>0</v>
      </c>
      <c r="P37" s="35">
        <v>0</v>
      </c>
      <c r="Q37" s="35">
        <v>0</v>
      </c>
      <c r="R37" s="100" t="s">
        <v>393</v>
      </c>
      <c r="S37" s="100" t="s">
        <v>393</v>
      </c>
    </row>
    <row r="38" spans="1:19" ht="30" x14ac:dyDescent="0.25">
      <c r="A38" s="35">
        <v>311520</v>
      </c>
      <c r="B38" s="100" t="s">
        <v>422</v>
      </c>
      <c r="C38" s="35" t="s">
        <v>408</v>
      </c>
      <c r="D38" s="35">
        <v>1</v>
      </c>
      <c r="E38" s="35">
        <v>0</v>
      </c>
      <c r="F38" s="35">
        <v>0</v>
      </c>
      <c r="G38" s="35">
        <v>0</v>
      </c>
      <c r="H38" s="35">
        <v>0</v>
      </c>
      <c r="I38" s="35">
        <v>0</v>
      </c>
      <c r="J38" s="35">
        <v>0.29299999999999998</v>
      </c>
      <c r="K38" s="35">
        <v>0</v>
      </c>
      <c r="L38" s="35">
        <v>0</v>
      </c>
      <c r="M38" s="35">
        <v>0</v>
      </c>
      <c r="N38" s="35">
        <v>0.499</v>
      </c>
      <c r="O38" s="35">
        <v>0.20599999999999999</v>
      </c>
      <c r="P38" s="35">
        <v>2E-3</v>
      </c>
      <c r="Q38" s="35">
        <v>0</v>
      </c>
      <c r="R38" s="100" t="s">
        <v>393</v>
      </c>
      <c r="S38" s="100" t="s">
        <v>393</v>
      </c>
    </row>
    <row r="39" spans="1:19" x14ac:dyDescent="0.25">
      <c r="A39" s="63">
        <v>311615</v>
      </c>
      <c r="B39" s="100" t="s">
        <v>423</v>
      </c>
      <c r="C39" s="35" t="s">
        <v>408</v>
      </c>
      <c r="D39" s="35">
        <v>1</v>
      </c>
      <c r="E39" s="35">
        <v>0</v>
      </c>
      <c r="F39" s="35">
        <v>0</v>
      </c>
      <c r="G39" s="35">
        <v>0</v>
      </c>
      <c r="H39" s="35">
        <v>0</v>
      </c>
      <c r="I39" s="35">
        <v>0</v>
      </c>
      <c r="J39" s="35">
        <v>0</v>
      </c>
      <c r="K39" s="35">
        <v>1</v>
      </c>
      <c r="L39" s="35">
        <v>0</v>
      </c>
      <c r="M39" s="35">
        <v>0</v>
      </c>
      <c r="N39" s="35">
        <v>0</v>
      </c>
      <c r="O39" s="35">
        <v>0</v>
      </c>
      <c r="P39" s="35">
        <v>0</v>
      </c>
      <c r="Q39" s="35">
        <v>0</v>
      </c>
      <c r="R39" s="100" t="s">
        <v>393</v>
      </c>
      <c r="S39" s="100" t="s">
        <v>393</v>
      </c>
    </row>
    <row r="40" spans="1:19" ht="30" x14ac:dyDescent="0.25">
      <c r="A40" s="63" t="s">
        <v>424</v>
      </c>
      <c r="B40" s="100" t="s">
        <v>425</v>
      </c>
      <c r="C40" s="35" t="s">
        <v>408</v>
      </c>
      <c r="D40" s="35">
        <v>1</v>
      </c>
      <c r="E40" s="35">
        <v>0</v>
      </c>
      <c r="F40" s="35">
        <v>0</v>
      </c>
      <c r="G40" s="35">
        <v>0</v>
      </c>
      <c r="H40" s="35">
        <v>0</v>
      </c>
      <c r="I40" s="35">
        <v>0</v>
      </c>
      <c r="J40" s="35">
        <v>0</v>
      </c>
      <c r="K40" s="35">
        <v>1</v>
      </c>
      <c r="L40" s="35">
        <v>0</v>
      </c>
      <c r="M40" s="35">
        <v>0</v>
      </c>
      <c r="N40" s="35">
        <v>0</v>
      </c>
      <c r="O40" s="35">
        <v>0</v>
      </c>
      <c r="P40" s="35">
        <v>0</v>
      </c>
      <c r="Q40" s="35">
        <v>0</v>
      </c>
      <c r="R40" s="100" t="s">
        <v>393</v>
      </c>
      <c r="S40" s="100" t="s">
        <v>393</v>
      </c>
    </row>
    <row r="41" spans="1:19" ht="30" x14ac:dyDescent="0.25">
      <c r="A41" s="63">
        <v>311810</v>
      </c>
      <c r="B41" s="100" t="s">
        <v>426</v>
      </c>
      <c r="C41" s="35" t="s">
        <v>408</v>
      </c>
      <c r="D41" s="35">
        <v>1</v>
      </c>
      <c r="E41" s="35">
        <v>0.81100000000000005</v>
      </c>
      <c r="F41" s="35">
        <v>0</v>
      </c>
      <c r="G41" s="35">
        <v>0</v>
      </c>
      <c r="H41" s="35">
        <v>0</v>
      </c>
      <c r="I41" s="35">
        <v>0</v>
      </c>
      <c r="J41" s="35">
        <v>0.06</v>
      </c>
      <c r="K41" s="35">
        <v>0</v>
      </c>
      <c r="L41" s="35">
        <v>0</v>
      </c>
      <c r="M41" s="35">
        <v>0</v>
      </c>
      <c r="N41" s="35">
        <v>0</v>
      </c>
      <c r="O41" s="35">
        <v>0.13</v>
      </c>
      <c r="P41" s="35">
        <v>0</v>
      </c>
      <c r="Q41" s="35">
        <v>0</v>
      </c>
      <c r="R41" s="100" t="s">
        <v>393</v>
      </c>
      <c r="S41" s="100" t="s">
        <v>410</v>
      </c>
    </row>
    <row r="42" spans="1:19" ht="30" x14ac:dyDescent="0.25">
      <c r="A42" s="63" t="s">
        <v>427</v>
      </c>
      <c r="B42" s="100" t="s">
        <v>428</v>
      </c>
      <c r="C42" s="35" t="s">
        <v>408</v>
      </c>
      <c r="D42" s="35">
        <v>1</v>
      </c>
      <c r="E42" s="35">
        <v>0.52600000000000002</v>
      </c>
      <c r="F42" s="35">
        <v>0</v>
      </c>
      <c r="G42" s="35">
        <v>0</v>
      </c>
      <c r="H42" s="35">
        <v>0</v>
      </c>
      <c r="I42" s="35">
        <v>0</v>
      </c>
      <c r="J42" s="35">
        <v>0.17799999999999999</v>
      </c>
      <c r="K42" s="35">
        <v>0</v>
      </c>
      <c r="L42" s="35">
        <v>0</v>
      </c>
      <c r="M42" s="35">
        <v>0</v>
      </c>
      <c r="N42" s="35">
        <v>0</v>
      </c>
      <c r="O42" s="35">
        <v>0.29199999999999998</v>
      </c>
      <c r="P42" s="35">
        <v>4.0000000000000001E-3</v>
      </c>
      <c r="Q42" s="35">
        <v>0</v>
      </c>
      <c r="R42" s="100" t="s">
        <v>393</v>
      </c>
      <c r="S42" s="100" t="s">
        <v>410</v>
      </c>
    </row>
    <row r="43" spans="1:19" x14ac:dyDescent="0.25">
      <c r="A43" s="35">
        <v>311910</v>
      </c>
      <c r="B43" s="100" t="s">
        <v>429</v>
      </c>
      <c r="C43" s="35" t="s">
        <v>408</v>
      </c>
      <c r="D43" s="35">
        <v>1</v>
      </c>
      <c r="E43" s="35">
        <v>0.215</v>
      </c>
      <c r="F43" s="35">
        <v>0</v>
      </c>
      <c r="G43" s="35">
        <v>3.0000000000000001E-3</v>
      </c>
      <c r="H43" s="35">
        <v>4.1000000000000002E-2</v>
      </c>
      <c r="I43" s="35">
        <v>0</v>
      </c>
      <c r="J43" s="35">
        <v>0.39700000000000002</v>
      </c>
      <c r="K43" s="35">
        <v>3.0000000000000001E-3</v>
      </c>
      <c r="L43" s="35">
        <v>0</v>
      </c>
      <c r="M43" s="35">
        <v>0</v>
      </c>
      <c r="N43" s="35">
        <v>0</v>
      </c>
      <c r="O43" s="35">
        <v>0</v>
      </c>
      <c r="P43" s="35">
        <v>0.29399999999999998</v>
      </c>
      <c r="Q43" s="35">
        <v>0</v>
      </c>
      <c r="R43" s="100" t="s">
        <v>393</v>
      </c>
      <c r="S43" s="100" t="s">
        <v>430</v>
      </c>
    </row>
    <row r="44" spans="1:19" s="33" customFormat="1" x14ac:dyDescent="0.25">
      <c r="A44" s="33">
        <v>311920</v>
      </c>
      <c r="B44" s="25" t="s">
        <v>431</v>
      </c>
      <c r="C44" s="33" t="s">
        <v>408</v>
      </c>
      <c r="D44" s="33">
        <v>1</v>
      </c>
      <c r="E44" s="33">
        <v>0</v>
      </c>
      <c r="F44" s="33">
        <v>0</v>
      </c>
      <c r="G44" s="33">
        <v>0</v>
      </c>
      <c r="H44" s="33">
        <v>0</v>
      </c>
      <c r="I44" s="33">
        <v>0</v>
      </c>
      <c r="J44" s="33">
        <v>0</v>
      </c>
      <c r="K44" s="33">
        <v>0</v>
      </c>
      <c r="L44" s="33">
        <v>0</v>
      </c>
      <c r="M44" s="33">
        <v>0</v>
      </c>
      <c r="N44" s="33">
        <v>0</v>
      </c>
      <c r="O44" s="33">
        <v>0</v>
      </c>
      <c r="P44" s="33">
        <v>0</v>
      </c>
      <c r="Q44" s="33">
        <v>1</v>
      </c>
      <c r="R44" s="25" t="s">
        <v>393</v>
      </c>
      <c r="S44" s="25" t="s">
        <v>393</v>
      </c>
    </row>
    <row r="45" spans="1:19" s="33" customFormat="1" ht="30" x14ac:dyDescent="0.25">
      <c r="A45" s="33">
        <v>311930</v>
      </c>
      <c r="B45" s="25" t="s">
        <v>432</v>
      </c>
      <c r="C45" s="33" t="s">
        <v>408</v>
      </c>
      <c r="D45" s="33">
        <v>1</v>
      </c>
      <c r="E45" s="33">
        <v>0</v>
      </c>
      <c r="F45" s="33">
        <v>0</v>
      </c>
      <c r="G45" s="33">
        <v>0</v>
      </c>
      <c r="H45" s="33">
        <v>0</v>
      </c>
      <c r="I45" s="33">
        <v>0</v>
      </c>
      <c r="J45" s="33">
        <v>0</v>
      </c>
      <c r="K45" s="33">
        <v>0</v>
      </c>
      <c r="L45" s="33">
        <v>0</v>
      </c>
      <c r="M45" s="33">
        <v>0</v>
      </c>
      <c r="N45" s="33">
        <v>0</v>
      </c>
      <c r="O45" s="33">
        <v>0</v>
      </c>
      <c r="P45" s="33">
        <v>0</v>
      </c>
      <c r="Q45" s="33">
        <v>1</v>
      </c>
      <c r="R45" s="25" t="s">
        <v>393</v>
      </c>
      <c r="S45" s="25" t="s">
        <v>393</v>
      </c>
    </row>
    <row r="46" spans="1:19" ht="30" x14ac:dyDescent="0.25">
      <c r="A46" s="35">
        <v>311940</v>
      </c>
      <c r="B46" s="100" t="s">
        <v>433</v>
      </c>
      <c r="C46" s="35" t="s">
        <v>408</v>
      </c>
      <c r="D46" s="35">
        <v>1</v>
      </c>
      <c r="E46" s="35">
        <v>0</v>
      </c>
      <c r="F46" s="35">
        <v>0</v>
      </c>
      <c r="G46" s="35">
        <v>6.0000000000000001E-3</v>
      </c>
      <c r="H46" s="35">
        <v>8.0000000000000002E-3</v>
      </c>
      <c r="I46" s="35">
        <v>0</v>
      </c>
      <c r="J46" s="35">
        <v>0.3</v>
      </c>
      <c r="K46" s="35">
        <v>1.4999999999999999E-2</v>
      </c>
      <c r="L46" s="35">
        <v>0</v>
      </c>
      <c r="M46" s="35">
        <v>0</v>
      </c>
      <c r="N46" s="35">
        <v>0</v>
      </c>
      <c r="O46" s="35">
        <v>0.11600000000000001</v>
      </c>
      <c r="P46" s="35">
        <v>0.55400000000000005</v>
      </c>
      <c r="Q46" s="35">
        <v>0</v>
      </c>
      <c r="R46" s="100" t="s">
        <v>393</v>
      </c>
      <c r="S46" s="100" t="s">
        <v>434</v>
      </c>
    </row>
    <row r="47" spans="1:19" x14ac:dyDescent="0.25">
      <c r="A47" s="35">
        <v>311990</v>
      </c>
      <c r="B47" s="100" t="s">
        <v>435</v>
      </c>
      <c r="C47" s="35" t="s">
        <v>408</v>
      </c>
      <c r="D47" s="35">
        <v>1</v>
      </c>
      <c r="E47" s="35">
        <v>0.19500000000000001</v>
      </c>
      <c r="F47" s="35">
        <v>0</v>
      </c>
      <c r="G47" s="35">
        <v>1.9E-2</v>
      </c>
      <c r="H47" s="35">
        <v>1E-3</v>
      </c>
      <c r="I47" s="35">
        <v>0</v>
      </c>
      <c r="J47" s="35">
        <v>0.45500000000000002</v>
      </c>
      <c r="K47" s="35">
        <v>0.111</v>
      </c>
      <c r="L47" s="35">
        <v>0</v>
      </c>
      <c r="M47" s="35">
        <v>0</v>
      </c>
      <c r="N47" s="35">
        <v>6.0999999999999999E-2</v>
      </c>
      <c r="O47" s="35">
        <v>6.4000000000000001E-2</v>
      </c>
      <c r="P47" s="35">
        <v>5.0000000000000001E-3</v>
      </c>
      <c r="Q47" s="35">
        <v>0</v>
      </c>
      <c r="R47" s="100" t="s">
        <v>393</v>
      </c>
      <c r="S47" s="100" t="s">
        <v>434</v>
      </c>
    </row>
    <row r="48" spans="1:19" ht="30" x14ac:dyDescent="0.25">
      <c r="A48" s="63">
        <v>312110</v>
      </c>
      <c r="B48" s="100" t="s">
        <v>436</v>
      </c>
      <c r="C48" s="35" t="s">
        <v>408</v>
      </c>
      <c r="D48" s="35">
        <v>1</v>
      </c>
      <c r="E48" s="35">
        <v>0</v>
      </c>
      <c r="F48" s="35">
        <v>0</v>
      </c>
      <c r="G48" s="35">
        <v>0</v>
      </c>
      <c r="H48" s="35">
        <v>0</v>
      </c>
      <c r="I48" s="35">
        <v>0</v>
      </c>
      <c r="J48" s="35">
        <v>0</v>
      </c>
      <c r="K48" s="35">
        <v>0</v>
      </c>
      <c r="L48" s="35">
        <v>0</v>
      </c>
      <c r="M48" s="35">
        <v>0</v>
      </c>
      <c r="N48" s="35">
        <v>0</v>
      </c>
      <c r="O48" s="35">
        <v>0</v>
      </c>
      <c r="P48" s="35">
        <v>0</v>
      </c>
      <c r="Q48" s="35">
        <v>1</v>
      </c>
      <c r="R48" s="100" t="s">
        <v>393</v>
      </c>
      <c r="S48" s="100" t="s">
        <v>393</v>
      </c>
    </row>
    <row r="49" spans="1:19" x14ac:dyDescent="0.25">
      <c r="A49" s="35">
        <v>312120</v>
      </c>
      <c r="B49" s="100" t="s">
        <v>437</v>
      </c>
      <c r="C49" s="35" t="s">
        <v>408</v>
      </c>
      <c r="D49" s="35">
        <v>1</v>
      </c>
      <c r="E49" s="35">
        <v>0</v>
      </c>
      <c r="F49" s="35">
        <v>0</v>
      </c>
      <c r="G49" s="35">
        <v>0</v>
      </c>
      <c r="H49" s="35">
        <v>0</v>
      </c>
      <c r="I49" s="35">
        <v>0</v>
      </c>
      <c r="J49" s="35">
        <v>0</v>
      </c>
      <c r="K49" s="35">
        <v>0</v>
      </c>
      <c r="L49" s="35">
        <v>0</v>
      </c>
      <c r="M49" s="35">
        <v>0</v>
      </c>
      <c r="N49" s="35">
        <v>0</v>
      </c>
      <c r="O49" s="35">
        <v>0</v>
      </c>
      <c r="P49" s="35">
        <v>0</v>
      </c>
      <c r="Q49" s="35">
        <v>1</v>
      </c>
      <c r="R49" s="100" t="s">
        <v>393</v>
      </c>
      <c r="S49" s="100" t="s">
        <v>393</v>
      </c>
    </row>
    <row r="50" spans="1:19" x14ac:dyDescent="0.25">
      <c r="A50" s="35">
        <v>312130</v>
      </c>
      <c r="B50" s="100" t="s">
        <v>438</v>
      </c>
      <c r="C50" s="35" t="s">
        <v>408</v>
      </c>
      <c r="D50" s="35">
        <v>1</v>
      </c>
      <c r="E50" s="35">
        <v>0</v>
      </c>
      <c r="F50" s="35">
        <v>0</v>
      </c>
      <c r="G50" s="35">
        <v>0</v>
      </c>
      <c r="H50" s="35">
        <v>0</v>
      </c>
      <c r="I50" s="35">
        <v>0</v>
      </c>
      <c r="J50" s="35">
        <v>0</v>
      </c>
      <c r="K50" s="35">
        <v>0</v>
      </c>
      <c r="L50" s="35">
        <v>0</v>
      </c>
      <c r="M50" s="35">
        <v>0</v>
      </c>
      <c r="N50" s="35">
        <v>0</v>
      </c>
      <c r="O50" s="35">
        <v>0</v>
      </c>
      <c r="P50" s="35">
        <v>0</v>
      </c>
      <c r="Q50" s="35">
        <v>1</v>
      </c>
      <c r="R50" s="100" t="s">
        <v>393</v>
      </c>
      <c r="S50" s="100" t="s">
        <v>393</v>
      </c>
    </row>
    <row r="51" spans="1:19" x14ac:dyDescent="0.25">
      <c r="A51" s="35">
        <v>312140</v>
      </c>
      <c r="B51" s="100" t="s">
        <v>439</v>
      </c>
      <c r="C51" s="35" t="s">
        <v>408</v>
      </c>
      <c r="D51" s="35">
        <v>1</v>
      </c>
      <c r="E51" s="35">
        <v>0</v>
      </c>
      <c r="F51" s="35">
        <v>0</v>
      </c>
      <c r="G51" s="35">
        <v>0</v>
      </c>
      <c r="H51" s="35">
        <v>0</v>
      </c>
      <c r="I51" s="35">
        <v>0</v>
      </c>
      <c r="J51" s="35">
        <v>0</v>
      </c>
      <c r="K51" s="35">
        <v>0</v>
      </c>
      <c r="L51" s="35">
        <v>0</v>
      </c>
      <c r="M51" s="35">
        <v>0</v>
      </c>
      <c r="N51" s="35">
        <v>0</v>
      </c>
      <c r="O51" s="35">
        <v>0</v>
      </c>
      <c r="P51" s="35">
        <v>0</v>
      </c>
      <c r="Q51" s="35">
        <v>1</v>
      </c>
      <c r="R51" s="100" t="s">
        <v>393</v>
      </c>
      <c r="S51" s="100" t="s">
        <v>393</v>
      </c>
    </row>
    <row r="52" spans="1:19" x14ac:dyDescent="0.25">
      <c r="A52" s="35">
        <v>481000</v>
      </c>
      <c r="B52" s="100" t="s">
        <v>440</v>
      </c>
      <c r="C52" s="35" t="s">
        <v>441</v>
      </c>
      <c r="D52" s="35">
        <v>3.0000000000000001E-3</v>
      </c>
      <c r="E52" s="35">
        <v>0.01</v>
      </c>
      <c r="F52" s="35">
        <v>0</v>
      </c>
      <c r="G52" s="35">
        <v>0</v>
      </c>
      <c r="H52" s="35">
        <v>0</v>
      </c>
      <c r="I52" s="35">
        <v>0</v>
      </c>
      <c r="J52" s="35">
        <v>1E-3</v>
      </c>
      <c r="K52" s="35">
        <v>0</v>
      </c>
      <c r="L52" s="35">
        <v>0</v>
      </c>
      <c r="M52" s="35">
        <v>0.25800000000000001</v>
      </c>
      <c r="N52" s="35">
        <v>0</v>
      </c>
      <c r="O52" s="35">
        <v>2E-3</v>
      </c>
      <c r="P52" s="35">
        <v>0</v>
      </c>
      <c r="Q52" s="35">
        <v>0.73</v>
      </c>
      <c r="R52" s="100" t="s">
        <v>410</v>
      </c>
      <c r="S52" s="100" t="s">
        <v>410</v>
      </c>
    </row>
    <row r="53" spans="1:19" ht="22.15" customHeight="1" x14ac:dyDescent="0.25">
      <c r="A53" s="35">
        <v>482000</v>
      </c>
      <c r="B53" s="100" t="s">
        <v>442</v>
      </c>
      <c r="C53" s="35" t="s">
        <v>441</v>
      </c>
      <c r="D53" s="35">
        <v>7.0000000000000001E-3</v>
      </c>
      <c r="E53" s="35">
        <v>0.22600000000000001</v>
      </c>
      <c r="F53" s="35">
        <v>0</v>
      </c>
      <c r="G53" s="35">
        <v>3.0000000000000001E-3</v>
      </c>
      <c r="H53" s="35">
        <v>4.2999999999999997E-2</v>
      </c>
      <c r="I53" s="35">
        <v>0</v>
      </c>
      <c r="J53" s="35">
        <v>0.41699999999999998</v>
      </c>
      <c r="K53" s="35">
        <v>3.0000000000000001E-3</v>
      </c>
      <c r="L53" s="35">
        <v>0</v>
      </c>
      <c r="M53" s="35">
        <v>0</v>
      </c>
      <c r="N53" s="35">
        <v>0</v>
      </c>
      <c r="O53" s="35">
        <v>0</v>
      </c>
      <c r="P53" s="35">
        <v>0.308</v>
      </c>
      <c r="Q53" s="35">
        <v>0</v>
      </c>
      <c r="R53" s="100" t="s">
        <v>410</v>
      </c>
      <c r="S53" s="100" t="s">
        <v>410</v>
      </c>
    </row>
    <row r="54" spans="1:19" ht="30" x14ac:dyDescent="0.25">
      <c r="A54" s="35">
        <v>483000</v>
      </c>
      <c r="B54" s="100" t="s">
        <v>443</v>
      </c>
      <c r="C54" s="35" t="s">
        <v>441</v>
      </c>
      <c r="D54" s="35">
        <v>1.2E-2</v>
      </c>
      <c r="E54" s="35">
        <v>7.0000000000000007E-2</v>
      </c>
      <c r="F54" s="35">
        <v>0</v>
      </c>
      <c r="G54" s="35">
        <v>1E-3</v>
      </c>
      <c r="H54" s="35">
        <v>1E-3</v>
      </c>
      <c r="I54" s="35">
        <v>0</v>
      </c>
      <c r="J54" s="35">
        <v>6.5000000000000002E-2</v>
      </c>
      <c r="K54" s="35">
        <v>0.09</v>
      </c>
      <c r="L54" s="35">
        <v>0</v>
      </c>
      <c r="M54" s="35">
        <v>0.28000000000000003</v>
      </c>
      <c r="N54" s="35">
        <v>7.8E-2</v>
      </c>
      <c r="O54" s="35">
        <v>1.7999999999999999E-2</v>
      </c>
      <c r="P54" s="35">
        <v>3.2000000000000001E-2</v>
      </c>
      <c r="Q54" s="35">
        <v>0.36299999999999999</v>
      </c>
      <c r="R54" s="100" t="s">
        <v>410</v>
      </c>
      <c r="S54" s="100" t="s">
        <v>410</v>
      </c>
    </row>
    <row r="55" spans="1:19" x14ac:dyDescent="0.25">
      <c r="A55" s="35">
        <v>484000</v>
      </c>
      <c r="B55" s="100" t="s">
        <v>444</v>
      </c>
      <c r="C55" s="35" t="s">
        <v>441</v>
      </c>
      <c r="D55" s="35">
        <v>2.1999999999999999E-2</v>
      </c>
      <c r="E55" s="35">
        <v>3.4000000000000002E-2</v>
      </c>
      <c r="F55" s="35">
        <v>0</v>
      </c>
      <c r="G55" s="35">
        <v>0</v>
      </c>
      <c r="H55" s="35">
        <v>0</v>
      </c>
      <c r="I55" s="35">
        <v>0</v>
      </c>
      <c r="J55" s="35">
        <v>2E-3</v>
      </c>
      <c r="K55" s="35">
        <v>0</v>
      </c>
      <c r="L55" s="35">
        <v>0</v>
      </c>
      <c r="M55" s="35">
        <v>0.33300000000000002</v>
      </c>
      <c r="N55" s="35">
        <v>0</v>
      </c>
      <c r="O55" s="35">
        <v>5.0000000000000001E-3</v>
      </c>
      <c r="P55" s="35">
        <v>0</v>
      </c>
      <c r="Q55" s="35">
        <v>0.625</v>
      </c>
      <c r="R55" s="100" t="s">
        <v>410</v>
      </c>
      <c r="S55" s="100" t="s">
        <v>410</v>
      </c>
    </row>
    <row r="56" spans="1:19" ht="30" x14ac:dyDescent="0.25">
      <c r="A56" s="35">
        <v>485000</v>
      </c>
      <c r="B56" s="100" t="s">
        <v>445</v>
      </c>
      <c r="C56" s="35" t="s">
        <v>441</v>
      </c>
      <c r="D56" s="35">
        <v>1.0999999999999999E-2</v>
      </c>
      <c r="E56" s="35">
        <v>0.22600000000000001</v>
      </c>
      <c r="F56" s="35">
        <v>0</v>
      </c>
      <c r="G56" s="35">
        <v>3.0000000000000001E-3</v>
      </c>
      <c r="H56" s="35">
        <v>4.2999999999999997E-2</v>
      </c>
      <c r="I56" s="35">
        <v>0</v>
      </c>
      <c r="J56" s="35">
        <v>0.41699999999999998</v>
      </c>
      <c r="K56" s="35">
        <v>3.0000000000000001E-3</v>
      </c>
      <c r="L56" s="35">
        <v>0</v>
      </c>
      <c r="M56" s="35">
        <v>0</v>
      </c>
      <c r="N56" s="35">
        <v>0</v>
      </c>
      <c r="O56" s="35">
        <v>0</v>
      </c>
      <c r="P56" s="35">
        <v>0.308</v>
      </c>
      <c r="Q56" s="35">
        <v>0</v>
      </c>
      <c r="R56" s="100" t="s">
        <v>410</v>
      </c>
      <c r="S56" s="100" t="s">
        <v>410</v>
      </c>
    </row>
    <row r="57" spans="1:19" ht="60" x14ac:dyDescent="0.25">
      <c r="A57" s="35" t="s">
        <v>446</v>
      </c>
      <c r="B57" s="100" t="s">
        <v>447</v>
      </c>
      <c r="C57" s="35" t="s">
        <v>441</v>
      </c>
      <c r="D57" s="35">
        <v>7.0000000000000001E-3</v>
      </c>
      <c r="E57" s="35">
        <v>1.0999999999999999E-2</v>
      </c>
      <c r="F57" s="35">
        <v>7.0000000000000007E-2</v>
      </c>
      <c r="G57" s="35">
        <v>0</v>
      </c>
      <c r="H57" s="35">
        <v>0</v>
      </c>
      <c r="I57" s="35">
        <v>0.45300000000000001</v>
      </c>
      <c r="J57" s="35">
        <v>1.2999999999999999E-2</v>
      </c>
      <c r="K57" s="35">
        <v>4.1000000000000002E-2</v>
      </c>
      <c r="L57" s="35">
        <v>0.152</v>
      </c>
      <c r="M57" s="35">
        <v>0.02</v>
      </c>
      <c r="N57" s="35">
        <v>1.6E-2</v>
      </c>
      <c r="O57" s="35">
        <v>6.0000000000000001E-3</v>
      </c>
      <c r="P57" s="35">
        <v>8.1000000000000003E-2</v>
      </c>
      <c r="Q57" s="35">
        <v>0.13700000000000001</v>
      </c>
      <c r="R57" s="100" t="s">
        <v>410</v>
      </c>
      <c r="S57" s="100" t="s">
        <v>410</v>
      </c>
    </row>
    <row r="58" spans="1:19" x14ac:dyDescent="0.25">
      <c r="A58" s="35">
        <v>420000</v>
      </c>
      <c r="B58" s="100" t="s">
        <v>448</v>
      </c>
      <c r="C58" s="35" t="s">
        <v>449</v>
      </c>
      <c r="D58" s="35">
        <v>0.104</v>
      </c>
      <c r="E58" s="35">
        <v>0.32</v>
      </c>
      <c r="F58" s="35">
        <v>0</v>
      </c>
      <c r="G58" s="35">
        <v>0</v>
      </c>
      <c r="H58" s="35">
        <v>0.34599999999999997</v>
      </c>
      <c r="I58" s="35">
        <v>1.2999999999999999E-2</v>
      </c>
      <c r="J58" s="35">
        <v>1.2E-2</v>
      </c>
      <c r="K58" s="35">
        <v>0.154</v>
      </c>
      <c r="L58" s="35">
        <v>2.4E-2</v>
      </c>
      <c r="M58" s="35">
        <v>0</v>
      </c>
      <c r="N58" s="35">
        <v>9.1999999999999998E-2</v>
      </c>
      <c r="O58" s="35">
        <v>4.0000000000000001E-3</v>
      </c>
      <c r="P58" s="35">
        <v>1.2E-2</v>
      </c>
      <c r="Q58" s="35">
        <v>2.3E-2</v>
      </c>
      <c r="R58" s="100" t="s">
        <v>450</v>
      </c>
      <c r="S58" s="100" t="s">
        <v>410</v>
      </c>
    </row>
    <row r="59" spans="1:19" ht="30" x14ac:dyDescent="0.25">
      <c r="A59" s="35">
        <v>452000</v>
      </c>
      <c r="B59" s="100" t="s">
        <v>451</v>
      </c>
      <c r="C59" s="35" t="s">
        <v>449</v>
      </c>
      <c r="D59" s="35">
        <v>0.20899999999999999</v>
      </c>
      <c r="E59" s="35">
        <v>0.53400000000000003</v>
      </c>
      <c r="F59" s="35">
        <v>0</v>
      </c>
      <c r="G59" s="35">
        <v>1E-3</v>
      </c>
      <c r="H59" s="35">
        <v>7.0000000000000007E-2</v>
      </c>
      <c r="I59" s="35">
        <v>3.0000000000000001E-3</v>
      </c>
      <c r="J59" s="35">
        <v>5.1999999999999998E-2</v>
      </c>
      <c r="K59" s="35">
        <v>6.3E-2</v>
      </c>
      <c r="L59" s="35">
        <v>1E-3</v>
      </c>
      <c r="M59" s="35">
        <v>1.4999999999999999E-2</v>
      </c>
      <c r="N59" s="35">
        <v>0.13600000000000001</v>
      </c>
      <c r="O59" s="35">
        <v>4.2999999999999997E-2</v>
      </c>
      <c r="P59" s="35">
        <v>4.2999999999999997E-2</v>
      </c>
      <c r="Q59" s="35">
        <v>3.9E-2</v>
      </c>
      <c r="R59" s="100" t="s">
        <v>450</v>
      </c>
      <c r="S59" s="100" t="s">
        <v>410</v>
      </c>
    </row>
    <row r="60" spans="1:19" x14ac:dyDescent="0.25">
      <c r="A60" s="35" t="s">
        <v>452</v>
      </c>
      <c r="B60" s="100" t="s">
        <v>453</v>
      </c>
      <c r="C60" s="35" t="s">
        <v>449</v>
      </c>
      <c r="D60" s="35">
        <v>0.17</v>
      </c>
      <c r="E60" s="35">
        <v>5.6000000000000001E-2</v>
      </c>
      <c r="F60" s="35">
        <v>1E-3</v>
      </c>
      <c r="G60" s="35">
        <v>0</v>
      </c>
      <c r="H60" s="35">
        <v>3.0000000000000001E-3</v>
      </c>
      <c r="I60" s="35">
        <v>0.26800000000000002</v>
      </c>
      <c r="J60" s="35">
        <v>4.4999999999999998E-2</v>
      </c>
      <c r="K60" s="35">
        <v>0.115</v>
      </c>
      <c r="L60" s="35">
        <v>0</v>
      </c>
      <c r="M60" s="35">
        <v>7.0000000000000007E-2</v>
      </c>
      <c r="N60" s="35">
        <v>0.27</v>
      </c>
      <c r="O60" s="35">
        <v>1.9E-2</v>
      </c>
      <c r="P60" s="35">
        <v>2.1999999999999999E-2</v>
      </c>
      <c r="Q60" s="35">
        <v>0.13</v>
      </c>
      <c r="R60" s="100" t="s">
        <v>450</v>
      </c>
      <c r="S60" s="100" t="s">
        <v>410</v>
      </c>
    </row>
    <row r="61" spans="1:19" x14ac:dyDescent="0.25">
      <c r="A61" s="35">
        <v>493000</v>
      </c>
      <c r="B61" s="100" t="s">
        <v>454</v>
      </c>
      <c r="C61" s="35" t="s">
        <v>449</v>
      </c>
      <c r="D61" s="35">
        <v>9.1999999999999998E-2</v>
      </c>
      <c r="E61" s="35">
        <v>0.32</v>
      </c>
      <c r="F61" s="35">
        <v>0</v>
      </c>
      <c r="G61" s="35">
        <v>0</v>
      </c>
      <c r="H61" s="35">
        <v>0.34599999999999997</v>
      </c>
      <c r="I61" s="35">
        <v>1.2999999999999999E-2</v>
      </c>
      <c r="J61" s="35">
        <v>1.2E-2</v>
      </c>
      <c r="K61" s="35">
        <v>0.154</v>
      </c>
      <c r="L61" s="35">
        <v>2.4E-2</v>
      </c>
      <c r="M61" s="35">
        <v>0</v>
      </c>
      <c r="N61" s="35">
        <v>9.1999999999999998E-2</v>
      </c>
      <c r="O61" s="35">
        <v>4.0000000000000001E-3</v>
      </c>
      <c r="P61" s="35">
        <v>1.2E-2</v>
      </c>
      <c r="Q61" s="35">
        <v>2.3E-2</v>
      </c>
      <c r="R61" s="100" t="s">
        <v>450</v>
      </c>
      <c r="S61" s="100" t="s">
        <v>410</v>
      </c>
    </row>
    <row r="62" spans="1:19" ht="30" x14ac:dyDescent="0.25">
      <c r="A62" s="35">
        <v>445000</v>
      </c>
      <c r="B62" s="100" t="s">
        <v>455</v>
      </c>
      <c r="C62" s="35" t="s">
        <v>449</v>
      </c>
      <c r="D62" s="35">
        <v>1</v>
      </c>
      <c r="E62" s="35">
        <v>0.44</v>
      </c>
      <c r="F62" s="35">
        <v>1E-3</v>
      </c>
      <c r="G62" s="35">
        <v>0</v>
      </c>
      <c r="H62" s="35">
        <v>2.1000000000000001E-2</v>
      </c>
      <c r="I62" s="35">
        <v>0.09</v>
      </c>
      <c r="J62" s="35">
        <v>3.5000000000000003E-2</v>
      </c>
      <c r="K62" s="35">
        <v>5.0999999999999997E-2</v>
      </c>
      <c r="L62" s="35">
        <v>0.13300000000000001</v>
      </c>
      <c r="M62" s="35">
        <v>2.7E-2</v>
      </c>
      <c r="N62" s="35">
        <v>0.1</v>
      </c>
      <c r="O62" s="35">
        <v>3.7999999999999999E-2</v>
      </c>
      <c r="P62" s="35">
        <v>1.2999999999999999E-2</v>
      </c>
      <c r="Q62" s="35">
        <v>0.05</v>
      </c>
      <c r="R62" s="100" t="s">
        <v>393</v>
      </c>
      <c r="S62" s="100" t="s">
        <v>410</v>
      </c>
    </row>
    <row r="63" spans="1:19" ht="30" x14ac:dyDescent="0.25">
      <c r="A63" s="35">
        <v>722110</v>
      </c>
      <c r="B63" s="100" t="s">
        <v>456</v>
      </c>
      <c r="C63" s="35" t="s">
        <v>457</v>
      </c>
      <c r="D63" s="35">
        <v>1</v>
      </c>
      <c r="E63" s="35">
        <v>6.6000000000000003E-2</v>
      </c>
      <c r="F63" s="35">
        <v>1E-3</v>
      </c>
      <c r="G63" s="35">
        <v>2E-3</v>
      </c>
      <c r="H63" s="35">
        <v>1.4999999999999999E-2</v>
      </c>
      <c r="I63" s="35">
        <v>7.0000000000000001E-3</v>
      </c>
      <c r="J63" s="35">
        <v>7.9000000000000001E-2</v>
      </c>
      <c r="K63" s="35">
        <v>0.19500000000000001</v>
      </c>
      <c r="L63" s="35">
        <v>8.8999999999999996E-2</v>
      </c>
      <c r="M63" s="35">
        <v>0.10100000000000001</v>
      </c>
      <c r="N63" s="35">
        <v>0.115</v>
      </c>
      <c r="O63" s="35">
        <v>1.9E-2</v>
      </c>
      <c r="P63" s="35">
        <v>3.5999999999999997E-2</v>
      </c>
      <c r="Q63" s="35">
        <v>0.27600000000000002</v>
      </c>
      <c r="R63" s="100" t="s">
        <v>393</v>
      </c>
      <c r="S63" s="100" t="s">
        <v>410</v>
      </c>
    </row>
    <row r="64" spans="1:19" ht="30" x14ac:dyDescent="0.25">
      <c r="A64" s="35">
        <v>722211</v>
      </c>
      <c r="B64" s="100" t="s">
        <v>458</v>
      </c>
      <c r="C64" s="35" t="s">
        <v>457</v>
      </c>
      <c r="D64" s="35">
        <v>1</v>
      </c>
      <c r="E64" s="35">
        <v>6.2E-2</v>
      </c>
      <c r="F64" s="35">
        <v>1E-3</v>
      </c>
      <c r="G64" s="35">
        <v>1E-3</v>
      </c>
      <c r="H64" s="35">
        <v>1.6E-2</v>
      </c>
      <c r="I64" s="35">
        <v>4.0000000000000001E-3</v>
      </c>
      <c r="J64" s="35">
        <v>7.4999999999999997E-2</v>
      </c>
      <c r="K64" s="35">
        <v>0.19900000000000001</v>
      </c>
      <c r="L64" s="35">
        <v>4.9000000000000002E-2</v>
      </c>
      <c r="M64" s="35">
        <v>0.107</v>
      </c>
      <c r="N64" s="35">
        <v>0.124</v>
      </c>
      <c r="O64" s="35">
        <v>0.02</v>
      </c>
      <c r="P64" s="35">
        <v>4.2000000000000003E-2</v>
      </c>
      <c r="Q64" s="35">
        <v>0.29899999999999999</v>
      </c>
      <c r="R64" s="100" t="s">
        <v>393</v>
      </c>
      <c r="S64" s="100" t="s">
        <v>410</v>
      </c>
    </row>
    <row r="65" spans="1:19" ht="30" x14ac:dyDescent="0.25">
      <c r="A65" s="35" t="s">
        <v>459</v>
      </c>
      <c r="B65" s="100" t="s">
        <v>460</v>
      </c>
      <c r="C65" s="35" t="s">
        <v>457</v>
      </c>
      <c r="D65" s="35">
        <v>1</v>
      </c>
      <c r="E65" s="35">
        <v>6.2E-2</v>
      </c>
      <c r="F65" s="35">
        <v>1E-3</v>
      </c>
      <c r="G65" s="35">
        <v>1E-3</v>
      </c>
      <c r="H65" s="35">
        <v>0.112</v>
      </c>
      <c r="I65" s="35">
        <v>5.0000000000000001E-3</v>
      </c>
      <c r="J65" s="35">
        <v>7.0000000000000007E-2</v>
      </c>
      <c r="K65" s="35">
        <v>0.123</v>
      </c>
      <c r="L65" s="35">
        <v>4.2999999999999997E-2</v>
      </c>
      <c r="M65" s="35">
        <v>9.4E-2</v>
      </c>
      <c r="N65" s="35">
        <v>0.11799999999999999</v>
      </c>
      <c r="O65" s="35">
        <v>1.2E-2</v>
      </c>
      <c r="P65" s="35">
        <v>3.2000000000000001E-2</v>
      </c>
      <c r="Q65" s="35">
        <v>0.32600000000000001</v>
      </c>
      <c r="R65" s="100" t="s">
        <v>393</v>
      </c>
      <c r="S65" s="100" t="s">
        <v>410</v>
      </c>
    </row>
    <row r="66" spans="1:19" x14ac:dyDescent="0.25">
      <c r="A66" s="35">
        <v>512100</v>
      </c>
      <c r="B66" s="100" t="s">
        <v>461</v>
      </c>
      <c r="C66" s="35" t="s">
        <v>457</v>
      </c>
      <c r="D66" s="35">
        <v>1E-3</v>
      </c>
      <c r="E66" s="35">
        <v>0</v>
      </c>
      <c r="F66" s="35">
        <v>0</v>
      </c>
      <c r="G66" s="35">
        <v>0</v>
      </c>
      <c r="H66" s="35">
        <v>0</v>
      </c>
      <c r="I66" s="35">
        <v>0</v>
      </c>
      <c r="J66" s="35">
        <v>0.23100000000000001</v>
      </c>
      <c r="K66" s="35">
        <v>0</v>
      </c>
      <c r="L66" s="35">
        <v>0</v>
      </c>
      <c r="M66" s="35">
        <v>0.214</v>
      </c>
      <c r="N66" s="35">
        <v>0</v>
      </c>
      <c r="O66" s="35">
        <v>3.1E-2</v>
      </c>
      <c r="P66" s="35">
        <v>0.31</v>
      </c>
      <c r="Q66" s="35">
        <v>0.214</v>
      </c>
      <c r="R66" s="100" t="s">
        <v>410</v>
      </c>
      <c r="S66" s="100" t="s">
        <v>410</v>
      </c>
    </row>
    <row r="67" spans="1:19" x14ac:dyDescent="0.25">
      <c r="A67" s="35">
        <v>711100</v>
      </c>
      <c r="B67" s="100" t="s">
        <v>462</v>
      </c>
      <c r="C67" s="35" t="s">
        <v>457</v>
      </c>
      <c r="D67" s="35">
        <v>3.0000000000000001E-3</v>
      </c>
      <c r="E67" s="35">
        <v>5.8999999999999997E-2</v>
      </c>
      <c r="F67" s="35">
        <v>0</v>
      </c>
      <c r="G67" s="35">
        <v>0</v>
      </c>
      <c r="H67" s="35">
        <v>4.0000000000000001E-3</v>
      </c>
      <c r="I67" s="35">
        <v>0</v>
      </c>
      <c r="J67" s="35">
        <v>4.1000000000000002E-2</v>
      </c>
      <c r="K67" s="35">
        <v>0.14399999999999999</v>
      </c>
      <c r="L67" s="35">
        <v>0</v>
      </c>
      <c r="M67" s="35">
        <v>4.8000000000000001E-2</v>
      </c>
      <c r="N67" s="35">
        <v>0.33500000000000002</v>
      </c>
      <c r="O67" s="35">
        <v>6.0000000000000001E-3</v>
      </c>
      <c r="P67" s="35">
        <v>2.8000000000000001E-2</v>
      </c>
      <c r="Q67" s="35">
        <v>0.33500000000000002</v>
      </c>
      <c r="R67" s="100" t="s">
        <v>410</v>
      </c>
      <c r="S67" s="100" t="s">
        <v>410</v>
      </c>
    </row>
    <row r="68" spans="1:19" x14ac:dyDescent="0.25">
      <c r="A68" s="35">
        <v>711200</v>
      </c>
      <c r="B68" s="100" t="s">
        <v>463</v>
      </c>
      <c r="C68" s="35" t="s">
        <v>457</v>
      </c>
      <c r="D68" s="35">
        <v>2.7E-2</v>
      </c>
      <c r="E68" s="35">
        <v>0.159</v>
      </c>
      <c r="F68" s="35">
        <v>0</v>
      </c>
      <c r="G68" s="35">
        <v>1.2999999999999999E-2</v>
      </c>
      <c r="H68" s="35">
        <v>2E-3</v>
      </c>
      <c r="I68" s="35">
        <v>0</v>
      </c>
      <c r="J68" s="35">
        <v>0.32200000000000001</v>
      </c>
      <c r="K68" s="35">
        <v>0.15</v>
      </c>
      <c r="L68" s="35">
        <v>0</v>
      </c>
      <c r="M68" s="35">
        <v>3.1E-2</v>
      </c>
      <c r="N68" s="35">
        <v>0.15</v>
      </c>
      <c r="O68" s="35">
        <v>4.7E-2</v>
      </c>
      <c r="P68" s="35">
        <v>1.9E-2</v>
      </c>
      <c r="Q68" s="35">
        <v>0.107</v>
      </c>
      <c r="R68" s="100" t="s">
        <v>410</v>
      </c>
      <c r="S68" s="100" t="s">
        <v>410</v>
      </c>
    </row>
    <row r="69" spans="1:19" x14ac:dyDescent="0.25">
      <c r="A69" s="35" t="s">
        <v>464</v>
      </c>
      <c r="B69" s="100" t="s">
        <v>465</v>
      </c>
      <c r="C69" s="35" t="s">
        <v>457</v>
      </c>
      <c r="D69" s="35">
        <v>6.0000000000000001E-3</v>
      </c>
      <c r="E69" s="35">
        <v>6.5000000000000002E-2</v>
      </c>
      <c r="F69" s="35">
        <v>0</v>
      </c>
      <c r="G69" s="35">
        <v>0</v>
      </c>
      <c r="H69" s="35">
        <v>3.0000000000000001E-3</v>
      </c>
      <c r="I69" s="35">
        <v>0</v>
      </c>
      <c r="J69" s="35">
        <v>3.9E-2</v>
      </c>
      <c r="K69" s="35">
        <v>0.17899999999999999</v>
      </c>
      <c r="L69" s="35">
        <v>0</v>
      </c>
      <c r="M69" s="35">
        <v>8.5000000000000006E-2</v>
      </c>
      <c r="N69" s="35">
        <v>0.29799999999999999</v>
      </c>
      <c r="O69" s="35">
        <v>0.01</v>
      </c>
      <c r="P69" s="35">
        <v>3.2000000000000001E-2</v>
      </c>
      <c r="Q69" s="35">
        <v>0.28899999999999998</v>
      </c>
      <c r="R69" s="100" t="s">
        <v>410</v>
      </c>
      <c r="S69" s="100" t="s">
        <v>410</v>
      </c>
    </row>
    <row r="70" spans="1:19" ht="30" x14ac:dyDescent="0.25">
      <c r="A70" s="35">
        <v>712000</v>
      </c>
      <c r="B70" s="100" t="s">
        <v>466</v>
      </c>
      <c r="C70" s="35" t="s">
        <v>457</v>
      </c>
      <c r="D70" s="35">
        <v>0.01</v>
      </c>
      <c r="E70" s="35">
        <v>5.5E-2</v>
      </c>
      <c r="F70" s="35">
        <v>0</v>
      </c>
      <c r="G70" s="35">
        <v>0</v>
      </c>
      <c r="H70" s="35">
        <v>2E-3</v>
      </c>
      <c r="I70" s="35">
        <v>0</v>
      </c>
      <c r="J70" s="35">
        <v>2.5000000000000001E-2</v>
      </c>
      <c r="K70" s="35">
        <v>0.17899999999999999</v>
      </c>
      <c r="L70" s="35">
        <v>0</v>
      </c>
      <c r="M70" s="35">
        <v>0.125</v>
      </c>
      <c r="N70" s="35">
        <v>0.23300000000000001</v>
      </c>
      <c r="O70" s="35">
        <v>7.0000000000000001E-3</v>
      </c>
      <c r="P70" s="35">
        <v>1.6E-2</v>
      </c>
      <c r="Q70" s="35">
        <v>0.35799999999999998</v>
      </c>
      <c r="R70" s="100" t="s">
        <v>410</v>
      </c>
      <c r="S70" s="100" t="s">
        <v>410</v>
      </c>
    </row>
    <row r="71" spans="1:19" ht="30" x14ac:dyDescent="0.25">
      <c r="A71" s="35">
        <v>713100</v>
      </c>
      <c r="B71" s="100" t="s">
        <v>467</v>
      </c>
      <c r="C71" s="35" t="s">
        <v>457</v>
      </c>
      <c r="D71" s="35">
        <v>0.112</v>
      </c>
      <c r="E71" s="35">
        <v>4.1000000000000002E-2</v>
      </c>
      <c r="F71" s="35">
        <v>0</v>
      </c>
      <c r="G71" s="35">
        <v>2E-3</v>
      </c>
      <c r="H71" s="35">
        <v>1E-3</v>
      </c>
      <c r="I71" s="35">
        <v>8.9999999999999993E-3</v>
      </c>
      <c r="J71" s="35">
        <v>5.8999999999999997E-2</v>
      </c>
      <c r="K71" s="35">
        <v>0.189</v>
      </c>
      <c r="L71" s="35">
        <v>2.9000000000000001E-2</v>
      </c>
      <c r="M71" s="35">
        <v>3.4000000000000002E-2</v>
      </c>
      <c r="N71" s="35">
        <v>0.105</v>
      </c>
      <c r="O71" s="35">
        <v>1.0999999999999999E-2</v>
      </c>
      <c r="P71" s="35">
        <v>1.4E-2</v>
      </c>
      <c r="Q71" s="35">
        <v>0.504</v>
      </c>
      <c r="R71" s="100" t="s">
        <v>410</v>
      </c>
      <c r="S71" s="100" t="s">
        <v>410</v>
      </c>
    </row>
    <row r="72" spans="1:19" ht="45" x14ac:dyDescent="0.25">
      <c r="A72" s="35">
        <v>713200</v>
      </c>
      <c r="B72" s="100" t="s">
        <v>468</v>
      </c>
      <c r="C72" s="35" t="s">
        <v>457</v>
      </c>
      <c r="D72" s="35">
        <v>3.1E-2</v>
      </c>
      <c r="E72" s="35">
        <v>4.3999999999999997E-2</v>
      </c>
      <c r="F72" s="35">
        <v>0</v>
      </c>
      <c r="G72" s="35">
        <v>1E-3</v>
      </c>
      <c r="H72" s="35">
        <v>2E-3</v>
      </c>
      <c r="I72" s="35">
        <v>2.9000000000000001E-2</v>
      </c>
      <c r="J72" s="35">
        <v>3.6999999999999998E-2</v>
      </c>
      <c r="K72" s="35">
        <v>0.11600000000000001</v>
      </c>
      <c r="L72" s="35">
        <v>5.0999999999999997E-2</v>
      </c>
      <c r="M72" s="35">
        <v>5.6000000000000001E-2</v>
      </c>
      <c r="N72" s="35">
        <v>7.2999999999999995E-2</v>
      </c>
      <c r="O72" s="35">
        <v>1.2E-2</v>
      </c>
      <c r="P72" s="35">
        <v>0.05</v>
      </c>
      <c r="Q72" s="35">
        <v>0.53100000000000003</v>
      </c>
      <c r="R72" s="100" t="s">
        <v>410</v>
      </c>
      <c r="S72" s="100" t="s">
        <v>410</v>
      </c>
    </row>
    <row r="73" spans="1:19" ht="60" x14ac:dyDescent="0.25">
      <c r="A73" s="35">
        <v>713900</v>
      </c>
      <c r="B73" s="100" t="s">
        <v>469</v>
      </c>
      <c r="C73" s="35" t="s">
        <v>457</v>
      </c>
      <c r="D73" s="35">
        <v>4.7E-2</v>
      </c>
      <c r="E73" s="35">
        <v>5.6000000000000001E-2</v>
      </c>
      <c r="F73" s="35">
        <v>0</v>
      </c>
      <c r="G73" s="35">
        <v>2E-3</v>
      </c>
      <c r="H73" s="35">
        <v>1E-3</v>
      </c>
      <c r="I73" s="35">
        <v>4.0000000000000001E-3</v>
      </c>
      <c r="J73" s="35">
        <v>6.5000000000000002E-2</v>
      </c>
      <c r="K73" s="35">
        <v>0.12</v>
      </c>
      <c r="L73" s="35">
        <v>8.5000000000000006E-2</v>
      </c>
      <c r="M73" s="35">
        <v>7.3999999999999996E-2</v>
      </c>
      <c r="N73" s="35">
        <v>0.111</v>
      </c>
      <c r="O73" s="35">
        <v>1.2E-2</v>
      </c>
      <c r="P73" s="35">
        <v>3.5999999999999997E-2</v>
      </c>
      <c r="Q73" s="35">
        <v>0.434</v>
      </c>
      <c r="R73" s="100" t="s">
        <v>410</v>
      </c>
      <c r="S73" s="100" t="s">
        <v>410</v>
      </c>
    </row>
    <row r="74" spans="1:19" ht="30" x14ac:dyDescent="0.25">
      <c r="A74" s="35">
        <v>721000</v>
      </c>
      <c r="B74" s="100" t="s">
        <v>470</v>
      </c>
      <c r="C74" s="35" t="s">
        <v>457</v>
      </c>
      <c r="D74" s="35">
        <v>5.0999999999999997E-2</v>
      </c>
      <c r="E74" s="35">
        <v>6.8000000000000005E-2</v>
      </c>
      <c r="F74" s="35">
        <v>0</v>
      </c>
      <c r="G74" s="35">
        <v>1E-3</v>
      </c>
      <c r="H74" s="35">
        <v>5.8999999999999997E-2</v>
      </c>
      <c r="I74" s="35">
        <v>1E-3</v>
      </c>
      <c r="J74" s="35">
        <v>5.0999999999999997E-2</v>
      </c>
      <c r="K74" s="35">
        <v>0.189</v>
      </c>
      <c r="L74" s="35">
        <v>5.1999999999999998E-2</v>
      </c>
      <c r="M74" s="35">
        <v>0.122</v>
      </c>
      <c r="N74" s="35">
        <v>5.8999999999999997E-2</v>
      </c>
      <c r="O74" s="35">
        <v>1.7000000000000001E-2</v>
      </c>
      <c r="P74" s="35">
        <v>3.9E-2</v>
      </c>
      <c r="Q74" s="35">
        <v>0.34100000000000003</v>
      </c>
      <c r="R74" s="100" t="s">
        <v>410</v>
      </c>
      <c r="S74" s="100" t="s">
        <v>410</v>
      </c>
    </row>
    <row r="75" spans="1:19" ht="30" x14ac:dyDescent="0.25">
      <c r="A75" s="35">
        <v>611100</v>
      </c>
      <c r="B75" s="100" t="s">
        <v>471</v>
      </c>
      <c r="C75" s="35" t="s">
        <v>472</v>
      </c>
      <c r="D75" s="35">
        <v>0.114</v>
      </c>
      <c r="E75" s="35">
        <v>5.3999999999999999E-2</v>
      </c>
      <c r="F75" s="35">
        <v>3.0000000000000001E-3</v>
      </c>
      <c r="G75" s="35">
        <v>4.0000000000000001E-3</v>
      </c>
      <c r="H75" s="35">
        <v>4.0000000000000001E-3</v>
      </c>
      <c r="I75" s="35">
        <v>1.9E-2</v>
      </c>
      <c r="J75" s="35">
        <v>0.17899999999999999</v>
      </c>
      <c r="K75" s="35">
        <v>0.14599999999999999</v>
      </c>
      <c r="L75" s="35">
        <v>4.9000000000000002E-2</v>
      </c>
      <c r="M75" s="35">
        <v>8.5999999999999993E-2</v>
      </c>
      <c r="N75" s="35">
        <v>0.41399999999999998</v>
      </c>
      <c r="O75" s="35">
        <v>1.4E-2</v>
      </c>
      <c r="P75" s="35">
        <v>6.0000000000000001E-3</v>
      </c>
      <c r="Q75" s="35">
        <v>2.1000000000000001E-2</v>
      </c>
      <c r="R75" s="100" t="s">
        <v>410</v>
      </c>
      <c r="S75" s="100" t="s">
        <v>410</v>
      </c>
    </row>
    <row r="76" spans="1:19" ht="45" x14ac:dyDescent="0.25">
      <c r="A76" s="35" t="s">
        <v>473</v>
      </c>
      <c r="B76" s="100" t="s">
        <v>474</v>
      </c>
      <c r="C76" s="35" t="s">
        <v>472</v>
      </c>
      <c r="D76" s="35">
        <v>7.6999999999999999E-2</v>
      </c>
      <c r="E76" s="35">
        <v>0.123</v>
      </c>
      <c r="F76" s="35">
        <v>1E-3</v>
      </c>
      <c r="G76" s="35">
        <v>2E-3</v>
      </c>
      <c r="H76" s="35">
        <v>2.1000000000000001E-2</v>
      </c>
      <c r="I76" s="35">
        <v>7.0000000000000001E-3</v>
      </c>
      <c r="J76" s="35">
        <v>9.0999999999999998E-2</v>
      </c>
      <c r="K76" s="35">
        <v>0.22900000000000001</v>
      </c>
      <c r="L76" s="35">
        <v>2E-3</v>
      </c>
      <c r="M76" s="35">
        <v>9.5000000000000001E-2</v>
      </c>
      <c r="N76" s="35">
        <v>0.11899999999999999</v>
      </c>
      <c r="O76" s="35">
        <v>3.4000000000000002E-2</v>
      </c>
      <c r="P76" s="35">
        <v>4.2999999999999997E-2</v>
      </c>
      <c r="Q76" s="35">
        <v>0.23300000000000001</v>
      </c>
      <c r="R76" s="100" t="s">
        <v>410</v>
      </c>
      <c r="S76" s="100" t="s">
        <v>410</v>
      </c>
    </row>
    <row r="77" spans="1:19" ht="30" x14ac:dyDescent="0.25">
      <c r="A77" s="35" t="s">
        <v>475</v>
      </c>
      <c r="B77" s="100" t="s">
        <v>476</v>
      </c>
      <c r="C77" s="35" t="s">
        <v>472</v>
      </c>
      <c r="D77" s="35">
        <v>3.0000000000000001E-3</v>
      </c>
      <c r="E77" s="35">
        <v>0.123</v>
      </c>
      <c r="F77" s="35">
        <v>1E-3</v>
      </c>
      <c r="G77" s="35">
        <v>2E-3</v>
      </c>
      <c r="H77" s="35">
        <v>2.1000000000000001E-2</v>
      </c>
      <c r="I77" s="35">
        <v>7.0000000000000001E-3</v>
      </c>
      <c r="J77" s="35">
        <v>9.0999999999999998E-2</v>
      </c>
      <c r="K77" s="35">
        <v>0.22900000000000001</v>
      </c>
      <c r="L77" s="35">
        <v>2E-3</v>
      </c>
      <c r="M77" s="35">
        <v>9.5000000000000001E-2</v>
      </c>
      <c r="N77" s="35">
        <v>0.11899999999999999</v>
      </c>
      <c r="O77" s="35">
        <v>3.4000000000000002E-2</v>
      </c>
      <c r="P77" s="35">
        <v>4.2999999999999997E-2</v>
      </c>
      <c r="Q77" s="35">
        <v>0.23300000000000001</v>
      </c>
      <c r="R77" s="100" t="s">
        <v>410</v>
      </c>
      <c r="S77" s="100" t="s">
        <v>410</v>
      </c>
    </row>
    <row r="78" spans="1:19" x14ac:dyDescent="0.25">
      <c r="A78" s="35">
        <v>622000</v>
      </c>
      <c r="B78" s="100" t="s">
        <v>477</v>
      </c>
      <c r="C78" s="35" t="s">
        <v>472</v>
      </c>
      <c r="D78" s="35">
        <v>0.03</v>
      </c>
      <c r="E78" s="35">
        <v>3.4000000000000002E-2</v>
      </c>
      <c r="F78" s="35">
        <v>0</v>
      </c>
      <c r="G78" s="35">
        <v>2E-3</v>
      </c>
      <c r="H78" s="35">
        <v>1E-3</v>
      </c>
      <c r="I78" s="35">
        <v>0</v>
      </c>
      <c r="J78" s="35">
        <v>8.3000000000000004E-2</v>
      </c>
      <c r="K78" s="35">
        <v>0.36099999999999999</v>
      </c>
      <c r="L78" s="35">
        <v>0</v>
      </c>
      <c r="M78" s="35">
        <v>0.20200000000000001</v>
      </c>
      <c r="N78" s="35">
        <v>0.14899999999999999</v>
      </c>
      <c r="O78" s="35">
        <v>2.4E-2</v>
      </c>
      <c r="P78" s="35">
        <v>2.5000000000000001E-2</v>
      </c>
      <c r="Q78" s="35">
        <v>0.121</v>
      </c>
      <c r="R78" s="100" t="s">
        <v>410</v>
      </c>
      <c r="S78" s="100" t="s">
        <v>410</v>
      </c>
    </row>
    <row r="79" spans="1:19" ht="45" x14ac:dyDescent="0.25">
      <c r="A79" s="35" t="s">
        <v>478</v>
      </c>
      <c r="B79" s="100" t="s">
        <v>479</v>
      </c>
      <c r="C79" s="35" t="s">
        <v>472</v>
      </c>
      <c r="D79" s="35">
        <v>6.8000000000000005E-2</v>
      </c>
      <c r="E79" s="35">
        <v>0.105</v>
      </c>
      <c r="F79" s="35">
        <v>0</v>
      </c>
      <c r="G79" s="35">
        <v>4.0000000000000001E-3</v>
      </c>
      <c r="H79" s="35">
        <v>2E-3</v>
      </c>
      <c r="I79" s="35">
        <v>0</v>
      </c>
      <c r="J79" s="35">
        <v>0.14199999999999999</v>
      </c>
      <c r="K79" s="35">
        <v>0.45900000000000002</v>
      </c>
      <c r="L79" s="35">
        <v>0</v>
      </c>
      <c r="M79" s="35">
        <v>6.7000000000000004E-2</v>
      </c>
      <c r="N79" s="35">
        <v>0.125</v>
      </c>
      <c r="O79" s="35">
        <v>3.1E-2</v>
      </c>
      <c r="P79" s="35">
        <v>0.04</v>
      </c>
      <c r="Q79" s="35">
        <v>2.5999999999999999E-2</v>
      </c>
      <c r="R79" s="100" t="s">
        <v>410</v>
      </c>
      <c r="S79" s="100" t="s">
        <v>410</v>
      </c>
    </row>
    <row r="80" spans="1:19" ht="75" x14ac:dyDescent="0.25">
      <c r="A80" s="35" t="s">
        <v>480</v>
      </c>
      <c r="B80" s="100" t="s">
        <v>481</v>
      </c>
      <c r="C80" s="35" t="s">
        <v>472</v>
      </c>
      <c r="D80" s="35">
        <v>0.108</v>
      </c>
      <c r="E80" s="35">
        <v>6.7000000000000004E-2</v>
      </c>
      <c r="F80" s="35">
        <v>0</v>
      </c>
      <c r="G80" s="35">
        <v>2E-3</v>
      </c>
      <c r="H80" s="35">
        <v>1E-3</v>
      </c>
      <c r="I80" s="35">
        <v>0</v>
      </c>
      <c r="J80" s="35">
        <v>0.1</v>
      </c>
      <c r="K80" s="35">
        <v>0.56100000000000005</v>
      </c>
      <c r="L80" s="35">
        <v>0</v>
      </c>
      <c r="M80" s="35">
        <v>0.13</v>
      </c>
      <c r="N80" s="35">
        <v>5.7000000000000002E-2</v>
      </c>
      <c r="O80" s="35">
        <v>3.1E-2</v>
      </c>
      <c r="P80" s="35">
        <v>8.9999999999999993E-3</v>
      </c>
      <c r="Q80" s="35">
        <v>4.2999999999999997E-2</v>
      </c>
      <c r="R80" s="100" t="s">
        <v>410</v>
      </c>
      <c r="S80" s="100" t="s">
        <v>410</v>
      </c>
    </row>
    <row r="81" spans="1:19" ht="30" x14ac:dyDescent="0.25">
      <c r="A81" s="35">
        <v>624100</v>
      </c>
      <c r="B81" s="100" t="s">
        <v>482</v>
      </c>
      <c r="C81" s="35" t="s">
        <v>472</v>
      </c>
      <c r="D81" s="35">
        <v>0.06</v>
      </c>
      <c r="E81" s="35">
        <v>0.14699999999999999</v>
      </c>
      <c r="F81" s="35">
        <v>0</v>
      </c>
      <c r="G81" s="35">
        <v>2E-3</v>
      </c>
      <c r="H81" s="35">
        <v>3.0000000000000001E-3</v>
      </c>
      <c r="I81" s="35">
        <v>0</v>
      </c>
      <c r="J81" s="35">
        <v>8.3000000000000004E-2</v>
      </c>
      <c r="K81" s="35">
        <v>0.46</v>
      </c>
      <c r="L81" s="35">
        <v>0</v>
      </c>
      <c r="M81" s="35">
        <v>0.104</v>
      </c>
      <c r="N81" s="35">
        <v>3.3000000000000002E-2</v>
      </c>
      <c r="O81" s="35">
        <v>0.04</v>
      </c>
      <c r="P81" s="35">
        <v>3.1E-2</v>
      </c>
      <c r="Q81" s="35">
        <v>9.7000000000000003E-2</v>
      </c>
      <c r="R81" s="100" t="s">
        <v>410</v>
      </c>
      <c r="S81" s="100" t="s">
        <v>410</v>
      </c>
    </row>
    <row r="82" spans="1:19" x14ac:dyDescent="0.25">
      <c r="A82" s="35">
        <v>624400</v>
      </c>
      <c r="B82" s="100" t="s">
        <v>483</v>
      </c>
      <c r="C82" s="35" t="s">
        <v>472</v>
      </c>
      <c r="D82" s="35">
        <v>0.161</v>
      </c>
      <c r="E82" s="35">
        <v>8.4000000000000005E-2</v>
      </c>
      <c r="F82" s="35">
        <v>0</v>
      </c>
      <c r="G82" s="35">
        <v>3.0000000000000001E-3</v>
      </c>
      <c r="H82" s="35">
        <v>0</v>
      </c>
      <c r="I82" s="35">
        <v>0</v>
      </c>
      <c r="J82" s="35">
        <v>0.151</v>
      </c>
      <c r="K82" s="35">
        <v>0.215</v>
      </c>
      <c r="L82" s="35">
        <v>0</v>
      </c>
      <c r="M82" s="35">
        <v>0.02</v>
      </c>
      <c r="N82" s="35">
        <v>0.47499999999999998</v>
      </c>
      <c r="O82" s="35">
        <v>0.04</v>
      </c>
      <c r="P82" s="35">
        <v>1.2E-2</v>
      </c>
      <c r="Q82" s="35">
        <v>0</v>
      </c>
      <c r="R82" s="100" t="s">
        <v>410</v>
      </c>
      <c r="S82" s="100" t="s">
        <v>410</v>
      </c>
    </row>
    <row r="83" spans="1:19" ht="75" x14ac:dyDescent="0.25">
      <c r="A83" s="35" t="s">
        <v>484</v>
      </c>
      <c r="B83" s="100" t="s">
        <v>485</v>
      </c>
      <c r="C83" s="35" t="s">
        <v>472</v>
      </c>
      <c r="D83" s="35">
        <v>0.14499999999999999</v>
      </c>
      <c r="E83" s="35">
        <v>5.0999999999999997E-2</v>
      </c>
      <c r="F83" s="35">
        <v>0</v>
      </c>
      <c r="G83" s="35">
        <v>1E-3</v>
      </c>
      <c r="H83" s="35">
        <v>1E-3</v>
      </c>
      <c r="I83" s="35">
        <v>0</v>
      </c>
      <c r="J83" s="35">
        <v>2.5000000000000001E-2</v>
      </c>
      <c r="K83" s="35">
        <v>0.76700000000000002</v>
      </c>
      <c r="L83" s="35">
        <v>0</v>
      </c>
      <c r="M83" s="35">
        <v>6.6000000000000003E-2</v>
      </c>
      <c r="N83" s="35">
        <v>1.6E-2</v>
      </c>
      <c r="O83" s="35">
        <v>1.4999999999999999E-2</v>
      </c>
      <c r="P83" s="35">
        <v>1.2E-2</v>
      </c>
      <c r="Q83" s="35">
        <v>4.5999999999999999E-2</v>
      </c>
      <c r="R83" s="100" t="s">
        <v>410</v>
      </c>
      <c r="S83" s="100" t="s">
        <v>410</v>
      </c>
    </row>
    <row r="84" spans="1:19" ht="30" x14ac:dyDescent="0.25">
      <c r="A84" s="35">
        <v>813100</v>
      </c>
      <c r="B84" s="100" t="s">
        <v>486</v>
      </c>
      <c r="C84" s="35" t="s">
        <v>472</v>
      </c>
      <c r="D84" s="35">
        <v>1.2999999999999999E-2</v>
      </c>
      <c r="E84" s="35">
        <v>0.10299999999999999</v>
      </c>
      <c r="F84" s="35">
        <v>1E-3</v>
      </c>
      <c r="G84" s="35">
        <v>3.0000000000000001E-3</v>
      </c>
      <c r="H84" s="35">
        <v>0</v>
      </c>
      <c r="I84" s="35">
        <v>4.2999999999999997E-2</v>
      </c>
      <c r="J84" s="35">
        <v>9.9000000000000005E-2</v>
      </c>
      <c r="K84" s="35">
        <v>0.14699999999999999</v>
      </c>
      <c r="L84" s="35">
        <v>6.0999999999999999E-2</v>
      </c>
      <c r="M84" s="35">
        <v>0.11600000000000001</v>
      </c>
      <c r="N84" s="35">
        <v>0.247</v>
      </c>
      <c r="O84" s="35">
        <v>1.6E-2</v>
      </c>
      <c r="P84" s="35">
        <v>2E-3</v>
      </c>
      <c r="Q84" s="35">
        <v>0.16200000000000001</v>
      </c>
      <c r="R84" s="100" t="s">
        <v>410</v>
      </c>
      <c r="S84" s="100" t="s">
        <v>410</v>
      </c>
    </row>
    <row r="85" spans="1:19" ht="45" x14ac:dyDescent="0.25">
      <c r="A85" s="35" t="s">
        <v>487</v>
      </c>
      <c r="B85" s="100" t="s">
        <v>488</v>
      </c>
      <c r="C85" s="35" t="s">
        <v>472</v>
      </c>
      <c r="D85" s="35">
        <v>3.0000000000000001E-3</v>
      </c>
      <c r="E85" s="35">
        <v>4.2999999999999997E-2</v>
      </c>
      <c r="F85" s="35">
        <v>0</v>
      </c>
      <c r="G85" s="35">
        <v>0</v>
      </c>
      <c r="H85" s="35">
        <v>0</v>
      </c>
      <c r="I85" s="35">
        <v>0</v>
      </c>
      <c r="J85" s="35">
        <v>3.0000000000000001E-3</v>
      </c>
      <c r="K85" s="35">
        <v>0</v>
      </c>
      <c r="L85" s="35">
        <v>0</v>
      </c>
      <c r="M85" s="35">
        <v>0.44700000000000001</v>
      </c>
      <c r="N85" s="35">
        <v>0</v>
      </c>
      <c r="O85" s="35">
        <v>7.0000000000000001E-3</v>
      </c>
      <c r="P85" s="35">
        <v>0</v>
      </c>
      <c r="Q85" s="35">
        <v>0.5</v>
      </c>
      <c r="R85" s="100" t="s">
        <v>410</v>
      </c>
      <c r="S85" s="100" t="s">
        <v>410</v>
      </c>
    </row>
    <row r="86" spans="1:19" ht="45" x14ac:dyDescent="0.25">
      <c r="A86" s="35" t="s">
        <v>489</v>
      </c>
      <c r="B86" s="100" t="s">
        <v>490</v>
      </c>
      <c r="C86" s="35" t="s">
        <v>472</v>
      </c>
      <c r="D86" s="35">
        <v>0.03</v>
      </c>
      <c r="E86" s="35">
        <v>0.107</v>
      </c>
      <c r="F86" s="35">
        <v>0</v>
      </c>
      <c r="G86" s="35">
        <v>2E-3</v>
      </c>
      <c r="H86" s="35">
        <v>2E-3</v>
      </c>
      <c r="I86" s="35">
        <v>7.0000000000000001E-3</v>
      </c>
      <c r="J86" s="35">
        <v>0.09</v>
      </c>
      <c r="K86" s="35">
        <v>0.113</v>
      </c>
      <c r="L86" s="35">
        <v>5.0999999999999997E-2</v>
      </c>
      <c r="M86" s="35">
        <v>9.7000000000000003E-2</v>
      </c>
      <c r="N86" s="35">
        <v>7.0999999999999994E-2</v>
      </c>
      <c r="O86" s="35">
        <v>2.5999999999999999E-2</v>
      </c>
      <c r="P86" s="35">
        <v>5.3999999999999999E-2</v>
      </c>
      <c r="Q86" s="35">
        <v>0.38</v>
      </c>
      <c r="R86" s="100" t="s">
        <v>410</v>
      </c>
      <c r="S86" s="100" t="s">
        <v>410</v>
      </c>
    </row>
    <row r="87" spans="1:19" ht="45" x14ac:dyDescent="0.25">
      <c r="A87" s="35" t="s">
        <v>491</v>
      </c>
      <c r="B87" s="100" t="s">
        <v>492</v>
      </c>
      <c r="C87" s="35" t="s">
        <v>472</v>
      </c>
      <c r="D87" s="35">
        <v>3.7999999999999999E-2</v>
      </c>
      <c r="E87" s="35">
        <v>0.13400000000000001</v>
      </c>
      <c r="F87" s="35">
        <v>0</v>
      </c>
      <c r="G87" s="35">
        <v>5.0000000000000001E-3</v>
      </c>
      <c r="H87" s="35">
        <v>1E-3</v>
      </c>
      <c r="I87" s="35">
        <v>0</v>
      </c>
      <c r="J87" s="35">
        <v>0.156</v>
      </c>
      <c r="K87" s="35">
        <v>0.245</v>
      </c>
      <c r="L87" s="35">
        <v>1.2999999999999999E-2</v>
      </c>
      <c r="M87" s="35">
        <v>8.6999999999999994E-2</v>
      </c>
      <c r="N87" s="35">
        <v>0.16600000000000001</v>
      </c>
      <c r="O87" s="35">
        <v>0.02</v>
      </c>
      <c r="P87" s="35">
        <v>0.03</v>
      </c>
      <c r="Q87" s="35">
        <v>0.14199999999999999</v>
      </c>
      <c r="R87" s="100" t="s">
        <v>410</v>
      </c>
      <c r="S87" s="100" t="s">
        <v>410</v>
      </c>
    </row>
    <row r="88" spans="1:19" ht="45" x14ac:dyDescent="0.25">
      <c r="A88" s="35" t="s">
        <v>493</v>
      </c>
      <c r="B88" s="100" t="s">
        <v>494</v>
      </c>
      <c r="C88" s="35" t="s">
        <v>472</v>
      </c>
      <c r="D88" s="35">
        <v>3.0000000000000001E-3</v>
      </c>
      <c r="E88" s="35">
        <v>7.2999999999999995E-2</v>
      </c>
      <c r="F88" s="35">
        <v>1E-3</v>
      </c>
      <c r="G88" s="35">
        <v>3.0000000000000001E-3</v>
      </c>
      <c r="H88" s="35">
        <v>0.01</v>
      </c>
      <c r="I88" s="35">
        <v>0.05</v>
      </c>
      <c r="J88" s="35">
        <v>0.13300000000000001</v>
      </c>
      <c r="K88" s="35">
        <v>0.26400000000000001</v>
      </c>
      <c r="L88" s="35">
        <v>8.9999999999999993E-3</v>
      </c>
      <c r="M88" s="35">
        <v>0.13</v>
      </c>
      <c r="N88" s="35">
        <v>0.16600000000000001</v>
      </c>
      <c r="O88" s="35">
        <v>2.7E-2</v>
      </c>
      <c r="P88" s="35">
        <v>3.4000000000000002E-2</v>
      </c>
      <c r="Q88" s="35">
        <v>0.10100000000000001</v>
      </c>
      <c r="R88" s="100" t="s">
        <v>410</v>
      </c>
      <c r="S88" s="100" t="s">
        <v>410</v>
      </c>
    </row>
    <row r="89" spans="1:19" ht="45" x14ac:dyDescent="0.25">
      <c r="A89" s="35" t="s">
        <v>495</v>
      </c>
      <c r="B89" s="100" t="s">
        <v>496</v>
      </c>
      <c r="C89" s="35" t="s">
        <v>472</v>
      </c>
      <c r="D89" s="35">
        <v>1.6E-2</v>
      </c>
      <c r="E89" s="35">
        <v>0.06</v>
      </c>
      <c r="F89" s="35">
        <v>0</v>
      </c>
      <c r="G89" s="35">
        <v>1E-3</v>
      </c>
      <c r="H89" s="35">
        <v>1E-3</v>
      </c>
      <c r="I89" s="35">
        <v>0</v>
      </c>
      <c r="J89" s="35">
        <v>5.5E-2</v>
      </c>
      <c r="K89" s="35">
        <v>0.66</v>
      </c>
      <c r="L89" s="35">
        <v>1E-3</v>
      </c>
      <c r="M89" s="35">
        <v>7.0999999999999994E-2</v>
      </c>
      <c r="N89" s="35">
        <v>9.7000000000000003E-2</v>
      </c>
      <c r="O89" s="35">
        <v>0.01</v>
      </c>
      <c r="P89" s="35">
        <v>2.3E-2</v>
      </c>
      <c r="Q89" s="35">
        <v>2.1999999999999999E-2</v>
      </c>
      <c r="R89" s="100" t="s">
        <v>410</v>
      </c>
      <c r="S89" s="100" t="s">
        <v>410</v>
      </c>
    </row>
    <row r="90" spans="1:19" ht="30" x14ac:dyDescent="0.25">
      <c r="A90" s="414" t="s">
        <v>497</v>
      </c>
      <c r="B90" s="415" t="s">
        <v>498</v>
      </c>
      <c r="C90" s="414" t="s">
        <v>472</v>
      </c>
      <c r="D90" s="414">
        <v>6.5000000000000002E-2</v>
      </c>
      <c r="E90" s="414">
        <v>7.2999999999999995E-2</v>
      </c>
      <c r="F90" s="414">
        <v>1E-3</v>
      </c>
      <c r="G90" s="414">
        <v>3.0000000000000001E-3</v>
      </c>
      <c r="H90" s="414">
        <v>0.01</v>
      </c>
      <c r="I90" s="414">
        <v>0.05</v>
      </c>
      <c r="J90" s="414">
        <v>0.13300000000000001</v>
      </c>
      <c r="K90" s="414">
        <v>0.26400000000000001</v>
      </c>
      <c r="L90" s="414">
        <v>8.9999999999999993E-3</v>
      </c>
      <c r="M90" s="414">
        <v>0.13</v>
      </c>
      <c r="N90" s="414">
        <v>0.16600000000000001</v>
      </c>
      <c r="O90" s="414">
        <v>2.7E-2</v>
      </c>
      <c r="P90" s="414">
        <v>3.4000000000000002E-2</v>
      </c>
      <c r="Q90" s="414">
        <v>0.10100000000000001</v>
      </c>
      <c r="R90" s="415" t="s">
        <v>410</v>
      </c>
      <c r="S90" s="415" t="s">
        <v>410</v>
      </c>
    </row>
    <row r="92" spans="1:19" x14ac:dyDescent="0.25">
      <c r="A92" s="1067" t="s">
        <v>307</v>
      </c>
      <c r="B92" s="1062"/>
      <c r="C92" s="1062"/>
      <c r="D92" s="1062"/>
      <c r="E92" s="1062"/>
      <c r="F92" s="1062"/>
      <c r="G92" s="1062"/>
      <c r="H92" s="1062"/>
      <c r="I92" s="1062"/>
      <c r="J92" s="1062"/>
      <c r="K92" s="1062"/>
      <c r="L92" s="1062"/>
      <c r="M92" s="1062"/>
      <c r="N92" s="1062"/>
    </row>
    <row r="93" spans="1:19" ht="29.45" customHeight="1" x14ac:dyDescent="0.25">
      <c r="A93" s="1138" t="s">
        <v>499</v>
      </c>
      <c r="B93" s="1138"/>
      <c r="C93" s="1138"/>
      <c r="D93" s="1138"/>
      <c r="E93" s="1138"/>
      <c r="F93" s="1138"/>
      <c r="G93" s="1138"/>
      <c r="H93" s="1138"/>
      <c r="I93" s="1138"/>
      <c r="J93" s="1138"/>
      <c r="K93" s="1138"/>
      <c r="L93" s="1138"/>
      <c r="M93" s="1138"/>
      <c r="N93" s="1138"/>
    </row>
    <row r="95" spans="1:19" x14ac:dyDescent="0.25">
      <c r="A95" s="1067" t="s">
        <v>206</v>
      </c>
      <c r="B95" s="1062"/>
      <c r="C95" s="1062"/>
      <c r="D95" s="1062"/>
      <c r="E95" s="1062"/>
      <c r="F95" s="1062"/>
      <c r="G95" s="1062"/>
      <c r="H95" s="1062"/>
      <c r="I95" s="1062"/>
      <c r="J95" s="1062"/>
      <c r="K95" s="1062"/>
      <c r="L95" s="1062"/>
      <c r="M95" s="1062"/>
      <c r="N95" s="1062"/>
    </row>
    <row r="96" spans="1:19" x14ac:dyDescent="0.25">
      <c r="A96" s="1141" t="s">
        <v>500</v>
      </c>
      <c r="B96" s="1141"/>
      <c r="C96" s="1141"/>
      <c r="D96" s="1141"/>
      <c r="E96" s="1141"/>
      <c r="F96" s="1141"/>
      <c r="G96" s="1141"/>
      <c r="H96" s="1141"/>
      <c r="I96" s="1141"/>
      <c r="J96" s="1141"/>
      <c r="K96" s="1141"/>
      <c r="L96" s="1141"/>
      <c r="M96" s="1141"/>
      <c r="N96" s="1141"/>
    </row>
    <row r="97" spans="1:14" x14ac:dyDescent="0.25">
      <c r="A97" s="1142" t="s">
        <v>501</v>
      </c>
      <c r="B97" s="1142"/>
      <c r="C97" s="1142"/>
      <c r="D97" s="1142"/>
      <c r="E97" s="1142"/>
      <c r="F97" s="1142"/>
      <c r="G97" s="1142"/>
      <c r="H97" s="1142"/>
      <c r="I97" s="1142"/>
      <c r="J97" s="1142"/>
      <c r="K97" s="1142"/>
      <c r="L97" s="1142"/>
      <c r="M97" s="1142"/>
      <c r="N97" s="1142"/>
    </row>
    <row r="98" spans="1:14" x14ac:dyDescent="0.25">
      <c r="A98" s="1142" t="s">
        <v>502</v>
      </c>
      <c r="B98" s="1142"/>
      <c r="C98" s="1142"/>
      <c r="D98" s="1142"/>
      <c r="E98" s="1142"/>
      <c r="F98" s="1142"/>
      <c r="G98" s="1142"/>
      <c r="H98" s="1142"/>
      <c r="I98" s="1142"/>
      <c r="J98" s="1142"/>
      <c r="K98" s="1142"/>
      <c r="L98" s="1142"/>
      <c r="M98" s="1142"/>
      <c r="N98" s="1142"/>
    </row>
    <row r="99" spans="1:14" ht="14.45" customHeight="1" x14ac:dyDescent="0.25">
      <c r="A99" s="1142" t="s">
        <v>503</v>
      </c>
      <c r="B99" s="1142"/>
      <c r="C99" s="1142"/>
      <c r="D99" s="1142"/>
      <c r="E99" s="1142"/>
      <c r="F99" s="1142"/>
      <c r="G99" s="1142"/>
      <c r="H99" s="1142"/>
      <c r="I99" s="1142"/>
      <c r="J99" s="1142"/>
      <c r="K99" s="1142"/>
      <c r="L99" s="1142"/>
      <c r="M99" s="1142"/>
      <c r="N99" s="1142"/>
    </row>
    <row r="100" spans="1:14" x14ac:dyDescent="0.25">
      <c r="A100" s="1142" t="s">
        <v>504</v>
      </c>
      <c r="B100" s="1142"/>
      <c r="C100" s="1142"/>
      <c r="D100" s="1142"/>
      <c r="E100" s="1142"/>
      <c r="F100" s="1142"/>
      <c r="G100" s="1142"/>
      <c r="H100" s="1142"/>
      <c r="I100" s="1142"/>
      <c r="J100" s="1142"/>
      <c r="K100" s="1142"/>
      <c r="L100" s="1142"/>
      <c r="M100" s="1142"/>
      <c r="N100" s="1142"/>
    </row>
    <row r="101" spans="1:14" x14ac:dyDescent="0.25">
      <c r="A101" s="1075" t="s">
        <v>397</v>
      </c>
      <c r="B101" s="1139" t="s">
        <v>505</v>
      </c>
      <c r="C101" s="1139"/>
      <c r="D101" s="1139"/>
      <c r="E101" s="1139"/>
      <c r="F101" s="1139"/>
      <c r="G101" s="1139"/>
      <c r="H101" s="1139"/>
      <c r="I101" s="1139"/>
      <c r="J101" s="1139"/>
      <c r="K101" s="1139"/>
      <c r="L101" s="1139"/>
      <c r="M101" s="1139"/>
      <c r="N101" s="1139"/>
    </row>
    <row r="102" spans="1:14" x14ac:dyDescent="0.25">
      <c r="A102" s="1075" t="s">
        <v>450</v>
      </c>
      <c r="B102" s="1139" t="s">
        <v>506</v>
      </c>
      <c r="C102" s="1139"/>
      <c r="D102" s="1139"/>
      <c r="E102" s="1139"/>
      <c r="F102" s="1139"/>
      <c r="G102" s="1139"/>
      <c r="H102" s="1139"/>
      <c r="I102" s="1139"/>
      <c r="J102" s="1139"/>
      <c r="K102" s="1139"/>
      <c r="L102" s="1139"/>
      <c r="M102" s="1139"/>
      <c r="N102" s="1139"/>
    </row>
    <row r="103" spans="1:14" x14ac:dyDescent="0.25">
      <c r="A103" s="1075" t="s">
        <v>507</v>
      </c>
      <c r="B103" s="1139" t="s">
        <v>508</v>
      </c>
      <c r="C103" s="1139"/>
      <c r="D103" s="1139"/>
      <c r="E103" s="1139"/>
      <c r="F103" s="1139"/>
      <c r="G103" s="1139"/>
      <c r="H103" s="1139"/>
      <c r="I103" s="1139"/>
      <c r="J103" s="1139"/>
      <c r="K103" s="1139"/>
      <c r="L103" s="1139"/>
      <c r="M103" s="1139"/>
      <c r="N103" s="1139"/>
    </row>
    <row r="104" spans="1:14" x14ac:dyDescent="0.25">
      <c r="A104" s="1075" t="s">
        <v>509</v>
      </c>
      <c r="B104" s="1139" t="s">
        <v>510</v>
      </c>
      <c r="C104" s="1139"/>
      <c r="D104" s="1139"/>
      <c r="E104" s="1139"/>
      <c r="F104" s="1139"/>
      <c r="G104" s="1139"/>
      <c r="H104" s="1139"/>
      <c r="I104" s="1139"/>
      <c r="J104" s="1139"/>
      <c r="K104" s="1139"/>
      <c r="L104" s="1139"/>
      <c r="M104" s="1139"/>
      <c r="N104" s="1139"/>
    </row>
    <row r="105" spans="1:14" x14ac:dyDescent="0.25">
      <c r="A105" s="1075" t="s">
        <v>511</v>
      </c>
      <c r="B105" s="1139" t="s">
        <v>512</v>
      </c>
      <c r="C105" s="1139"/>
      <c r="D105" s="1139"/>
      <c r="E105" s="1139"/>
      <c r="F105" s="1139"/>
      <c r="G105" s="1139"/>
      <c r="H105" s="1139"/>
      <c r="I105" s="1139"/>
      <c r="J105" s="1139"/>
      <c r="K105" s="1139"/>
      <c r="L105" s="1139"/>
      <c r="M105" s="1139"/>
      <c r="N105" s="1139"/>
    </row>
    <row r="106" spans="1:14" x14ac:dyDescent="0.25">
      <c r="A106" s="1075" t="s">
        <v>513</v>
      </c>
      <c r="B106" s="1139" t="s">
        <v>514</v>
      </c>
      <c r="C106" s="1139"/>
      <c r="D106" s="1139"/>
      <c r="E106" s="1139"/>
      <c r="F106" s="1139"/>
      <c r="G106" s="1139"/>
      <c r="H106" s="1139"/>
      <c r="I106" s="1139"/>
      <c r="J106" s="1139"/>
      <c r="K106" s="1139"/>
      <c r="L106" s="1139"/>
      <c r="M106" s="1139"/>
      <c r="N106" s="1139"/>
    </row>
  </sheetData>
  <mergeCells count="16">
    <mergeCell ref="A1:P1"/>
    <mergeCell ref="B105:N105"/>
    <mergeCell ref="B106:N106"/>
    <mergeCell ref="A15:D15"/>
    <mergeCell ref="A96:N96"/>
    <mergeCell ref="A99:N99"/>
    <mergeCell ref="B101:N101"/>
    <mergeCell ref="B102:N102"/>
    <mergeCell ref="A97:N97"/>
    <mergeCell ref="A98:N98"/>
    <mergeCell ref="A100:N100"/>
    <mergeCell ref="R15:S15"/>
    <mergeCell ref="E15:Q15"/>
    <mergeCell ref="A93:N93"/>
    <mergeCell ref="B103:N103"/>
    <mergeCell ref="B104:N104"/>
  </mergeCells>
  <pageMargins left="0.7" right="0.7" top="0.75" bottom="0.75" header="0.3" footer="0.3"/>
  <pageSetup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F7CBB-0DBD-4037-AE41-6EEC05015F91}">
  <sheetPr codeName="Sheet9">
    <tabColor theme="2" tint="-9.9978637043366805E-2"/>
  </sheetPr>
  <dimension ref="A1:V98"/>
  <sheetViews>
    <sheetView workbookViewId="0">
      <pane ySplit="2" topLeftCell="A3" activePane="bottomLeft" state="frozen"/>
      <selection pane="bottomLeft" activeCell="D3" sqref="D3"/>
    </sheetView>
  </sheetViews>
  <sheetFormatPr defaultRowHeight="15" x14ac:dyDescent="0.25"/>
  <cols>
    <col min="1" max="1" width="23.85546875" customWidth="1"/>
    <col min="2" max="2" width="27.42578125" style="5" customWidth="1"/>
    <col min="3" max="3" width="19.85546875" style="33" bestFit="1" customWidth="1"/>
    <col min="4" max="4" width="21" style="33" bestFit="1" customWidth="1"/>
    <col min="5" max="5" width="13.42578125" style="36" customWidth="1"/>
    <col min="6" max="6" width="10.28515625" style="36" customWidth="1"/>
    <col min="7" max="7" width="15.42578125" style="36" customWidth="1"/>
    <col min="8" max="8" width="16.28515625" style="252" customWidth="1"/>
    <col min="9" max="9" width="21" customWidth="1"/>
  </cols>
  <sheetData>
    <row r="1" spans="1:14" x14ac:dyDescent="0.25">
      <c r="A1" s="1129" t="s">
        <v>515</v>
      </c>
      <c r="B1" s="1129"/>
      <c r="C1" s="1129"/>
      <c r="D1" s="1129"/>
      <c r="E1" s="1129"/>
      <c r="F1" s="1129"/>
      <c r="G1" s="1129"/>
      <c r="H1" s="1129"/>
      <c r="I1" s="1129"/>
    </row>
    <row r="2" spans="1:14" ht="27" customHeight="1" x14ac:dyDescent="0.25">
      <c r="A2" s="7" t="s">
        <v>516</v>
      </c>
      <c r="B2" s="28" t="s">
        <v>517</v>
      </c>
      <c r="C2" s="140" t="s">
        <v>518</v>
      </c>
      <c r="D2" s="140" t="s">
        <v>519</v>
      </c>
      <c r="E2" s="527" t="s">
        <v>520</v>
      </c>
      <c r="F2" s="528" t="s">
        <v>521</v>
      </c>
      <c r="G2" s="527" t="s">
        <v>522</v>
      </c>
      <c r="H2" s="528" t="s">
        <v>523</v>
      </c>
      <c r="I2" s="7" t="s">
        <v>524</v>
      </c>
    </row>
    <row r="3" spans="1:14" ht="30" x14ac:dyDescent="0.25">
      <c r="A3" s="470" t="s">
        <v>72</v>
      </c>
      <c r="B3" s="5" t="s">
        <v>525</v>
      </c>
      <c r="C3" s="467">
        <f>'11. Diet'!J3*'8. Prices'!H3</f>
        <v>57915801.63376043</v>
      </c>
      <c r="D3" s="467">
        <f>('11. Diet'!J3*H3)*'7. BASE to LOCAL'!$O$4</f>
        <v>56233534.986519448</v>
      </c>
      <c r="E3" s="468">
        <v>6.7</v>
      </c>
      <c r="F3" s="362">
        <v>2018</v>
      </c>
      <c r="G3" s="471">
        <f>E3*'9. Price Adj'!K27</f>
        <v>6.4691850000000004</v>
      </c>
      <c r="H3" s="363">
        <f>G3*'9. Price Adj'!O27</f>
        <v>4.85335078581</v>
      </c>
      <c r="I3" s="854" t="s">
        <v>526</v>
      </c>
    </row>
    <row r="4" spans="1:14" ht="45" x14ac:dyDescent="0.25">
      <c r="A4" s="466" t="s">
        <v>76</v>
      </c>
      <c r="B4" s="1061" t="s">
        <v>527</v>
      </c>
      <c r="C4" s="467">
        <f>'11. Diet'!J4*'8. Prices'!H4</f>
        <v>86059153.06748344</v>
      </c>
      <c r="D4" s="467">
        <f>('11. Diet'!J4*H4)*'7. BASE to LOCAL'!$O$4</f>
        <v>83559413.12067692</v>
      </c>
      <c r="E4" s="468">
        <v>12.54</v>
      </c>
      <c r="F4" s="362">
        <v>2018</v>
      </c>
      <c r="G4" s="469">
        <f>E4*'9. Price Adj'!K28</f>
        <v>12.1806036</v>
      </c>
      <c r="H4" s="469">
        <f>G4*'9. Price Adj'!O28</f>
        <v>9.1565129636243991</v>
      </c>
      <c r="I4" s="525" t="s">
        <v>528</v>
      </c>
    </row>
    <row r="5" spans="1:14" ht="30" x14ac:dyDescent="0.25">
      <c r="A5" s="470" t="s">
        <v>79</v>
      </c>
      <c r="B5" s="5" t="s">
        <v>529</v>
      </c>
      <c r="C5" s="467">
        <f>'11. Diet'!J5*'8. Prices'!H5</f>
        <v>30600634.911264148</v>
      </c>
      <c r="D5" s="467">
        <f>('11. Diet'!J5*H5)*'7. BASE to LOCAL'!$O$4</f>
        <v>29711785.477371313</v>
      </c>
      <c r="E5" s="468">
        <v>5.71</v>
      </c>
      <c r="F5" s="362">
        <v>2018</v>
      </c>
      <c r="G5" s="471">
        <f>'9. Price Adj'!K28*E5</f>
        <v>5.5463513999999998</v>
      </c>
      <c r="H5" s="363">
        <f>G5*'9. Price Adj'!O28</f>
        <v>4.1693531915705995</v>
      </c>
      <c r="I5" s="845" t="s">
        <v>530</v>
      </c>
      <c r="K5" s="26"/>
      <c r="L5" s="26"/>
      <c r="M5" s="26"/>
      <c r="N5" s="26"/>
    </row>
    <row r="6" spans="1:14" x14ac:dyDescent="0.25">
      <c r="A6" s="470" t="s">
        <v>83</v>
      </c>
      <c r="B6" s="5" t="s">
        <v>531</v>
      </c>
      <c r="C6" s="467">
        <f>'11. Diet'!J6*'8. Prices'!H6</f>
        <v>16701263.151016528</v>
      </c>
      <c r="D6" s="467">
        <f>('11. Diet'!J6*H6)*'7. BASE to LOCAL'!$O$5</f>
        <v>16394708.453299638</v>
      </c>
      <c r="E6" s="468">
        <v>3.43</v>
      </c>
      <c r="F6" s="362">
        <v>2018</v>
      </c>
      <c r="G6" s="469">
        <f>E6*'9. Price Adj'!K12</f>
        <v>3.9290306999999998</v>
      </c>
      <c r="H6" s="363">
        <f>G6*'9. Price Adj'!O12</f>
        <v>3.3211742894336997</v>
      </c>
      <c r="I6" s="845" t="s">
        <v>532</v>
      </c>
      <c r="K6" s="26"/>
      <c r="L6" s="26"/>
      <c r="M6" s="26"/>
      <c r="N6" s="26"/>
    </row>
    <row r="7" spans="1:14" x14ac:dyDescent="0.25">
      <c r="A7" s="470" t="s">
        <v>533</v>
      </c>
      <c r="B7" s="5" t="s">
        <v>534</v>
      </c>
      <c r="C7" s="467">
        <f>'11. Diet'!J7*'8. Prices'!H7</f>
        <v>3874311.721767413</v>
      </c>
      <c r="D7" s="467">
        <f>('11. Diet'!J7*H7)*'7. BASE to LOCAL'!O9</f>
        <v>3354969.9458235861</v>
      </c>
      <c r="E7" s="468">
        <v>2.99</v>
      </c>
      <c r="F7" s="362">
        <v>2011</v>
      </c>
      <c r="G7" s="471">
        <f>E7*'9. Price Adj'!D6</f>
        <v>3.2880132999999998</v>
      </c>
      <c r="H7" s="363">
        <f>'8. Prices'!G7*'9. Price Adj'!O6</f>
        <v>1.8569515433612001</v>
      </c>
      <c r="I7" s="845" t="s">
        <v>535</v>
      </c>
      <c r="K7" s="26"/>
      <c r="L7" s="26"/>
      <c r="M7" s="26"/>
      <c r="N7" s="26"/>
    </row>
    <row r="8" spans="1:14" x14ac:dyDescent="0.25">
      <c r="A8" s="472" t="s">
        <v>91</v>
      </c>
      <c r="B8" s="5" t="s">
        <v>536</v>
      </c>
      <c r="C8" s="467">
        <f>'11. Diet'!J8*'8. Prices'!H8</f>
        <v>48567711.918733262</v>
      </c>
      <c r="D8" s="467">
        <f>('11. Diet'!J8*H8)*'7. BASE to LOCAL'!$O$6</f>
        <v>47981737.79696703</v>
      </c>
      <c r="E8" s="468">
        <v>11.75</v>
      </c>
      <c r="F8" s="362">
        <v>2018</v>
      </c>
      <c r="G8" s="471">
        <f>E8*'9. Price Adj'!K23</f>
        <v>11.273091000000001</v>
      </c>
      <c r="H8" s="363">
        <f>G8*'9. Price Adj'!O23</f>
        <v>8.6093836007010012</v>
      </c>
      <c r="I8" s="845" t="s">
        <v>537</v>
      </c>
      <c r="K8" s="26"/>
      <c r="L8" s="26"/>
      <c r="M8" s="26"/>
      <c r="N8" s="26"/>
    </row>
    <row r="9" spans="1:14" ht="30" x14ac:dyDescent="0.25">
      <c r="A9" s="473" t="s">
        <v>95</v>
      </c>
      <c r="B9" s="5" t="s">
        <v>538</v>
      </c>
      <c r="C9" s="467">
        <f>'11. Diet'!J9*'8. Prices'!H9</f>
        <v>10597502.592961429</v>
      </c>
      <c r="D9" s="467">
        <f>('11. Diet'!J9*H9)*'7. BASE to LOCAL'!$O$6</f>
        <v>10469642.703551428</v>
      </c>
      <c r="E9" s="471">
        <v>0.62</v>
      </c>
      <c r="F9" s="362">
        <v>2018</v>
      </c>
      <c r="G9" s="471">
        <f>E9*'9. Price Adj'!K25</f>
        <v>0.6362012199999999</v>
      </c>
      <c r="H9" s="363">
        <f>G9*'9. Price Adj'!O25</f>
        <v>0.45209094894419993</v>
      </c>
      <c r="I9" s="854" t="s">
        <v>539</v>
      </c>
      <c r="K9" s="26"/>
      <c r="L9" s="26"/>
      <c r="M9" s="26"/>
      <c r="N9" s="26"/>
    </row>
    <row r="10" spans="1:14" x14ac:dyDescent="0.25">
      <c r="A10" s="474" t="s">
        <v>99</v>
      </c>
      <c r="B10" s="25" t="s">
        <v>540</v>
      </c>
      <c r="C10" s="467">
        <f>'11. Diet'!J10*'8. Prices'!H10</f>
        <v>10273258.534952169</v>
      </c>
      <c r="D10" s="467">
        <f>('11. Diet'!J10*H10)*'7. BASE to LOCAL'!$O$7</f>
        <v>3212256.0638349145</v>
      </c>
      <c r="E10" s="469">
        <f>(1.62/453.6)*1000</f>
        <v>3.5714285714285712</v>
      </c>
      <c r="F10" s="252">
        <v>2016</v>
      </c>
      <c r="G10" s="469">
        <f>E10*'9. Price Adj'!I7</f>
        <v>3.9992142857142854</v>
      </c>
      <c r="H10" s="363">
        <f>G10*'9. Price Adj'!$O$7</f>
        <v>2.5072154144999996</v>
      </c>
      <c r="I10" s="846" t="s">
        <v>528</v>
      </c>
      <c r="J10" s="33"/>
      <c r="K10" s="27"/>
      <c r="L10" s="26"/>
      <c r="M10" s="26"/>
      <c r="N10" s="26"/>
    </row>
    <row r="11" spans="1:14" ht="30" x14ac:dyDescent="0.25">
      <c r="A11" s="475" t="s">
        <v>102</v>
      </c>
      <c r="B11" s="1061" t="s">
        <v>541</v>
      </c>
      <c r="C11" s="467">
        <f>'11. Diet'!J11*'8. Prices'!H11</f>
        <v>3211780.3054337166</v>
      </c>
      <c r="D11" s="467">
        <f>('11. Diet'!J11*H11)*'7. BASE to LOCAL'!$O$7</f>
        <v>1004263.7130890666</v>
      </c>
      <c r="E11" s="469">
        <f>(((0.32/453.6)*1000) + ((0.52/453.6)*1000) + ((0.83/453.6)*1000))/3</f>
        <v>1.2272192827748383</v>
      </c>
      <c r="F11" s="252">
        <v>2016</v>
      </c>
      <c r="G11" s="469">
        <f>E11*'9. Price Adj'!I7</f>
        <v>1.3742156084656083</v>
      </c>
      <c r="H11" s="363">
        <f>G11*'9. Price Adj'!$O$7</f>
        <v>0.86153286876851842</v>
      </c>
      <c r="I11" s="846" t="s">
        <v>528</v>
      </c>
      <c r="J11" s="33"/>
      <c r="K11" s="27"/>
      <c r="L11" s="26"/>
      <c r="M11" s="26"/>
      <c r="N11" s="26"/>
    </row>
    <row r="12" spans="1:14" x14ac:dyDescent="0.25">
      <c r="A12" s="476" t="s">
        <v>105</v>
      </c>
      <c r="B12" s="1061" t="s">
        <v>105</v>
      </c>
      <c r="C12" s="467">
        <f>'11. Diet'!J12*'8. Prices'!H12</f>
        <v>3255397.6107247127</v>
      </c>
      <c r="D12" s="467">
        <f>('11. Diet'!J12*H12)*'7. BASE to LOCAL'!$O$7</f>
        <v>1017902.029785999</v>
      </c>
      <c r="E12" s="469">
        <f>(4.39/453.6)*1000</f>
        <v>9.6781305114638432</v>
      </c>
      <c r="F12" s="252">
        <v>2016</v>
      </c>
      <c r="G12" s="469">
        <f>E12*'9. Price Adj'!I7</f>
        <v>10.837376984126982</v>
      </c>
      <c r="H12" s="363">
        <f>G12*'9. Price Adj'!$O$7</f>
        <v>6.7942442405277763</v>
      </c>
      <c r="I12" s="846" t="s">
        <v>528</v>
      </c>
      <c r="J12" s="33"/>
      <c r="K12" s="27"/>
      <c r="L12" s="26"/>
      <c r="M12" s="26"/>
      <c r="N12" s="26"/>
    </row>
    <row r="13" spans="1:14" x14ac:dyDescent="0.25">
      <c r="A13" s="476" t="s">
        <v>108</v>
      </c>
      <c r="B13" s="5" t="s">
        <v>108</v>
      </c>
      <c r="C13" s="467">
        <f>'11. Diet'!J13*'8. Prices'!H13</f>
        <v>775433.07101693377</v>
      </c>
      <c r="D13" s="467">
        <f>('11. Diet'!J13*H13)*'7. BASE to LOCAL'!$O$7</f>
        <v>242463.43806083067</v>
      </c>
      <c r="E13" s="471">
        <v>8.2200000000000006</v>
      </c>
      <c r="F13" s="362">
        <v>2018</v>
      </c>
      <c r="G13" s="471">
        <f>E13*'9. Price Adj'!K7</f>
        <v>8.8546662000000005</v>
      </c>
      <c r="H13" s="363">
        <f>G13*'9. Price Adj'!$O$7</f>
        <v>5.5512293167674001</v>
      </c>
      <c r="I13" s="845" t="s">
        <v>542</v>
      </c>
      <c r="K13" s="26"/>
      <c r="L13" s="26"/>
      <c r="M13" s="26"/>
      <c r="N13" s="26"/>
    </row>
    <row r="14" spans="1:14" x14ac:dyDescent="0.25">
      <c r="A14" s="476" t="s">
        <v>111</v>
      </c>
      <c r="B14" s="5" t="s">
        <v>543</v>
      </c>
      <c r="C14" s="467">
        <f>'11. Diet'!J14*'8. Prices'!H14</f>
        <v>6310093.4622899052</v>
      </c>
      <c r="D14" s="467">
        <f>('11. Diet'!J14*H14)*'7. BASE to LOCAL'!$O$7</f>
        <v>1973048.3681145059</v>
      </c>
      <c r="E14" s="471">
        <v>5.76</v>
      </c>
      <c r="F14" s="362">
        <v>2018</v>
      </c>
      <c r="G14" s="471">
        <f>E14*'9. Price Adj'!K7</f>
        <v>6.2047295999999994</v>
      </c>
      <c r="H14" s="363">
        <f>G14*'9. Price Adj'!$O$7</f>
        <v>3.8899125139391999</v>
      </c>
      <c r="I14" s="845" t="s">
        <v>544</v>
      </c>
      <c r="K14" s="26"/>
      <c r="L14" s="26"/>
      <c r="M14" s="26"/>
      <c r="N14" s="26"/>
    </row>
    <row r="15" spans="1:14" x14ac:dyDescent="0.25">
      <c r="A15" s="476" t="s">
        <v>114</v>
      </c>
      <c r="B15" s="1061" t="s">
        <v>114</v>
      </c>
      <c r="C15" s="467">
        <f>'11. Diet'!J15*'8. Prices'!H15</f>
        <v>1632429.3729374413</v>
      </c>
      <c r="D15" s="467">
        <f>('11. Diet'!J15*H15)*'7. BASE to LOCAL'!$O$7</f>
        <v>510430.17501797323</v>
      </c>
      <c r="E15" s="469">
        <f>(1.52/453.6)*1000</f>
        <v>3.3509700176366843</v>
      </c>
      <c r="F15" s="252">
        <v>2016</v>
      </c>
      <c r="G15" s="469">
        <f>E15*'9. Price Adj'!I7</f>
        <v>3.7523492063492063</v>
      </c>
      <c r="H15" s="363">
        <f>G15*'9. Price Adj'!$O$7</f>
        <v>2.3524490308888888</v>
      </c>
      <c r="I15" s="846" t="s">
        <v>528</v>
      </c>
      <c r="J15" s="33"/>
      <c r="K15" s="26"/>
      <c r="L15" s="26"/>
      <c r="M15" s="26"/>
      <c r="N15" s="26"/>
    </row>
    <row r="16" spans="1:14" x14ac:dyDescent="0.25">
      <c r="A16" s="476" t="s">
        <v>117</v>
      </c>
      <c r="B16" s="1061" t="s">
        <v>117</v>
      </c>
      <c r="C16" s="467">
        <f>'11. Diet'!J16*'8. Prices'!H16</f>
        <v>2319024.1832456021</v>
      </c>
      <c r="D16" s="467">
        <f>('11. Diet'!J16*H16)*'7. BASE to LOCAL'!$O$7</f>
        <v>725115.54824266653</v>
      </c>
      <c r="E16" s="469">
        <f>(6.88/453.6)*1000</f>
        <v>15.167548500881834</v>
      </c>
      <c r="F16" s="252">
        <v>2016</v>
      </c>
      <c r="G16" s="469">
        <f>E16*'9. Price Adj'!I7</f>
        <v>16.98431746031746</v>
      </c>
      <c r="H16" s="363">
        <f>G16*'9. Price Adj'!$O$7</f>
        <v>10.647927192444444</v>
      </c>
      <c r="I16" s="846" t="s">
        <v>528</v>
      </c>
      <c r="J16" s="33"/>
      <c r="K16" s="26"/>
      <c r="L16" s="26"/>
      <c r="M16" s="26"/>
      <c r="N16" s="26"/>
    </row>
    <row r="17" spans="1:22" x14ac:dyDescent="0.25">
      <c r="A17" s="475" t="s">
        <v>120</v>
      </c>
      <c r="B17" s="1073" t="s">
        <v>545</v>
      </c>
      <c r="C17" s="467">
        <f>'11. Diet'!J17*'8. Prices'!H17</f>
        <v>4605116.5146159753</v>
      </c>
      <c r="D17" s="467">
        <f>('11. Diet'!J17*H17)*'7. BASE to LOCAL'!$O$7</f>
        <v>1439933.921492646</v>
      </c>
      <c r="E17" s="468">
        <v>5.05</v>
      </c>
      <c r="F17" s="362">
        <v>2018</v>
      </c>
      <c r="G17" s="468">
        <f>E17*'9. Price Adj'!K7</f>
        <v>5.4399104999999999</v>
      </c>
      <c r="H17" s="363">
        <f>G17*'9. Price Adj'!$O$7</f>
        <v>3.4104267700334998</v>
      </c>
      <c r="I17" s="525" t="s">
        <v>546</v>
      </c>
      <c r="K17" s="26"/>
      <c r="L17" s="26"/>
      <c r="M17" s="26"/>
      <c r="N17" s="26"/>
    </row>
    <row r="18" spans="1:22" ht="27" customHeight="1" x14ac:dyDescent="0.25">
      <c r="A18" s="477" t="s">
        <v>547</v>
      </c>
      <c r="B18" s="1061" t="s">
        <v>548</v>
      </c>
      <c r="C18" s="467">
        <f>'11. Diet'!J18*'8. Prices'!H18</f>
        <v>16987451.936051559</v>
      </c>
      <c r="D18" s="467">
        <f>'11. Diet'!J18*H18</f>
        <v>16987451.936051559</v>
      </c>
      <c r="E18" s="478">
        <f>(E53*('11. Diet'!B57/SUM('11. Diet'!B51:B59)))+(E54*('11. Diet'!B51/SUM('11. Diet'!B51:B59)))+('8. Prices'!E55*(SUM('11. Diet'!B52,'11. Diet'!B54,'11. Diet'!B55,'11. Diet'!B58,'11. Diet'!B59)/SUM('11. Diet'!B51:B59)))+(E56*(SUM('11. Diet'!B53,'11. Diet'!B56)/SUM('11. Diet'!B51:B59)))</f>
        <v>2.4754992920485885</v>
      </c>
      <c r="F18" s="252">
        <v>2016</v>
      </c>
      <c r="G18" s="469">
        <f>E18*'9. Price Adj'!I22</f>
        <v>2.5030144666797085</v>
      </c>
      <c r="H18" s="479">
        <f>G18*'9. Price Adj'!O22</f>
        <v>1.7030310190131401</v>
      </c>
      <c r="I18" s="846" t="s">
        <v>528</v>
      </c>
      <c r="J18" s="33"/>
      <c r="K18" s="26"/>
      <c r="L18" s="26"/>
      <c r="M18" s="26"/>
      <c r="N18" s="26"/>
    </row>
    <row r="19" spans="1:22" x14ac:dyDescent="0.25">
      <c r="A19" s="480" t="s">
        <v>128</v>
      </c>
      <c r="B19" s="5" t="s">
        <v>128</v>
      </c>
      <c r="C19" s="467">
        <f>'11. Diet'!J19*'8. Prices'!H19</f>
        <v>2360285.3569456781</v>
      </c>
      <c r="D19" s="467">
        <f>('11. Diet'!J19*H19)*'7. BASE to LOCAL'!$O$8</f>
        <v>565677.91535520542</v>
      </c>
      <c r="E19" s="469">
        <v>3.79</v>
      </c>
      <c r="F19" s="362">
        <v>2017</v>
      </c>
      <c r="G19" s="469">
        <f>E19*'9. Price Adj'!J6</f>
        <v>4.6836062000000007</v>
      </c>
      <c r="H19" s="363">
        <f>G19*'9. Price Adj'!O6</f>
        <v>2.6451321719368006</v>
      </c>
      <c r="I19" s="845" t="s">
        <v>549</v>
      </c>
      <c r="J19" s="33"/>
      <c r="K19" s="26"/>
      <c r="L19" s="26"/>
      <c r="M19" s="26"/>
      <c r="N19" s="26"/>
    </row>
    <row r="20" spans="1:22" x14ac:dyDescent="0.25">
      <c r="A20" s="481" t="s">
        <v>131</v>
      </c>
      <c r="B20" s="1061" t="s">
        <v>550</v>
      </c>
      <c r="C20" s="467">
        <f>'11. Diet'!J20*'8. Prices'!H20</f>
        <v>416737.48107134335</v>
      </c>
      <c r="D20" s="467">
        <f>('11. Diet'!J20*H20)*'7. BASE to LOCAL'!$O$8</f>
        <v>99877.410521189973</v>
      </c>
      <c r="E20" s="365">
        <f>(2.6294683753/453.6)*1000</f>
        <v>5.796887952601411</v>
      </c>
      <c r="F20" s="252">
        <v>2016</v>
      </c>
      <c r="G20" s="365">
        <f>E20*'9. Price Adj'!I6</f>
        <v>6.345563397315134</v>
      </c>
      <c r="H20" s="482">
        <f>G20*'9. Price Adj'!O6</f>
        <v>3.5837457665212846</v>
      </c>
      <c r="I20" s="846" t="s">
        <v>528</v>
      </c>
      <c r="J20" s="33"/>
      <c r="K20" s="26"/>
      <c r="L20" s="26"/>
      <c r="M20" s="26"/>
      <c r="N20" s="26"/>
    </row>
    <row r="21" spans="1:22" x14ac:dyDescent="0.25">
      <c r="A21" s="481" t="s">
        <v>134</v>
      </c>
      <c r="B21" s="1061" t="s">
        <v>551</v>
      </c>
      <c r="C21" s="467">
        <f>'11. Diet'!J21*'8. Prices'!H21</f>
        <v>130412.44999066569</v>
      </c>
      <c r="D21" s="467">
        <f>('11. Diet'!J21*H21)*'7. BASE to LOCAL'!$O$8</f>
        <v>31255.306749243453</v>
      </c>
      <c r="E21" s="469">
        <f>(2.88/453.6)*1000</f>
        <v>6.349206349206348</v>
      </c>
      <c r="F21" s="252">
        <v>2016</v>
      </c>
      <c r="G21" s="469">
        <f>E21*'9. Price Adj'!I6</f>
        <v>6.9501587301587282</v>
      </c>
      <c r="H21" s="479">
        <f>G21*'9. Price Adj'!O6</f>
        <v>3.9251994450793641</v>
      </c>
      <c r="I21" s="846" t="s">
        <v>528</v>
      </c>
      <c r="J21" s="33"/>
      <c r="K21" s="26"/>
      <c r="L21" s="26"/>
      <c r="M21" s="26"/>
      <c r="N21" s="26"/>
    </row>
    <row r="22" spans="1:22" x14ac:dyDescent="0.25">
      <c r="A22" s="481" t="s">
        <v>137</v>
      </c>
      <c r="B22" s="5" t="s">
        <v>552</v>
      </c>
      <c r="C22" s="467">
        <f>'11. Diet'!J22*'8. Prices'!H22</f>
        <v>3296469.0071685677</v>
      </c>
      <c r="D22" s="467">
        <f>('11. Diet'!J22*H22)*'7. BASE to LOCAL'!$O$8</f>
        <v>790048.41957805527</v>
      </c>
      <c r="E22" s="469">
        <f>(1.501/453.6)*1000</f>
        <v>3.309082892416225</v>
      </c>
      <c r="F22" s="252">
        <v>2016</v>
      </c>
      <c r="G22" s="469">
        <f>E22*'9. Price Adj'!I6</f>
        <v>3.6222875881834202</v>
      </c>
      <c r="H22" s="363">
        <f>G22*'9. Price Adj'!O6</f>
        <v>2.0457376274528212</v>
      </c>
      <c r="I22" s="845" t="s">
        <v>553</v>
      </c>
      <c r="J22" s="33"/>
      <c r="K22" s="26"/>
      <c r="L22" s="26"/>
      <c r="M22" s="26"/>
      <c r="N22" s="26"/>
    </row>
    <row r="23" spans="1:22" x14ac:dyDescent="0.25">
      <c r="A23" s="483" t="s">
        <v>140</v>
      </c>
      <c r="B23" s="1061" t="s">
        <v>554</v>
      </c>
      <c r="C23" s="467">
        <f>'11. Diet'!J23*'8. Prices'!H23</f>
        <v>1647589.2336494345</v>
      </c>
      <c r="D23" s="467">
        <f>('11. Diet'!J23*H23)*'7. BASE to LOCAL'!$O$8</f>
        <v>394869.56113584136</v>
      </c>
      <c r="E23" s="469">
        <f>(3.83/453.6)*1000</f>
        <v>8.4435626102292769</v>
      </c>
      <c r="F23" s="252">
        <v>2016</v>
      </c>
      <c r="G23" s="469">
        <f>E23*'9. Price Adj'!I6</f>
        <v>9.2427458112874774</v>
      </c>
      <c r="H23" s="479">
        <f>G23*'9. Price Adj'!O6</f>
        <v>5.2199700953659613</v>
      </c>
      <c r="I23" s="846" t="s">
        <v>528</v>
      </c>
      <c r="J23" s="33"/>
      <c r="K23" s="26"/>
      <c r="L23" s="26"/>
      <c r="M23" s="26"/>
      <c r="N23" s="26"/>
    </row>
    <row r="24" spans="1:22" ht="18" customHeight="1" x14ac:dyDescent="0.25">
      <c r="A24" s="484" t="s">
        <v>555</v>
      </c>
      <c r="B24" s="25" t="s">
        <v>556</v>
      </c>
      <c r="C24" s="467">
        <f>'11. Diet'!J24*'8. Prices'!H24</f>
        <v>1410621.9956539262</v>
      </c>
      <c r="D24" s="467">
        <f>('11. Diet'!J24*H24)*'7. BASE to LOCAL'!$O$8</f>
        <v>338076.79546354001</v>
      </c>
      <c r="E24" s="469">
        <f>(((1.82+2.07)/2)/453.6)*1000</f>
        <v>4.2879188712522041</v>
      </c>
      <c r="F24" s="252">
        <v>2016</v>
      </c>
      <c r="G24" s="469">
        <f>E24*'9. Price Adj'!I22</f>
        <v>4.3355790895061723</v>
      </c>
      <c r="H24" s="479">
        <f>G24*'9. Price Adj'!O22</f>
        <v>2.9498933278672834</v>
      </c>
      <c r="I24" s="846" t="s">
        <v>528</v>
      </c>
      <c r="J24" s="33"/>
      <c r="K24" s="26"/>
      <c r="L24" s="26"/>
      <c r="M24" s="26"/>
      <c r="N24" s="26"/>
    </row>
    <row r="25" spans="1:22" ht="30" x14ac:dyDescent="0.25">
      <c r="A25" s="480" t="s">
        <v>146</v>
      </c>
      <c r="B25" s="1073" t="s">
        <v>557</v>
      </c>
      <c r="C25" s="467">
        <f>'11. Diet'!J25*'8. Prices'!H25</f>
        <v>1523743.5303676059</v>
      </c>
      <c r="D25" s="467">
        <f>('11. Diet'!J25*H25)*'7. BASE to LOCAL'!$O$8</f>
        <v>365188.07408513111</v>
      </c>
      <c r="E25" s="469">
        <f>(0.935/453.6)*1000</f>
        <v>2.0612874779541448</v>
      </c>
      <c r="F25" s="362">
        <v>2014</v>
      </c>
      <c r="G25" s="469">
        <f>E25*'9. Price Adj'!G6</f>
        <v>2.273764991181658</v>
      </c>
      <c r="H25" s="479">
        <f>G25*'9. Price Adj'!O6</f>
        <v>1.284140611479718</v>
      </c>
      <c r="I25" s="525" t="s">
        <v>558</v>
      </c>
      <c r="J25" s="33"/>
      <c r="K25" s="26"/>
      <c r="M25" s="26"/>
      <c r="N25" s="26"/>
    </row>
    <row r="26" spans="1:22" x14ac:dyDescent="0.25">
      <c r="A26" s="481" t="s">
        <v>149</v>
      </c>
      <c r="B26" s="1061" t="s">
        <v>559</v>
      </c>
      <c r="C26" s="467">
        <f>'11. Diet'!J26*'8. Prices'!H26</f>
        <v>196056.5005500745</v>
      </c>
      <c r="D26" s="467">
        <f>('11. Diet'!J26*H26)*'7. BASE to LOCAL'!$O$8</f>
        <v>46987.891610919018</v>
      </c>
      <c r="E26" s="469">
        <f>(4.08/3.4)</f>
        <v>1.2</v>
      </c>
      <c r="F26" s="252">
        <v>2020</v>
      </c>
      <c r="G26" s="469">
        <v>1.06</v>
      </c>
      <c r="H26" s="486">
        <f>G26*'9. Price Adj'!O6</f>
        <v>0.5986498400000001</v>
      </c>
      <c r="I26" s="847"/>
      <c r="J26" s="33"/>
      <c r="K26" s="26"/>
      <c r="L26" s="26"/>
      <c r="M26" s="26"/>
      <c r="N26" s="26"/>
    </row>
    <row r="27" spans="1:22" ht="15.75" x14ac:dyDescent="0.25">
      <c r="A27" s="481" t="s">
        <v>152</v>
      </c>
      <c r="B27" s="1061" t="s">
        <v>560</v>
      </c>
      <c r="C27" s="487">
        <f>'11. Diet'!J27*'8. Prices'!H27</f>
        <v>1150700.0664049508</v>
      </c>
      <c r="D27" s="467">
        <f>('11. Diet'!J27*H27)*'7. BASE to LOCAL'!$O$8</f>
        <v>275782.59249355248</v>
      </c>
      <c r="E27" s="488">
        <v>2.31</v>
      </c>
      <c r="F27" s="252">
        <v>2016</v>
      </c>
      <c r="G27" s="469">
        <f>E27*'9. Price Adj'!I7</f>
        <v>2.5866918000000001</v>
      </c>
      <c r="H27" s="479">
        <f>G27*'9. Price Adj'!O7</f>
        <v>1.6216669300986002</v>
      </c>
      <c r="I27" s="846" t="s">
        <v>528</v>
      </c>
      <c r="J27" s="33"/>
      <c r="K27" s="26"/>
      <c r="L27" s="281"/>
      <c r="M27" s="26"/>
      <c r="N27" s="26"/>
      <c r="V27" s="8"/>
    </row>
    <row r="28" spans="1:22" x14ac:dyDescent="0.25">
      <c r="A28" s="483" t="s">
        <v>155</v>
      </c>
      <c r="B28" s="5" t="s">
        <v>155</v>
      </c>
      <c r="C28" s="467">
        <f>'11. Diet'!J28*'8. Prices'!H28</f>
        <v>9758653.0084586833</v>
      </c>
      <c r="D28" s="467">
        <f>('11. Diet'!J28*H28)*'7. BASE to LOCAL'!$O$8</f>
        <v>2338808.0912568914</v>
      </c>
      <c r="E28" s="469">
        <v>4.03</v>
      </c>
      <c r="F28" s="362">
        <v>2017</v>
      </c>
      <c r="G28" s="469">
        <f>E28*'9. Price Adj'!J6</f>
        <v>4.980193400000001</v>
      </c>
      <c r="H28" s="363">
        <f>G28*'9. Price Adj'!O6</f>
        <v>2.8126339453576006</v>
      </c>
      <c r="I28" s="845" t="s">
        <v>561</v>
      </c>
      <c r="J28" s="33"/>
      <c r="K28" s="26"/>
      <c r="L28" s="26"/>
      <c r="M28" s="26"/>
      <c r="N28" s="26"/>
    </row>
    <row r="29" spans="1:22" x14ac:dyDescent="0.25">
      <c r="A29" s="484" t="s">
        <v>555</v>
      </c>
      <c r="B29" s="25" t="s">
        <v>562</v>
      </c>
      <c r="C29" s="467">
        <f>'11. Diet'!J29*'8. Prices'!H29</f>
        <v>10310562.837761965</v>
      </c>
      <c r="D29" s="467">
        <f>('11. Diet'!J29*H29)*'7. BASE to LOCAL'!$O$8</f>
        <v>2471081.5897919722</v>
      </c>
      <c r="E29" s="469">
        <f>((1.22/453.6)*1000)</f>
        <v>2.6895943562610229</v>
      </c>
      <c r="F29" s="252">
        <v>2016</v>
      </c>
      <c r="G29" s="469">
        <f>E29*'9. Price Adj'!I7</f>
        <v>3.0117539682539682</v>
      </c>
      <c r="H29" s="479">
        <f>G29*'9. Price Adj'!O7</f>
        <v>1.8881498800555556</v>
      </c>
      <c r="I29" s="846" t="s">
        <v>528</v>
      </c>
      <c r="J29" s="33"/>
      <c r="K29" s="26"/>
      <c r="L29" s="26"/>
      <c r="M29" s="26"/>
      <c r="N29" s="26"/>
    </row>
    <row r="30" spans="1:22" x14ac:dyDescent="0.25">
      <c r="A30" s="480" t="s">
        <v>161</v>
      </c>
      <c r="B30" s="1061" t="s">
        <v>563</v>
      </c>
      <c r="C30" s="467">
        <f>'11. Diet'!J30*'8. Prices'!H30</f>
        <v>2056130.8149569982</v>
      </c>
      <c r="D30" s="467">
        <f>('11. Diet'!J30*H30)*'7. BASE to LOCAL'!$O$8</f>
        <v>492782.70090511063</v>
      </c>
      <c r="E30" s="469">
        <f>(3.26/453.6)*1000</f>
        <v>7.1869488536155197</v>
      </c>
      <c r="F30" s="252">
        <v>2016</v>
      </c>
      <c r="G30" s="469">
        <f>E30*'9. Price Adj'!I6</f>
        <v>7.8671935626102281</v>
      </c>
      <c r="H30" s="479">
        <f>G30*'9. Price Adj'!O6</f>
        <v>4.4431077051940031</v>
      </c>
      <c r="I30" s="846" t="s">
        <v>528</v>
      </c>
      <c r="J30" s="33"/>
      <c r="K30" s="26"/>
      <c r="L30" s="26"/>
      <c r="M30" s="26"/>
      <c r="N30" s="26"/>
    </row>
    <row r="31" spans="1:22" s="33" customFormat="1" x14ac:dyDescent="0.25">
      <c r="A31" s="484" t="s">
        <v>164</v>
      </c>
      <c r="B31" s="704" t="s">
        <v>564</v>
      </c>
      <c r="C31" s="467"/>
      <c r="D31" s="467"/>
      <c r="E31" s="365"/>
      <c r="F31" s="252"/>
      <c r="G31" s="365"/>
      <c r="H31" s="482"/>
      <c r="I31" s="525"/>
      <c r="K31" s="34"/>
      <c r="L31" s="34"/>
      <c r="M31" s="34"/>
      <c r="N31" s="34"/>
    </row>
    <row r="32" spans="1:22" x14ac:dyDescent="0.25">
      <c r="A32" s="483" t="s">
        <v>167</v>
      </c>
      <c r="B32" s="5" t="s">
        <v>565</v>
      </c>
      <c r="C32" s="467">
        <f>'11. Diet'!J32*'8. Prices'!H32</f>
        <v>7156136.2536628321</v>
      </c>
      <c r="D32" s="467">
        <f>('11. Diet'!J32*H32)*'7. BASE to LOCAL'!$O$8</f>
        <v>1715075.7750783972</v>
      </c>
      <c r="E32" s="471">
        <v>1.68</v>
      </c>
      <c r="F32" s="362">
        <v>2018</v>
      </c>
      <c r="G32" s="471">
        <f>E32*'9. Price Adj'!K6</f>
        <v>1.7797584</v>
      </c>
      <c r="H32" s="363">
        <f>G32*'9. Price Adj'!O6</f>
        <v>1.0051434730176001</v>
      </c>
      <c r="I32" s="848" t="s">
        <v>566</v>
      </c>
      <c r="K32" s="26"/>
      <c r="L32" s="26"/>
      <c r="M32" s="26"/>
      <c r="N32" s="26"/>
    </row>
    <row r="33" spans="1:14" ht="18.75" customHeight="1" x14ac:dyDescent="0.25">
      <c r="A33" s="489" t="s">
        <v>555</v>
      </c>
      <c r="B33" s="1061" t="s">
        <v>567</v>
      </c>
      <c r="C33" s="467">
        <f>'11. Diet'!J33*'8. Prices'!H33</f>
        <v>13569396.75429322</v>
      </c>
      <c r="D33" s="467">
        <f>('11. Diet'!J33*H33)*'7. BASE to LOCAL'!$O$8</f>
        <v>3252110.1933747837</v>
      </c>
      <c r="E33" s="471">
        <f>(((1.6584330893/453.6)*1000)+((1.22/453.6)*1000))/2</f>
        <v>3.1728759802689597</v>
      </c>
      <c r="F33" s="252">
        <v>2016</v>
      </c>
      <c r="G33" s="471">
        <f>E33*'9. Price Adj'!I22</f>
        <v>3.208142496789649</v>
      </c>
      <c r="H33" s="363">
        <f>G33*'9. Price Adj'!O22</f>
        <v>2.182794489675703</v>
      </c>
      <c r="I33" s="849"/>
      <c r="K33" s="26"/>
      <c r="L33" s="26"/>
      <c r="M33" s="26"/>
      <c r="N33" s="26"/>
    </row>
    <row r="34" spans="1:14" x14ac:dyDescent="0.25">
      <c r="A34" s="490" t="s">
        <v>175</v>
      </c>
      <c r="B34" s="1061" t="s">
        <v>568</v>
      </c>
      <c r="C34" s="467">
        <f>'11. Diet'!J34*'8. Prices'!H34</f>
        <v>3815303.5788078774</v>
      </c>
      <c r="D34" s="467">
        <f>('11. Diet'!J34*H34)*'7. BASE to LOCAL'!$O$8</f>
        <v>914394.9347294817</v>
      </c>
      <c r="E34" s="469">
        <f>(2.13/453.6)*1000</f>
        <v>4.6957671957671954</v>
      </c>
      <c r="F34" s="252">
        <v>2016</v>
      </c>
      <c r="G34" s="469">
        <f>E34*'9. Price Adj'!I6</f>
        <v>5.1402215608465598</v>
      </c>
      <c r="H34" s="479">
        <f>G34*'9. Price Adj'!O6</f>
        <v>2.9030120895899465</v>
      </c>
      <c r="I34" s="485"/>
      <c r="K34" s="26"/>
      <c r="L34" s="26"/>
      <c r="M34" s="26"/>
      <c r="N34" s="26"/>
    </row>
    <row r="35" spans="1:14" x14ac:dyDescent="0.25">
      <c r="A35" s="481" t="s">
        <v>178</v>
      </c>
      <c r="B35" s="1061" t="s">
        <v>569</v>
      </c>
      <c r="C35" s="467">
        <f>'11. Diet'!J35*'8. Prices'!H35</f>
        <v>220588.51908143357</v>
      </c>
      <c r="D35" s="467">
        <f>('11. Diet'!J35*H35)*'7. BASE to LOCAL'!$O$8</f>
        <v>52867.359134385013</v>
      </c>
      <c r="E35" s="469">
        <f>(0.62/453.6)*1000</f>
        <v>1.3668430335097002</v>
      </c>
      <c r="F35" s="252">
        <v>2016</v>
      </c>
      <c r="G35" s="469">
        <f>E35*'9. Price Adj'!I6</f>
        <v>1.4962147266313932</v>
      </c>
      <c r="H35" s="479">
        <f>G35*'9. Price Adj'!O6</f>
        <v>0.84500821387125225</v>
      </c>
      <c r="I35" s="485"/>
      <c r="K35" s="26"/>
      <c r="L35" s="26"/>
      <c r="M35" s="26"/>
      <c r="N35" s="26"/>
    </row>
    <row r="36" spans="1:14" x14ac:dyDescent="0.25">
      <c r="A36" s="481" t="s">
        <v>181</v>
      </c>
      <c r="B36" s="1061" t="s">
        <v>570</v>
      </c>
      <c r="C36" s="467">
        <f>'11. Diet'!J36*'8. Prices'!H36</f>
        <v>1577175.5670746127</v>
      </c>
      <c r="D36" s="467">
        <f>('11. Diet'!J36*H36)*'7. BASE to LOCAL'!$O$8</f>
        <v>377993.86599866289</v>
      </c>
      <c r="E36" s="469">
        <f>(1.26/453.6)*1000</f>
        <v>2.7777777777777772</v>
      </c>
      <c r="F36" s="252">
        <v>2016</v>
      </c>
      <c r="G36" s="469">
        <f>E36*'9. Price Adj'!I6</f>
        <v>3.0406944444444437</v>
      </c>
      <c r="H36" s="479">
        <f>G36*'9. Price Adj'!O6</f>
        <v>1.717274757222222</v>
      </c>
      <c r="I36" s="485"/>
      <c r="K36" s="26"/>
      <c r="L36" s="26"/>
      <c r="M36" s="26"/>
      <c r="N36" s="26"/>
    </row>
    <row r="37" spans="1:14" x14ac:dyDescent="0.25">
      <c r="A37" s="481" t="s">
        <v>184</v>
      </c>
      <c r="B37" s="25" t="s">
        <v>571</v>
      </c>
      <c r="C37" s="467">
        <f>'11. Diet'!J37*'8. Prices'!H37</f>
        <v>1083302.72144734</v>
      </c>
      <c r="D37" s="467">
        <f>('11. Diet'!J37*H37)*'7. BASE to LOCAL'!$O$8</f>
        <v>259629.80423686781</v>
      </c>
      <c r="E37" s="469">
        <v>1.87</v>
      </c>
      <c r="F37" s="362">
        <v>2018</v>
      </c>
      <c r="G37" s="469">
        <f>E37*'9. Price Adj'!K6</f>
        <v>1.9810406</v>
      </c>
      <c r="H37" s="363">
        <f>G37*'9. Price Adj'!O6</f>
        <v>1.1188204134184001</v>
      </c>
      <c r="I37" s="849" t="s">
        <v>572</v>
      </c>
      <c r="K37" s="26"/>
      <c r="L37" s="26"/>
      <c r="M37" s="26"/>
      <c r="N37" s="26"/>
    </row>
    <row r="38" spans="1:14" x14ac:dyDescent="0.25">
      <c r="A38" s="481" t="s">
        <v>187</v>
      </c>
      <c r="B38" s="1061" t="s">
        <v>187</v>
      </c>
      <c r="C38" s="467">
        <f>'11. Diet'!J38*'8. Prices'!H38</f>
        <v>2258444.7719737687</v>
      </c>
      <c r="D38" s="467">
        <f>('11. Diet'!J38*H38)*'7. BASE to LOCAL'!$O$8</f>
        <v>541270.28615226317</v>
      </c>
      <c r="E38" s="469">
        <f>(1.05/453.6)*1000</f>
        <v>2.3148148148148149</v>
      </c>
      <c r="F38" s="252">
        <v>2016</v>
      </c>
      <c r="G38" s="469">
        <f>E38*'9. Price Adj'!I6</f>
        <v>2.5339120370370369</v>
      </c>
      <c r="H38" s="479">
        <f>G38*'9. Price Adj'!O6</f>
        <v>1.4310622976851852</v>
      </c>
      <c r="I38" s="485"/>
      <c r="K38" s="26"/>
      <c r="L38" s="26"/>
      <c r="M38" s="26"/>
      <c r="N38" s="26"/>
    </row>
    <row r="39" spans="1:14" x14ac:dyDescent="0.25">
      <c r="A39" s="483" t="s">
        <v>190</v>
      </c>
      <c r="B39" s="1061" t="s">
        <v>573</v>
      </c>
      <c r="C39" s="467">
        <f>'11. Diet'!J39*'8. Prices'!H39</f>
        <v>6789727.5550695788</v>
      </c>
      <c r="D39" s="467">
        <f>('11. Diet'!J39*H39)*'7. BASE to LOCAL'!$O$8</f>
        <v>1627260.4148812464</v>
      </c>
      <c r="E39" s="469">
        <f>(1.64/453.6)*1000</f>
        <v>3.6155202821869485</v>
      </c>
      <c r="F39" s="252">
        <v>2016</v>
      </c>
      <c r="G39" s="469">
        <f>E39*'9. Price Adj'!I6</f>
        <v>3.9577292768959427</v>
      </c>
      <c r="H39" s="479">
        <f>G39*'9. Price Adj'!O6</f>
        <v>2.2351830173368605</v>
      </c>
      <c r="I39" s="485"/>
      <c r="K39" s="26"/>
      <c r="L39" s="26"/>
      <c r="M39" s="26"/>
      <c r="N39" s="26"/>
    </row>
    <row r="40" spans="1:14" x14ac:dyDescent="0.25">
      <c r="A40" s="489" t="s">
        <v>555</v>
      </c>
      <c r="B40" s="1061" t="s">
        <v>574</v>
      </c>
      <c r="C40" s="467">
        <f>'11. Diet'!J40*'8. Prices'!H40</f>
        <v>1899881.5322253411</v>
      </c>
      <c r="D40" s="467">
        <f>('11. Diet'!J40*H40)*'7. BASE to LOCAL'!$O$8</f>
        <v>455335.20826559071</v>
      </c>
      <c r="E40" s="469">
        <f>(1.7/453.6)*1000</f>
        <v>3.7477954144620811</v>
      </c>
      <c r="F40" s="252">
        <v>2016</v>
      </c>
      <c r="G40" s="469">
        <f>E40*'9. Price Adj'!I22</f>
        <v>3.7894521604938269</v>
      </c>
      <c r="H40" s="479">
        <f>G40*'9. Price Adj'!O22</f>
        <v>2.578312934382716</v>
      </c>
      <c r="I40" s="849"/>
      <c r="K40" s="26"/>
      <c r="L40" s="26"/>
      <c r="M40" s="26"/>
      <c r="N40" s="26"/>
    </row>
    <row r="41" spans="1:14" x14ac:dyDescent="0.25">
      <c r="A41" s="491" t="s">
        <v>575</v>
      </c>
      <c r="B41" s="1061" t="s">
        <v>576</v>
      </c>
      <c r="C41" s="467">
        <f>('11. Diet'!$J$42*'11. Diet'!B81)*'8. Prices'!H41</f>
        <v>10628585.578417964</v>
      </c>
      <c r="D41" s="467">
        <f>(('11. Diet'!$J$42*'11. Diet'!B81)*H41)*'7. BASE to LOCAL'!$O$11</f>
        <v>9332231.1083779186</v>
      </c>
      <c r="E41" s="469">
        <f>6.48</f>
        <v>6.48</v>
      </c>
      <c r="F41" s="252">
        <v>2016</v>
      </c>
      <c r="G41" s="469">
        <f>E41*'9. Price Adj'!I30</f>
        <v>7.2284659200000005</v>
      </c>
      <c r="H41" s="469">
        <f>G41*'9. Price Adj'!O19</f>
        <v>4.5547503462489605</v>
      </c>
      <c r="I41" s="849"/>
      <c r="K41" s="26"/>
      <c r="L41" s="26"/>
      <c r="M41" s="26"/>
      <c r="N41" s="26"/>
    </row>
    <row r="42" spans="1:14" ht="30" x14ac:dyDescent="0.25">
      <c r="A42" s="491" t="s">
        <v>577</v>
      </c>
      <c r="B42" s="25" t="s">
        <v>578</v>
      </c>
      <c r="C42" s="467">
        <f>('11. Diet'!$J$42*'11. Diet'!B82)*'8. Prices'!H42</f>
        <v>32603718.151404247</v>
      </c>
      <c r="D42" s="467">
        <f>(('11. Diet'!$J$42*'11. Diet'!B82)*H42)*'7. BASE to LOCAL'!$O$11</f>
        <v>28627085.940687284</v>
      </c>
      <c r="E42" s="469">
        <f>(E58*0.75)+(E57*0.25)</f>
        <v>2.9474999999999998</v>
      </c>
      <c r="F42" s="252">
        <v>2018</v>
      </c>
      <c r="G42" s="469">
        <f>E42*'9. Price Adj'!K30</f>
        <v>3.4948301175000003</v>
      </c>
      <c r="H42" s="492">
        <f>G42*'9. Price Adj'!O30</f>
        <v>2.2443589324777955</v>
      </c>
      <c r="I42" s="850"/>
      <c r="K42" s="26"/>
      <c r="L42" s="26"/>
      <c r="M42" s="26"/>
      <c r="N42" s="26"/>
    </row>
    <row r="43" spans="1:14" ht="31.9" customHeight="1" x14ac:dyDescent="0.25">
      <c r="A43" s="493" t="s">
        <v>579</v>
      </c>
      <c r="B43" s="25" t="s">
        <v>580</v>
      </c>
      <c r="C43" s="467">
        <f>('11. Diet'!$J$42*'11. Diet'!B83)*'8. Prices'!H43</f>
        <v>11393345.551429847</v>
      </c>
      <c r="D43" s="467">
        <f>(('11. Diet'!$J$42*'11. Diet'!B83)*H43)*'7. BASE to LOCAL'!$O$11</f>
        <v>10003714.322953124</v>
      </c>
      <c r="E43" s="494"/>
      <c r="F43" s="252">
        <v>2012</v>
      </c>
      <c r="G43" s="469">
        <f>(0.25*G59)+(0.75*G60)</f>
        <v>3.5280667799999996</v>
      </c>
      <c r="H43" s="492">
        <f>G43*'9. Price Adj'!O31</f>
        <v>2.25908113636926</v>
      </c>
      <c r="I43" s="851"/>
      <c r="K43" s="26"/>
      <c r="L43" s="26"/>
      <c r="M43" s="26"/>
      <c r="N43" s="26"/>
    </row>
    <row r="44" spans="1:14" x14ac:dyDescent="0.25">
      <c r="A44" s="495" t="s">
        <v>196</v>
      </c>
      <c r="B44" s="1073" t="s">
        <v>581</v>
      </c>
      <c r="C44" s="467">
        <f>'11. Diet'!J43*'8. Prices'!$H44</f>
        <v>3305815.194714027</v>
      </c>
      <c r="D44" s="467">
        <f>('11. Diet'!J43*$H44)*'7. BASE to LOCAL'!$O$11</f>
        <v>2902609.3049768419</v>
      </c>
      <c r="E44" s="468">
        <v>0.6</v>
      </c>
      <c r="F44" s="362">
        <v>2021</v>
      </c>
      <c r="G44" s="468">
        <v>0.51</v>
      </c>
      <c r="H44" s="363">
        <f>G44</f>
        <v>0.51</v>
      </c>
      <c r="I44" s="496"/>
      <c r="K44" s="26"/>
      <c r="L44" s="26"/>
      <c r="M44" s="26"/>
      <c r="N44" s="26"/>
    </row>
    <row r="45" spans="1:14" x14ac:dyDescent="0.25">
      <c r="A45" s="497" t="s">
        <v>199</v>
      </c>
      <c r="B45" s="1073" t="s">
        <v>582</v>
      </c>
      <c r="C45" s="467">
        <f>'11. Diet'!J44*'8. Prices'!H45</f>
        <v>6205334.1842410248</v>
      </c>
      <c r="D45" s="467">
        <f>('11. Diet'!J44*H45)*'7. BASE to LOCAL'!$O$12</f>
        <v>5334646.0163547723</v>
      </c>
      <c r="E45" s="367">
        <v>1.25</v>
      </c>
      <c r="F45" s="362">
        <v>2021</v>
      </c>
      <c r="G45" s="368">
        <v>1.06</v>
      </c>
      <c r="H45" s="133">
        <f>G45*'9. Price Adj'!O15</f>
        <v>0.80790338000000006</v>
      </c>
      <c r="I45" s="496"/>
      <c r="K45" s="26"/>
      <c r="L45" s="26"/>
      <c r="M45" s="26"/>
      <c r="N45" s="26"/>
    </row>
    <row r="46" spans="1:14" x14ac:dyDescent="0.25">
      <c r="A46" s="498" t="s">
        <v>201</v>
      </c>
      <c r="B46" s="1073" t="s">
        <v>201</v>
      </c>
      <c r="C46" s="467">
        <f>'11. Diet'!J45*'8. Prices'!H46</f>
        <v>4190329.6730960296</v>
      </c>
      <c r="D46" s="467">
        <f>('11. Diet'!J45*H46)*'7. BASE to LOCAL'!$O$12</f>
        <v>3602372.5449895398</v>
      </c>
      <c r="E46" s="368">
        <v>2.71</v>
      </c>
      <c r="F46" s="362">
        <v>2013</v>
      </c>
      <c r="G46" s="368">
        <f>E46*'9. Price Adj'!F18</f>
        <v>2.6886858500000002</v>
      </c>
      <c r="H46" s="133">
        <f>G46*'9. Price Adj'!O18</f>
        <v>2.1822396059222999</v>
      </c>
      <c r="I46" s="851"/>
      <c r="K46" s="26"/>
      <c r="L46" s="26"/>
      <c r="M46" s="26"/>
      <c r="N46" s="26"/>
    </row>
    <row r="47" spans="1:14" x14ac:dyDescent="0.25">
      <c r="A47" s="499" t="s">
        <v>204</v>
      </c>
      <c r="B47" s="1073" t="s">
        <v>583</v>
      </c>
      <c r="C47" s="467">
        <f>'11. Diet'!J46*'8. Prices'!H47</f>
        <v>16924415.374307279</v>
      </c>
      <c r="D47" s="467">
        <f>('11. Diet'!J46*H47)*'7. BASE to LOCAL'!$O$13</f>
        <v>14808876.357663756</v>
      </c>
      <c r="E47" s="468">
        <v>0.95</v>
      </c>
      <c r="F47" s="362">
        <v>2020</v>
      </c>
      <c r="G47" s="469">
        <v>0.84</v>
      </c>
      <c r="H47" s="479">
        <f>G47</f>
        <v>0.84</v>
      </c>
      <c r="I47" s="496"/>
      <c r="K47" s="26"/>
      <c r="L47" s="26"/>
      <c r="M47" s="26"/>
      <c r="N47" s="26"/>
    </row>
    <row r="48" spans="1:14" x14ac:dyDescent="0.25">
      <c r="A48" s="500" t="s">
        <v>205</v>
      </c>
      <c r="B48" s="5" t="s">
        <v>584</v>
      </c>
      <c r="C48" s="467">
        <f>'11. Diet'!J47*'8. Prices'!H48</f>
        <v>1542138.4798772747</v>
      </c>
      <c r="D48" s="467">
        <f>('11. Diet'!J47*H48)*'7. BASE to LOCAL'!$O$13</f>
        <v>1349372.3457985523</v>
      </c>
      <c r="E48" s="468">
        <v>1.22</v>
      </c>
      <c r="F48" s="362">
        <v>2018</v>
      </c>
      <c r="G48" s="468">
        <f>E48*'9. Price Adj'!K20</f>
        <v>1.19763252</v>
      </c>
      <c r="H48" s="363">
        <f>G48*'9. Price Adj'!O20</f>
        <v>0.83997633475727995</v>
      </c>
      <c r="I48" s="848" t="s">
        <v>585</v>
      </c>
      <c r="K48" s="26"/>
      <c r="L48" s="26"/>
      <c r="M48" s="26"/>
      <c r="N48" s="26"/>
    </row>
    <row r="49" spans="1:14" x14ac:dyDescent="0.25">
      <c r="A49" s="522" t="s">
        <v>207</v>
      </c>
      <c r="C49" s="467">
        <f>'14. Land Req '!B49*H49</f>
        <v>322415877.12655336</v>
      </c>
      <c r="D49" s="467">
        <f>'14. Land Req '!C49*H49</f>
        <v>273344662.24202669</v>
      </c>
      <c r="E49"/>
      <c r="F49" s="362">
        <v>2012</v>
      </c>
      <c r="G49" s="468"/>
      <c r="H49" s="468">
        <v>0.27239999999999998</v>
      </c>
      <c r="I49" s="848"/>
      <c r="K49" s="26"/>
      <c r="L49" s="26"/>
      <c r="M49" s="26"/>
      <c r="N49" s="26"/>
    </row>
    <row r="50" spans="1:14" x14ac:dyDescent="0.25">
      <c r="A50" s="523" t="s">
        <v>210</v>
      </c>
      <c r="B50" s="177"/>
      <c r="C50" s="501">
        <f>'14. Land Req '!B50 *H50</f>
        <v>178823544.50880188</v>
      </c>
      <c r="D50" s="501">
        <f>'14. Land Req '!C50 *H50</f>
        <v>151606868.15523699</v>
      </c>
      <c r="E50" s="16"/>
      <c r="F50" s="502">
        <v>2012</v>
      </c>
      <c r="G50" s="503"/>
      <c r="H50" s="503">
        <v>0.52910000000000001</v>
      </c>
      <c r="I50" s="852"/>
      <c r="K50" s="26"/>
      <c r="L50" s="26"/>
      <c r="M50" s="26"/>
      <c r="N50" s="26"/>
    </row>
    <row r="51" spans="1:14" x14ac:dyDescent="0.25">
      <c r="A51" s="1084"/>
      <c r="C51" s="366"/>
      <c r="D51" s="378"/>
      <c r="E51"/>
      <c r="F51" s="362"/>
      <c r="G51" s="369"/>
      <c r="H51" s="369"/>
      <c r="K51" s="26"/>
      <c r="L51" s="26"/>
      <c r="M51" s="26"/>
      <c r="N51" s="26"/>
    </row>
    <row r="52" spans="1:14" x14ac:dyDescent="0.25">
      <c r="A52" s="7" t="s">
        <v>586</v>
      </c>
      <c r="K52" s="26"/>
      <c r="L52" s="26"/>
      <c r="M52" s="26"/>
      <c r="N52" s="26"/>
    </row>
    <row r="53" spans="1:14" ht="45" x14ac:dyDescent="0.25">
      <c r="A53" s="1148" t="s">
        <v>587</v>
      </c>
      <c r="B53" s="442" t="s">
        <v>588</v>
      </c>
      <c r="C53" s="443"/>
      <c r="D53" s="443"/>
      <c r="E53" s="444">
        <f>((1.41+1.26/2)/453.6)*1000</f>
        <v>4.4973544973544977</v>
      </c>
      <c r="F53" s="445">
        <v>2016</v>
      </c>
      <c r="G53" s="444"/>
      <c r="H53" s="446"/>
      <c r="I53" s="447" t="s">
        <v>528</v>
      </c>
      <c r="K53" s="26"/>
      <c r="L53" s="26"/>
      <c r="M53" s="26"/>
      <c r="N53" s="26"/>
    </row>
    <row r="54" spans="1:14" x14ac:dyDescent="0.25">
      <c r="A54" s="1149"/>
      <c r="B54" s="1063" t="s">
        <v>589</v>
      </c>
      <c r="C54" s="448"/>
      <c r="D54" s="448"/>
      <c r="E54" s="449">
        <v>2.31</v>
      </c>
      <c r="F54" s="371">
        <v>2016</v>
      </c>
      <c r="G54" s="449"/>
      <c r="H54" s="450"/>
      <c r="I54" s="451" t="s">
        <v>528</v>
      </c>
      <c r="K54" s="26"/>
      <c r="L54" s="26"/>
      <c r="M54" s="26"/>
      <c r="N54" s="26"/>
    </row>
    <row r="55" spans="1:14" x14ac:dyDescent="0.25">
      <c r="A55" s="1149"/>
      <c r="B55" s="1063" t="s">
        <v>590</v>
      </c>
      <c r="C55" s="448"/>
      <c r="D55" s="448"/>
      <c r="E55" s="449">
        <v>5.75</v>
      </c>
      <c r="F55" s="371">
        <v>2016</v>
      </c>
      <c r="G55" s="449"/>
      <c r="H55" s="450"/>
      <c r="I55" s="451" t="s">
        <v>528</v>
      </c>
      <c r="K55" s="26"/>
      <c r="L55" s="26"/>
      <c r="M55" s="26"/>
      <c r="N55" s="26"/>
    </row>
    <row r="56" spans="1:14" x14ac:dyDescent="0.25">
      <c r="A56" s="1149"/>
      <c r="B56" s="1063" t="s">
        <v>591</v>
      </c>
      <c r="C56" s="448"/>
      <c r="D56" s="448"/>
      <c r="E56" s="449">
        <v>1.35</v>
      </c>
      <c r="F56" s="371">
        <v>2016</v>
      </c>
      <c r="G56" s="449"/>
      <c r="H56" s="450"/>
      <c r="I56" s="451" t="s">
        <v>528</v>
      </c>
      <c r="K56" s="26"/>
      <c r="L56" s="26"/>
      <c r="M56" s="26"/>
      <c r="N56" s="26"/>
    </row>
    <row r="57" spans="1:14" x14ac:dyDescent="0.25">
      <c r="A57" s="1145" t="s">
        <v>592</v>
      </c>
      <c r="B57" s="462" t="s">
        <v>593</v>
      </c>
      <c r="C57" s="443"/>
      <c r="D57" s="443"/>
      <c r="E57" s="444">
        <v>4.05</v>
      </c>
      <c r="F57" s="445">
        <v>2018</v>
      </c>
      <c r="G57" s="463">
        <f>E57*'9. Price Adj'!K30</f>
        <v>4.8020566499999999</v>
      </c>
      <c r="H57" s="464">
        <f>G57*'9. Price Adj'!O30</f>
        <v>3.0838519682901002</v>
      </c>
      <c r="I57" s="465"/>
      <c r="K57" s="26"/>
      <c r="L57" s="26"/>
      <c r="M57" s="26"/>
      <c r="N57" s="26"/>
    </row>
    <row r="58" spans="1:14" x14ac:dyDescent="0.25">
      <c r="A58" s="1146"/>
      <c r="B58" s="1078" t="s">
        <v>594</v>
      </c>
      <c r="C58" s="448"/>
      <c r="D58" s="448"/>
      <c r="E58" s="449">
        <v>2.58</v>
      </c>
      <c r="F58" s="371">
        <v>2018</v>
      </c>
      <c r="G58" s="452">
        <f>E58*'9. Price Adj'!K30</f>
        <v>3.0590879400000004</v>
      </c>
      <c r="H58" s="374">
        <f>G58*'9. Price Adj'!O30</f>
        <v>1.9645279205403603</v>
      </c>
      <c r="I58" s="453"/>
      <c r="K58" s="26"/>
      <c r="L58" s="26"/>
      <c r="M58" s="26"/>
      <c r="N58" s="26"/>
    </row>
    <row r="59" spans="1:14" x14ac:dyDescent="0.25">
      <c r="A59" s="1146"/>
      <c r="B59" s="364" t="s">
        <v>595</v>
      </c>
      <c r="C59" s="448"/>
      <c r="D59" s="448"/>
      <c r="E59" s="449">
        <f>(6.31 +6.02)/2</f>
        <v>6.1649999999999991</v>
      </c>
      <c r="F59" s="371">
        <v>2010</v>
      </c>
      <c r="G59" s="452">
        <f>E59*'9. Price Adj'!C31</f>
        <v>5.7068665199999993</v>
      </c>
      <c r="H59" s="374">
        <f>G59*'9. Price Adj'!O31</f>
        <v>3.6542036494868397</v>
      </c>
      <c r="I59" s="454"/>
      <c r="K59" s="26"/>
      <c r="L59" s="26"/>
      <c r="M59" s="26"/>
      <c r="N59" s="26"/>
    </row>
    <row r="60" spans="1:14" ht="17.25" customHeight="1" x14ac:dyDescent="0.25">
      <c r="A60" s="1147"/>
      <c r="B60" s="455" t="s">
        <v>596</v>
      </c>
      <c r="C60" s="456"/>
      <c r="D60" s="456"/>
      <c r="E60" s="457">
        <v>2.76</v>
      </c>
      <c r="F60" s="458">
        <v>2017</v>
      </c>
      <c r="G60" s="459">
        <f>E60*'9. Price Adj'!J31</f>
        <v>2.8018001999999997</v>
      </c>
      <c r="H60" s="460">
        <f>G60*'9. Price Adj'!O31</f>
        <v>1.7940402986633999</v>
      </c>
      <c r="I60" s="461"/>
      <c r="K60" s="26"/>
      <c r="L60" s="26"/>
      <c r="M60" s="26"/>
      <c r="N60" s="26"/>
    </row>
    <row r="61" spans="1:14" ht="17.25" customHeight="1" x14ac:dyDescent="0.25">
      <c r="A61" s="372"/>
      <c r="B61" s="1078"/>
      <c r="C61" s="370"/>
      <c r="D61" s="370"/>
      <c r="E61" s="375"/>
      <c r="F61" s="371"/>
      <c r="G61" s="373"/>
      <c r="H61" s="374"/>
      <c r="I61" s="376"/>
      <c r="K61" s="26"/>
      <c r="L61" s="26"/>
      <c r="M61" s="26"/>
      <c r="N61" s="26"/>
    </row>
    <row r="62" spans="1:14" x14ac:dyDescent="0.25">
      <c r="A62" s="30" t="s">
        <v>307</v>
      </c>
      <c r="B62" s="360"/>
      <c r="C62" s="214"/>
      <c r="D62" s="214"/>
      <c r="E62" s="76"/>
      <c r="F62" s="57"/>
      <c r="G62" s="76"/>
      <c r="H62" s="361"/>
      <c r="I62" s="43"/>
    </row>
    <row r="63" spans="1:14" ht="30" customHeight="1" x14ac:dyDescent="0.25">
      <c r="A63" s="1077" t="s">
        <v>597</v>
      </c>
      <c r="B63" s="1151" t="s">
        <v>598</v>
      </c>
      <c r="C63" s="1151"/>
      <c r="D63" s="1151"/>
      <c r="E63" s="1151"/>
      <c r="F63" s="1151"/>
      <c r="G63" s="1151"/>
      <c r="H63" s="1151"/>
      <c r="I63" s="853"/>
    </row>
    <row r="64" spans="1:14" ht="42.6" customHeight="1" x14ac:dyDescent="0.25">
      <c r="A64" s="1077" t="s">
        <v>599</v>
      </c>
      <c r="B64" s="1143" t="s">
        <v>600</v>
      </c>
      <c r="C64" s="1143"/>
      <c r="D64" s="1143"/>
      <c r="E64" s="1143"/>
      <c r="F64" s="1143"/>
      <c r="G64" s="1143"/>
      <c r="H64" s="1143"/>
    </row>
    <row r="65" spans="1:9" ht="75" customHeight="1" x14ac:dyDescent="0.25">
      <c r="A65" s="1077" t="s">
        <v>601</v>
      </c>
      <c r="B65" s="1143" t="s">
        <v>602</v>
      </c>
      <c r="C65" s="1143"/>
      <c r="D65" s="1143"/>
      <c r="E65" s="1143"/>
      <c r="F65" s="1143"/>
      <c r="G65" s="1143"/>
      <c r="H65" s="1143"/>
    </row>
    <row r="66" spans="1:9" ht="43.15" customHeight="1" x14ac:dyDescent="0.25">
      <c r="A66" s="3" t="s">
        <v>146</v>
      </c>
      <c r="B66" s="1143" t="s">
        <v>603</v>
      </c>
      <c r="C66" s="1143"/>
      <c r="D66" s="1143"/>
      <c r="E66" s="1143"/>
      <c r="F66" s="1143"/>
      <c r="G66" s="1143"/>
      <c r="H66" s="1143"/>
    </row>
    <row r="67" spans="1:9" ht="43.9" customHeight="1" x14ac:dyDescent="0.25">
      <c r="A67" s="3" t="s">
        <v>604</v>
      </c>
      <c r="B67" s="1143" t="s">
        <v>605</v>
      </c>
      <c r="C67" s="1143"/>
      <c r="D67" s="1143"/>
      <c r="E67" s="1143"/>
      <c r="F67" s="1143"/>
      <c r="G67" s="1143"/>
      <c r="H67" s="1143"/>
    </row>
    <row r="68" spans="1:9" ht="46.5" customHeight="1" x14ac:dyDescent="0.25">
      <c r="A68" s="3" t="s">
        <v>606</v>
      </c>
      <c r="B68" s="1143" t="s">
        <v>607</v>
      </c>
      <c r="C68" s="1143"/>
      <c r="D68" s="1143"/>
      <c r="E68" s="1143"/>
      <c r="F68" s="1143"/>
      <c r="G68" s="1143"/>
      <c r="H68" s="1143"/>
    </row>
    <row r="69" spans="1:9" ht="29.25" customHeight="1" x14ac:dyDescent="0.25">
      <c r="A69" s="3" t="s">
        <v>608</v>
      </c>
      <c r="B69" s="1143" t="s">
        <v>609</v>
      </c>
      <c r="C69" s="1143"/>
      <c r="D69" s="1143"/>
      <c r="E69" s="1143"/>
      <c r="F69" s="1143"/>
      <c r="G69" s="1143"/>
      <c r="H69" s="1143"/>
    </row>
    <row r="70" spans="1:9" ht="43.5" customHeight="1" x14ac:dyDescent="0.25">
      <c r="A70" s="3" t="s">
        <v>592</v>
      </c>
      <c r="B70" s="1143" t="s">
        <v>610</v>
      </c>
      <c r="C70" s="1143"/>
      <c r="D70" s="1143"/>
      <c r="E70" s="1143"/>
      <c r="F70" s="1143"/>
      <c r="G70" s="1143"/>
      <c r="H70" s="1143"/>
    </row>
    <row r="71" spans="1:9" ht="43.5" customHeight="1" x14ac:dyDescent="0.25">
      <c r="A71" s="3" t="s">
        <v>611</v>
      </c>
      <c r="B71" s="1143" t="s">
        <v>612</v>
      </c>
      <c r="C71" s="1143"/>
      <c r="D71" s="1143"/>
      <c r="E71" s="1143"/>
      <c r="F71" s="1143"/>
      <c r="G71" s="1143"/>
      <c r="H71" s="1143"/>
    </row>
    <row r="72" spans="1:9" ht="43.5" customHeight="1" x14ac:dyDescent="0.25">
      <c r="A72" s="3" t="s">
        <v>613</v>
      </c>
      <c r="B72" s="1143" t="s">
        <v>614</v>
      </c>
      <c r="C72" s="1143"/>
      <c r="D72" s="1143"/>
      <c r="E72" s="1143"/>
      <c r="F72" s="1143"/>
      <c r="G72" s="1143"/>
      <c r="H72" s="1143"/>
    </row>
    <row r="73" spans="1:9" ht="43.5" customHeight="1" x14ac:dyDescent="0.25">
      <c r="A73" s="3" t="s">
        <v>615</v>
      </c>
      <c r="B73" s="1150" t="s">
        <v>616</v>
      </c>
      <c r="C73" s="1150"/>
      <c r="D73" s="1150"/>
      <c r="E73" s="1150"/>
      <c r="F73" s="1150"/>
      <c r="G73" s="1150"/>
      <c r="H73" s="1150"/>
    </row>
    <row r="74" spans="1:9" ht="30.75" customHeight="1" x14ac:dyDescent="0.25">
      <c r="A74" s="3" t="s">
        <v>617</v>
      </c>
      <c r="B74" s="1143" t="s">
        <v>618</v>
      </c>
      <c r="C74" s="1143"/>
      <c r="D74" s="1143"/>
      <c r="E74" s="1143"/>
      <c r="F74" s="1143"/>
      <c r="G74" s="1143"/>
      <c r="H74" s="1143"/>
    </row>
    <row r="75" spans="1:9" ht="42.75" customHeight="1" x14ac:dyDescent="0.25">
      <c r="A75" s="3" t="s">
        <v>619</v>
      </c>
      <c r="B75" s="1143" t="s">
        <v>620</v>
      </c>
      <c r="C75" s="1143"/>
      <c r="D75" s="1143"/>
      <c r="E75" s="1143"/>
      <c r="F75" s="1143"/>
      <c r="G75" s="1143"/>
      <c r="H75" s="1143"/>
    </row>
    <row r="76" spans="1:9" ht="30.75" customHeight="1" x14ac:dyDescent="0.25">
      <c r="A76" s="1077" t="s">
        <v>621</v>
      </c>
      <c r="B76" s="1143" t="s">
        <v>622</v>
      </c>
      <c r="C76" s="1143"/>
      <c r="D76" s="1143"/>
      <c r="E76" s="1143"/>
      <c r="F76" s="1143"/>
      <c r="G76" s="1143"/>
      <c r="H76" s="1143"/>
    </row>
    <row r="77" spans="1:9" ht="30.75" customHeight="1" x14ac:dyDescent="0.25">
      <c r="A77" s="1077" t="s">
        <v>623</v>
      </c>
      <c r="B77" s="1143" t="s">
        <v>624</v>
      </c>
      <c r="C77" s="1143"/>
      <c r="D77" s="1143"/>
      <c r="E77" s="1143"/>
      <c r="F77" s="1143"/>
      <c r="G77" s="1143"/>
      <c r="H77" s="1143"/>
    </row>
    <row r="78" spans="1:9" ht="29.25" customHeight="1" x14ac:dyDescent="0.25">
      <c r="A78" s="3" t="s">
        <v>625</v>
      </c>
      <c r="B78" s="1143" t="s">
        <v>626</v>
      </c>
      <c r="C78" s="1143"/>
      <c r="D78" s="1143"/>
      <c r="E78" s="1143"/>
      <c r="F78" s="1143"/>
      <c r="G78" s="1143"/>
      <c r="H78" s="1143"/>
    </row>
    <row r="79" spans="1:9" ht="57.6" customHeight="1" x14ac:dyDescent="0.25">
      <c r="A79" s="3" t="s">
        <v>627</v>
      </c>
      <c r="B79" s="1143" t="s">
        <v>628</v>
      </c>
      <c r="C79" s="1143"/>
      <c r="D79" s="1143"/>
      <c r="E79" s="1143"/>
      <c r="F79" s="1143"/>
      <c r="G79" s="1143"/>
      <c r="H79" s="1143"/>
      <c r="I79" s="9"/>
    </row>
    <row r="80" spans="1:9" ht="42.6" customHeight="1" x14ac:dyDescent="0.25">
      <c r="A80" s="3" t="s">
        <v>629</v>
      </c>
      <c r="B80" s="1143" t="s">
        <v>630</v>
      </c>
      <c r="C80" s="1143"/>
      <c r="D80" s="1143"/>
      <c r="E80" s="1143"/>
      <c r="F80" s="1143"/>
      <c r="G80" s="1143"/>
      <c r="H80" s="1143"/>
    </row>
    <row r="81" spans="1:9" ht="32.25" customHeight="1" x14ac:dyDescent="0.25">
      <c r="A81" s="1077" t="s">
        <v>631</v>
      </c>
      <c r="B81" s="1143" t="s">
        <v>632</v>
      </c>
      <c r="C81" s="1143"/>
      <c r="D81" s="1143"/>
      <c r="E81" s="1143"/>
      <c r="F81" s="1143"/>
      <c r="G81" s="1143"/>
      <c r="H81" s="1143"/>
    </row>
    <row r="82" spans="1:9" ht="32.25" customHeight="1" x14ac:dyDescent="0.25">
      <c r="A82" s="1077" t="s">
        <v>633</v>
      </c>
      <c r="B82" s="1143" t="s">
        <v>634</v>
      </c>
      <c r="C82" s="1143"/>
      <c r="D82" s="1143"/>
      <c r="E82" s="1143"/>
      <c r="F82" s="1143"/>
      <c r="G82" s="1143"/>
      <c r="H82" s="1143"/>
    </row>
    <row r="83" spans="1:9" ht="14.45" customHeight="1" x14ac:dyDescent="0.25">
      <c r="B83"/>
      <c r="C83"/>
      <c r="D83"/>
      <c r="E83"/>
      <c r="F83"/>
      <c r="G83"/>
      <c r="H83"/>
    </row>
    <row r="84" spans="1:9" x14ac:dyDescent="0.25">
      <c r="A84" s="1127" t="s">
        <v>206</v>
      </c>
      <c r="B84" s="1127"/>
      <c r="C84" s="1127"/>
      <c r="D84" s="1127"/>
      <c r="E84" s="1127"/>
      <c r="F84" s="1127"/>
      <c r="G84" s="1127"/>
      <c r="H84" s="1127"/>
      <c r="I84" s="1127"/>
    </row>
    <row r="85" spans="1:9" ht="29.25" customHeight="1" x14ac:dyDescent="0.25">
      <c r="A85" t="s">
        <v>635</v>
      </c>
      <c r="B85" s="1144" t="s">
        <v>636</v>
      </c>
      <c r="C85" s="1144"/>
      <c r="D85" s="1144"/>
      <c r="E85" s="1144"/>
      <c r="F85" s="1144"/>
      <c r="G85" s="1144"/>
      <c r="H85" s="1144"/>
    </row>
    <row r="86" spans="1:9" ht="36" customHeight="1" x14ac:dyDescent="0.25">
      <c r="A86" t="s">
        <v>149</v>
      </c>
      <c r="B86" s="1125" t="s">
        <v>637</v>
      </c>
      <c r="C86" s="1125"/>
      <c r="D86" s="1125"/>
      <c r="E86" s="1125"/>
      <c r="F86" s="1125"/>
      <c r="G86" s="1125"/>
      <c r="H86" s="1125"/>
    </row>
    <row r="87" spans="1:9" x14ac:dyDescent="0.25">
      <c r="A87" t="s">
        <v>638</v>
      </c>
      <c r="B87" s="1095" t="s">
        <v>639</v>
      </c>
      <c r="C87" s="1095"/>
      <c r="D87" s="1095"/>
      <c r="E87" s="1095"/>
      <c r="F87" s="1095"/>
      <c r="G87" s="1095"/>
      <c r="H87" s="1095"/>
    </row>
    <row r="88" spans="1:9" x14ac:dyDescent="0.25">
      <c r="A88" t="s">
        <v>83</v>
      </c>
      <c r="B88" s="1096" t="s">
        <v>640</v>
      </c>
      <c r="C88" s="1096"/>
      <c r="D88" s="1096"/>
      <c r="E88" s="1096"/>
      <c r="F88" s="1096"/>
      <c r="G88" s="1096"/>
      <c r="H88" s="1096"/>
    </row>
    <row r="89" spans="1:9" x14ac:dyDescent="0.25">
      <c r="A89" t="s">
        <v>641</v>
      </c>
      <c r="B89" s="1096" t="s">
        <v>642</v>
      </c>
      <c r="C89" s="1096"/>
      <c r="D89" s="1096"/>
      <c r="E89" s="1096"/>
      <c r="F89" s="1096"/>
      <c r="G89" s="1096"/>
      <c r="H89" s="1096"/>
    </row>
    <row r="90" spans="1:9" x14ac:dyDescent="0.25">
      <c r="A90" t="s">
        <v>196</v>
      </c>
      <c r="B90" s="1096" t="s">
        <v>643</v>
      </c>
      <c r="C90" s="1096"/>
      <c r="D90" s="1096"/>
      <c r="E90" s="1096"/>
      <c r="F90" s="1096"/>
      <c r="G90" s="1096"/>
      <c r="H90" s="1096"/>
    </row>
    <row r="91" spans="1:9" x14ac:dyDescent="0.25">
      <c r="A91" t="s">
        <v>644</v>
      </c>
      <c r="B91" s="1096" t="s">
        <v>645</v>
      </c>
      <c r="C91" s="1096"/>
      <c r="D91" s="1096"/>
      <c r="E91" s="1096"/>
      <c r="F91" s="1096"/>
      <c r="G91" s="1096"/>
      <c r="H91" s="1096"/>
    </row>
    <row r="92" spans="1:9" x14ac:dyDescent="0.25">
      <c r="A92" t="s">
        <v>646</v>
      </c>
      <c r="B92" s="1096" t="s">
        <v>647</v>
      </c>
      <c r="C92" s="1096"/>
      <c r="D92" s="1096"/>
      <c r="E92" s="1096"/>
      <c r="F92" s="1096"/>
      <c r="G92" s="1096"/>
      <c r="H92" s="1096"/>
    </row>
    <row r="94" spans="1:9" x14ac:dyDescent="0.25">
      <c r="A94" s="1127" t="s">
        <v>314</v>
      </c>
      <c r="B94" s="1127"/>
      <c r="C94" s="1127"/>
      <c r="D94" s="1127"/>
      <c r="E94" s="1127"/>
      <c r="F94" s="1127"/>
      <c r="G94" s="1127"/>
      <c r="H94" s="1127"/>
      <c r="I94" s="1127"/>
    </row>
    <row r="95" spans="1:9" ht="30" x14ac:dyDescent="0.25">
      <c r="A95" s="5" t="s">
        <v>648</v>
      </c>
      <c r="B95" s="1152" t="s">
        <v>649</v>
      </c>
      <c r="C95" s="1152"/>
      <c r="D95" s="1152"/>
      <c r="E95" s="1152"/>
      <c r="F95" s="1152"/>
      <c r="G95" s="1152"/>
      <c r="H95" s="1152"/>
      <c r="I95" s="1152"/>
    </row>
    <row r="96" spans="1:9" ht="30" x14ac:dyDescent="0.25">
      <c r="A96" s="5" t="s">
        <v>650</v>
      </c>
      <c r="B96" s="1108" t="s">
        <v>651</v>
      </c>
      <c r="C96" s="1108"/>
      <c r="D96" s="1108"/>
      <c r="E96" s="1108"/>
      <c r="F96" s="1108"/>
      <c r="G96" s="1108"/>
      <c r="H96" s="1108"/>
      <c r="I96" s="1108"/>
    </row>
    <row r="97" spans="1:9" ht="45" x14ac:dyDescent="0.25">
      <c r="A97" s="5" t="s">
        <v>652</v>
      </c>
      <c r="B97" s="1108" t="s">
        <v>653</v>
      </c>
      <c r="C97" s="1108"/>
      <c r="D97" s="1108"/>
      <c r="E97" s="1108"/>
      <c r="F97" s="1108"/>
      <c r="G97" s="1108"/>
      <c r="H97" s="1108"/>
      <c r="I97" s="1108"/>
    </row>
    <row r="98" spans="1:9" ht="45" x14ac:dyDescent="0.25">
      <c r="A98" s="5" t="s">
        <v>654</v>
      </c>
      <c r="B98" s="1108" t="s">
        <v>655</v>
      </c>
      <c r="C98" s="1108"/>
      <c r="D98" s="1108"/>
      <c r="E98" s="1108"/>
      <c r="F98" s="1108"/>
      <c r="G98" s="1108"/>
      <c r="H98" s="1108"/>
      <c r="I98" s="1108"/>
    </row>
  </sheetData>
  <mergeCells count="37">
    <mergeCell ref="A94:I94"/>
    <mergeCell ref="B95:I95"/>
    <mergeCell ref="B96:I96"/>
    <mergeCell ref="B97:I97"/>
    <mergeCell ref="B98:I98"/>
    <mergeCell ref="B63:H63"/>
    <mergeCell ref="B75:H75"/>
    <mergeCell ref="B68:H68"/>
    <mergeCell ref="B69:H69"/>
    <mergeCell ref="B74:H74"/>
    <mergeCell ref="B64:H64"/>
    <mergeCell ref="B70:H70"/>
    <mergeCell ref="B78:H78"/>
    <mergeCell ref="B65:H65"/>
    <mergeCell ref="B82:H82"/>
    <mergeCell ref="B66:H66"/>
    <mergeCell ref="B79:H79"/>
    <mergeCell ref="B72:H72"/>
    <mergeCell ref="B71:H71"/>
    <mergeCell ref="B80:H80"/>
    <mergeCell ref="B76:H76"/>
    <mergeCell ref="A1:I1"/>
    <mergeCell ref="B91:H91"/>
    <mergeCell ref="B92:H92"/>
    <mergeCell ref="B81:H81"/>
    <mergeCell ref="B85:H85"/>
    <mergeCell ref="B87:H87"/>
    <mergeCell ref="B88:H88"/>
    <mergeCell ref="B89:H89"/>
    <mergeCell ref="B90:H90"/>
    <mergeCell ref="A84:I84"/>
    <mergeCell ref="A57:A60"/>
    <mergeCell ref="A53:A56"/>
    <mergeCell ref="B73:H73"/>
    <mergeCell ref="B67:H67"/>
    <mergeCell ref="B86:H86"/>
    <mergeCell ref="B77:H77"/>
  </mergeCells>
  <pageMargins left="0.7" right="0.7" top="0.75" bottom="0.75" header="0.3" footer="0.3"/>
  <pageSetup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9761A-F8E7-4B12-9EF5-AC61FE39CFCD}">
  <dimension ref="A1:W46"/>
  <sheetViews>
    <sheetView topLeftCell="A22" workbookViewId="0">
      <selection activeCell="A43" sqref="A43:J43"/>
    </sheetView>
  </sheetViews>
  <sheetFormatPr defaultColWidth="9.140625" defaultRowHeight="15" x14ac:dyDescent="0.25"/>
  <cols>
    <col min="1" max="1" width="12.7109375" customWidth="1"/>
    <col min="2" max="2" width="56.28515625" customWidth="1"/>
    <col min="12" max="12" width="5.42578125" customWidth="1"/>
    <col min="13" max="14" width="7.140625" bestFit="1" customWidth="1"/>
    <col min="15" max="15" width="9" bestFit="1" customWidth="1"/>
    <col min="33" max="34" width="9.140625" bestFit="1" customWidth="1"/>
  </cols>
  <sheetData>
    <row r="1" spans="1:23" x14ac:dyDescent="0.25">
      <c r="A1" s="7" t="s">
        <v>656</v>
      </c>
    </row>
    <row r="2" spans="1:23" x14ac:dyDescent="0.25">
      <c r="A2" s="7"/>
      <c r="C2" s="1153" t="s">
        <v>657</v>
      </c>
      <c r="D2" s="1153"/>
      <c r="E2" s="1153"/>
      <c r="F2" s="1153"/>
      <c r="G2" s="1153"/>
      <c r="H2" s="1153"/>
      <c r="I2" s="1153"/>
      <c r="J2" s="1153"/>
      <c r="K2" s="1153"/>
      <c r="M2" s="1153" t="s">
        <v>658</v>
      </c>
      <c r="N2" s="1153"/>
      <c r="O2" s="1153"/>
      <c r="P2" s="1153"/>
      <c r="Q2" s="1153"/>
      <c r="R2" s="1153"/>
      <c r="S2" s="1153"/>
      <c r="T2" s="1153"/>
      <c r="U2" s="1153"/>
      <c r="V2" s="1079"/>
      <c r="W2" s="1079"/>
    </row>
    <row r="3" spans="1:23" x14ac:dyDescent="0.25">
      <c r="A3" s="7"/>
      <c r="C3" s="38">
        <v>2010</v>
      </c>
      <c r="D3" s="38">
        <v>2011</v>
      </c>
      <c r="E3" s="38">
        <v>2012</v>
      </c>
      <c r="F3" s="38">
        <v>2013</v>
      </c>
      <c r="G3" s="38">
        <v>2014</v>
      </c>
      <c r="H3" s="38">
        <v>2015</v>
      </c>
      <c r="I3" s="38">
        <v>2016</v>
      </c>
      <c r="J3" s="38">
        <v>2017</v>
      </c>
      <c r="K3" s="38">
        <v>2018</v>
      </c>
      <c r="L3" s="9"/>
      <c r="M3" s="38">
        <v>2010</v>
      </c>
      <c r="N3" s="38">
        <v>2011</v>
      </c>
      <c r="O3" s="38">
        <v>2012</v>
      </c>
      <c r="P3" s="38">
        <v>2013</v>
      </c>
      <c r="Q3" s="38">
        <v>2014</v>
      </c>
      <c r="R3" s="38">
        <v>2015</v>
      </c>
      <c r="S3" s="38">
        <v>2016</v>
      </c>
      <c r="T3" s="38">
        <v>2017</v>
      </c>
      <c r="U3" s="38">
        <v>2018</v>
      </c>
    </row>
    <row r="4" spans="1:23" x14ac:dyDescent="0.25">
      <c r="A4" t="s">
        <v>659</v>
      </c>
      <c r="B4" t="s">
        <v>391</v>
      </c>
      <c r="C4" s="702">
        <v>0.72316000000000003</v>
      </c>
      <c r="D4" s="702">
        <v>0.89600000000000002</v>
      </c>
      <c r="E4" s="702">
        <v>1</v>
      </c>
      <c r="F4" s="702">
        <v>0.99529000000000001</v>
      </c>
      <c r="G4" s="702">
        <v>0.87450000000000006</v>
      </c>
      <c r="H4" s="702">
        <v>0.67423</v>
      </c>
      <c r="I4" s="702">
        <v>0.66125999999999996</v>
      </c>
      <c r="J4" s="702">
        <v>0.66774</v>
      </c>
      <c r="K4" s="702">
        <v>0.65976000000000001</v>
      </c>
      <c r="L4" s="15"/>
      <c r="M4" s="702">
        <v>0.85395900000000002</v>
      </c>
      <c r="N4" s="702">
        <v>0.87346500000000005</v>
      </c>
      <c r="O4" s="702">
        <v>0.88234500000000005</v>
      </c>
      <c r="P4" s="702">
        <v>0.88020900000000002</v>
      </c>
      <c r="Q4" s="702">
        <v>0.863981</v>
      </c>
      <c r="R4" s="702">
        <v>0.83180399999999999</v>
      </c>
      <c r="S4" s="702">
        <v>0.82946699999999995</v>
      </c>
      <c r="T4" s="702">
        <v>0.82775699999999997</v>
      </c>
      <c r="U4" s="702">
        <v>0.82019699999999995</v>
      </c>
    </row>
    <row r="5" spans="1:23" x14ac:dyDescent="0.25">
      <c r="A5" t="s">
        <v>660</v>
      </c>
      <c r="B5" t="s">
        <v>395</v>
      </c>
      <c r="C5" s="702">
        <v>0.62663000000000002</v>
      </c>
      <c r="D5" s="702">
        <v>0.91829000000000005</v>
      </c>
      <c r="E5" s="702">
        <v>1</v>
      </c>
      <c r="F5" s="702">
        <v>0.93862000000000001</v>
      </c>
      <c r="G5" s="702">
        <v>0.67549999999999999</v>
      </c>
      <c r="H5" s="702">
        <v>0.60148000000000001</v>
      </c>
      <c r="I5" s="702">
        <v>0.54769999999999996</v>
      </c>
      <c r="J5" s="702">
        <v>0.54222000000000004</v>
      </c>
      <c r="K5" s="702">
        <v>0.55967999999999996</v>
      </c>
      <c r="L5" s="15"/>
      <c r="M5" s="702">
        <v>0.81710799999999995</v>
      </c>
      <c r="N5" s="702">
        <v>0.86185699999999998</v>
      </c>
      <c r="O5" s="702">
        <v>0.86865000000000003</v>
      </c>
      <c r="P5" s="702">
        <v>0.85938800000000004</v>
      </c>
      <c r="Q5" s="702">
        <v>0.81228400000000001</v>
      </c>
      <c r="R5" s="702">
        <v>0.79552</v>
      </c>
      <c r="S5" s="702">
        <v>0.78039099999999995</v>
      </c>
      <c r="T5" s="702">
        <v>0.77493400000000001</v>
      </c>
      <c r="U5" s="702">
        <v>0.77351700000000001</v>
      </c>
    </row>
    <row r="6" spans="1:23" x14ac:dyDescent="0.25">
      <c r="A6" t="s">
        <v>661</v>
      </c>
      <c r="B6" t="s">
        <v>396</v>
      </c>
      <c r="C6" s="702">
        <v>1.03725</v>
      </c>
      <c r="D6" s="702">
        <v>1.0996699999999999</v>
      </c>
      <c r="E6" s="702">
        <v>1</v>
      </c>
      <c r="F6" s="702">
        <v>1.1285000000000001</v>
      </c>
      <c r="G6" s="702">
        <v>1.1030800000000001</v>
      </c>
      <c r="H6" s="702">
        <v>1.16798</v>
      </c>
      <c r="I6" s="702">
        <v>1.0946499999999999</v>
      </c>
      <c r="J6" s="702">
        <v>1.2357800000000001</v>
      </c>
      <c r="K6" s="702">
        <v>1.05938</v>
      </c>
      <c r="L6" s="15"/>
      <c r="M6" s="702">
        <v>0.58640999999999999</v>
      </c>
      <c r="N6" s="702">
        <v>0.59390799999999999</v>
      </c>
      <c r="O6" s="702">
        <v>0.56476400000000004</v>
      </c>
      <c r="P6" s="702">
        <v>0.59048999999999996</v>
      </c>
      <c r="Q6" s="702">
        <v>0.58204400000000001</v>
      </c>
      <c r="R6" s="702">
        <v>0.59399100000000005</v>
      </c>
      <c r="S6" s="702">
        <v>0.57792200000000005</v>
      </c>
      <c r="T6" s="702">
        <v>0.60490999999999995</v>
      </c>
      <c r="U6" s="702">
        <v>0.56251700000000004</v>
      </c>
    </row>
    <row r="7" spans="1:23" x14ac:dyDescent="0.25">
      <c r="A7" t="s">
        <v>662</v>
      </c>
      <c r="B7" t="s">
        <v>398</v>
      </c>
      <c r="C7" s="702">
        <v>0.81254999999999999</v>
      </c>
      <c r="D7" s="702">
        <v>0.9234</v>
      </c>
      <c r="E7" s="702">
        <v>1</v>
      </c>
      <c r="F7" s="702">
        <v>1.02277</v>
      </c>
      <c r="G7" s="702">
        <v>1.17815</v>
      </c>
      <c r="H7" s="702">
        <v>1.1954100000000001</v>
      </c>
      <c r="I7" s="702">
        <v>1.11978</v>
      </c>
      <c r="J7" s="702">
        <v>1.0736000000000001</v>
      </c>
      <c r="K7" s="702">
        <v>1.07721</v>
      </c>
      <c r="L7" s="15"/>
      <c r="M7" s="702">
        <v>0.59017200000000003</v>
      </c>
      <c r="N7" s="702">
        <v>0.61397500000000005</v>
      </c>
      <c r="O7" s="702">
        <v>0.62692700000000001</v>
      </c>
      <c r="P7" s="702">
        <v>0.62853499999999995</v>
      </c>
      <c r="Q7" s="702">
        <v>0.65818399999999999</v>
      </c>
      <c r="R7" s="702">
        <v>0.65989900000000001</v>
      </c>
      <c r="S7" s="702">
        <v>0.644733</v>
      </c>
      <c r="T7" s="702">
        <v>0.632606</v>
      </c>
      <c r="U7" s="702">
        <v>0.62830600000000003</v>
      </c>
    </row>
    <row r="8" spans="1:23" x14ac:dyDescent="0.25">
      <c r="A8" t="s">
        <v>663</v>
      </c>
      <c r="B8" t="s">
        <v>399</v>
      </c>
      <c r="C8" s="702">
        <v>0.74611400000000005</v>
      </c>
      <c r="D8" s="702">
        <v>0.94320700000000002</v>
      </c>
      <c r="E8" s="702">
        <v>1</v>
      </c>
      <c r="F8" s="702">
        <v>0.99400900000000003</v>
      </c>
      <c r="G8" s="702">
        <v>0.82765200000000005</v>
      </c>
      <c r="H8" s="702">
        <v>0.74213200000000001</v>
      </c>
      <c r="I8" s="702">
        <v>0.69606199999999996</v>
      </c>
      <c r="J8" s="702">
        <v>0.70859499999999997</v>
      </c>
      <c r="K8" s="702">
        <v>0.71690799999999999</v>
      </c>
      <c r="L8" s="15"/>
      <c r="M8" s="702">
        <v>0.476211</v>
      </c>
      <c r="N8" s="702">
        <v>0.528393</v>
      </c>
      <c r="O8" s="702">
        <v>0.53683800000000004</v>
      </c>
      <c r="P8" s="702">
        <v>0.53167200000000003</v>
      </c>
      <c r="Q8" s="702">
        <v>0.48294300000000001</v>
      </c>
      <c r="R8" s="702">
        <v>0.453407</v>
      </c>
      <c r="S8" s="702">
        <v>0.43739400000000001</v>
      </c>
      <c r="T8" s="702">
        <v>0.439919</v>
      </c>
      <c r="U8" s="702">
        <v>0.43836799999999998</v>
      </c>
    </row>
    <row r="9" spans="1:23" x14ac:dyDescent="0.25">
      <c r="A9" t="s">
        <v>664</v>
      </c>
      <c r="B9" t="s">
        <v>400</v>
      </c>
      <c r="C9" s="702">
        <v>0.69474000000000002</v>
      </c>
      <c r="D9" s="702">
        <v>0.94318000000000002</v>
      </c>
      <c r="E9" s="702">
        <v>1</v>
      </c>
      <c r="F9" s="702">
        <v>0.97075</v>
      </c>
      <c r="G9" s="702">
        <v>0.78278999999999999</v>
      </c>
      <c r="H9" s="702">
        <v>0.69740999999999997</v>
      </c>
      <c r="I9" s="702">
        <v>0.65454999999999997</v>
      </c>
      <c r="J9" s="702">
        <v>0.65966999999999998</v>
      </c>
      <c r="K9" s="702">
        <v>0.66205999999999998</v>
      </c>
      <c r="L9" s="15"/>
      <c r="M9" s="702">
        <v>0.671269</v>
      </c>
      <c r="N9" s="702">
        <v>0.72867099999999996</v>
      </c>
      <c r="O9" s="702">
        <v>0.73523799999999995</v>
      </c>
      <c r="P9" s="702">
        <v>0.72628999999999999</v>
      </c>
      <c r="Q9" s="702">
        <v>0.67872399999999999</v>
      </c>
      <c r="R9" s="702">
        <v>0.65210000000000001</v>
      </c>
      <c r="S9" s="702">
        <v>0.63733099999999998</v>
      </c>
      <c r="T9" s="702">
        <v>0.63624400000000003</v>
      </c>
      <c r="U9" s="702">
        <v>0.63127500000000003</v>
      </c>
    </row>
    <row r="10" spans="1:23" x14ac:dyDescent="0.25">
      <c r="A10" t="s">
        <v>665</v>
      </c>
      <c r="B10" t="s">
        <v>401</v>
      </c>
      <c r="C10" s="702">
        <v>0.88985999999999998</v>
      </c>
      <c r="D10" s="702">
        <v>1.0842400000000001</v>
      </c>
      <c r="E10" s="702">
        <v>1</v>
      </c>
      <c r="F10" s="702">
        <v>1.0816699999999999</v>
      </c>
      <c r="G10" s="702">
        <v>1.27712</v>
      </c>
      <c r="H10" s="702">
        <v>0.91529000000000005</v>
      </c>
      <c r="I10" s="702">
        <v>0.86751999999999996</v>
      </c>
      <c r="J10" s="702">
        <v>0.94362999999999997</v>
      </c>
      <c r="K10" s="702">
        <v>0.84184000000000003</v>
      </c>
      <c r="L10" s="15"/>
      <c r="M10" s="702">
        <v>0.82742099999999996</v>
      </c>
      <c r="N10" s="702">
        <v>0.84908300000000003</v>
      </c>
      <c r="O10" s="702">
        <v>0.83494000000000002</v>
      </c>
      <c r="P10" s="702">
        <v>0.84328999999999998</v>
      </c>
      <c r="Q10" s="702">
        <v>0.86241000000000001</v>
      </c>
      <c r="R10" s="702">
        <v>0.81805600000000001</v>
      </c>
      <c r="S10" s="702">
        <v>0.80976300000000001</v>
      </c>
      <c r="T10" s="702">
        <v>0.81990200000000002</v>
      </c>
      <c r="U10" s="702">
        <v>0.79740800000000001</v>
      </c>
    </row>
    <row r="11" spans="1:23" x14ac:dyDescent="0.25">
      <c r="A11" t="s">
        <v>666</v>
      </c>
      <c r="B11" t="s">
        <v>403</v>
      </c>
      <c r="C11" s="702">
        <v>0.80642999999999998</v>
      </c>
      <c r="D11" s="702">
        <v>0.95867000000000002</v>
      </c>
      <c r="E11" s="702">
        <v>1</v>
      </c>
      <c r="F11" s="702">
        <v>1.0283899999999999</v>
      </c>
      <c r="G11" s="702">
        <v>1.2287699999999999</v>
      </c>
      <c r="H11" s="702">
        <v>1.1300600000000001</v>
      </c>
      <c r="I11" s="702">
        <v>0.94688000000000005</v>
      </c>
      <c r="J11" s="702">
        <v>0.97484000000000004</v>
      </c>
      <c r="K11" s="702">
        <v>0.95818999999999999</v>
      </c>
      <c r="L11" s="15"/>
      <c r="M11" s="702">
        <v>0.85658500000000004</v>
      </c>
      <c r="N11" s="702">
        <v>0.87202900000000005</v>
      </c>
      <c r="O11" s="702">
        <v>0.87383</v>
      </c>
      <c r="P11" s="702">
        <v>0.87511099999999997</v>
      </c>
      <c r="Q11" s="702">
        <v>0.89191799999999999</v>
      </c>
      <c r="R11" s="702">
        <v>0.883969</v>
      </c>
      <c r="S11" s="702">
        <v>0.86457799999999996</v>
      </c>
      <c r="T11" s="702">
        <v>0.86581600000000003</v>
      </c>
      <c r="U11" s="702">
        <v>0.85972400000000004</v>
      </c>
    </row>
    <row r="12" spans="1:23" x14ac:dyDescent="0.25">
      <c r="A12" t="s">
        <v>667</v>
      </c>
      <c r="B12" t="s">
        <v>404</v>
      </c>
      <c r="C12" s="702">
        <v>0.94269000000000003</v>
      </c>
      <c r="D12" s="702">
        <v>0.92290000000000005</v>
      </c>
      <c r="E12" s="702">
        <v>1</v>
      </c>
      <c r="F12" s="702">
        <v>1.1302000000000001</v>
      </c>
      <c r="G12" s="702">
        <v>1.2085999999999999</v>
      </c>
      <c r="H12" s="702">
        <v>1.1520699999999999</v>
      </c>
      <c r="I12" s="702">
        <v>0.90641000000000005</v>
      </c>
      <c r="J12" s="702">
        <v>0.97697000000000001</v>
      </c>
      <c r="K12" s="702">
        <v>1.1454899999999999</v>
      </c>
      <c r="L12" s="15"/>
      <c r="M12" s="702">
        <v>0.84560500000000005</v>
      </c>
      <c r="N12" s="702">
        <v>0.83801000000000003</v>
      </c>
      <c r="O12" s="702">
        <v>0.84529100000000001</v>
      </c>
      <c r="P12" s="702">
        <v>0.85877599999999998</v>
      </c>
      <c r="Q12" s="702">
        <v>0.86510900000000002</v>
      </c>
      <c r="R12" s="702">
        <v>0.85933000000000004</v>
      </c>
      <c r="S12" s="702">
        <v>0.82784999999999997</v>
      </c>
      <c r="T12" s="702">
        <v>0.83632799999999996</v>
      </c>
      <c r="U12" s="702">
        <v>0.85345700000000002</v>
      </c>
    </row>
    <row r="13" spans="1:23" x14ac:dyDescent="0.25">
      <c r="A13" t="s">
        <v>668</v>
      </c>
      <c r="B13" t="s">
        <v>406</v>
      </c>
      <c r="C13" s="702">
        <v>0.81954099999999996</v>
      </c>
      <c r="D13" s="702">
        <v>0.961781</v>
      </c>
      <c r="E13" s="702">
        <v>1</v>
      </c>
      <c r="F13" s="702">
        <v>1.0315380000000001</v>
      </c>
      <c r="G13" s="702">
        <v>1.2191289999999999</v>
      </c>
      <c r="H13" s="702">
        <v>1.1141749999999999</v>
      </c>
      <c r="I13" s="702">
        <v>0.94624600000000003</v>
      </c>
      <c r="J13" s="702">
        <v>0.97809699999999999</v>
      </c>
      <c r="K13" s="702">
        <v>0.96004800000000001</v>
      </c>
      <c r="L13" s="15"/>
      <c r="M13" s="702">
        <v>0.77015999999999996</v>
      </c>
      <c r="N13" s="702">
        <v>0.79208500000000004</v>
      </c>
      <c r="O13" s="702">
        <v>0.79434499999999997</v>
      </c>
      <c r="P13" s="702">
        <v>0.79694100000000001</v>
      </c>
      <c r="Q13" s="702">
        <v>0.82072400000000001</v>
      </c>
      <c r="R13" s="702">
        <v>0.80642899999999995</v>
      </c>
      <c r="S13" s="702">
        <v>0.77966500000000005</v>
      </c>
      <c r="T13" s="702">
        <v>0.78334300000000001</v>
      </c>
      <c r="U13" s="702">
        <v>0.77599099999999999</v>
      </c>
    </row>
    <row r="14" spans="1:23" x14ac:dyDescent="0.25">
      <c r="A14" t="s">
        <v>669</v>
      </c>
      <c r="B14" t="s">
        <v>670</v>
      </c>
      <c r="C14" s="702">
        <v>0.75983599999999996</v>
      </c>
      <c r="D14" s="702">
        <v>0.92613000000000001</v>
      </c>
      <c r="E14" s="702">
        <v>1</v>
      </c>
      <c r="F14" s="702">
        <v>1.0082739999999999</v>
      </c>
      <c r="G14" s="702">
        <v>0.93180200000000002</v>
      </c>
      <c r="H14" s="702">
        <v>0.86873</v>
      </c>
      <c r="I14" s="702">
        <v>0.83737899999999998</v>
      </c>
      <c r="J14" s="702">
        <v>0.83222099999999999</v>
      </c>
      <c r="K14" s="702">
        <v>0.86967499999999998</v>
      </c>
      <c r="L14" s="15"/>
      <c r="M14" s="702">
        <v>0.59110700000000005</v>
      </c>
      <c r="N14" s="702">
        <v>0.63126300000000002</v>
      </c>
      <c r="O14" s="702">
        <v>0.64336499999999996</v>
      </c>
      <c r="P14" s="702">
        <v>0.64133600000000002</v>
      </c>
      <c r="Q14" s="702">
        <v>0.62029299999999998</v>
      </c>
      <c r="R14" s="702">
        <v>0.60210300000000005</v>
      </c>
      <c r="S14" s="702">
        <v>0.59234399999999998</v>
      </c>
      <c r="T14" s="702">
        <v>0.58784400000000003</v>
      </c>
      <c r="U14" s="702">
        <v>0.59274700000000002</v>
      </c>
    </row>
    <row r="15" spans="1:23" x14ac:dyDescent="0.25">
      <c r="A15" t="s">
        <v>671</v>
      </c>
      <c r="B15" t="s">
        <v>407</v>
      </c>
      <c r="C15" s="702">
        <v>0.81789800000000001</v>
      </c>
      <c r="D15" s="702">
        <v>0.97133199999999997</v>
      </c>
      <c r="E15" s="702">
        <v>1</v>
      </c>
      <c r="F15" s="702">
        <v>1.0100039999999999</v>
      </c>
      <c r="G15" s="702">
        <v>0.993788</v>
      </c>
      <c r="H15" s="702">
        <v>0.91788999999999998</v>
      </c>
      <c r="I15" s="702">
        <v>0.86622500000000002</v>
      </c>
      <c r="J15" s="702">
        <v>0.86479899999999998</v>
      </c>
      <c r="K15" s="702">
        <v>0.89285199999999998</v>
      </c>
      <c r="L15" s="15"/>
      <c r="M15" s="702">
        <v>0.73467800000000005</v>
      </c>
      <c r="N15" s="702">
        <v>0.76139500000000004</v>
      </c>
      <c r="O15" s="702">
        <v>0.76217299999999999</v>
      </c>
      <c r="P15" s="702">
        <v>0.76108699999999996</v>
      </c>
      <c r="Q15" s="702">
        <v>0.75586200000000003</v>
      </c>
      <c r="R15" s="702">
        <v>0.73984000000000005</v>
      </c>
      <c r="S15" s="702">
        <v>0.72820399999999996</v>
      </c>
      <c r="T15" s="702">
        <v>0.72555099999999995</v>
      </c>
      <c r="U15" s="702">
        <v>0.72719999999999996</v>
      </c>
    </row>
    <row r="16" spans="1:23" x14ac:dyDescent="0.25">
      <c r="A16" t="s">
        <v>672</v>
      </c>
      <c r="B16" t="s">
        <v>409</v>
      </c>
      <c r="C16" s="702">
        <v>0.80832599999999999</v>
      </c>
      <c r="D16" s="702">
        <v>0.99174200000000001</v>
      </c>
      <c r="E16" s="702">
        <v>1</v>
      </c>
      <c r="F16" s="702">
        <v>1.0261</v>
      </c>
      <c r="G16" s="702">
        <v>0.92453600000000002</v>
      </c>
      <c r="H16" s="702">
        <v>0.82655199999999995</v>
      </c>
      <c r="I16" s="702">
        <v>0.82632300000000003</v>
      </c>
      <c r="J16" s="702">
        <v>0.84048</v>
      </c>
      <c r="K16" s="702">
        <v>0.84104500000000004</v>
      </c>
      <c r="L16" s="15"/>
      <c r="M16" s="702">
        <v>0.77675499999999997</v>
      </c>
      <c r="N16" s="702">
        <v>0.80501199999999995</v>
      </c>
      <c r="O16" s="702">
        <v>0.802373</v>
      </c>
      <c r="P16" s="702">
        <v>0.803817</v>
      </c>
      <c r="Q16" s="702">
        <v>0.78472299999999995</v>
      </c>
      <c r="R16" s="702">
        <v>0.76472399999999996</v>
      </c>
      <c r="S16" s="702">
        <v>0.76430100000000001</v>
      </c>
      <c r="T16" s="702">
        <v>0.76474900000000001</v>
      </c>
      <c r="U16" s="702">
        <v>0.75988500000000003</v>
      </c>
    </row>
    <row r="17" spans="1:21" x14ac:dyDescent="0.25">
      <c r="A17" t="s">
        <v>673</v>
      </c>
      <c r="B17" t="s">
        <v>413</v>
      </c>
      <c r="C17" s="702">
        <v>0.78017400000000003</v>
      </c>
      <c r="D17" s="702">
        <v>0.98904400000000003</v>
      </c>
      <c r="E17" s="702">
        <v>1</v>
      </c>
      <c r="F17" s="702">
        <v>0.95563200000000004</v>
      </c>
      <c r="G17" s="702">
        <v>0.88600500000000004</v>
      </c>
      <c r="H17" s="702">
        <v>0.82023599999999997</v>
      </c>
      <c r="I17" s="702">
        <v>0.81833599999999995</v>
      </c>
      <c r="J17" s="702">
        <v>0.85396499999999997</v>
      </c>
      <c r="K17" s="702">
        <v>0.84079099999999996</v>
      </c>
      <c r="L17" s="15"/>
      <c r="M17" s="702">
        <v>0.73365100000000005</v>
      </c>
      <c r="N17" s="702">
        <v>0.77277099999999999</v>
      </c>
      <c r="O17" s="702">
        <v>0.77041099999999996</v>
      </c>
      <c r="P17" s="702">
        <v>0.75941099999999995</v>
      </c>
      <c r="Q17" s="702">
        <v>0.74310500000000002</v>
      </c>
      <c r="R17" s="702">
        <v>0.72638899999999995</v>
      </c>
      <c r="S17" s="702">
        <v>0.72548100000000004</v>
      </c>
      <c r="T17" s="702">
        <v>0.73203600000000002</v>
      </c>
      <c r="U17" s="702">
        <v>0.72499499999999995</v>
      </c>
    </row>
    <row r="18" spans="1:21" x14ac:dyDescent="0.25">
      <c r="A18" t="s">
        <v>674</v>
      </c>
      <c r="B18" t="s">
        <v>411</v>
      </c>
      <c r="C18" s="702">
        <v>0.74724400000000002</v>
      </c>
      <c r="D18" s="702">
        <v>0.91245399999999999</v>
      </c>
      <c r="E18" s="702">
        <v>1</v>
      </c>
      <c r="F18" s="702">
        <v>0.99213499999999999</v>
      </c>
      <c r="G18" s="702">
        <v>0.92410300000000001</v>
      </c>
      <c r="H18" s="702">
        <v>0.74439100000000002</v>
      </c>
      <c r="I18" s="702">
        <v>0.72275500000000004</v>
      </c>
      <c r="J18" s="702">
        <v>0.72071200000000002</v>
      </c>
      <c r="K18" s="702">
        <v>0.73310799999999998</v>
      </c>
      <c r="L18" s="15"/>
      <c r="M18" s="702">
        <v>0.77321700000000004</v>
      </c>
      <c r="N18" s="702">
        <v>0.80122199999999999</v>
      </c>
      <c r="O18" s="702">
        <v>0.81163799999999997</v>
      </c>
      <c r="P18" s="702">
        <v>0.80784900000000004</v>
      </c>
      <c r="Q18" s="702">
        <v>0.79455799999999999</v>
      </c>
      <c r="R18" s="702">
        <v>0.75636499999999995</v>
      </c>
      <c r="S18" s="702">
        <v>0.75043400000000005</v>
      </c>
      <c r="T18" s="702">
        <v>0.74727399999999999</v>
      </c>
      <c r="U18" s="702">
        <v>0.74546500000000004</v>
      </c>
    </row>
    <row r="19" spans="1:21" x14ac:dyDescent="0.25">
      <c r="A19" t="s">
        <v>675</v>
      </c>
      <c r="B19" t="s">
        <v>414</v>
      </c>
      <c r="C19" s="702">
        <v>0.93564400000000003</v>
      </c>
      <c r="D19" s="702">
        <v>0.96859200000000001</v>
      </c>
      <c r="E19" s="702">
        <v>1</v>
      </c>
      <c r="F19" s="702">
        <v>1.019336</v>
      </c>
      <c r="G19" s="702">
        <v>1.022915</v>
      </c>
      <c r="H19" s="702">
        <v>1.0277799999999999</v>
      </c>
      <c r="I19" s="702">
        <v>1.0376920000000001</v>
      </c>
      <c r="J19" s="702">
        <v>1.0431319999999999</v>
      </c>
      <c r="K19" s="702">
        <v>1.054049</v>
      </c>
      <c r="L19" s="15"/>
      <c r="M19" s="702">
        <v>0.625753</v>
      </c>
      <c r="N19" s="702">
        <v>0.62834400000000001</v>
      </c>
      <c r="O19" s="702">
        <v>0.63011300000000003</v>
      </c>
      <c r="P19" s="702">
        <v>0.63114999999999999</v>
      </c>
      <c r="Q19" s="702">
        <v>0.62927100000000002</v>
      </c>
      <c r="R19" s="702">
        <v>0.62774799999999997</v>
      </c>
      <c r="S19" s="702">
        <v>0.62973500000000004</v>
      </c>
      <c r="T19" s="702">
        <v>0.62946000000000002</v>
      </c>
      <c r="U19" s="702">
        <v>0.62814499999999995</v>
      </c>
    </row>
    <row r="20" spans="1:21" x14ac:dyDescent="0.25">
      <c r="A20" t="s">
        <v>676</v>
      </c>
      <c r="B20" t="s">
        <v>415</v>
      </c>
      <c r="C20" s="702">
        <v>0.92102700000000004</v>
      </c>
      <c r="D20" s="702">
        <v>0.99074200000000001</v>
      </c>
      <c r="E20" s="702">
        <v>1</v>
      </c>
      <c r="F20" s="702">
        <v>0.951708</v>
      </c>
      <c r="G20" s="702">
        <v>0.94451099999999999</v>
      </c>
      <c r="H20" s="702">
        <v>0.97228700000000001</v>
      </c>
      <c r="I20" s="702">
        <v>0.96883600000000003</v>
      </c>
      <c r="J20" s="702">
        <v>0.96885100000000002</v>
      </c>
      <c r="K20" s="702">
        <v>0.98166600000000004</v>
      </c>
      <c r="L20" s="15"/>
      <c r="M20" s="702">
        <v>0.69442700000000002</v>
      </c>
      <c r="N20" s="702">
        <v>0.70452000000000004</v>
      </c>
      <c r="O20" s="702">
        <v>0.70136399999999999</v>
      </c>
      <c r="P20" s="702">
        <v>0.68767599999999995</v>
      </c>
      <c r="Q20" s="702">
        <v>0.68351600000000001</v>
      </c>
      <c r="R20" s="702">
        <v>0.68760500000000002</v>
      </c>
      <c r="S20" s="702">
        <v>0.686558</v>
      </c>
      <c r="T20" s="702">
        <v>0.68491599999999997</v>
      </c>
      <c r="U20" s="702">
        <v>0.68391400000000002</v>
      </c>
    </row>
    <row r="21" spans="1:21" x14ac:dyDescent="0.25">
      <c r="A21" t="s">
        <v>677</v>
      </c>
      <c r="B21" t="s">
        <v>416</v>
      </c>
      <c r="C21" s="702">
        <v>0.93920199999999998</v>
      </c>
      <c r="D21" s="702">
        <v>0.970495</v>
      </c>
      <c r="E21" s="702">
        <v>1</v>
      </c>
      <c r="F21" s="702">
        <v>1.004502</v>
      </c>
      <c r="G21" s="702">
        <v>1.01597</v>
      </c>
      <c r="H21" s="702">
        <v>1.0190250000000001</v>
      </c>
      <c r="I21" s="702">
        <v>1.0033000000000001</v>
      </c>
      <c r="J21" s="702">
        <v>1.0130490000000001</v>
      </c>
      <c r="K21" s="702">
        <v>1.0302359999999999</v>
      </c>
      <c r="L21" s="15"/>
      <c r="M21" s="702">
        <v>0.65338300000000005</v>
      </c>
      <c r="N21" s="702">
        <v>0.65530100000000002</v>
      </c>
      <c r="O21" s="702">
        <v>0.65655799999999997</v>
      </c>
      <c r="P21" s="702">
        <v>0.65421600000000002</v>
      </c>
      <c r="Q21" s="702">
        <v>0.65414799999999995</v>
      </c>
      <c r="R21" s="702">
        <v>0.65242900000000004</v>
      </c>
      <c r="S21" s="702">
        <v>0.64862500000000001</v>
      </c>
      <c r="T21" s="702">
        <v>0.64922100000000005</v>
      </c>
      <c r="U21" s="702">
        <v>0.64919000000000004</v>
      </c>
    </row>
    <row r="22" spans="1:21" x14ac:dyDescent="0.25">
      <c r="A22" t="s">
        <v>678</v>
      </c>
      <c r="B22" t="s">
        <v>418</v>
      </c>
      <c r="C22" s="702">
        <v>0.92774800000000002</v>
      </c>
      <c r="D22" s="702">
        <v>0.96546100000000001</v>
      </c>
      <c r="E22" s="702">
        <v>1</v>
      </c>
      <c r="F22" s="702">
        <v>1.01624</v>
      </c>
      <c r="G22" s="702">
        <v>1.0309550000000001</v>
      </c>
      <c r="H22" s="702">
        <v>1.0232140000000001</v>
      </c>
      <c r="I22" s="702">
        <v>1.011115</v>
      </c>
      <c r="J22" s="702">
        <v>1.0296749999999999</v>
      </c>
      <c r="K22" s="702">
        <v>1.0352710000000001</v>
      </c>
      <c r="L22" s="15"/>
      <c r="M22" s="702">
        <v>0.67474599999999996</v>
      </c>
      <c r="N22" s="702">
        <v>0.67805000000000004</v>
      </c>
      <c r="O22" s="702">
        <v>0.680392</v>
      </c>
      <c r="P22" s="702">
        <v>0.68063099999999999</v>
      </c>
      <c r="Q22" s="702">
        <v>0.68121900000000002</v>
      </c>
      <c r="R22" s="702">
        <v>0.67735800000000002</v>
      </c>
      <c r="S22" s="702">
        <v>0.67446099999999998</v>
      </c>
      <c r="T22" s="702">
        <v>0.67680300000000004</v>
      </c>
      <c r="U22" s="702">
        <v>0.67413900000000004</v>
      </c>
    </row>
    <row r="23" spans="1:21" x14ac:dyDescent="0.25">
      <c r="A23" t="s">
        <v>679</v>
      </c>
      <c r="B23" t="s">
        <v>91</v>
      </c>
      <c r="C23" s="702">
        <v>0.88202000000000003</v>
      </c>
      <c r="D23" s="702">
        <v>1.0075689999999999</v>
      </c>
      <c r="E23" s="702">
        <v>1</v>
      </c>
      <c r="F23" s="702">
        <v>1.0331710000000001</v>
      </c>
      <c r="G23" s="702">
        <v>1.1646049999999999</v>
      </c>
      <c r="H23" s="702">
        <v>0.98913600000000002</v>
      </c>
      <c r="I23" s="702">
        <v>0.96290500000000001</v>
      </c>
      <c r="J23" s="702">
        <v>0.98649299999999995</v>
      </c>
      <c r="K23" s="702">
        <v>0.95941200000000004</v>
      </c>
      <c r="L23" s="15"/>
      <c r="M23" s="702">
        <v>0.749722</v>
      </c>
      <c r="N23" s="702">
        <v>0.76942900000000003</v>
      </c>
      <c r="O23" s="702">
        <v>0.76371100000000003</v>
      </c>
      <c r="P23" s="702">
        <v>0.76685599999999998</v>
      </c>
      <c r="Q23" s="702">
        <v>0.78561599999999998</v>
      </c>
      <c r="R23" s="702">
        <v>0.75501499999999999</v>
      </c>
      <c r="S23" s="702">
        <v>0.74973999999999996</v>
      </c>
      <c r="T23" s="702">
        <v>0.75279300000000005</v>
      </c>
      <c r="U23" s="702">
        <v>0.74415500000000001</v>
      </c>
    </row>
    <row r="24" spans="1:21" x14ac:dyDescent="0.25">
      <c r="A24" t="s">
        <v>680</v>
      </c>
      <c r="B24" t="s">
        <v>419</v>
      </c>
      <c r="C24" s="702">
        <v>0.895926</v>
      </c>
      <c r="D24" s="702">
        <v>0.99738199999999999</v>
      </c>
      <c r="E24" s="702">
        <v>1</v>
      </c>
      <c r="F24" s="702">
        <v>1.0338290000000001</v>
      </c>
      <c r="G24" s="702">
        <v>1.1005259999999999</v>
      </c>
      <c r="H24" s="702">
        <v>0.95905499999999999</v>
      </c>
      <c r="I24" s="702">
        <v>0.94440999999999997</v>
      </c>
      <c r="J24" s="702">
        <v>0.996286</v>
      </c>
      <c r="K24" s="702">
        <v>0.96431999999999995</v>
      </c>
      <c r="L24" s="15"/>
      <c r="M24" s="702">
        <v>0.71331500000000003</v>
      </c>
      <c r="N24" s="702">
        <v>0.72980699999999998</v>
      </c>
      <c r="O24" s="702">
        <v>0.72549699999999995</v>
      </c>
      <c r="P24" s="702">
        <v>0.72905600000000004</v>
      </c>
      <c r="Q24" s="702">
        <v>0.73899499999999996</v>
      </c>
      <c r="R24" s="702">
        <v>0.70958500000000002</v>
      </c>
      <c r="S24" s="702">
        <v>0.70604199999999995</v>
      </c>
      <c r="T24" s="702">
        <v>0.71536200000000005</v>
      </c>
      <c r="U24" s="702">
        <v>0.70487699999999998</v>
      </c>
    </row>
    <row r="25" spans="1:21" x14ac:dyDescent="0.25">
      <c r="A25" t="s">
        <v>681</v>
      </c>
      <c r="B25" t="s">
        <v>421</v>
      </c>
      <c r="C25" s="702">
        <v>0.92257100000000003</v>
      </c>
      <c r="D25" s="702">
        <v>1.0180739999999999</v>
      </c>
      <c r="E25" s="702">
        <v>1</v>
      </c>
      <c r="F25" s="702">
        <v>1.0251399999999999</v>
      </c>
      <c r="G25" s="702">
        <v>1.124509</v>
      </c>
      <c r="H25" s="702">
        <v>1.017061</v>
      </c>
      <c r="I25" s="702">
        <v>1.008991</v>
      </c>
      <c r="J25" s="702">
        <v>1.0484640000000001</v>
      </c>
      <c r="K25" s="702">
        <v>1.0261309999999999</v>
      </c>
      <c r="L25" s="15"/>
      <c r="M25" s="702">
        <v>0.70390900000000001</v>
      </c>
      <c r="N25" s="702">
        <v>0.719225</v>
      </c>
      <c r="O25" s="702">
        <v>0.71060999999999996</v>
      </c>
      <c r="P25" s="702">
        <v>0.71268100000000001</v>
      </c>
      <c r="Q25" s="702">
        <v>0.72895699999999997</v>
      </c>
      <c r="R25" s="702">
        <v>0.70639399999999997</v>
      </c>
      <c r="S25" s="702">
        <v>0.70451399999999997</v>
      </c>
      <c r="T25" s="702">
        <v>0.71107500000000001</v>
      </c>
      <c r="U25" s="702">
        <v>0.70321800000000001</v>
      </c>
    </row>
    <row r="26" spans="1:21" x14ac:dyDescent="0.25">
      <c r="A26" t="s">
        <v>682</v>
      </c>
      <c r="B26" t="s">
        <v>422</v>
      </c>
      <c r="C26" s="702">
        <v>0.89938600000000002</v>
      </c>
      <c r="D26" s="702">
        <v>0.97311000000000003</v>
      </c>
      <c r="E26" s="702">
        <v>1</v>
      </c>
      <c r="F26" s="702">
        <v>1.015325</v>
      </c>
      <c r="G26" s="702">
        <v>1.0488630000000001</v>
      </c>
      <c r="H26" s="702">
        <v>1.0358529999999999</v>
      </c>
      <c r="I26" s="702">
        <v>1.0346409999999999</v>
      </c>
      <c r="J26" s="702">
        <v>1.0588709999999999</v>
      </c>
      <c r="K26" s="702">
        <v>1.068649</v>
      </c>
      <c r="L26" s="15"/>
      <c r="M26" s="702">
        <v>0.77819199999999999</v>
      </c>
      <c r="N26" s="702">
        <v>0.78723600000000005</v>
      </c>
      <c r="O26" s="702">
        <v>0.78771100000000005</v>
      </c>
      <c r="P26" s="702">
        <v>0.78768800000000005</v>
      </c>
      <c r="Q26" s="702">
        <v>0.79114799999999996</v>
      </c>
      <c r="R26" s="702">
        <v>0.78750699999999996</v>
      </c>
      <c r="S26" s="702">
        <v>0.78702799999999995</v>
      </c>
      <c r="T26" s="702">
        <v>0.78948700000000005</v>
      </c>
      <c r="U26" s="702">
        <v>0.78789299999999995</v>
      </c>
    </row>
    <row r="27" spans="1:21" x14ac:dyDescent="0.25">
      <c r="A27" t="s">
        <v>683</v>
      </c>
      <c r="B27" t="s">
        <v>423</v>
      </c>
      <c r="C27" s="702">
        <v>0.91265600000000002</v>
      </c>
      <c r="D27" s="702">
        <v>0.90464199999999995</v>
      </c>
      <c r="E27" s="702">
        <v>1</v>
      </c>
      <c r="F27" s="702">
        <v>1.0368520000000001</v>
      </c>
      <c r="G27" s="702">
        <v>1.08297</v>
      </c>
      <c r="H27" s="702">
        <v>1.0688310000000001</v>
      </c>
      <c r="I27" s="702">
        <v>1.0318160000000001</v>
      </c>
      <c r="J27" s="702">
        <v>1.032532</v>
      </c>
      <c r="K27" s="702">
        <v>0.96555000000000002</v>
      </c>
      <c r="L27" s="15"/>
      <c r="M27" s="702">
        <v>0.74189000000000005</v>
      </c>
      <c r="N27" s="702">
        <v>0.73575000000000002</v>
      </c>
      <c r="O27" s="702">
        <v>0.75022599999999995</v>
      </c>
      <c r="P27" s="702">
        <v>0.75432900000000003</v>
      </c>
      <c r="Q27" s="702">
        <v>0.76017400000000002</v>
      </c>
      <c r="R27" s="702">
        <v>0.75560000000000005</v>
      </c>
      <c r="S27" s="702">
        <v>0.74897000000000002</v>
      </c>
      <c r="T27" s="702">
        <v>0.74807800000000002</v>
      </c>
      <c r="U27" s="702">
        <v>0.73231299999999999</v>
      </c>
    </row>
    <row r="28" spans="1:21" x14ac:dyDescent="0.25">
      <c r="A28" t="s">
        <v>684</v>
      </c>
      <c r="B28" t="s">
        <v>425</v>
      </c>
      <c r="C28" s="702">
        <v>0.82722099999999998</v>
      </c>
      <c r="D28" s="702">
        <v>0.95473300000000005</v>
      </c>
      <c r="E28" s="702">
        <v>1</v>
      </c>
      <c r="F28" s="702">
        <v>1.0071429999999999</v>
      </c>
      <c r="G28" s="702">
        <v>1.1559759999999999</v>
      </c>
      <c r="H28" s="702">
        <v>1.0760890000000001</v>
      </c>
      <c r="I28" s="702">
        <v>0.97703499999999999</v>
      </c>
      <c r="J28" s="702">
        <v>0.98848000000000003</v>
      </c>
      <c r="K28" s="702">
        <v>0.97133999999999998</v>
      </c>
      <c r="L28" s="15"/>
      <c r="M28" s="702">
        <v>0.72450599999999998</v>
      </c>
      <c r="N28" s="702">
        <v>0.74761699999999998</v>
      </c>
      <c r="O28" s="702">
        <v>0.75172899999999998</v>
      </c>
      <c r="P28" s="702">
        <v>0.75029800000000002</v>
      </c>
      <c r="Q28" s="702">
        <v>0.77317499999999995</v>
      </c>
      <c r="R28" s="702">
        <v>0.75844100000000003</v>
      </c>
      <c r="S28" s="702">
        <v>0.74011499999999997</v>
      </c>
      <c r="T28" s="702">
        <v>0.74101399999999995</v>
      </c>
      <c r="U28" s="702">
        <v>0.73435899999999998</v>
      </c>
    </row>
    <row r="29" spans="1:21" x14ac:dyDescent="0.25">
      <c r="A29" t="s">
        <v>685</v>
      </c>
      <c r="B29" t="s">
        <v>686</v>
      </c>
      <c r="C29" s="702">
        <v>0.92441200000000001</v>
      </c>
      <c r="D29" s="702">
        <v>1.005064</v>
      </c>
      <c r="E29" s="702">
        <v>1</v>
      </c>
      <c r="F29" s="702">
        <v>0.97812399999999999</v>
      </c>
      <c r="G29" s="702">
        <v>1.000327</v>
      </c>
      <c r="H29" s="702">
        <v>0.98410299999999995</v>
      </c>
      <c r="I29" s="702">
        <v>0.99104700000000001</v>
      </c>
      <c r="J29" s="702">
        <v>1.0562670000000001</v>
      </c>
      <c r="K29" s="702">
        <v>1.0938760000000001</v>
      </c>
      <c r="L29" s="15"/>
      <c r="M29" s="702">
        <v>0.77259800000000001</v>
      </c>
      <c r="N29" s="702">
        <v>0.78283000000000003</v>
      </c>
      <c r="O29" s="702">
        <v>0.77777799999999997</v>
      </c>
      <c r="P29" s="702">
        <v>0.77133499999999999</v>
      </c>
      <c r="Q29" s="702">
        <v>0.77322000000000002</v>
      </c>
      <c r="R29" s="702">
        <v>0.76848300000000003</v>
      </c>
      <c r="S29" s="702">
        <v>0.76955200000000001</v>
      </c>
      <c r="T29" s="702">
        <v>0.77945200000000003</v>
      </c>
      <c r="U29" s="702">
        <v>0.78252500000000003</v>
      </c>
    </row>
    <row r="30" spans="1:21" x14ac:dyDescent="0.25">
      <c r="A30" t="s">
        <v>687</v>
      </c>
      <c r="B30" t="s">
        <v>426</v>
      </c>
      <c r="C30" s="702">
        <v>0.93891899999999995</v>
      </c>
      <c r="D30" s="702">
        <v>0.97087500000000004</v>
      </c>
      <c r="E30" s="702">
        <v>1</v>
      </c>
      <c r="F30" s="702">
        <v>1.016025</v>
      </c>
      <c r="G30" s="702">
        <v>1.0465230000000001</v>
      </c>
      <c r="H30" s="702">
        <v>1.078449</v>
      </c>
      <c r="I30" s="702">
        <v>1.1155040000000001</v>
      </c>
      <c r="J30" s="702">
        <v>1.1394150000000001</v>
      </c>
      <c r="K30" s="702">
        <v>1.1856930000000001</v>
      </c>
      <c r="L30" s="15"/>
      <c r="M30" s="702">
        <v>0.63870700000000002</v>
      </c>
      <c r="N30" s="702">
        <v>0.64098999999999995</v>
      </c>
      <c r="O30" s="702">
        <v>0.64219400000000004</v>
      </c>
      <c r="P30" s="702">
        <v>0.64245799999999997</v>
      </c>
      <c r="Q30" s="702">
        <v>0.64658800000000005</v>
      </c>
      <c r="R30" s="702">
        <v>0.65087600000000001</v>
      </c>
      <c r="S30" s="702">
        <v>0.65825</v>
      </c>
      <c r="T30" s="702">
        <v>0.66155200000000003</v>
      </c>
      <c r="U30" s="702">
        <v>0.66683199999999998</v>
      </c>
    </row>
    <row r="31" spans="1:21" x14ac:dyDescent="0.25">
      <c r="A31" t="s">
        <v>688</v>
      </c>
      <c r="B31" t="s">
        <v>428</v>
      </c>
      <c r="C31" s="702">
        <v>0.92568799999999996</v>
      </c>
      <c r="D31" s="702">
        <v>0.96909699999999999</v>
      </c>
      <c r="E31" s="702">
        <v>1</v>
      </c>
      <c r="F31" s="702">
        <v>1.007571</v>
      </c>
      <c r="G31" s="702">
        <v>1.0095689999999999</v>
      </c>
      <c r="H31" s="702">
        <v>1.018578</v>
      </c>
      <c r="I31" s="702">
        <v>1.0115449999999999</v>
      </c>
      <c r="J31" s="702">
        <v>1.015145</v>
      </c>
      <c r="K31" s="702">
        <v>1.027263</v>
      </c>
      <c r="L31" s="15"/>
      <c r="M31" s="702">
        <v>0.633552</v>
      </c>
      <c r="N31" s="702">
        <v>0.63868899999999995</v>
      </c>
      <c r="O31" s="702">
        <v>0.64031700000000003</v>
      </c>
      <c r="P31" s="702">
        <v>0.63865499999999997</v>
      </c>
      <c r="Q31" s="702">
        <v>0.63644100000000003</v>
      </c>
      <c r="R31" s="702">
        <v>0.63591200000000003</v>
      </c>
      <c r="S31" s="702">
        <v>0.63404000000000005</v>
      </c>
      <c r="T31" s="702">
        <v>0.63334800000000002</v>
      </c>
      <c r="U31" s="702">
        <v>0.63233899999999998</v>
      </c>
    </row>
    <row r="32" spans="1:21" x14ac:dyDescent="0.25">
      <c r="A32" t="s">
        <v>689</v>
      </c>
      <c r="B32" t="s">
        <v>429</v>
      </c>
      <c r="C32" s="702">
        <v>0.90649199999999996</v>
      </c>
      <c r="D32" s="702">
        <v>0.94252499999999995</v>
      </c>
      <c r="E32" s="702">
        <v>1</v>
      </c>
      <c r="F32" s="702">
        <v>1.0017290000000001</v>
      </c>
      <c r="G32" s="702">
        <v>1.014521</v>
      </c>
      <c r="H32" s="702">
        <v>1.004621</v>
      </c>
      <c r="I32" s="702">
        <v>1.0015909999999999</v>
      </c>
      <c r="J32" s="702">
        <v>0.99911099999999997</v>
      </c>
      <c r="K32" s="702">
        <v>1.0262929999999999</v>
      </c>
      <c r="L32" s="15"/>
      <c r="M32" s="702">
        <v>0.64006700000000005</v>
      </c>
      <c r="N32" s="702">
        <v>0.64365300000000003</v>
      </c>
      <c r="O32" s="702">
        <v>0.65161000000000002</v>
      </c>
      <c r="P32" s="702">
        <v>0.64866999999999997</v>
      </c>
      <c r="Q32" s="702">
        <v>0.64892700000000003</v>
      </c>
      <c r="R32" s="702">
        <v>0.64408100000000001</v>
      </c>
      <c r="S32" s="702">
        <v>0.64314800000000005</v>
      </c>
      <c r="T32" s="702">
        <v>0.64113900000000001</v>
      </c>
      <c r="U32" s="702">
        <v>0.64366299999999999</v>
      </c>
    </row>
    <row r="33" spans="1:21" x14ac:dyDescent="0.25">
      <c r="A33" t="s">
        <v>690</v>
      </c>
      <c r="B33" t="s">
        <v>431</v>
      </c>
      <c r="C33" s="702">
        <v>0.891374</v>
      </c>
      <c r="D33" s="702">
        <v>1.0274810000000001</v>
      </c>
      <c r="E33" s="702">
        <v>1</v>
      </c>
      <c r="F33" s="702">
        <v>0.92456700000000003</v>
      </c>
      <c r="G33" s="702">
        <v>0.93435500000000005</v>
      </c>
      <c r="H33" s="702">
        <v>0.95868399999999998</v>
      </c>
      <c r="I33" s="702">
        <v>0.92270399999999997</v>
      </c>
      <c r="J33" s="702">
        <v>0.91370099999999999</v>
      </c>
      <c r="K33" s="702">
        <v>0.91525800000000002</v>
      </c>
      <c r="L33" s="15"/>
      <c r="M33" s="702">
        <v>0.70285799999999998</v>
      </c>
      <c r="N33" s="702">
        <v>0.72670599999999996</v>
      </c>
      <c r="O33" s="702">
        <v>0.71636200000000005</v>
      </c>
      <c r="P33" s="702">
        <v>0.69694699999999998</v>
      </c>
      <c r="Q33" s="702">
        <v>0.69671700000000003</v>
      </c>
      <c r="R33" s="702">
        <v>0.70005099999999998</v>
      </c>
      <c r="S33" s="702">
        <v>0.691604</v>
      </c>
      <c r="T33" s="702">
        <v>0.68779500000000005</v>
      </c>
      <c r="U33" s="702">
        <v>0.68425100000000005</v>
      </c>
    </row>
    <row r="34" spans="1:21" x14ac:dyDescent="0.25">
      <c r="A34" t="s">
        <v>691</v>
      </c>
      <c r="B34" t="s">
        <v>432</v>
      </c>
      <c r="C34" s="702">
        <v>0.957839</v>
      </c>
      <c r="D34" s="702">
        <v>0.97591899999999998</v>
      </c>
      <c r="E34" s="702">
        <v>1</v>
      </c>
      <c r="F34" s="702">
        <v>0.99738300000000002</v>
      </c>
      <c r="G34" s="702">
        <v>1.0053380000000001</v>
      </c>
      <c r="H34" s="702">
        <v>1.017396</v>
      </c>
      <c r="I34" s="702">
        <v>1.0290349999999999</v>
      </c>
      <c r="J34" s="702">
        <v>1.044467</v>
      </c>
      <c r="K34" s="702">
        <v>1.0647930000000001</v>
      </c>
      <c r="L34" s="15"/>
      <c r="M34" s="702">
        <v>0.84248699999999999</v>
      </c>
      <c r="N34" s="702">
        <v>0.84105700000000005</v>
      </c>
      <c r="O34" s="702">
        <v>0.84103399999999995</v>
      </c>
      <c r="P34" s="702">
        <v>0.83843599999999996</v>
      </c>
      <c r="Q34" s="702">
        <v>0.83791000000000004</v>
      </c>
      <c r="R34" s="702">
        <v>0.83871399999999996</v>
      </c>
      <c r="S34" s="702">
        <v>0.83983799999999997</v>
      </c>
      <c r="T34" s="702">
        <v>0.84018800000000005</v>
      </c>
      <c r="U34" s="702">
        <v>0.83956799999999998</v>
      </c>
    </row>
    <row r="35" spans="1:21" x14ac:dyDescent="0.25">
      <c r="A35" t="s">
        <v>692</v>
      </c>
      <c r="B35" t="s">
        <v>433</v>
      </c>
      <c r="C35" s="702">
        <v>0.91542299999999999</v>
      </c>
      <c r="D35" s="702">
        <v>0.96277199999999996</v>
      </c>
      <c r="E35" s="702">
        <v>1</v>
      </c>
      <c r="F35" s="702">
        <v>1.015471</v>
      </c>
      <c r="G35" s="702">
        <v>1.031639</v>
      </c>
      <c r="H35" s="702">
        <v>1.03979</v>
      </c>
      <c r="I35" s="702">
        <v>1.053158</v>
      </c>
      <c r="J35" s="702">
        <v>1.109477</v>
      </c>
      <c r="K35" s="702">
        <v>1.124625</v>
      </c>
      <c r="L35" s="15"/>
      <c r="M35" s="702">
        <v>0.69835700000000001</v>
      </c>
      <c r="N35" s="702">
        <v>0.703739</v>
      </c>
      <c r="O35" s="702">
        <v>0.70655599999999996</v>
      </c>
      <c r="P35" s="702">
        <v>0.70661799999999997</v>
      </c>
      <c r="Q35" s="702">
        <v>0.70747599999999999</v>
      </c>
      <c r="R35" s="702">
        <v>0.70699900000000004</v>
      </c>
      <c r="S35" s="702">
        <v>0.70935000000000004</v>
      </c>
      <c r="T35" s="702">
        <v>0.71844600000000003</v>
      </c>
      <c r="U35" s="702">
        <v>0.71762400000000004</v>
      </c>
    </row>
    <row r="36" spans="1:21" x14ac:dyDescent="0.25">
      <c r="A36" t="s">
        <v>693</v>
      </c>
      <c r="B36" t="s">
        <v>435</v>
      </c>
      <c r="C36" s="702">
        <v>0.92871599999999999</v>
      </c>
      <c r="D36" s="702">
        <v>0.97482100000000005</v>
      </c>
      <c r="E36" s="702">
        <v>1</v>
      </c>
      <c r="F36" s="702">
        <v>1.0295639999999999</v>
      </c>
      <c r="G36" s="702">
        <v>1.0696840000000001</v>
      </c>
      <c r="H36" s="702">
        <v>1.1466940000000001</v>
      </c>
      <c r="I36" s="702">
        <v>0.98322100000000001</v>
      </c>
      <c r="J36" s="702">
        <v>1.0014780000000001</v>
      </c>
      <c r="K36" s="702">
        <v>1.0661799999999999</v>
      </c>
      <c r="L36" s="15"/>
      <c r="M36" s="702">
        <v>0.64759199999999995</v>
      </c>
      <c r="N36" s="702">
        <v>0.65305299999999999</v>
      </c>
      <c r="O36" s="702">
        <v>0.65330299999999997</v>
      </c>
      <c r="P36" s="702">
        <v>0.65652999999999995</v>
      </c>
      <c r="Q36" s="702">
        <v>0.66249100000000005</v>
      </c>
      <c r="R36" s="702">
        <v>0.67556400000000005</v>
      </c>
      <c r="S36" s="702">
        <v>0.64072499999999999</v>
      </c>
      <c r="T36" s="702">
        <v>0.643316</v>
      </c>
      <c r="U36" s="702">
        <v>0.65368999999999999</v>
      </c>
    </row>
    <row r="37" spans="1:21" x14ac:dyDescent="0.25">
      <c r="A37" s="33" t="s">
        <v>694</v>
      </c>
      <c r="B37" s="33" t="s">
        <v>436</v>
      </c>
      <c r="C37" s="702">
        <v>0.95538900000000004</v>
      </c>
      <c r="D37" s="702">
        <v>0.97282999999999997</v>
      </c>
      <c r="E37" s="702">
        <v>1</v>
      </c>
      <c r="F37" s="702">
        <v>1.0015540000000001</v>
      </c>
      <c r="G37" s="702">
        <v>1.009943</v>
      </c>
      <c r="H37" s="702">
        <v>1.016923</v>
      </c>
      <c r="I37" s="702">
        <v>1.057269</v>
      </c>
      <c r="J37" s="702">
        <v>1.045755</v>
      </c>
      <c r="K37" s="702">
        <v>1.057938</v>
      </c>
      <c r="L37" s="15"/>
      <c r="M37" s="702">
        <v>0.638351</v>
      </c>
      <c r="N37" s="702">
        <v>0.63707599999999998</v>
      </c>
      <c r="O37" s="702">
        <v>0.637822</v>
      </c>
      <c r="P37" s="702">
        <v>0.63476100000000002</v>
      </c>
      <c r="Q37" s="702">
        <v>0.63401799999999997</v>
      </c>
      <c r="R37" s="702">
        <v>0.633019</v>
      </c>
      <c r="S37" s="702">
        <v>0.641733</v>
      </c>
      <c r="T37" s="702">
        <v>0.63769900000000002</v>
      </c>
      <c r="U37" s="702">
        <v>0.63662700000000005</v>
      </c>
    </row>
    <row r="38" spans="1:21" x14ac:dyDescent="0.25">
      <c r="A38" t="s">
        <v>695</v>
      </c>
      <c r="B38" t="s">
        <v>437</v>
      </c>
      <c r="C38" s="702">
        <v>0.93483400000000005</v>
      </c>
      <c r="D38" s="702">
        <v>0.96174999999999999</v>
      </c>
      <c r="E38" s="702">
        <v>1</v>
      </c>
      <c r="F38" s="702">
        <v>1.0145630000000001</v>
      </c>
      <c r="G38" s="702">
        <v>1.052063</v>
      </c>
      <c r="H38" s="702">
        <v>1.05558</v>
      </c>
      <c r="I38" s="702">
        <v>1.056497</v>
      </c>
      <c r="J38" s="702">
        <v>1.071763</v>
      </c>
      <c r="K38" s="702">
        <v>1.071024</v>
      </c>
      <c r="L38" s="15"/>
      <c r="M38" s="702">
        <v>0.52606399999999998</v>
      </c>
      <c r="N38" s="702">
        <v>0.52681599999999995</v>
      </c>
      <c r="O38" s="702">
        <v>0.53047299999999997</v>
      </c>
      <c r="P38" s="702">
        <v>0.53018200000000004</v>
      </c>
      <c r="Q38" s="702">
        <v>0.53635500000000003</v>
      </c>
      <c r="R38" s="702">
        <v>0.534802</v>
      </c>
      <c r="S38" s="702">
        <v>0.53447</v>
      </c>
      <c r="T38" s="702">
        <v>0.53588999999999998</v>
      </c>
      <c r="U38" s="702">
        <v>0.53102199999999999</v>
      </c>
    </row>
    <row r="39" spans="1:21" x14ac:dyDescent="0.25">
      <c r="A39" t="s">
        <v>696</v>
      </c>
      <c r="B39" t="s">
        <v>438</v>
      </c>
      <c r="C39" s="702">
        <v>0.98264799999999997</v>
      </c>
      <c r="D39" s="702">
        <v>0.98776399999999998</v>
      </c>
      <c r="E39" s="702">
        <v>1</v>
      </c>
      <c r="F39" s="702">
        <v>1.007843</v>
      </c>
      <c r="G39" s="702">
        <v>1.008723</v>
      </c>
      <c r="H39" s="702">
        <v>1.01186</v>
      </c>
      <c r="I39" s="702">
        <v>1.0210269999999999</v>
      </c>
      <c r="J39" s="702">
        <v>1.044924</v>
      </c>
      <c r="K39" s="702">
        <v>1.041736</v>
      </c>
      <c r="L39" s="15"/>
      <c r="M39" s="702">
        <v>0.48996000000000001</v>
      </c>
      <c r="N39" s="702">
        <v>0.48482700000000001</v>
      </c>
      <c r="O39" s="702">
        <v>0.48183300000000001</v>
      </c>
      <c r="P39" s="702">
        <v>0.47981299999999999</v>
      </c>
      <c r="Q39" s="702">
        <v>0.47717799999999999</v>
      </c>
      <c r="R39" s="702">
        <v>0.47565000000000002</v>
      </c>
      <c r="S39" s="702">
        <v>0.47725600000000001</v>
      </c>
      <c r="T39" s="702">
        <v>0.48073300000000002</v>
      </c>
      <c r="U39" s="702">
        <v>0.47509600000000002</v>
      </c>
    </row>
    <row r="40" spans="1:21" x14ac:dyDescent="0.25">
      <c r="A40" t="s">
        <v>697</v>
      </c>
      <c r="B40" t="s">
        <v>439</v>
      </c>
      <c r="C40" s="702">
        <v>0.97619800000000001</v>
      </c>
      <c r="D40" s="702">
        <v>0.99999099999999996</v>
      </c>
      <c r="E40" s="702">
        <v>1</v>
      </c>
      <c r="F40" s="702">
        <v>0.99802999999999997</v>
      </c>
      <c r="G40" s="702">
        <v>0.99275100000000005</v>
      </c>
      <c r="H40" s="702">
        <v>0.95892900000000003</v>
      </c>
      <c r="I40" s="702">
        <v>0.95026100000000002</v>
      </c>
      <c r="J40" s="702">
        <v>0.98514599999999997</v>
      </c>
      <c r="K40" s="702">
        <v>0.98399300000000001</v>
      </c>
      <c r="L40" s="15"/>
      <c r="M40" s="702">
        <v>0.60649399999999998</v>
      </c>
      <c r="N40" s="702">
        <v>0.60594499999999996</v>
      </c>
      <c r="O40" s="702">
        <v>0.60011400000000004</v>
      </c>
      <c r="P40" s="702">
        <v>0.59580599999999995</v>
      </c>
      <c r="Q40" s="702">
        <v>0.59174199999999999</v>
      </c>
      <c r="R40" s="702">
        <v>0.58123100000000005</v>
      </c>
      <c r="S40" s="702">
        <v>0.57840800000000003</v>
      </c>
      <c r="T40" s="702">
        <v>0.58484000000000003</v>
      </c>
      <c r="U40" s="702">
        <v>0.57964499999999997</v>
      </c>
    </row>
    <row r="41" spans="1:21" x14ac:dyDescent="0.25">
      <c r="C41" s="38"/>
      <c r="D41" s="38"/>
      <c r="E41" s="38"/>
      <c r="F41" s="38"/>
      <c r="P41" s="38"/>
    </row>
    <row r="42" spans="1:21" x14ac:dyDescent="0.25">
      <c r="A42" s="30" t="s">
        <v>307</v>
      </c>
      <c r="B42" s="43"/>
      <c r="C42" s="214"/>
      <c r="D42" s="215"/>
      <c r="E42" s="76"/>
      <c r="F42" s="57"/>
      <c r="G42" s="76"/>
      <c r="H42" s="57"/>
      <c r="I42" s="43"/>
    </row>
    <row r="43" spans="1:21" ht="28.5" customHeight="1" x14ac:dyDescent="0.25">
      <c r="A43" s="1124" t="s">
        <v>698</v>
      </c>
      <c r="B43" s="1124"/>
      <c r="C43" s="1124"/>
      <c r="D43" s="1124"/>
      <c r="E43" s="1124"/>
      <c r="F43" s="1124"/>
      <c r="G43" s="1124"/>
      <c r="H43" s="1124"/>
      <c r="I43" s="1124"/>
      <c r="J43" s="1124"/>
    </row>
    <row r="45" spans="1:21" x14ac:dyDescent="0.25">
      <c r="A45" s="1127" t="s">
        <v>206</v>
      </c>
      <c r="B45" s="1127"/>
      <c r="C45" s="1127"/>
      <c r="D45" s="1127"/>
      <c r="E45" s="1127"/>
      <c r="F45" s="1127"/>
      <c r="G45" s="1127"/>
      <c r="H45" s="1127"/>
      <c r="I45" s="1127"/>
      <c r="J45" s="1127"/>
    </row>
    <row r="46" spans="1:21" ht="28.5" customHeight="1" x14ac:dyDescent="0.25">
      <c r="A46" s="1100" t="s">
        <v>699</v>
      </c>
      <c r="B46" s="1100"/>
      <c r="C46" s="1100"/>
      <c r="D46" s="1100"/>
      <c r="E46" s="1100"/>
      <c r="F46" s="1100"/>
      <c r="G46" s="1100"/>
      <c r="H46" s="1100"/>
      <c r="I46" s="1100"/>
      <c r="J46" s="1100"/>
    </row>
  </sheetData>
  <mergeCells count="5">
    <mergeCell ref="M2:U2"/>
    <mergeCell ref="C2:K2"/>
    <mergeCell ref="A45:J45"/>
    <mergeCell ref="A43:J43"/>
    <mergeCell ref="A46:J4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D2A8B-8297-4A07-80F9-95D6C57352A2}">
  <sheetPr codeName="Sheet6">
    <tabColor theme="2" tint="-9.9978637043366805E-2"/>
  </sheetPr>
  <dimension ref="A1:F41"/>
  <sheetViews>
    <sheetView workbookViewId="0">
      <selection activeCell="G39" sqref="G39"/>
    </sheetView>
  </sheetViews>
  <sheetFormatPr defaultRowHeight="15" x14ac:dyDescent="0.25"/>
  <cols>
    <col min="2" max="2" width="19.42578125" customWidth="1"/>
    <col min="3" max="3" width="28.5703125" bestFit="1" customWidth="1"/>
    <col min="4" max="4" width="7.7109375" customWidth="1"/>
    <col min="5" max="5" width="23.140625" customWidth="1"/>
  </cols>
  <sheetData>
    <row r="1" spans="1:5" x14ac:dyDescent="0.25">
      <c r="A1" s="1113" t="s">
        <v>700</v>
      </c>
      <c r="B1" s="1113"/>
      <c r="C1" s="1113"/>
    </row>
    <row r="2" spans="1:5" ht="30" x14ac:dyDescent="0.25">
      <c r="A2" s="7" t="s">
        <v>701</v>
      </c>
      <c r="B2" s="28" t="s">
        <v>702</v>
      </c>
      <c r="C2" s="385"/>
      <c r="D2" s="9"/>
      <c r="E2" s="6"/>
    </row>
    <row r="3" spans="1:5" x14ac:dyDescent="0.25">
      <c r="A3">
        <v>2019</v>
      </c>
      <c r="B3" s="19">
        <v>698748</v>
      </c>
      <c r="C3" s="29"/>
      <c r="D3" s="9"/>
      <c r="E3" s="188"/>
    </row>
    <row r="4" spans="1:5" x14ac:dyDescent="0.25">
      <c r="A4">
        <v>2020</v>
      </c>
      <c r="B4" s="19">
        <v>704990</v>
      </c>
      <c r="C4" s="29"/>
      <c r="D4" s="29"/>
    </row>
    <row r="5" spans="1:5" x14ac:dyDescent="0.25">
      <c r="A5">
        <v>2021</v>
      </c>
      <c r="B5" s="19">
        <v>711405</v>
      </c>
      <c r="C5" s="137"/>
      <c r="D5" s="9"/>
    </row>
    <row r="6" spans="1:5" x14ac:dyDescent="0.25">
      <c r="A6">
        <v>2022</v>
      </c>
      <c r="B6" s="19">
        <v>717575</v>
      </c>
      <c r="C6" s="137"/>
      <c r="D6" s="9"/>
    </row>
    <row r="7" spans="1:5" x14ac:dyDescent="0.25">
      <c r="A7">
        <v>2023</v>
      </c>
      <c r="B7" s="19">
        <v>723768</v>
      </c>
      <c r="C7" s="137"/>
      <c r="D7" s="9"/>
    </row>
    <row r="8" spans="1:5" x14ac:dyDescent="0.25">
      <c r="A8">
        <v>2024</v>
      </c>
      <c r="B8" s="19">
        <v>729975</v>
      </c>
      <c r="C8" s="137"/>
      <c r="D8" s="9"/>
    </row>
    <row r="9" spans="1:5" x14ac:dyDescent="0.25">
      <c r="A9">
        <v>2025</v>
      </c>
      <c r="B9" s="19">
        <v>736174</v>
      </c>
      <c r="C9" s="137"/>
      <c r="D9" s="9"/>
    </row>
    <row r="10" spans="1:5" x14ac:dyDescent="0.25">
      <c r="A10">
        <v>2026</v>
      </c>
      <c r="B10" s="19">
        <v>742344</v>
      </c>
      <c r="C10" s="137"/>
      <c r="D10" s="9"/>
    </row>
    <row r="11" spans="1:5" x14ac:dyDescent="0.25">
      <c r="A11">
        <v>2027</v>
      </c>
      <c r="B11" s="19">
        <v>748484</v>
      </c>
      <c r="C11" s="137"/>
      <c r="D11" s="9"/>
    </row>
    <row r="12" spans="1:5" x14ac:dyDescent="0.25">
      <c r="A12">
        <v>2028</v>
      </c>
      <c r="B12" s="19">
        <v>754583</v>
      </c>
      <c r="C12" s="137"/>
      <c r="D12" s="9"/>
    </row>
    <row r="13" spans="1:5" x14ac:dyDescent="0.25">
      <c r="A13">
        <v>2029</v>
      </c>
      <c r="B13" s="19">
        <v>760636</v>
      </c>
      <c r="C13" s="137"/>
      <c r="D13" s="9"/>
    </row>
    <row r="14" spans="1:5" x14ac:dyDescent="0.25">
      <c r="A14">
        <v>2030</v>
      </c>
      <c r="B14" s="19">
        <v>766643</v>
      </c>
      <c r="C14" s="137"/>
      <c r="D14" s="29"/>
    </row>
    <row r="15" spans="1:5" x14ac:dyDescent="0.25">
      <c r="A15">
        <v>2031</v>
      </c>
      <c r="B15" s="19">
        <v>772596</v>
      </c>
      <c r="C15" s="137"/>
      <c r="D15" s="9"/>
    </row>
    <row r="16" spans="1:5" x14ac:dyDescent="0.25">
      <c r="A16">
        <v>2032</v>
      </c>
      <c r="B16" s="19">
        <v>778493</v>
      </c>
      <c r="C16" s="137"/>
      <c r="D16" s="9"/>
    </row>
    <row r="17" spans="1:4" x14ac:dyDescent="0.25">
      <c r="A17">
        <v>2033</v>
      </c>
      <c r="B17" s="19">
        <v>784328</v>
      </c>
      <c r="C17" s="137"/>
      <c r="D17" s="9"/>
    </row>
    <row r="18" spans="1:4" x14ac:dyDescent="0.25">
      <c r="A18">
        <v>2034</v>
      </c>
      <c r="B18" s="19">
        <v>790085</v>
      </c>
      <c r="C18" s="137"/>
      <c r="D18" s="9"/>
    </row>
    <row r="19" spans="1:4" x14ac:dyDescent="0.25">
      <c r="A19">
        <v>2035</v>
      </c>
      <c r="B19" s="19">
        <v>795762</v>
      </c>
      <c r="C19" s="137"/>
      <c r="D19" s="9"/>
    </row>
    <row r="20" spans="1:4" x14ac:dyDescent="0.25">
      <c r="A20">
        <v>2036</v>
      </c>
      <c r="B20" s="19">
        <v>801351</v>
      </c>
      <c r="C20" s="137"/>
      <c r="D20" s="9"/>
    </row>
    <row r="21" spans="1:4" x14ac:dyDescent="0.25">
      <c r="A21">
        <v>2037</v>
      </c>
      <c r="B21" s="19">
        <v>806861</v>
      </c>
      <c r="C21" s="137"/>
      <c r="D21" s="9"/>
    </row>
    <row r="22" spans="1:4" x14ac:dyDescent="0.25">
      <c r="A22">
        <v>2038</v>
      </c>
      <c r="B22" s="19">
        <v>812298</v>
      </c>
      <c r="C22" s="137"/>
      <c r="D22" s="9"/>
    </row>
    <row r="23" spans="1:4" x14ac:dyDescent="0.25">
      <c r="A23">
        <v>2039</v>
      </c>
      <c r="B23" s="19">
        <v>817679</v>
      </c>
      <c r="C23" s="137"/>
      <c r="D23" s="9"/>
    </row>
    <row r="24" spans="1:4" x14ac:dyDescent="0.25">
      <c r="A24">
        <v>2040</v>
      </c>
      <c r="B24" s="19">
        <v>823018</v>
      </c>
      <c r="C24" s="137"/>
      <c r="D24" s="29"/>
    </row>
    <row r="25" spans="1:4" x14ac:dyDescent="0.25">
      <c r="A25">
        <v>2041</v>
      </c>
      <c r="B25" s="19">
        <v>828332</v>
      </c>
      <c r="C25" s="137"/>
    </row>
    <row r="26" spans="1:4" x14ac:dyDescent="0.25">
      <c r="A26">
        <v>2042</v>
      </c>
      <c r="B26" s="19">
        <v>833640</v>
      </c>
      <c r="C26" s="137"/>
    </row>
    <row r="27" spans="1:4" x14ac:dyDescent="0.25">
      <c r="A27">
        <v>2043</v>
      </c>
      <c r="B27" s="19">
        <v>838955</v>
      </c>
      <c r="C27" s="137"/>
    </row>
    <row r="28" spans="1:4" x14ac:dyDescent="0.25">
      <c r="A28">
        <v>2044</v>
      </c>
      <c r="B28" s="19">
        <v>844291</v>
      </c>
      <c r="C28" s="137"/>
    </row>
    <row r="29" spans="1:4" x14ac:dyDescent="0.25">
      <c r="A29">
        <v>2045</v>
      </c>
      <c r="B29" s="19">
        <v>849660</v>
      </c>
      <c r="C29" s="137"/>
    </row>
    <row r="30" spans="1:4" x14ac:dyDescent="0.25">
      <c r="A30">
        <v>2046</v>
      </c>
      <c r="B30" s="19">
        <v>855071</v>
      </c>
      <c r="C30" s="137"/>
    </row>
    <row r="31" spans="1:4" x14ac:dyDescent="0.25">
      <c r="A31">
        <v>2047</v>
      </c>
      <c r="B31" s="19">
        <v>860540</v>
      </c>
      <c r="C31" s="137"/>
    </row>
    <row r="32" spans="1:4" x14ac:dyDescent="0.25">
      <c r="A32">
        <v>2048</v>
      </c>
      <c r="B32" s="19">
        <v>866088</v>
      </c>
      <c r="C32" s="137"/>
    </row>
    <row r="33" spans="1:6" x14ac:dyDescent="0.25">
      <c r="A33">
        <v>2049</v>
      </c>
      <c r="B33" s="19">
        <v>871726</v>
      </c>
      <c r="C33" s="137"/>
    </row>
    <row r="34" spans="1:6" x14ac:dyDescent="0.25">
      <c r="A34">
        <v>2050</v>
      </c>
      <c r="B34" s="19">
        <v>877459</v>
      </c>
      <c r="C34" s="137"/>
      <c r="D34" s="29"/>
    </row>
    <row r="35" spans="1:6" x14ac:dyDescent="0.25">
      <c r="B35" s="19"/>
      <c r="C35" s="138"/>
      <c r="D35" s="29"/>
    </row>
    <row r="36" spans="1:6" x14ac:dyDescent="0.25">
      <c r="A36" s="18" t="s">
        <v>307</v>
      </c>
      <c r="B36" s="16"/>
      <c r="C36" s="16"/>
      <c r="D36" s="16"/>
    </row>
    <row r="37" spans="1:6" ht="48" customHeight="1" x14ac:dyDescent="0.25">
      <c r="A37" s="1096" t="s">
        <v>703</v>
      </c>
      <c r="B37" s="1096"/>
      <c r="C37" s="1096"/>
      <c r="D37" s="1096"/>
      <c r="E37" s="1096"/>
      <c r="F37" s="1096"/>
    </row>
    <row r="38" spans="1:6" ht="33" customHeight="1" x14ac:dyDescent="0.25">
      <c r="A38" s="5"/>
      <c r="B38" s="5"/>
      <c r="C38" s="5"/>
      <c r="D38" s="5"/>
      <c r="E38" s="5"/>
      <c r="F38" s="5"/>
    </row>
    <row r="39" spans="1:6" ht="34.9" customHeight="1" x14ac:dyDescent="0.25">
      <c r="A39" s="100"/>
      <c r="B39" s="100"/>
      <c r="C39" s="100"/>
      <c r="D39" s="100"/>
      <c r="E39" s="100"/>
      <c r="F39" s="100"/>
    </row>
    <row r="40" spans="1:6" ht="31.15" customHeight="1" x14ac:dyDescent="0.25">
      <c r="A40" s="907"/>
      <c r="B40" s="907"/>
      <c r="C40" s="907"/>
      <c r="D40" s="907"/>
      <c r="E40" s="907"/>
      <c r="F40" s="907"/>
    </row>
    <row r="41" spans="1:6" ht="32.25" customHeight="1" x14ac:dyDescent="0.25">
      <c r="A41" s="25"/>
      <c r="B41" s="25"/>
      <c r="C41" s="25"/>
      <c r="D41" s="25"/>
      <c r="E41" s="25"/>
      <c r="F41" s="25"/>
    </row>
  </sheetData>
  <mergeCells count="2">
    <mergeCell ref="A37:F37"/>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328F0-E738-4285-9641-BF950F023833}">
  <sheetPr>
    <tabColor theme="2" tint="-9.9978637043366805E-2"/>
  </sheetPr>
  <dimension ref="A1:O121"/>
  <sheetViews>
    <sheetView zoomScale="90" zoomScaleNormal="90" workbookViewId="0">
      <pane ySplit="2" topLeftCell="A3" activePane="bottomLeft" state="frozen"/>
      <selection pane="bottomLeft" activeCell="Q19" sqref="Q19"/>
    </sheetView>
  </sheetViews>
  <sheetFormatPr defaultColWidth="8.85546875" defaultRowHeight="15" x14ac:dyDescent="0.25"/>
  <cols>
    <col min="1" max="1" width="26.140625" style="3" customWidth="1"/>
    <col min="2" max="2" width="22.28515625" style="3" customWidth="1"/>
    <col min="3" max="3" width="14.28515625" style="3" customWidth="1"/>
    <col min="4" max="4" width="20.5703125" style="3" customWidth="1"/>
    <col min="5" max="5" width="18.85546875" style="3" customWidth="1"/>
    <col min="6" max="6" width="7.28515625" bestFit="1" customWidth="1"/>
    <col min="7" max="7" width="6.85546875" customWidth="1"/>
    <col min="8" max="8" width="6" bestFit="1" customWidth="1"/>
    <col min="9" max="9" width="15.42578125" customWidth="1"/>
    <col min="10" max="10" width="15.42578125" style="9" customWidth="1"/>
    <col min="11" max="11" width="8" customWidth="1"/>
    <col min="12" max="12" width="9.85546875" customWidth="1"/>
    <col min="13" max="13" width="10.28515625" customWidth="1"/>
    <col min="14" max="14" width="9.85546875" style="128" customWidth="1"/>
    <col min="15" max="15" width="6.7109375" style="128" customWidth="1"/>
  </cols>
  <sheetData>
    <row r="1" spans="1:15" x14ac:dyDescent="0.25">
      <c r="A1" s="1159" t="s">
        <v>704</v>
      </c>
      <c r="B1" s="1160"/>
      <c r="C1" s="1160"/>
      <c r="D1" s="1160"/>
      <c r="E1" s="1160"/>
      <c r="F1" s="1160"/>
      <c r="G1" s="1160"/>
      <c r="H1" s="1161"/>
      <c r="I1" s="1169" t="s">
        <v>705</v>
      </c>
      <c r="J1" s="1170"/>
      <c r="K1" s="1156" t="s">
        <v>706</v>
      </c>
      <c r="L1" s="1157"/>
      <c r="M1" s="1157"/>
      <c r="N1" s="1157"/>
      <c r="O1"/>
    </row>
    <row r="2" spans="1:15" ht="42" customHeight="1" x14ac:dyDescent="0.25">
      <c r="A2" s="714" t="s">
        <v>707</v>
      </c>
      <c r="B2" s="715" t="s">
        <v>325</v>
      </c>
      <c r="C2" s="716" t="s">
        <v>708</v>
      </c>
      <c r="D2" s="717" t="s">
        <v>709</v>
      </c>
      <c r="E2" s="718" t="s">
        <v>710</v>
      </c>
      <c r="F2" s="718" t="s">
        <v>711</v>
      </c>
      <c r="G2" s="718" t="s">
        <v>712</v>
      </c>
      <c r="H2" s="719" t="s">
        <v>713</v>
      </c>
      <c r="I2" s="720" t="s">
        <v>714</v>
      </c>
      <c r="J2" s="841" t="s">
        <v>715</v>
      </c>
      <c r="K2" s="844" t="s">
        <v>716</v>
      </c>
      <c r="L2" s="842" t="s">
        <v>717</v>
      </c>
      <c r="M2" s="842" t="s">
        <v>718</v>
      </c>
      <c r="N2" s="843" t="s">
        <v>719</v>
      </c>
    </row>
    <row r="3" spans="1:15" x14ac:dyDescent="0.25">
      <c r="A3" s="721" t="s">
        <v>720</v>
      </c>
      <c r="B3" s="705" t="s">
        <v>72</v>
      </c>
      <c r="C3" s="722" t="s">
        <v>721</v>
      </c>
      <c r="D3" s="723">
        <v>2.2599999999999998</v>
      </c>
      <c r="E3" s="723"/>
      <c r="F3" s="723"/>
      <c r="G3" s="724"/>
      <c r="H3" s="725"/>
      <c r="I3" s="726">
        <f>D3*$E$51</f>
        <v>1.4011999999999998</v>
      </c>
      <c r="J3" s="727">
        <f>(I3*(K3/1000))*365*'1. LCA Controls'!$B$6</f>
        <v>11933157.974711398</v>
      </c>
      <c r="K3" s="728">
        <v>28.35</v>
      </c>
      <c r="L3" s="729"/>
      <c r="M3" s="729"/>
      <c r="N3" s="730"/>
    </row>
    <row r="4" spans="1:15" x14ac:dyDescent="0.25">
      <c r="A4" s="731" t="s">
        <v>720</v>
      </c>
      <c r="B4" s="732" t="s">
        <v>76</v>
      </c>
      <c r="C4" s="733" t="s">
        <v>721</v>
      </c>
      <c r="D4" s="734">
        <v>1.78</v>
      </c>
      <c r="E4" s="734"/>
      <c r="F4" s="734"/>
      <c r="G4" s="735"/>
      <c r="H4" s="736"/>
      <c r="I4" s="737">
        <f>D4*$E$51</f>
        <v>1.1035999999999999</v>
      </c>
      <c r="J4" s="727">
        <f>(I4*(K4/1000))*365*'1. LCA Controls'!$B$6</f>
        <v>9398681.9446841981</v>
      </c>
      <c r="K4" s="738">
        <v>28.35</v>
      </c>
      <c r="L4" s="739"/>
      <c r="M4" s="739"/>
      <c r="N4" s="740"/>
    </row>
    <row r="5" spans="1:15" x14ac:dyDescent="0.25">
      <c r="A5" s="731" t="s">
        <v>720</v>
      </c>
      <c r="B5" s="705" t="s">
        <v>79</v>
      </c>
      <c r="C5" s="722" t="s">
        <v>721</v>
      </c>
      <c r="D5" s="723">
        <v>1.39</v>
      </c>
      <c r="E5" s="723"/>
      <c r="F5" s="724"/>
      <c r="G5" s="724"/>
      <c r="H5" s="725"/>
      <c r="I5" s="741">
        <f>1.39*$E$51</f>
        <v>0.8617999999999999</v>
      </c>
      <c r="J5" s="727">
        <f>(I5*(K5/1000))*365*'1. LCA Controls'!$B$6</f>
        <v>7339420.1702870987</v>
      </c>
      <c r="K5" s="738">
        <v>28.35</v>
      </c>
      <c r="L5" s="742"/>
      <c r="M5" s="742"/>
      <c r="N5" s="743"/>
    </row>
    <row r="6" spans="1:15" x14ac:dyDescent="0.25">
      <c r="A6" s="731" t="s">
        <v>720</v>
      </c>
      <c r="B6" s="705" t="s">
        <v>83</v>
      </c>
      <c r="C6" s="722" t="s">
        <v>721</v>
      </c>
      <c r="D6" s="723">
        <v>0.54</v>
      </c>
      <c r="E6" s="723"/>
      <c r="F6" s="723"/>
      <c r="G6" s="724"/>
      <c r="H6" s="725"/>
      <c r="I6" s="741">
        <f>0.54*$E$51</f>
        <v>0.33480000000000004</v>
      </c>
      <c r="J6" s="727">
        <f>(I6*(K6/1000))*365*'1. LCA Controls'!$B$6</f>
        <v>5028722.2818</v>
      </c>
      <c r="K6" s="738">
        <v>50</v>
      </c>
      <c r="L6" s="742"/>
      <c r="M6" s="742"/>
      <c r="N6" s="743"/>
    </row>
    <row r="7" spans="1:15" x14ac:dyDescent="0.25">
      <c r="A7" s="744" t="s">
        <v>720</v>
      </c>
      <c r="B7" s="745" t="s">
        <v>533</v>
      </c>
      <c r="C7" s="746" t="s">
        <v>721</v>
      </c>
      <c r="D7" s="747">
        <f>0.2*6.35</f>
        <v>1.27</v>
      </c>
      <c r="E7" s="747"/>
      <c r="F7" s="747"/>
      <c r="G7" s="748"/>
      <c r="H7" s="749"/>
      <c r="I7" s="750">
        <f>D7*$E$52</f>
        <v>0.15875</v>
      </c>
      <c r="J7" s="727">
        <f>(I7*(K7/1000))*365*'1. LCA Controls'!$B$6</f>
        <v>2086382.7791406247</v>
      </c>
      <c r="K7" s="751">
        <f>175/4</f>
        <v>43.75</v>
      </c>
      <c r="L7" s="752"/>
      <c r="M7" s="752"/>
      <c r="N7" s="753"/>
    </row>
    <row r="8" spans="1:15" x14ac:dyDescent="0.25">
      <c r="A8" s="754" t="s">
        <v>32</v>
      </c>
      <c r="B8" s="755" t="s">
        <v>91</v>
      </c>
      <c r="C8" s="756" t="s">
        <v>722</v>
      </c>
      <c r="D8" s="757">
        <v>0.69</v>
      </c>
      <c r="E8" s="757"/>
      <c r="F8" s="758"/>
      <c r="G8" s="758"/>
      <c r="H8" s="759"/>
      <c r="I8" s="760">
        <f>D8*$E$53</f>
        <v>0.44159999999999999</v>
      </c>
      <c r="J8" s="761">
        <f>(I8*(K8/1000))*365*'1. LCA Controls'!$B$6</f>
        <v>5641253.0990928011</v>
      </c>
      <c r="K8" s="762">
        <f>1.5*28.35</f>
        <v>42.525000000000006</v>
      </c>
      <c r="L8" s="763"/>
      <c r="M8" s="763"/>
      <c r="N8" s="764"/>
    </row>
    <row r="9" spans="1:15" x14ac:dyDescent="0.25">
      <c r="A9" s="765" t="s">
        <v>32</v>
      </c>
      <c r="B9" s="745" t="s">
        <v>95</v>
      </c>
      <c r="C9" s="746" t="s">
        <v>722</v>
      </c>
      <c r="D9" s="747">
        <v>0.49</v>
      </c>
      <c r="E9" s="747"/>
      <c r="F9" s="748"/>
      <c r="G9" s="748"/>
      <c r="H9" s="749"/>
      <c r="I9" s="766">
        <f>D9*$E$54</f>
        <v>0.31850000000000001</v>
      </c>
      <c r="J9" s="767">
        <f>(I9*(K9/1000))*365*'1. LCA Controls'!$B$6</f>
        <v>23441085.511025</v>
      </c>
      <c r="K9" s="768">
        <v>245</v>
      </c>
      <c r="L9" s="769"/>
      <c r="M9" s="769"/>
      <c r="N9" s="770"/>
    </row>
    <row r="10" spans="1:15" x14ac:dyDescent="0.25">
      <c r="A10" s="771" t="s">
        <v>723</v>
      </c>
      <c r="B10" s="755" t="s">
        <v>99</v>
      </c>
      <c r="C10" s="756" t="s">
        <v>722</v>
      </c>
      <c r="D10" s="757">
        <f>SUM(E10:H10)</f>
        <v>0.22</v>
      </c>
      <c r="E10" s="758">
        <v>0.124</v>
      </c>
      <c r="F10" s="758">
        <v>2.5000000000000001E-2</v>
      </c>
      <c r="G10" s="758">
        <v>1E-3</v>
      </c>
      <c r="H10" s="759">
        <v>7.0000000000000007E-2</v>
      </c>
      <c r="I10" s="772">
        <f t="shared" ref="I10:I17" si="0">SUM(E10)</f>
        <v>0.124</v>
      </c>
      <c r="J10" s="727">
        <f>(I10*(K10/1000))*365*'1. LCA Controls'!$B$6</f>
        <v>4097477.4147999999</v>
      </c>
      <c r="K10" s="773">
        <v>110</v>
      </c>
      <c r="L10" s="773">
        <v>250</v>
      </c>
      <c r="M10" s="773">
        <v>115</v>
      </c>
      <c r="N10" s="774">
        <v>250</v>
      </c>
    </row>
    <row r="11" spans="1:15" x14ac:dyDescent="0.25">
      <c r="A11" s="775" t="s">
        <v>723</v>
      </c>
      <c r="B11" s="705" t="s">
        <v>724</v>
      </c>
      <c r="C11" s="722" t="s">
        <v>722</v>
      </c>
      <c r="D11" s="723">
        <f>0.012+0.02+0.041</f>
        <v>7.3000000000000009E-2</v>
      </c>
      <c r="E11" s="723">
        <v>7.2999999999999995E-2</v>
      </c>
      <c r="F11" s="724"/>
      <c r="G11" s="724"/>
      <c r="H11" s="725"/>
      <c r="I11" s="776">
        <f t="shared" si="0"/>
        <v>7.2999999999999995E-2</v>
      </c>
      <c r="J11" s="727">
        <f>(I11*(K11/1000))*365*'1. LCA Controls'!$B$6</f>
        <v>3727983.4837000002</v>
      </c>
      <c r="K11" s="738">
        <v>170</v>
      </c>
      <c r="L11" s="777"/>
      <c r="M11" s="777"/>
      <c r="N11" s="778"/>
    </row>
    <row r="12" spans="1:15" x14ac:dyDescent="0.25">
      <c r="A12" s="775" t="s">
        <v>723</v>
      </c>
      <c r="B12" s="779" t="s">
        <v>105</v>
      </c>
      <c r="C12" s="780" t="s">
        <v>722</v>
      </c>
      <c r="D12" s="724">
        <f>SUM(E12:H12)</f>
        <v>1.3999999999999999E-2</v>
      </c>
      <c r="E12" s="724">
        <v>1.0999999999999999E-2</v>
      </c>
      <c r="F12" s="724"/>
      <c r="G12" s="724">
        <v>3.0000000000000001E-3</v>
      </c>
      <c r="H12" s="725"/>
      <c r="I12" s="776">
        <f t="shared" si="0"/>
        <v>1.0999999999999999E-2</v>
      </c>
      <c r="J12" s="727">
        <f>(I12*(K12/1000))*365*'1. LCA Controls'!$B$6</f>
        <v>479140.50414999999</v>
      </c>
      <c r="K12" s="738">
        <v>145</v>
      </c>
      <c r="L12" s="777"/>
      <c r="M12" s="777">
        <v>150</v>
      </c>
      <c r="N12" s="778"/>
    </row>
    <row r="13" spans="1:15" x14ac:dyDescent="0.25">
      <c r="A13" s="775" t="s">
        <v>723</v>
      </c>
      <c r="B13" s="779" t="s">
        <v>108</v>
      </c>
      <c r="C13" s="780" t="s">
        <v>722</v>
      </c>
      <c r="D13" s="724">
        <f>SUM(E13:H13)</f>
        <v>7.0000000000000001E-3</v>
      </c>
      <c r="E13" s="724">
        <v>3.0000000000000001E-3</v>
      </c>
      <c r="F13" s="724"/>
      <c r="G13" s="724">
        <v>4.0000000000000001E-3</v>
      </c>
      <c r="H13" s="725"/>
      <c r="I13" s="776">
        <f t="shared" si="0"/>
        <v>3.0000000000000001E-3</v>
      </c>
      <c r="J13" s="727">
        <f>(I13*(K13/1000))*365*'1. LCA Controls'!$B$6</f>
        <v>139686.73005000001</v>
      </c>
      <c r="K13" s="738">
        <v>155</v>
      </c>
      <c r="L13" s="777"/>
      <c r="M13" s="777">
        <v>160</v>
      </c>
      <c r="N13" s="778"/>
    </row>
    <row r="14" spans="1:15" x14ac:dyDescent="0.25">
      <c r="A14" s="775" t="s">
        <v>723</v>
      </c>
      <c r="B14" s="779" t="s">
        <v>111</v>
      </c>
      <c r="C14" s="780" t="s">
        <v>722</v>
      </c>
      <c r="D14" s="724">
        <f>SUM(E14:H14)</f>
        <v>4.8999999999999995E-2</v>
      </c>
      <c r="E14" s="724">
        <v>3.5999999999999997E-2</v>
      </c>
      <c r="F14" s="724"/>
      <c r="G14" s="724"/>
      <c r="H14" s="725">
        <v>1.2999999999999999E-2</v>
      </c>
      <c r="I14" s="776">
        <f t="shared" si="0"/>
        <v>3.5999999999999997E-2</v>
      </c>
      <c r="J14" s="727">
        <f>(I14*(K14/1000))*365*'1. LCA Controls'!$B$6</f>
        <v>1622168.4779999999</v>
      </c>
      <c r="K14" s="738">
        <v>150</v>
      </c>
      <c r="L14" s="777"/>
      <c r="M14" s="777"/>
      <c r="N14" s="778">
        <v>250</v>
      </c>
    </row>
    <row r="15" spans="1:15" x14ac:dyDescent="0.25">
      <c r="A15" s="775" t="s">
        <v>723</v>
      </c>
      <c r="B15" s="779" t="s">
        <v>114</v>
      </c>
      <c r="C15" s="781" t="s">
        <v>722</v>
      </c>
      <c r="D15" s="724">
        <f>SUM(E15:F15)</f>
        <v>2.5000000000000001E-2</v>
      </c>
      <c r="E15" s="724">
        <v>1.4E-2</v>
      </c>
      <c r="F15" s="724">
        <v>1.0999999999999999E-2</v>
      </c>
      <c r="G15" s="782"/>
      <c r="H15" s="725"/>
      <c r="I15" s="776">
        <f t="shared" si="0"/>
        <v>1.4E-2</v>
      </c>
      <c r="J15" s="727">
        <f>(I15*(K15/1000))*365*'1. LCA Controls'!$B$6</f>
        <v>693927.62669999991</v>
      </c>
      <c r="K15" s="738">
        <v>165</v>
      </c>
      <c r="L15" s="777">
        <v>250</v>
      </c>
      <c r="M15" s="777"/>
      <c r="N15" s="778"/>
    </row>
    <row r="16" spans="1:15" x14ac:dyDescent="0.25">
      <c r="A16" s="775" t="s">
        <v>723</v>
      </c>
      <c r="B16" s="779" t="s">
        <v>117</v>
      </c>
      <c r="C16" s="781" t="s">
        <v>722</v>
      </c>
      <c r="D16" s="724">
        <f>SUM(E16:G16)</f>
        <v>8.0000000000000002E-3</v>
      </c>
      <c r="E16" s="724">
        <v>5.0000000000000001E-3</v>
      </c>
      <c r="F16" s="783"/>
      <c r="G16" s="724">
        <v>3.0000000000000001E-3</v>
      </c>
      <c r="H16" s="784"/>
      <c r="I16" s="776">
        <f t="shared" si="0"/>
        <v>5.0000000000000001E-3</v>
      </c>
      <c r="J16" s="727">
        <f>(I16*(K16/1000))*365*'1. LCA Controls'!$B$6</f>
        <v>217791.13824999999</v>
      </c>
      <c r="K16" s="738">
        <v>145</v>
      </c>
      <c r="L16" s="777"/>
      <c r="M16" s="777">
        <v>150</v>
      </c>
      <c r="N16" s="778"/>
    </row>
    <row r="17" spans="1:15" x14ac:dyDescent="0.25">
      <c r="A17" s="775" t="s">
        <v>723</v>
      </c>
      <c r="B17" s="705" t="s">
        <v>120</v>
      </c>
      <c r="C17" s="722" t="s">
        <v>722</v>
      </c>
      <c r="D17" s="723">
        <f>SUM(E17:G17)</f>
        <v>4.2999999999999997E-2</v>
      </c>
      <c r="E17" s="785">
        <v>3.1E-2</v>
      </c>
      <c r="F17" s="785"/>
      <c r="G17" s="724">
        <v>1.2E-2</v>
      </c>
      <c r="H17" s="725"/>
      <c r="I17" s="776">
        <f t="shared" si="0"/>
        <v>3.1E-2</v>
      </c>
      <c r="J17" s="727">
        <f>(I17*(K17/1000))*365*'1. LCA Controls'!$B$6</f>
        <v>1350305.05715</v>
      </c>
      <c r="K17" s="738">
        <v>145</v>
      </c>
      <c r="L17" s="777"/>
      <c r="M17" s="777">
        <v>150</v>
      </c>
      <c r="N17" s="778"/>
    </row>
    <row r="18" spans="1:15" x14ac:dyDescent="0.25">
      <c r="A18" s="786" t="s">
        <v>723</v>
      </c>
      <c r="B18" s="787" t="s">
        <v>547</v>
      </c>
      <c r="C18" s="787" t="s">
        <v>722</v>
      </c>
      <c r="D18" s="747">
        <f>SUM(F10:H17)</f>
        <v>0.14200000000000002</v>
      </c>
      <c r="E18" s="747"/>
      <c r="F18" s="748"/>
      <c r="G18" s="748"/>
      <c r="H18" s="749"/>
      <c r="I18" s="750">
        <f>D18</f>
        <v>0.14200000000000002</v>
      </c>
      <c r="J18" s="727">
        <f>(I18*(K18/1000))*365*'1. LCA Controls'!$B$6</f>
        <v>9974834.1318500023</v>
      </c>
      <c r="K18" s="788">
        <v>233.83802816901408</v>
      </c>
      <c r="L18" s="768"/>
      <c r="M18" s="768"/>
      <c r="N18" s="789"/>
    </row>
    <row r="19" spans="1:15" x14ac:dyDescent="0.25">
      <c r="A19" s="790" t="s">
        <v>725</v>
      </c>
      <c r="B19" s="791" t="s">
        <v>128</v>
      </c>
      <c r="C19" s="792" t="s">
        <v>722</v>
      </c>
      <c r="D19" s="758">
        <f>SUM(E19:G19)</f>
        <v>5.7999999999999996E-2</v>
      </c>
      <c r="E19" s="758">
        <v>4.7E-2</v>
      </c>
      <c r="F19" s="758"/>
      <c r="G19" s="758">
        <v>1.0999999999999999E-2</v>
      </c>
      <c r="H19" s="759"/>
      <c r="I19" s="772">
        <f>E19*0.79</f>
        <v>3.7130000000000003E-2</v>
      </c>
      <c r="J19" s="761">
        <f>(I19*(K19/1000))*365*'1. LCA Controls'!$B$6</f>
        <v>892312.82352800015</v>
      </c>
      <c r="K19" s="793">
        <v>80</v>
      </c>
      <c r="L19" s="793"/>
      <c r="M19" s="793">
        <v>155</v>
      </c>
      <c r="N19" s="774"/>
      <c r="O19"/>
    </row>
    <row r="20" spans="1:15" x14ac:dyDescent="0.25">
      <c r="A20" s="794" t="s">
        <v>725</v>
      </c>
      <c r="B20" s="732" t="s">
        <v>131</v>
      </c>
      <c r="C20" s="780" t="s">
        <v>722</v>
      </c>
      <c r="D20" s="724">
        <f>SUM(E20:G20)</f>
        <v>7.0000000000000001E-3</v>
      </c>
      <c r="E20" s="724">
        <v>7.0000000000000001E-3</v>
      </c>
      <c r="F20" s="724"/>
      <c r="G20" s="724"/>
      <c r="H20" s="725"/>
      <c r="I20" s="776">
        <f>E20*0.79</f>
        <v>5.5300000000000002E-3</v>
      </c>
      <c r="J20" s="727">
        <f>(I20*(K20/1000))*365*'1. LCA Controls'!$B$6</f>
        <v>116285.44774700001</v>
      </c>
      <c r="K20" s="738">
        <v>70</v>
      </c>
      <c r="L20" s="795"/>
      <c r="M20" s="795"/>
      <c r="N20" s="796"/>
      <c r="O20"/>
    </row>
    <row r="21" spans="1:15" x14ac:dyDescent="0.25">
      <c r="A21" s="794" t="s">
        <v>725</v>
      </c>
      <c r="B21" s="732" t="s">
        <v>134</v>
      </c>
      <c r="C21" s="780" t="s">
        <v>722</v>
      </c>
      <c r="D21" s="724">
        <f>SUM(E21:G21)</f>
        <v>2E-3</v>
      </c>
      <c r="E21" s="724">
        <v>2E-3</v>
      </c>
      <c r="F21" s="724"/>
      <c r="G21" s="724"/>
      <c r="H21" s="725"/>
      <c r="I21" s="776">
        <f>E21*0.79</f>
        <v>1.58E-3</v>
      </c>
      <c r="J21" s="727">
        <f>(I21*(K21/1000))*365*'1. LCA Controls'!$B$6</f>
        <v>33224.413642000007</v>
      </c>
      <c r="K21" s="738">
        <v>70</v>
      </c>
      <c r="L21" s="795"/>
      <c r="M21" s="795"/>
      <c r="N21" s="796"/>
      <c r="O21"/>
    </row>
    <row r="22" spans="1:15" x14ac:dyDescent="0.25">
      <c r="A22" s="794" t="s">
        <v>725</v>
      </c>
      <c r="B22" s="732" t="s">
        <v>137</v>
      </c>
      <c r="C22" s="780" t="s">
        <v>722</v>
      </c>
      <c r="D22" s="797">
        <v>9.7000000000000003E-2</v>
      </c>
      <c r="E22" s="724">
        <v>9.7000000000000003E-2</v>
      </c>
      <c r="F22" s="724"/>
      <c r="G22" s="724"/>
      <c r="H22" s="725"/>
      <c r="I22" s="776">
        <f>E22*0.79</f>
        <v>7.6630000000000004E-2</v>
      </c>
      <c r="J22" s="727">
        <f>(I22*(K22/1000))*365*'1. LCA Controls'!$B$6</f>
        <v>1611384.0616370004</v>
      </c>
      <c r="K22" s="777">
        <v>70</v>
      </c>
      <c r="L22" s="777"/>
      <c r="M22" s="777"/>
      <c r="N22" s="778"/>
      <c r="O22"/>
    </row>
    <row r="23" spans="1:15" x14ac:dyDescent="0.25">
      <c r="A23" s="794" t="s">
        <v>725</v>
      </c>
      <c r="B23" s="705" t="s">
        <v>140</v>
      </c>
      <c r="C23" s="780" t="s">
        <v>722</v>
      </c>
      <c r="D23" s="724">
        <f>SUM(E23:G23)</f>
        <v>2.0999999999999998E-2</v>
      </c>
      <c r="E23" s="724">
        <v>1.9E-2</v>
      </c>
      <c r="F23" s="724"/>
      <c r="G23" s="735">
        <v>2E-3</v>
      </c>
      <c r="H23" s="725"/>
      <c r="I23" s="776">
        <f>E23*0.79</f>
        <v>1.5010000000000001E-2</v>
      </c>
      <c r="J23" s="727">
        <f>(I23*(K23/1000))*365*'1. LCA Controls'!$B$6</f>
        <v>315631.92959900002</v>
      </c>
      <c r="K23" s="777">
        <v>70</v>
      </c>
      <c r="L23" s="777"/>
      <c r="M23" s="777">
        <v>155</v>
      </c>
      <c r="N23" s="778"/>
      <c r="O23"/>
    </row>
    <row r="24" spans="1:15" x14ac:dyDescent="0.25">
      <c r="A24" s="798" t="s">
        <v>725</v>
      </c>
      <c r="B24" s="787" t="s">
        <v>555</v>
      </c>
      <c r="C24" s="780" t="s">
        <v>722</v>
      </c>
      <c r="D24" s="747">
        <f>SUM(F19:G23)</f>
        <v>1.2999999999999999E-2</v>
      </c>
      <c r="E24" s="747"/>
      <c r="F24" s="748"/>
      <c r="G24" s="748"/>
      <c r="H24" s="749"/>
      <c r="I24" s="799">
        <f>SUM(F19:H23)*0.79</f>
        <v>1.027E-2</v>
      </c>
      <c r="J24" s="767">
        <f>(I24*(K24/1000))*365*'1. LCA Controls'!$B$6</f>
        <v>478194.23920449993</v>
      </c>
      <c r="K24" s="788">
        <f>155</f>
        <v>155</v>
      </c>
      <c r="L24" s="768"/>
      <c r="M24" s="768"/>
      <c r="N24" s="789"/>
    </row>
    <row r="25" spans="1:15" x14ac:dyDescent="0.25">
      <c r="A25" s="790" t="s">
        <v>726</v>
      </c>
      <c r="B25" s="791" t="s">
        <v>146</v>
      </c>
      <c r="C25" s="792" t="s">
        <v>722</v>
      </c>
      <c r="D25" s="758">
        <f>SUM(E25:G25)</f>
        <v>4.9999999999999996E-2</v>
      </c>
      <c r="E25" s="758">
        <v>0.04</v>
      </c>
      <c r="F25" s="758">
        <v>4.0000000000000001E-3</v>
      </c>
      <c r="G25" s="758">
        <v>6.0000000000000001E-3</v>
      </c>
      <c r="H25" s="759"/>
      <c r="I25" s="772">
        <f>E25*0.79</f>
        <v>3.1600000000000003E-2</v>
      </c>
      <c r="J25" s="727">
        <f>(I25*(K25/1000))*365*'1. LCA Controls'!$B$6</f>
        <v>1186586.2015</v>
      </c>
      <c r="K25" s="793">
        <v>125</v>
      </c>
      <c r="L25" s="793">
        <v>145</v>
      </c>
      <c r="M25" s="793">
        <v>145</v>
      </c>
      <c r="N25" s="774"/>
      <c r="O25"/>
    </row>
    <row r="26" spans="1:15" x14ac:dyDescent="0.25">
      <c r="A26" s="794" t="s">
        <v>726</v>
      </c>
      <c r="B26" s="732" t="s">
        <v>149</v>
      </c>
      <c r="C26" s="780" t="s">
        <v>722</v>
      </c>
      <c r="D26" s="724">
        <v>1.2E-2</v>
      </c>
      <c r="E26" s="724">
        <v>1.2E-2</v>
      </c>
      <c r="F26" s="724"/>
      <c r="G26" s="724"/>
      <c r="H26" s="725"/>
      <c r="I26" s="776">
        <f>E26*0.79</f>
        <v>9.4800000000000006E-3</v>
      </c>
      <c r="J26" s="727">
        <f>(I26*(K26/1000))*365*'1. LCA Controls'!$B$6</f>
        <v>327497.79161400005</v>
      </c>
      <c r="K26" s="777">
        <v>115</v>
      </c>
      <c r="L26" s="777"/>
      <c r="M26" s="777"/>
      <c r="N26" s="778"/>
      <c r="O26"/>
    </row>
    <row r="27" spans="1:15" x14ac:dyDescent="0.25">
      <c r="A27" s="794" t="s">
        <v>726</v>
      </c>
      <c r="B27" s="705" t="s">
        <v>152</v>
      </c>
      <c r="C27" s="781" t="s">
        <v>722</v>
      </c>
      <c r="D27" s="724">
        <v>2.3E-2</v>
      </c>
      <c r="E27" s="724">
        <v>2.3E-2</v>
      </c>
      <c r="F27" s="724"/>
      <c r="G27" s="724"/>
      <c r="H27" s="725"/>
      <c r="I27" s="776">
        <f>E27*0.79</f>
        <v>1.8170000000000002E-2</v>
      </c>
      <c r="J27" s="727">
        <f>(I27*(K27/1000))*365*'1. LCA Controls'!$B$6</f>
        <v>709578.54849700001</v>
      </c>
      <c r="K27" s="738">
        <v>130</v>
      </c>
      <c r="L27" s="795"/>
      <c r="M27" s="777"/>
      <c r="N27" s="778"/>
      <c r="O27"/>
    </row>
    <row r="28" spans="1:15" x14ac:dyDescent="0.25">
      <c r="A28" s="794" t="s">
        <v>726</v>
      </c>
      <c r="B28" s="705" t="s">
        <v>155</v>
      </c>
      <c r="C28" s="780" t="s">
        <v>722</v>
      </c>
      <c r="D28" s="724">
        <f>SUM(E28:F28)</f>
        <v>0.17399999999999999</v>
      </c>
      <c r="E28" s="724">
        <v>8.5999999999999993E-2</v>
      </c>
      <c r="F28" s="724">
        <v>8.7999999999999995E-2</v>
      </c>
      <c r="G28" s="724"/>
      <c r="H28" s="725"/>
      <c r="I28" s="776">
        <f>E28*0.79</f>
        <v>6.794E-2</v>
      </c>
      <c r="J28" s="727">
        <f>(I28*(K28/1000))*365*'1. LCA Controls'!$B$6</f>
        <v>3469578.0531860003</v>
      </c>
      <c r="K28" s="777">
        <v>170</v>
      </c>
      <c r="L28" s="777">
        <v>245</v>
      </c>
      <c r="M28" s="777"/>
      <c r="N28" s="778"/>
      <c r="O28"/>
    </row>
    <row r="29" spans="1:15" x14ac:dyDescent="0.25">
      <c r="A29" s="798" t="s">
        <v>726</v>
      </c>
      <c r="B29" s="787" t="s">
        <v>555</v>
      </c>
      <c r="C29" s="780" t="s">
        <v>722</v>
      </c>
      <c r="D29" s="748">
        <f>SUM(F25:G28)</f>
        <v>9.799999999999999E-2</v>
      </c>
      <c r="E29" s="748"/>
      <c r="F29" s="748"/>
      <c r="G29" s="748"/>
      <c r="H29" s="749"/>
      <c r="I29" s="799">
        <f>SUM(F25:H28)*0.79</f>
        <v>7.7419999999999989E-2</v>
      </c>
      <c r="J29" s="727">
        <f>(I29*(K29/1000))*365*'1. LCA Controls'!$B$6</f>
        <v>5460669.6993029993</v>
      </c>
      <c r="K29" s="800">
        <v>234.79591836734693</v>
      </c>
      <c r="L29" s="768"/>
      <c r="M29" s="768"/>
      <c r="N29" s="789"/>
      <c r="O29"/>
    </row>
    <row r="30" spans="1:15" x14ac:dyDescent="0.25">
      <c r="A30" s="790" t="s">
        <v>727</v>
      </c>
      <c r="B30" s="791" t="s">
        <v>161</v>
      </c>
      <c r="C30" s="792" t="s">
        <v>722</v>
      </c>
      <c r="D30" s="758">
        <f>SUM(E30:G30)</f>
        <v>4.5999999999999999E-2</v>
      </c>
      <c r="E30" s="758">
        <v>1.2999999999999999E-2</v>
      </c>
      <c r="F30" s="758">
        <v>2.4E-2</v>
      </c>
      <c r="G30" s="801">
        <v>8.9999999999999993E-3</v>
      </c>
      <c r="H30" s="759"/>
      <c r="I30" s="772">
        <f>E30*0.79</f>
        <v>1.027E-2</v>
      </c>
      <c r="J30" s="761">
        <f>(I30*(K30/1000))*365*'1. LCA Controls'!$B$6</f>
        <v>462768.61858499999</v>
      </c>
      <c r="K30" s="793">
        <v>150</v>
      </c>
      <c r="L30" s="793">
        <v>165</v>
      </c>
      <c r="M30" s="793">
        <v>165</v>
      </c>
      <c r="N30" s="774"/>
      <c r="O30"/>
    </row>
    <row r="31" spans="1:15" x14ac:dyDescent="0.25">
      <c r="A31" s="794" t="s">
        <v>727</v>
      </c>
      <c r="B31" s="802" t="s">
        <v>164</v>
      </c>
      <c r="C31" s="802" t="s">
        <v>722</v>
      </c>
      <c r="D31" s="723">
        <f>SUM(E31:G31)</f>
        <v>8.0000000000000002E-3</v>
      </c>
      <c r="E31" s="723"/>
      <c r="F31" s="724">
        <v>3.0000000000000001E-3</v>
      </c>
      <c r="G31" s="724">
        <v>5.0000000000000001E-3</v>
      </c>
      <c r="H31" s="725"/>
      <c r="I31" s="776">
        <f>E31*0.79</f>
        <v>0</v>
      </c>
      <c r="J31" s="727">
        <f>(I31*(K31/1000))*365*'1. LCA Controls'!$B$6</f>
        <v>0</v>
      </c>
      <c r="K31" s="738">
        <v>60</v>
      </c>
      <c r="L31" s="738">
        <v>175</v>
      </c>
      <c r="M31" s="738">
        <v>175</v>
      </c>
      <c r="N31" s="796"/>
      <c r="O31"/>
    </row>
    <row r="32" spans="1:15" x14ac:dyDescent="0.25">
      <c r="A32" s="794" t="s">
        <v>727</v>
      </c>
      <c r="B32" s="705" t="s">
        <v>167</v>
      </c>
      <c r="C32" s="781" t="s">
        <v>722</v>
      </c>
      <c r="D32" s="724">
        <f>SUM(E32:G32)</f>
        <v>0.32900000000000001</v>
      </c>
      <c r="E32" s="724">
        <v>0.2</v>
      </c>
      <c r="F32" s="724">
        <v>1E-3</v>
      </c>
      <c r="G32" s="724">
        <v>0.128</v>
      </c>
      <c r="H32" s="725"/>
      <c r="I32" s="776">
        <f>E32*0.79</f>
        <v>0.15800000000000003</v>
      </c>
      <c r="J32" s="727">
        <f>(I32*(K32/1000))*365*'1. LCA Controls'!$B$6</f>
        <v>7119517.2090000007</v>
      </c>
      <c r="K32" s="738">
        <v>150</v>
      </c>
      <c r="L32" s="738">
        <v>150</v>
      </c>
      <c r="M32" s="738">
        <v>150</v>
      </c>
      <c r="N32" s="778"/>
      <c r="O32"/>
    </row>
    <row r="33" spans="1:15" x14ac:dyDescent="0.25">
      <c r="A33" s="798" t="s">
        <v>727</v>
      </c>
      <c r="B33" s="787" t="s">
        <v>555</v>
      </c>
      <c r="C33" s="781" t="s">
        <v>722</v>
      </c>
      <c r="D33" s="747">
        <f>SUM(F30:G32)</f>
        <v>0.17</v>
      </c>
      <c r="E33" s="747"/>
      <c r="F33" s="748"/>
      <c r="G33" s="748"/>
      <c r="H33" s="749"/>
      <c r="I33" s="799">
        <f>SUM(F30:H32)*0.79</f>
        <v>0.1343</v>
      </c>
      <c r="J33" s="767">
        <f>(I33*(K33/1000))*365*'1. LCA Controls'!$B$6</f>
        <v>6216525.1096585002</v>
      </c>
      <c r="K33" s="892">
        <f>(L30*B68)+(M30*B69)+(L31*B70)+(M31*B71)+(L32*B72)+(M32*B73)</f>
        <v>154.08823529411765</v>
      </c>
      <c r="L33" s="768"/>
      <c r="M33" s="768"/>
      <c r="N33" s="789"/>
    </row>
    <row r="34" spans="1:15" x14ac:dyDescent="0.25">
      <c r="A34" s="803" t="s">
        <v>728</v>
      </c>
      <c r="B34" s="804" t="s">
        <v>533</v>
      </c>
      <c r="C34" s="804" t="s">
        <v>722</v>
      </c>
      <c r="D34" s="805">
        <f>D7/6.35</f>
        <v>0.2</v>
      </c>
      <c r="E34" s="805"/>
      <c r="F34" s="806"/>
      <c r="G34" s="806"/>
      <c r="H34" s="807"/>
      <c r="I34" s="808">
        <f>(D7/6.35)*0.125</f>
        <v>2.5000000000000001E-2</v>
      </c>
      <c r="J34" s="767">
        <f>(I34*(K34/1000))*365*'1. LCA Controls'!$B$6</f>
        <v>1314256.8687499999</v>
      </c>
      <c r="K34" s="751">
        <v>175</v>
      </c>
      <c r="L34" s="777"/>
      <c r="M34" s="777"/>
      <c r="N34" s="778"/>
      <c r="O34"/>
    </row>
    <row r="35" spans="1:15" x14ac:dyDescent="0.25">
      <c r="A35" s="790" t="s">
        <v>729</v>
      </c>
      <c r="B35" s="791" t="s">
        <v>175</v>
      </c>
      <c r="C35" s="792" t="s">
        <v>722</v>
      </c>
      <c r="D35" s="758">
        <f>SUM(E35:G35)</f>
        <v>3.4000000000000002E-2</v>
      </c>
      <c r="E35" s="758">
        <v>0.01</v>
      </c>
      <c r="F35" s="758">
        <v>1.2999999999999999E-2</v>
      </c>
      <c r="G35" s="758">
        <v>1.0999999999999999E-2</v>
      </c>
      <c r="H35" s="759"/>
      <c r="I35" s="772">
        <f t="shared" ref="I35:I40" si="1">E35*0.79</f>
        <v>7.9000000000000008E-3</v>
      </c>
      <c r="J35" s="727">
        <f>(I35*(K35/1000))*365*'1. LCA Controls'!$B$6</f>
        <v>261048.96433000005</v>
      </c>
      <c r="K35" s="793">
        <v>110</v>
      </c>
      <c r="L35" s="773">
        <v>135</v>
      </c>
      <c r="M35" s="793">
        <v>135</v>
      </c>
      <c r="N35" s="774"/>
      <c r="O35"/>
    </row>
    <row r="36" spans="1:15" x14ac:dyDescent="0.25">
      <c r="A36" s="794" t="s">
        <v>729</v>
      </c>
      <c r="B36" s="732" t="s">
        <v>178</v>
      </c>
      <c r="C36" s="780" t="s">
        <v>722</v>
      </c>
      <c r="D36" s="724">
        <f>SUM(E36:F36)</f>
        <v>4.5999999999999999E-2</v>
      </c>
      <c r="E36" s="735">
        <v>4.2999999999999997E-2</v>
      </c>
      <c r="F36" s="735">
        <v>3.0000000000000001E-3</v>
      </c>
      <c r="G36" s="724"/>
      <c r="H36" s="725"/>
      <c r="I36" s="776">
        <f t="shared" si="1"/>
        <v>3.397E-2</v>
      </c>
      <c r="J36" s="727">
        <f>(I36*(K36/1000))*365*'1. LCA Controls'!$B$6</f>
        <v>918417.71996099991</v>
      </c>
      <c r="K36" s="777">
        <v>90</v>
      </c>
      <c r="L36" s="738">
        <v>150</v>
      </c>
      <c r="M36" s="777"/>
      <c r="N36" s="778"/>
      <c r="O36"/>
    </row>
    <row r="37" spans="1:15" x14ac:dyDescent="0.25">
      <c r="A37" s="794" t="s">
        <v>729</v>
      </c>
      <c r="B37" s="732" t="s">
        <v>181</v>
      </c>
      <c r="C37" s="781" t="s">
        <v>722</v>
      </c>
      <c r="D37" s="724">
        <f>SUM(E37:F37)</f>
        <v>4.3000000000000003E-2</v>
      </c>
      <c r="E37" s="724">
        <v>3.4000000000000002E-2</v>
      </c>
      <c r="F37" s="724">
        <v>8.9999999999999993E-3</v>
      </c>
      <c r="G37" s="724"/>
      <c r="H37" s="725"/>
      <c r="I37" s="776">
        <f t="shared" si="1"/>
        <v>2.6860000000000002E-2</v>
      </c>
      <c r="J37" s="727">
        <f>(I37*(K37/1000))*365*'1. LCA Controls'!$B$6</f>
        <v>968254.34042400005</v>
      </c>
      <c r="K37" s="777">
        <v>120</v>
      </c>
      <c r="L37" s="777">
        <v>180</v>
      </c>
      <c r="M37" s="777"/>
      <c r="N37" s="778"/>
      <c r="O37"/>
    </row>
    <row r="38" spans="1:15" x14ac:dyDescent="0.25">
      <c r="A38" s="794" t="s">
        <v>729</v>
      </c>
      <c r="B38" s="732" t="s">
        <v>184</v>
      </c>
      <c r="C38" s="781" t="s">
        <v>722</v>
      </c>
      <c r="D38" s="724">
        <f>SUM(E38:F38)</f>
        <v>9.5000000000000001E-2</v>
      </c>
      <c r="E38" s="724">
        <v>9.5000000000000001E-2</v>
      </c>
      <c r="F38" s="724"/>
      <c r="G38" s="724"/>
      <c r="H38" s="725"/>
      <c r="I38" s="776">
        <f t="shared" si="1"/>
        <v>7.5050000000000006E-2</v>
      </c>
      <c r="J38" s="727">
        <f>(I38*(K38/1000))*365*'1. LCA Controls'!$B$6</f>
        <v>1578159.6479950005</v>
      </c>
      <c r="K38" s="777">
        <v>70</v>
      </c>
      <c r="L38" s="777"/>
      <c r="M38" s="777"/>
      <c r="N38" s="778"/>
      <c r="O38"/>
    </row>
    <row r="39" spans="1:15" x14ac:dyDescent="0.25">
      <c r="A39" s="794" t="s">
        <v>729</v>
      </c>
      <c r="B39" s="732" t="s">
        <v>187</v>
      </c>
      <c r="C39" s="780" t="s">
        <v>722</v>
      </c>
      <c r="D39" s="724">
        <f>SUM(E39:F39)</f>
        <v>0.08</v>
      </c>
      <c r="E39" s="724">
        <v>0.08</v>
      </c>
      <c r="F39" s="724"/>
      <c r="G39" s="724"/>
      <c r="H39" s="725"/>
      <c r="I39" s="776">
        <f t="shared" si="1"/>
        <v>6.3200000000000006E-2</v>
      </c>
      <c r="J39" s="727">
        <f>(I39*(K39/1000))*365*'1. LCA Controls'!$B$6</f>
        <v>3037660.6758400002</v>
      </c>
      <c r="K39" s="777">
        <v>160</v>
      </c>
      <c r="L39" s="777"/>
      <c r="M39" s="777"/>
      <c r="N39" s="778"/>
      <c r="O39"/>
    </row>
    <row r="40" spans="1:15" x14ac:dyDescent="0.25">
      <c r="A40" s="794" t="s">
        <v>729</v>
      </c>
      <c r="B40" s="705" t="s">
        <v>190</v>
      </c>
      <c r="C40" s="780" t="s">
        <v>722</v>
      </c>
      <c r="D40" s="724">
        <f>SUM(E40:F40)</f>
        <v>2.7E-2</v>
      </c>
      <c r="E40" s="724">
        <v>2.7E-2</v>
      </c>
      <c r="F40" s="724"/>
      <c r="G40" s="724"/>
      <c r="H40" s="725"/>
      <c r="I40" s="776">
        <f t="shared" si="1"/>
        <v>2.1330000000000002E-2</v>
      </c>
      <c r="J40" s="727">
        <f>(I40*(K40/1000))*365*'1. LCA Controls'!$B$6</f>
        <v>736870.03113150003</v>
      </c>
      <c r="K40" s="777">
        <v>115</v>
      </c>
      <c r="L40" s="777"/>
      <c r="M40" s="777"/>
      <c r="N40" s="778"/>
      <c r="O40"/>
    </row>
    <row r="41" spans="1:15" x14ac:dyDescent="0.25">
      <c r="A41" s="798" t="s">
        <v>729</v>
      </c>
      <c r="B41" s="787" t="s">
        <v>555</v>
      </c>
      <c r="C41" s="787"/>
      <c r="D41" s="747">
        <f>SUM(F35:G40)</f>
        <v>3.5999999999999997E-2</v>
      </c>
      <c r="E41" s="747"/>
      <c r="F41" s="748"/>
      <c r="G41" s="748"/>
      <c r="H41" s="749"/>
      <c r="I41" s="799">
        <f>SUM(F35:G36)*0.79</f>
        <v>2.1330000000000002E-2</v>
      </c>
      <c r="J41" s="767">
        <f>(I41*(K41/1000))*365*'1. LCA Controls'!$B$6</f>
        <v>945115.90949474997</v>
      </c>
      <c r="K41" s="893">
        <f>(L35*B75)+(M35*B76)+(L36*B77)+(L37*B78)</f>
        <v>147.5</v>
      </c>
      <c r="L41" s="768"/>
      <c r="M41" s="768"/>
      <c r="N41" s="789"/>
    </row>
    <row r="42" spans="1:15" ht="26.25" x14ac:dyDescent="0.25">
      <c r="A42" s="809" t="s">
        <v>56</v>
      </c>
      <c r="B42" s="810" t="s">
        <v>730</v>
      </c>
      <c r="C42" s="792" t="s">
        <v>721</v>
      </c>
      <c r="D42" s="758">
        <v>4.8</v>
      </c>
      <c r="E42" s="758"/>
      <c r="F42" s="758"/>
      <c r="G42" s="758"/>
      <c r="H42" s="759"/>
      <c r="I42" s="772">
        <f>D42*$E$57</f>
        <v>2.5728</v>
      </c>
      <c r="J42" s="727">
        <f>(I42*(K42/1000))*365*'1. LCA Controls'!$B$6</f>
        <v>21910954.0660416</v>
      </c>
      <c r="K42" s="762">
        <v>28.35</v>
      </c>
      <c r="L42" s="762"/>
      <c r="M42" s="762"/>
      <c r="N42" s="774"/>
    </row>
    <row r="43" spans="1:15" x14ac:dyDescent="0.25">
      <c r="A43" s="811" t="s">
        <v>56</v>
      </c>
      <c r="B43" s="812" t="s">
        <v>196</v>
      </c>
      <c r="C43" s="813" t="s">
        <v>721</v>
      </c>
      <c r="D43" s="814">
        <f>1+0.42</f>
        <v>1.42</v>
      </c>
      <c r="E43" s="815"/>
      <c r="F43" s="815"/>
      <c r="G43" s="815"/>
      <c r="H43" s="816"/>
      <c r="I43" s="817">
        <f>D43*E57</f>
        <v>0.76112000000000002</v>
      </c>
      <c r="J43" s="727">
        <f>(I43*(K43/1000))*365*'1. LCA Controls'!$B$6</f>
        <v>6481990.5778706409</v>
      </c>
      <c r="K43" s="818">
        <v>28.35</v>
      </c>
      <c r="L43" s="818"/>
      <c r="M43" s="818"/>
      <c r="N43" s="789"/>
    </row>
    <row r="44" spans="1:15" x14ac:dyDescent="0.25">
      <c r="A44" s="819" t="s">
        <v>59</v>
      </c>
      <c r="B44" s="791" t="s">
        <v>199</v>
      </c>
      <c r="C44" s="756" t="s">
        <v>731</v>
      </c>
      <c r="D44" s="757">
        <f>44.7*0.8</f>
        <v>35.760000000000005</v>
      </c>
      <c r="E44" s="757"/>
      <c r="F44" s="757"/>
      <c r="G44" s="758"/>
      <c r="H44" s="759"/>
      <c r="I44" s="772">
        <f>D44*$E$58</f>
        <v>25.568400000000004</v>
      </c>
      <c r="J44" s="761">
        <f>(I44*(K44/1000))*365*'1. LCA Controls'!$B$6</f>
        <v>7680787.5023880014</v>
      </c>
      <c r="K44" s="773">
        <v>1</v>
      </c>
      <c r="L44" s="820"/>
      <c r="M44" s="820"/>
      <c r="N44" s="821"/>
    </row>
    <row r="45" spans="1:15" x14ac:dyDescent="0.25">
      <c r="A45" s="822" t="s">
        <v>59</v>
      </c>
      <c r="B45" s="823" t="s">
        <v>201</v>
      </c>
      <c r="C45" s="746" t="s">
        <v>731</v>
      </c>
      <c r="D45" s="747">
        <f>44.7*0.2</f>
        <v>8.9400000000000013</v>
      </c>
      <c r="E45" s="824"/>
      <c r="F45" s="824"/>
      <c r="G45" s="825"/>
      <c r="H45" s="826"/>
      <c r="I45" s="827">
        <f>D45*$E$58</f>
        <v>6.392100000000001</v>
      </c>
      <c r="J45" s="767">
        <f>(I45*(K45/1000))*365*'1. LCA Controls'!$B$6</f>
        <v>1920196.8755970004</v>
      </c>
      <c r="K45" s="751">
        <v>1</v>
      </c>
      <c r="L45" s="828"/>
      <c r="M45" s="828"/>
      <c r="N45" s="829"/>
    </row>
    <row r="46" spans="1:15" x14ac:dyDescent="0.25">
      <c r="A46" s="830" t="s">
        <v>62</v>
      </c>
      <c r="B46" s="755" t="s">
        <v>204</v>
      </c>
      <c r="C46" s="756" t="s">
        <v>732</v>
      </c>
      <c r="D46" s="757">
        <v>9.82</v>
      </c>
      <c r="E46" s="757"/>
      <c r="F46" s="757"/>
      <c r="G46" s="758"/>
      <c r="H46" s="759"/>
      <c r="I46" s="831">
        <v>9.82</v>
      </c>
      <c r="J46" s="727">
        <f>(I46*(K46/1000))*365*'1. LCA Controls'!$B$6</f>
        <v>20148113.540842</v>
      </c>
      <c r="K46" s="793">
        <v>6.83</v>
      </c>
      <c r="L46" s="793"/>
      <c r="M46" s="793"/>
      <c r="N46" s="774"/>
    </row>
    <row r="47" spans="1:15" x14ac:dyDescent="0.25">
      <c r="A47" s="832" t="s">
        <v>62</v>
      </c>
      <c r="B47" s="833" t="s">
        <v>205</v>
      </c>
      <c r="C47" s="834" t="s">
        <v>732</v>
      </c>
      <c r="D47" s="835">
        <v>12.11</v>
      </c>
      <c r="E47" s="836"/>
      <c r="F47" s="836"/>
      <c r="G47" s="837"/>
      <c r="H47" s="838"/>
      <c r="I47" s="839">
        <f>12.11*0.12</f>
        <v>1.4531999999999998</v>
      </c>
      <c r="J47" s="840">
        <f>(I47*(K47/1000))*365*'1. LCA Controls'!$B$6</f>
        <v>1835930.8662224298</v>
      </c>
      <c r="K47" s="768">
        <v>4.2056074766355138</v>
      </c>
      <c r="L47" s="768"/>
      <c r="M47" s="768"/>
      <c r="N47" s="789"/>
    </row>
    <row r="49" spans="1:11" ht="31.15" customHeight="1" x14ac:dyDescent="0.25">
      <c r="A49" s="1168" t="s">
        <v>733</v>
      </c>
      <c r="B49" s="1168"/>
      <c r="D49" s="1168" t="s">
        <v>734</v>
      </c>
      <c r="E49" s="1168"/>
      <c r="K49" s="713"/>
    </row>
    <row r="50" spans="1:11" ht="30" customHeight="1" x14ac:dyDescent="0.25">
      <c r="A50" s="1166" t="str">
        <f>A10</f>
        <v>Fruit/Berries</v>
      </c>
      <c r="B50" s="1167"/>
      <c r="D50" s="949" t="s">
        <v>735</v>
      </c>
      <c r="E50" s="950" t="s">
        <v>736</v>
      </c>
    </row>
    <row r="51" spans="1:11" x14ac:dyDescent="0.25">
      <c r="A51" s="520" t="s">
        <v>737</v>
      </c>
      <c r="B51" s="961">
        <f>SUM(F$10)/SUM($F$10:$H$17)</f>
        <v>0.176056338028169</v>
      </c>
      <c r="C51" s="960"/>
      <c r="D51" s="951" t="s">
        <v>738</v>
      </c>
      <c r="E51" s="952">
        <v>0.62</v>
      </c>
    </row>
    <row r="52" spans="1:11" x14ac:dyDescent="0.25">
      <c r="A52" s="520" t="s">
        <v>739</v>
      </c>
      <c r="B52" s="961">
        <f>SUM(G$10)/SUM($F$10:$H$17)</f>
        <v>7.0422535211267599E-3</v>
      </c>
      <c r="D52" s="951" t="s">
        <v>740</v>
      </c>
      <c r="E52" s="952">
        <v>0.125</v>
      </c>
    </row>
    <row r="53" spans="1:11" x14ac:dyDescent="0.25">
      <c r="A53" s="520" t="s">
        <v>741</v>
      </c>
      <c r="B53" s="961">
        <f>SUM(H$10)/SUM($F$10:$H$17)</f>
        <v>0.49295774647887325</v>
      </c>
      <c r="D53" s="951" t="s">
        <v>742</v>
      </c>
      <c r="E53" s="952">
        <v>0.64</v>
      </c>
    </row>
    <row r="54" spans="1:11" ht="15" customHeight="1" x14ac:dyDescent="0.25">
      <c r="A54" s="520" t="s">
        <v>743</v>
      </c>
      <c r="B54" s="961">
        <f>SUM(G12)/SUM($F$10:$H$17)</f>
        <v>2.1126760563380281E-2</v>
      </c>
      <c r="D54" s="951" t="s">
        <v>95</v>
      </c>
      <c r="E54" s="952">
        <v>0.65</v>
      </c>
    </row>
    <row r="55" spans="1:11" x14ac:dyDescent="0.25">
      <c r="A55" s="520" t="s">
        <v>744</v>
      </c>
      <c r="B55" s="961">
        <f>SUM(G13)/SUM($F$10:$H$17)</f>
        <v>2.8169014084507039E-2</v>
      </c>
      <c r="D55" s="951" t="s">
        <v>745</v>
      </c>
      <c r="E55" s="952">
        <v>1</v>
      </c>
    </row>
    <row r="56" spans="1:11" ht="16.899999999999999" customHeight="1" x14ac:dyDescent="0.25">
      <c r="A56" s="520" t="s">
        <v>746</v>
      </c>
      <c r="B56" s="961">
        <f>SUM(H14)/SUM($F$10:$H$17)</f>
        <v>9.1549295774647876E-2</v>
      </c>
      <c r="D56" s="951" t="s">
        <v>747</v>
      </c>
      <c r="E56" s="952">
        <v>0.79</v>
      </c>
    </row>
    <row r="57" spans="1:11" x14ac:dyDescent="0.25">
      <c r="A57" s="520" t="s">
        <v>748</v>
      </c>
      <c r="B57" s="961">
        <f>SUM(F15)/SUM($F$10:$H$17)</f>
        <v>7.746478873239436E-2</v>
      </c>
      <c r="D57" s="951" t="s">
        <v>749</v>
      </c>
      <c r="E57" s="952">
        <v>0.53600000000000003</v>
      </c>
    </row>
    <row r="58" spans="1:11" x14ac:dyDescent="0.25">
      <c r="A58" s="520" t="s">
        <v>117</v>
      </c>
      <c r="B58" s="961">
        <f>SUM(G16)/SUM($F$10:$H$17)</f>
        <v>2.1126760563380281E-2</v>
      </c>
      <c r="D58" s="953" t="s">
        <v>750</v>
      </c>
      <c r="E58" s="954">
        <v>0.71499999999999997</v>
      </c>
    </row>
    <row r="59" spans="1:11" x14ac:dyDescent="0.25">
      <c r="A59" s="521" t="s">
        <v>751</v>
      </c>
      <c r="B59" s="962">
        <f>SUM(G17)/SUM($F$10:$H$17)</f>
        <v>8.4507042253521125E-2</v>
      </c>
    </row>
    <row r="60" spans="1:11" ht="30" customHeight="1" x14ac:dyDescent="0.25">
      <c r="A60" s="1162" t="str">
        <f>A19</f>
        <v>Vegetables: Dark Green</v>
      </c>
      <c r="B60" s="1163"/>
      <c r="D60" s="1154" t="s">
        <v>752</v>
      </c>
      <c r="E60" s="1155"/>
      <c r="F60" s="998"/>
    </row>
    <row r="61" spans="1:11" x14ac:dyDescent="0.25">
      <c r="A61" s="515" t="s">
        <v>753</v>
      </c>
      <c r="B61" s="141">
        <v>0.15</v>
      </c>
      <c r="D61" s="963" t="s">
        <v>225</v>
      </c>
      <c r="E61" s="995">
        <f>SUM(B51:B53, B55:B57)</f>
        <v>0.87323943661971826</v>
      </c>
      <c r="F61" s="999"/>
    </row>
    <row r="62" spans="1:11" x14ac:dyDescent="0.25">
      <c r="A62" s="517" t="s">
        <v>128</v>
      </c>
      <c r="B62" s="142">
        <v>0.85</v>
      </c>
      <c r="D62" s="964" t="s">
        <v>226</v>
      </c>
      <c r="E62" s="996">
        <f>SUM(B54, B58:B59)</f>
        <v>0.12676056338028169</v>
      </c>
      <c r="F62" s="999"/>
    </row>
    <row r="63" spans="1:11" ht="26.25" x14ac:dyDescent="0.25">
      <c r="A63" s="1164" t="str">
        <f>A25</f>
        <v>Vegetables: Red &amp; Orange</v>
      </c>
      <c r="B63" s="1165"/>
      <c r="D63" s="965" t="s">
        <v>754</v>
      </c>
      <c r="E63" s="997">
        <f>SUM(B72:B73)</f>
        <v>0.75882352941176467</v>
      </c>
      <c r="F63" s="999"/>
    </row>
    <row r="64" spans="1:11" ht="26.25" x14ac:dyDescent="0.25">
      <c r="A64" s="518" t="s">
        <v>755</v>
      </c>
      <c r="B64" s="143">
        <f>0.1*0.4</f>
        <v>4.0000000000000008E-2</v>
      </c>
      <c r="D64" s="965" t="s">
        <v>756</v>
      </c>
      <c r="E64" s="1060">
        <f>SUM(B68:B71)</f>
        <v>0.24117647058823527</v>
      </c>
      <c r="F64" s="999"/>
    </row>
    <row r="65" spans="1:6" ht="26.25" x14ac:dyDescent="0.25">
      <c r="A65" s="519" t="s">
        <v>757</v>
      </c>
      <c r="B65" s="144">
        <f>0.1*0.6</f>
        <v>0.06</v>
      </c>
      <c r="D65" s="965" t="s">
        <v>758</v>
      </c>
      <c r="E65" s="997">
        <f>SUM(B77:B78)</f>
        <v>0.33333333333333337</v>
      </c>
      <c r="F65" s="999"/>
    </row>
    <row r="66" spans="1:6" x14ac:dyDescent="0.25">
      <c r="A66" s="517" t="s">
        <v>759</v>
      </c>
      <c r="B66" s="142">
        <v>0.9</v>
      </c>
      <c r="D66" s="965" t="s">
        <v>760</v>
      </c>
      <c r="E66" s="1089">
        <f>SUM(B75:B76)</f>
        <v>0.66666666666666674</v>
      </c>
      <c r="F66" s="9"/>
    </row>
    <row r="67" spans="1:6" x14ac:dyDescent="0.25">
      <c r="A67" s="1162" t="str">
        <f>A30</f>
        <v>Vegetables: Starchy</v>
      </c>
      <c r="B67" s="1163"/>
      <c r="D67" s="1090" t="s">
        <v>761</v>
      </c>
      <c r="E67" s="1091">
        <v>1</v>
      </c>
    </row>
    <row r="68" spans="1:6" x14ac:dyDescent="0.25">
      <c r="A68" s="515" t="s">
        <v>762</v>
      </c>
      <c r="B68" s="141">
        <f>F$30/SUM(F$30:G$32)</f>
        <v>0.14117647058823529</v>
      </c>
      <c r="C68" s="912"/>
      <c r="D68" s="1092" t="s">
        <v>763</v>
      </c>
      <c r="E68" s="1093">
        <v>1</v>
      </c>
    </row>
    <row r="69" spans="1:6" x14ac:dyDescent="0.25">
      <c r="A69" s="516" t="s">
        <v>764</v>
      </c>
      <c r="B69" s="145">
        <f>G$30/SUM(F$30:G$32)</f>
        <v>5.2941176470588228E-2</v>
      </c>
    </row>
    <row r="70" spans="1:6" x14ac:dyDescent="0.25">
      <c r="A70" s="516" t="s">
        <v>765</v>
      </c>
      <c r="B70" s="145">
        <f>F$31/SUM(F$30:G$32)</f>
        <v>1.7647058823529412E-2</v>
      </c>
    </row>
    <row r="71" spans="1:6" x14ac:dyDescent="0.25">
      <c r="A71" s="516" t="s">
        <v>766</v>
      </c>
      <c r="B71" s="145">
        <f>G$31/SUM(F$30:G$32)</f>
        <v>2.9411764705882353E-2</v>
      </c>
    </row>
    <row r="72" spans="1:6" x14ac:dyDescent="0.25">
      <c r="A72" s="516" t="s">
        <v>767</v>
      </c>
      <c r="B72" s="145">
        <f>F$32/SUM(F$30:G$32)</f>
        <v>5.8823529411764705E-3</v>
      </c>
    </row>
    <row r="73" spans="1:6" x14ac:dyDescent="0.25">
      <c r="A73" s="517" t="s">
        <v>768</v>
      </c>
      <c r="B73" s="142">
        <f>G$32/SUM(F$30:G$32)</f>
        <v>0.75294117647058822</v>
      </c>
    </row>
    <row r="74" spans="1:6" x14ac:dyDescent="0.25">
      <c r="A74" s="1164" t="str">
        <f>A35</f>
        <v>Vegetables: Other</v>
      </c>
      <c r="B74" s="1165"/>
    </row>
    <row r="75" spans="1:6" x14ac:dyDescent="0.25">
      <c r="A75" s="515" t="s">
        <v>769</v>
      </c>
      <c r="B75" s="141">
        <f>F$35/SUM(F$35:G$37)</f>
        <v>0.3611111111111111</v>
      </c>
      <c r="C75" s="912"/>
    </row>
    <row r="76" spans="1:6" x14ac:dyDescent="0.25">
      <c r="A76" s="516" t="s">
        <v>770</v>
      </c>
      <c r="B76" s="145">
        <f>G$35/SUM(F$35:G$37)</f>
        <v>0.30555555555555558</v>
      </c>
    </row>
    <row r="77" spans="1:6" x14ac:dyDescent="0.25">
      <c r="A77" s="516" t="s">
        <v>771</v>
      </c>
      <c r="B77" s="145">
        <f>F$36/SUM(F$35:G$37)</f>
        <v>8.3333333333333343E-2</v>
      </c>
    </row>
    <row r="78" spans="1:6" x14ac:dyDescent="0.25">
      <c r="A78" s="517" t="s">
        <v>772</v>
      </c>
      <c r="B78" s="142">
        <f>F$37/SUM(F$35:G$37)</f>
        <v>0.25</v>
      </c>
    </row>
    <row r="80" spans="1:6" x14ac:dyDescent="0.25">
      <c r="A80" s="1158" t="s">
        <v>773</v>
      </c>
      <c r="B80" s="1158"/>
    </row>
    <row r="81" spans="1:14" x14ac:dyDescent="0.25">
      <c r="A81" s="711" t="s">
        <v>638</v>
      </c>
      <c r="B81" s="616">
        <f>0.142*0.75</f>
        <v>0.10649999999999998</v>
      </c>
    </row>
    <row r="82" spans="1:14" x14ac:dyDescent="0.25">
      <c r="A82" s="712" t="s">
        <v>644</v>
      </c>
      <c r="B82" s="244">
        <f>0.352+0.311</f>
        <v>0.66300000000000003</v>
      </c>
    </row>
    <row r="83" spans="1:14" ht="25.5" x14ac:dyDescent="0.25">
      <c r="A83" s="712" t="s">
        <v>774</v>
      </c>
      <c r="B83" s="244">
        <f>0.0389+0.1557+(0.1423*0.25)</f>
        <v>0.23017499999999999</v>
      </c>
    </row>
    <row r="84" spans="1:14" x14ac:dyDescent="0.25">
      <c r="A84" s="243"/>
      <c r="B84" s="243"/>
    </row>
    <row r="85" spans="1:14" ht="14.45" customHeight="1" x14ac:dyDescent="0.25">
      <c r="A85" s="1116" t="s">
        <v>307</v>
      </c>
      <c r="B85" s="1116"/>
      <c r="C85" s="1116"/>
      <c r="D85" s="1116"/>
      <c r="E85" s="1116"/>
      <c r="F85" s="1116"/>
      <c r="G85" s="1116"/>
      <c r="H85" s="1116"/>
      <c r="I85" s="1116"/>
      <c r="J85" s="1116"/>
    </row>
    <row r="86" spans="1:14" ht="30" customHeight="1" x14ac:dyDescent="0.25">
      <c r="A86" s="3" t="s">
        <v>775</v>
      </c>
      <c r="B86" s="1094" t="s">
        <v>776</v>
      </c>
      <c r="C86" s="1094"/>
      <c r="D86" s="1094"/>
      <c r="E86" s="1094"/>
      <c r="F86" s="1094"/>
      <c r="G86" s="1094"/>
      <c r="H86" s="1094"/>
      <c r="I86" s="1094"/>
      <c r="J86" s="1094"/>
      <c r="K86" s="906"/>
      <c r="L86" s="906"/>
      <c r="M86" s="906"/>
      <c r="N86" s="906"/>
    </row>
    <row r="87" spans="1:14" ht="28.5" customHeight="1" x14ac:dyDescent="0.25">
      <c r="A87" s="3" t="s">
        <v>775</v>
      </c>
      <c r="B87" s="1121" t="s">
        <v>777</v>
      </c>
      <c r="C87" s="1121"/>
      <c r="D87" s="1121"/>
      <c r="E87" s="1121"/>
      <c r="F87" s="1121"/>
      <c r="G87" s="1121"/>
      <c r="H87" s="1121"/>
      <c r="I87" s="1121"/>
      <c r="J87" s="1121"/>
      <c r="K87" s="906"/>
      <c r="L87" s="906"/>
      <c r="M87" s="906"/>
      <c r="N87" s="906"/>
    </row>
    <row r="88" spans="1:14" ht="30" customHeight="1" x14ac:dyDescent="0.25">
      <c r="A88" s="3" t="s">
        <v>775</v>
      </c>
      <c r="B88" s="1126" t="s">
        <v>778</v>
      </c>
      <c r="C88" s="1126"/>
      <c r="D88" s="1126"/>
      <c r="E88" s="1126"/>
      <c r="F88" s="1126"/>
      <c r="G88" s="1126"/>
      <c r="H88" s="1126"/>
      <c r="I88" s="1126"/>
      <c r="J88" s="1126"/>
      <c r="K88" s="907"/>
      <c r="L88" s="907"/>
      <c r="M88" s="907"/>
      <c r="N88" s="907"/>
    </row>
    <row r="89" spans="1:14" ht="29.25" customHeight="1" x14ac:dyDescent="0.25">
      <c r="A89" s="3" t="s">
        <v>779</v>
      </c>
      <c r="B89" s="1173" t="s">
        <v>780</v>
      </c>
      <c r="C89" s="1173"/>
      <c r="D89" s="1173"/>
      <c r="E89" s="1173"/>
      <c r="F89" s="1173"/>
      <c r="G89" s="1173"/>
      <c r="H89" s="1173"/>
      <c r="I89" s="1173"/>
      <c r="J89" s="1173"/>
      <c r="K89" s="908"/>
      <c r="L89" s="908"/>
      <c r="M89" s="908"/>
      <c r="N89" s="908"/>
    </row>
    <row r="90" spans="1:14" ht="30" customHeight="1" x14ac:dyDescent="0.25">
      <c r="A90" s="3" t="s">
        <v>779</v>
      </c>
      <c r="B90" s="1126" t="s">
        <v>781</v>
      </c>
      <c r="C90" s="1126"/>
      <c r="D90" s="1126"/>
      <c r="E90" s="1126"/>
      <c r="F90" s="1126"/>
      <c r="G90" s="1126"/>
      <c r="H90" s="1126"/>
      <c r="I90" s="1126"/>
      <c r="J90" s="1126"/>
      <c r="K90" s="907"/>
      <c r="L90" s="907"/>
      <c r="M90" s="907"/>
      <c r="N90" s="907"/>
    </row>
    <row r="91" spans="1:14" x14ac:dyDescent="0.25">
      <c r="B91" s="32"/>
    </row>
    <row r="92" spans="1:14" ht="14.45" customHeight="1" x14ac:dyDescent="0.25">
      <c r="A92" s="1172" t="s">
        <v>206</v>
      </c>
      <c r="B92" s="1172"/>
      <c r="C92" s="1172"/>
      <c r="D92" s="1172"/>
      <c r="E92" s="1172"/>
      <c r="F92" s="1172"/>
      <c r="G92" s="1172"/>
      <c r="H92" s="1172"/>
      <c r="I92" s="1172"/>
      <c r="J92" s="1172"/>
    </row>
    <row r="93" spans="1:14" x14ac:dyDescent="0.25">
      <c r="A93" s="1152" t="s">
        <v>782</v>
      </c>
      <c r="B93" s="1152"/>
      <c r="C93" s="1152"/>
      <c r="D93" s="1152"/>
      <c r="E93" s="1152"/>
      <c r="F93" s="1152"/>
      <c r="G93" s="1152"/>
      <c r="H93" s="1152"/>
      <c r="I93" s="1152"/>
      <c r="J93" s="1152"/>
    </row>
    <row r="94" spans="1:14" x14ac:dyDescent="0.25">
      <c r="A94" s="1175" t="s">
        <v>783</v>
      </c>
      <c r="B94" s="1175"/>
      <c r="C94" s="1175"/>
      <c r="D94" s="1175"/>
      <c r="E94" s="1175"/>
      <c r="F94" s="1175"/>
      <c r="G94" s="1175"/>
      <c r="H94" s="1175"/>
      <c r="I94" s="1175"/>
      <c r="J94" s="1175"/>
    </row>
    <row r="95" spans="1:14" x14ac:dyDescent="0.25">
      <c r="A95" s="1108" t="s">
        <v>784</v>
      </c>
      <c r="B95" s="1108"/>
      <c r="C95" s="1108"/>
      <c r="D95" s="1108"/>
      <c r="E95" s="1108"/>
      <c r="F95" s="1108"/>
      <c r="G95" s="1108"/>
      <c r="H95" s="1108"/>
      <c r="I95" s="1108"/>
      <c r="J95" s="1108"/>
    </row>
    <row r="96" spans="1:14" x14ac:dyDescent="0.25">
      <c r="A96" s="1108" t="s">
        <v>785</v>
      </c>
      <c r="B96" s="1108"/>
      <c r="C96" s="1108"/>
      <c r="D96" s="1108"/>
      <c r="E96" s="1108"/>
      <c r="F96" s="1108"/>
      <c r="G96" s="1108"/>
      <c r="H96" s="1108"/>
      <c r="I96" s="1108"/>
      <c r="J96" s="1108"/>
    </row>
    <row r="97" spans="1:10" x14ac:dyDescent="0.25">
      <c r="A97" s="1108" t="s">
        <v>786</v>
      </c>
      <c r="B97" s="1108"/>
      <c r="C97" s="1108"/>
      <c r="D97" s="1108"/>
      <c r="E97" s="1108"/>
      <c r="F97" s="1108"/>
      <c r="G97" s="1108"/>
      <c r="H97" s="1108"/>
      <c r="I97" s="1108"/>
      <c r="J97" s="1108"/>
    </row>
    <row r="98" spans="1:10" ht="32.450000000000003" customHeight="1" x14ac:dyDescent="0.25">
      <c r="A98" s="1108" t="s">
        <v>787</v>
      </c>
      <c r="B98" s="1108"/>
      <c r="C98" s="1108"/>
      <c r="D98" s="1108"/>
      <c r="E98" s="1108"/>
      <c r="F98" s="1108"/>
      <c r="G98" s="1108"/>
      <c r="H98" s="1108"/>
      <c r="I98" s="1108"/>
      <c r="J98" s="1108"/>
    </row>
    <row r="100" spans="1:10" x14ac:dyDescent="0.25">
      <c r="C100" s="1077"/>
    </row>
    <row r="106" spans="1:10" ht="30.75" customHeight="1" x14ac:dyDescent="0.25"/>
    <row r="109" spans="1:10" x14ac:dyDescent="0.25">
      <c r="A109" s="1174"/>
      <c r="B109" s="1174"/>
    </row>
    <row r="111" spans="1:10" x14ac:dyDescent="0.25">
      <c r="A111" s="889" t="s">
        <v>788</v>
      </c>
      <c r="B111" s="890" t="s">
        <v>789</v>
      </c>
      <c r="C111" s="890" t="s">
        <v>790</v>
      </c>
      <c r="D111" s="891" t="s">
        <v>791</v>
      </c>
    </row>
    <row r="112" spans="1:10" x14ac:dyDescent="0.25">
      <c r="A112" s="64" t="s">
        <v>792</v>
      </c>
      <c r="B112">
        <v>661</v>
      </c>
      <c r="C112" s="15">
        <f>B112/B117</f>
        <v>0.35234541577825162</v>
      </c>
      <c r="D112" s="69">
        <f>C112*100</f>
        <v>35.234541577825162</v>
      </c>
    </row>
    <row r="113" spans="1:10" x14ac:dyDescent="0.25">
      <c r="A113" s="64" t="s">
        <v>793</v>
      </c>
      <c r="B113">
        <v>583</v>
      </c>
      <c r="C113" s="15">
        <f>B113/B117</f>
        <v>0.31076759061833686</v>
      </c>
      <c r="D113" s="69">
        <f>C113*100</f>
        <v>31.076759061833688</v>
      </c>
    </row>
    <row r="114" spans="1:10" x14ac:dyDescent="0.25">
      <c r="A114" s="64" t="s">
        <v>794</v>
      </c>
      <c r="B114">
        <v>292</v>
      </c>
      <c r="C114" s="15">
        <f>B114/B117</f>
        <v>0.15565031982942432</v>
      </c>
      <c r="D114" s="69">
        <f>C114*100</f>
        <v>15.565031982942431</v>
      </c>
    </row>
    <row r="115" spans="1:10" x14ac:dyDescent="0.25">
      <c r="A115" s="64" t="s">
        <v>795</v>
      </c>
      <c r="B115">
        <v>267</v>
      </c>
      <c r="C115" s="15">
        <f>B115/B117</f>
        <v>0.14232409381663114</v>
      </c>
      <c r="D115" s="69">
        <f>C115*100</f>
        <v>14.232409381663114</v>
      </c>
    </row>
    <row r="116" spans="1:10" x14ac:dyDescent="0.25">
      <c r="A116" s="64" t="s">
        <v>796</v>
      </c>
      <c r="B116">
        <v>73</v>
      </c>
      <c r="C116" s="15">
        <f>B116/B117</f>
        <v>3.8912579957356079E-2</v>
      </c>
      <c r="D116" s="69">
        <f>C116*100</f>
        <v>3.8912579957356077</v>
      </c>
    </row>
    <row r="117" spans="1:10" x14ac:dyDescent="0.25">
      <c r="A117" s="948" t="s">
        <v>797</v>
      </c>
      <c r="B117" s="30">
        <v>1876</v>
      </c>
      <c r="C117" s="43"/>
      <c r="D117" s="42"/>
    </row>
    <row r="119" spans="1:10" x14ac:dyDescent="0.25">
      <c r="A119" s="1116" t="s">
        <v>314</v>
      </c>
      <c r="B119" s="1116"/>
      <c r="C119" s="1116"/>
      <c r="D119" s="1116"/>
      <c r="E119" s="1116"/>
      <c r="F119" s="1116"/>
      <c r="G119" s="1116"/>
      <c r="H119" s="1116"/>
      <c r="I119" s="1116"/>
      <c r="J119" s="1116"/>
    </row>
    <row r="120" spans="1:10" ht="30" x14ac:dyDescent="0.25">
      <c r="A120" s="1000" t="s">
        <v>798</v>
      </c>
      <c r="B120" s="1176" t="s">
        <v>799</v>
      </c>
      <c r="C120" s="1176"/>
      <c r="D120" s="1176"/>
      <c r="E120" s="1176"/>
      <c r="F120" s="1176"/>
      <c r="G120" s="1176"/>
      <c r="H120" s="1176"/>
      <c r="I120" s="1176"/>
      <c r="J120" s="1176"/>
    </row>
    <row r="121" spans="1:10" ht="45" x14ac:dyDescent="0.25">
      <c r="A121" s="1000" t="s">
        <v>800</v>
      </c>
      <c r="B121" s="1171" t="s">
        <v>801</v>
      </c>
      <c r="C121" s="1171"/>
      <c r="D121" s="1171"/>
      <c r="E121" s="1171"/>
      <c r="F121" s="1171"/>
      <c r="G121" s="1171"/>
      <c r="H121" s="1171"/>
      <c r="I121" s="1171"/>
      <c r="J121" s="1171"/>
    </row>
  </sheetData>
  <mergeCells count="29">
    <mergeCell ref="B121:J121"/>
    <mergeCell ref="A92:J92"/>
    <mergeCell ref="B86:J86"/>
    <mergeCell ref="B87:J87"/>
    <mergeCell ref="B88:J88"/>
    <mergeCell ref="B89:J89"/>
    <mergeCell ref="B90:J90"/>
    <mergeCell ref="A109:B109"/>
    <mergeCell ref="A93:J93"/>
    <mergeCell ref="A94:J94"/>
    <mergeCell ref="A119:J119"/>
    <mergeCell ref="B120:J120"/>
    <mergeCell ref="A95:J95"/>
    <mergeCell ref="A96:J96"/>
    <mergeCell ref="A97:J97"/>
    <mergeCell ref="A98:J98"/>
    <mergeCell ref="A85:J85"/>
    <mergeCell ref="D60:E60"/>
    <mergeCell ref="K1:N1"/>
    <mergeCell ref="A80:B80"/>
    <mergeCell ref="A1:H1"/>
    <mergeCell ref="A60:B60"/>
    <mergeCell ref="A63:B63"/>
    <mergeCell ref="A67:B67"/>
    <mergeCell ref="A74:B74"/>
    <mergeCell ref="A50:B50"/>
    <mergeCell ref="A49:B49"/>
    <mergeCell ref="I1:J1"/>
    <mergeCell ref="D49:E49"/>
  </mergeCells>
  <phoneticPr fontId="51" type="noConversion"/>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6BAD3-2E14-4321-8A77-7DF0A71320CE}">
  <dimension ref="A1:O68"/>
  <sheetViews>
    <sheetView workbookViewId="0">
      <selection activeCell="B26" sqref="B26"/>
    </sheetView>
  </sheetViews>
  <sheetFormatPr defaultRowHeight="15" x14ac:dyDescent="0.25"/>
  <cols>
    <col min="1" max="1" width="33.140625" customWidth="1"/>
    <col min="3" max="3" width="17.7109375" customWidth="1"/>
    <col min="6" max="6" width="6.28515625" customWidth="1"/>
    <col min="10" max="10" width="7.85546875" bestFit="1" customWidth="1"/>
    <col min="11" max="11" width="7.28515625" bestFit="1" customWidth="1"/>
    <col min="12" max="12" width="5.7109375" customWidth="1"/>
    <col min="13" max="13" width="6.28515625" customWidth="1"/>
    <col min="15" max="15" width="8" customWidth="1"/>
  </cols>
  <sheetData>
    <row r="1" spans="1:15" x14ac:dyDescent="0.25">
      <c r="A1" s="1172" t="s">
        <v>802</v>
      </c>
      <c r="B1" s="1172"/>
      <c r="C1" s="1172"/>
    </row>
    <row r="2" spans="1:15" x14ac:dyDescent="0.25">
      <c r="A2" s="409" t="s">
        <v>803</v>
      </c>
      <c r="B2" s="410" t="s">
        <v>804</v>
      </c>
      <c r="C2" s="411" t="s">
        <v>805</v>
      </c>
      <c r="E2" s="7"/>
      <c r="F2" s="7"/>
      <c r="G2" s="7"/>
      <c r="H2" s="7"/>
      <c r="I2" s="7"/>
    </row>
    <row r="3" spans="1:15" x14ac:dyDescent="0.25">
      <c r="A3" s="120" t="s">
        <v>806</v>
      </c>
      <c r="B3" s="120" t="s">
        <v>807</v>
      </c>
      <c r="C3" s="407">
        <f>SUM(J$11:J$55)</f>
        <v>1352.3117179639253</v>
      </c>
      <c r="J3" s="14"/>
      <c r="K3" s="1"/>
      <c r="L3" s="1"/>
    </row>
    <row r="4" spans="1:15" x14ac:dyDescent="0.25">
      <c r="A4" s="120" t="s">
        <v>720</v>
      </c>
      <c r="B4" s="120" t="s">
        <v>808</v>
      </c>
      <c r="C4" s="407">
        <f>SUM(K11:K55)</f>
        <v>50.944417152149988</v>
      </c>
      <c r="J4" s="14"/>
      <c r="K4" s="1"/>
      <c r="L4" s="1"/>
    </row>
    <row r="5" spans="1:15" x14ac:dyDescent="0.25">
      <c r="A5" s="120" t="s">
        <v>809</v>
      </c>
      <c r="B5" s="120" t="s">
        <v>808</v>
      </c>
      <c r="C5" s="407">
        <f>SUM(L$11:L$55)</f>
        <v>57.08334040310001</v>
      </c>
      <c r="J5" s="14"/>
      <c r="K5" s="14"/>
      <c r="L5" s="121"/>
    </row>
    <row r="6" spans="1:15" x14ac:dyDescent="0.25">
      <c r="A6" s="122" t="s">
        <v>810</v>
      </c>
      <c r="B6" s="122" t="s">
        <v>808</v>
      </c>
      <c r="C6" s="408">
        <f>SUM(M$11:M$55)</f>
        <v>169.95920513084673</v>
      </c>
      <c r="J6" s="14"/>
      <c r="K6" s="14"/>
      <c r="L6" s="121"/>
    </row>
    <row r="7" spans="1:15" x14ac:dyDescent="0.25">
      <c r="A7" s="617"/>
      <c r="B7" s="617"/>
      <c r="C7" s="618"/>
      <c r="J7" s="14"/>
      <c r="K7" s="14"/>
      <c r="L7" s="121"/>
    </row>
    <row r="8" spans="1:15" x14ac:dyDescent="0.25">
      <c r="A8" s="1178" t="s">
        <v>811</v>
      </c>
      <c r="B8" s="1178"/>
      <c r="C8" s="1178"/>
      <c r="D8" s="1178"/>
      <c r="E8" s="1178"/>
      <c r="F8" s="1178"/>
      <c r="G8" s="1178"/>
      <c r="H8" s="1178"/>
      <c r="I8" s="1178"/>
      <c r="J8" s="1178"/>
      <c r="K8" s="1178"/>
      <c r="L8" s="1178"/>
      <c r="M8" s="1178"/>
      <c r="N8" s="1178"/>
      <c r="O8" s="1178"/>
    </row>
    <row r="9" spans="1:15" x14ac:dyDescent="0.25">
      <c r="D9" s="1180" t="s">
        <v>812</v>
      </c>
      <c r="E9" s="1180"/>
      <c r="F9" s="1180"/>
      <c r="G9" s="1180"/>
      <c r="H9" s="1180"/>
      <c r="I9" s="1181"/>
      <c r="J9" s="1182" t="s">
        <v>813</v>
      </c>
      <c r="K9" s="1182"/>
      <c r="L9" s="1182"/>
      <c r="M9" s="1182"/>
      <c r="N9" s="1182"/>
      <c r="O9" s="1182"/>
    </row>
    <row r="10" spans="1:15" ht="45" x14ac:dyDescent="0.25">
      <c r="A10" s="123" t="s">
        <v>814</v>
      </c>
      <c r="B10" s="236" t="s">
        <v>815</v>
      </c>
      <c r="C10" s="272" t="s">
        <v>816</v>
      </c>
      <c r="D10" s="124" t="s">
        <v>817</v>
      </c>
      <c r="E10" s="124" t="s">
        <v>818</v>
      </c>
      <c r="F10" s="124" t="s">
        <v>819</v>
      </c>
      <c r="G10" s="124" t="s">
        <v>820</v>
      </c>
      <c r="H10" s="124" t="s">
        <v>821</v>
      </c>
      <c r="I10" s="406" t="s">
        <v>822</v>
      </c>
      <c r="J10" s="124" t="s">
        <v>823</v>
      </c>
      <c r="K10" s="124" t="s">
        <v>818</v>
      </c>
      <c r="L10" s="124" t="s">
        <v>819</v>
      </c>
      <c r="M10" s="124" t="s">
        <v>824</v>
      </c>
      <c r="N10" s="124" t="s">
        <v>821</v>
      </c>
      <c r="O10" s="124" t="s">
        <v>822</v>
      </c>
    </row>
    <row r="11" spans="1:15" x14ac:dyDescent="0.25">
      <c r="A11" s="101" t="s">
        <v>72</v>
      </c>
      <c r="B11" s="15">
        <f>'11. Diet'!K3</f>
        <v>28.35</v>
      </c>
      <c r="C11" s="15">
        <f>'11. Diet'!I3*B11</f>
        <v>39.724019999999996</v>
      </c>
      <c r="D11" s="15">
        <v>156</v>
      </c>
      <c r="E11" s="15">
        <v>23.9</v>
      </c>
      <c r="F11" s="15">
        <v>5.95</v>
      </c>
      <c r="G11" s="15">
        <v>1.79</v>
      </c>
      <c r="H11" s="15">
        <v>1.79</v>
      </c>
      <c r="I11" s="681">
        <v>0.89</v>
      </c>
      <c r="J11" s="15">
        <f>$C11*(D11/100)</f>
        <v>61.969471199999994</v>
      </c>
      <c r="K11" s="15">
        <f t="shared" ref="K11:O11" si="0">$C11*(E11/100)</f>
        <v>9.4940407799999988</v>
      </c>
      <c r="L11" s="15">
        <f t="shared" si="0"/>
        <v>2.3635791899999998</v>
      </c>
      <c r="M11" s="15">
        <f t="shared" si="0"/>
        <v>0.71105995799999988</v>
      </c>
      <c r="N11" s="15">
        <f t="shared" si="0"/>
        <v>0.71105995799999988</v>
      </c>
      <c r="O11" s="15">
        <f t="shared" si="0"/>
        <v>0.35354377799999998</v>
      </c>
    </row>
    <row r="12" spans="1:15" x14ac:dyDescent="0.25">
      <c r="A12" s="103" t="s">
        <v>76</v>
      </c>
      <c r="B12" s="15">
        <f>'11. Diet'!K4</f>
        <v>28.35</v>
      </c>
      <c r="C12" s="15">
        <f>'11. Diet'!I4*B12</f>
        <v>31.28706</v>
      </c>
      <c r="D12" s="15">
        <v>260</v>
      </c>
      <c r="E12" s="15">
        <v>25.54</v>
      </c>
      <c r="F12" s="15">
        <v>16.82</v>
      </c>
      <c r="G12" s="15">
        <v>0</v>
      </c>
      <c r="H12" s="15"/>
      <c r="I12" s="681"/>
      <c r="J12" s="15">
        <f t="shared" ref="J12:J55" si="1">$C12*(D12/100)</f>
        <v>81.346356</v>
      </c>
      <c r="K12" s="15">
        <f t="shared" ref="K12:K55" si="2">$C12*(E12/100)</f>
        <v>7.9907151240000003</v>
      </c>
      <c r="L12" s="15">
        <f t="shared" ref="L12:L55" si="3">$C12*(F12/100)</f>
        <v>5.2624834920000003</v>
      </c>
      <c r="M12" s="15">
        <f t="shared" ref="M12:M55" si="4">$C12*(G12/100)</f>
        <v>0</v>
      </c>
      <c r="N12" s="15">
        <f t="shared" ref="N12:N55" si="5">$C12*(H12/100)</f>
        <v>0</v>
      </c>
      <c r="O12" s="15">
        <f t="shared" ref="O12:O55" si="6">$C12*(I12/100)</f>
        <v>0</v>
      </c>
    </row>
    <row r="13" spans="1:15" x14ac:dyDescent="0.25">
      <c r="A13" s="103" t="s">
        <v>79</v>
      </c>
      <c r="B13" s="15">
        <f>'11. Diet'!K5</f>
        <v>28.35</v>
      </c>
      <c r="C13" s="15">
        <f>'11. Diet'!I5*B13</f>
        <v>24.432029999999997</v>
      </c>
      <c r="D13" s="15">
        <v>297</v>
      </c>
      <c r="E13" s="15">
        <v>25.7</v>
      </c>
      <c r="F13" s="15">
        <v>20.8</v>
      </c>
      <c r="G13" s="15">
        <v>1.18</v>
      </c>
      <c r="H13" s="15">
        <v>0</v>
      </c>
      <c r="I13" s="681">
        <v>0</v>
      </c>
      <c r="J13" s="15">
        <f t="shared" si="1"/>
        <v>72.563129099999998</v>
      </c>
      <c r="K13" s="15">
        <f t="shared" si="2"/>
        <v>6.2790317099999999</v>
      </c>
      <c r="L13" s="15">
        <f t="shared" si="3"/>
        <v>5.0818622399999995</v>
      </c>
      <c r="M13" s="15">
        <f t="shared" si="4"/>
        <v>0.28829795399999997</v>
      </c>
      <c r="N13" s="15">
        <f t="shared" si="5"/>
        <v>0</v>
      </c>
      <c r="O13" s="15">
        <f t="shared" si="6"/>
        <v>0</v>
      </c>
    </row>
    <row r="14" spans="1:15" x14ac:dyDescent="0.25">
      <c r="A14" s="103" t="s">
        <v>83</v>
      </c>
      <c r="B14" s="15">
        <f>'11. Diet'!K6</f>
        <v>50</v>
      </c>
      <c r="C14" s="15">
        <f>'11. Diet'!I6*B14</f>
        <v>16.740000000000002</v>
      </c>
      <c r="D14" s="15">
        <v>136</v>
      </c>
      <c r="E14" s="15">
        <v>13.64</v>
      </c>
      <c r="F14" s="15">
        <v>9.09</v>
      </c>
      <c r="G14" s="15">
        <v>0</v>
      </c>
      <c r="H14" s="15"/>
      <c r="I14" s="681">
        <v>0</v>
      </c>
      <c r="J14" s="15">
        <f t="shared" si="1"/>
        <v>22.766400000000004</v>
      </c>
      <c r="K14" s="15">
        <f t="shared" si="2"/>
        <v>2.2833360000000003</v>
      </c>
      <c r="L14" s="15">
        <f t="shared" si="3"/>
        <v>1.5216660000000002</v>
      </c>
      <c r="M14" s="15">
        <f t="shared" si="4"/>
        <v>0</v>
      </c>
      <c r="N14" s="15">
        <f t="shared" si="5"/>
        <v>0</v>
      </c>
      <c r="O14" s="15">
        <f t="shared" si="6"/>
        <v>0</v>
      </c>
    </row>
    <row r="15" spans="1:15" x14ac:dyDescent="0.25">
      <c r="A15" s="125" t="s">
        <v>87</v>
      </c>
      <c r="B15" s="15">
        <f>'11. Diet'!K7</f>
        <v>43.75</v>
      </c>
      <c r="C15" s="15">
        <f>'11. Diet'!I7*B15</f>
        <v>6.9453125</v>
      </c>
      <c r="D15" s="15">
        <v>333</v>
      </c>
      <c r="E15" s="15">
        <v>24.44</v>
      </c>
      <c r="F15" s="15">
        <v>0</v>
      </c>
      <c r="G15" s="15">
        <v>57.78</v>
      </c>
      <c r="H15" s="15">
        <v>2.2200000000000002</v>
      </c>
      <c r="I15" s="681">
        <v>0</v>
      </c>
      <c r="J15" s="15">
        <f t="shared" si="1"/>
        <v>23.127890624999999</v>
      </c>
      <c r="K15" s="15">
        <f t="shared" si="2"/>
        <v>1.6974343750000001</v>
      </c>
      <c r="L15" s="15">
        <f t="shared" si="3"/>
        <v>0</v>
      </c>
      <c r="M15" s="15">
        <f t="shared" si="4"/>
        <v>4.0130015624999995</v>
      </c>
      <c r="N15" s="15">
        <f t="shared" si="5"/>
        <v>0.15418593750000001</v>
      </c>
      <c r="O15" s="15">
        <f t="shared" si="6"/>
        <v>0</v>
      </c>
    </row>
    <row r="16" spans="1:15" x14ac:dyDescent="0.25">
      <c r="A16" s="105" t="s">
        <v>91</v>
      </c>
      <c r="B16" s="15">
        <f>'11. Diet'!K8</f>
        <v>42.525000000000006</v>
      </c>
      <c r="C16" s="15">
        <f>'11. Diet'!I8*B16</f>
        <v>18.779040000000002</v>
      </c>
      <c r="D16" s="15">
        <v>400</v>
      </c>
      <c r="E16" s="15">
        <v>26.79</v>
      </c>
      <c r="F16" s="15">
        <v>32.14</v>
      </c>
      <c r="G16" s="15">
        <v>3.57</v>
      </c>
      <c r="H16" s="15">
        <v>10</v>
      </c>
      <c r="I16" s="681">
        <v>21.43</v>
      </c>
      <c r="J16" s="15">
        <f t="shared" si="1"/>
        <v>75.116160000000008</v>
      </c>
      <c r="K16" s="15">
        <f t="shared" si="2"/>
        <v>5.0309048159999996</v>
      </c>
      <c r="L16" s="15">
        <f t="shared" si="3"/>
        <v>6.0355834560000012</v>
      </c>
      <c r="M16" s="15">
        <f t="shared" si="4"/>
        <v>0.67041172800000004</v>
      </c>
      <c r="N16" s="15">
        <f t="shared" si="5"/>
        <v>1.8779040000000002</v>
      </c>
      <c r="O16" s="15">
        <f t="shared" si="6"/>
        <v>4.0243482720000001</v>
      </c>
    </row>
    <row r="17" spans="1:15" x14ac:dyDescent="0.25">
      <c r="A17" s="106" t="s">
        <v>95</v>
      </c>
      <c r="B17" s="15">
        <f>'11. Diet'!K9</f>
        <v>245</v>
      </c>
      <c r="C17" s="15">
        <f>'11. Diet'!I9*B17</f>
        <v>78.032499999999999</v>
      </c>
      <c r="D17" s="15">
        <v>67</v>
      </c>
      <c r="E17" s="15">
        <v>3.75</v>
      </c>
      <c r="F17" s="15">
        <v>3.33</v>
      </c>
      <c r="G17" s="15">
        <v>5.42</v>
      </c>
      <c r="H17" s="15">
        <v>5</v>
      </c>
      <c r="I17" s="681">
        <v>2.08</v>
      </c>
      <c r="J17" s="15">
        <f t="shared" si="1"/>
        <v>52.281775000000003</v>
      </c>
      <c r="K17" s="15">
        <f t="shared" si="2"/>
        <v>2.9262187499999999</v>
      </c>
      <c r="L17" s="15">
        <f t="shared" si="3"/>
        <v>2.59848225</v>
      </c>
      <c r="M17" s="15">
        <f t="shared" si="4"/>
        <v>4.2293614999999996</v>
      </c>
      <c r="N17" s="15">
        <f t="shared" si="5"/>
        <v>3.9016250000000001</v>
      </c>
      <c r="O17" s="15">
        <f t="shared" si="6"/>
        <v>1.623076</v>
      </c>
    </row>
    <row r="18" spans="1:15" x14ac:dyDescent="0.25">
      <c r="A18" s="107" t="s">
        <v>99</v>
      </c>
      <c r="B18" s="15">
        <f>'11. Diet'!K10</f>
        <v>110</v>
      </c>
      <c r="C18" s="15">
        <f>'11. Diet'!I10*B18</f>
        <v>13.64</v>
      </c>
      <c r="D18" s="15">
        <v>54</v>
      </c>
      <c r="E18" s="15">
        <v>0.41</v>
      </c>
      <c r="F18" s="15">
        <v>0</v>
      </c>
      <c r="G18" s="15">
        <v>14.05</v>
      </c>
      <c r="H18" s="15">
        <v>0</v>
      </c>
      <c r="I18" s="681">
        <v>0</v>
      </c>
      <c r="J18" s="15">
        <f t="shared" si="1"/>
        <v>7.3656000000000006</v>
      </c>
      <c r="K18" s="15">
        <f t="shared" si="2"/>
        <v>5.5923999999999995E-2</v>
      </c>
      <c r="L18" s="15">
        <f t="shared" si="3"/>
        <v>0</v>
      </c>
      <c r="M18" s="15">
        <f t="shared" si="4"/>
        <v>1.9164200000000002</v>
      </c>
      <c r="N18" s="15">
        <f t="shared" si="5"/>
        <v>0</v>
      </c>
      <c r="O18" s="15">
        <f t="shared" si="6"/>
        <v>0</v>
      </c>
    </row>
    <row r="19" spans="1:15" x14ac:dyDescent="0.25">
      <c r="A19" s="108" t="s">
        <v>102</v>
      </c>
      <c r="B19" s="15">
        <f>'11. Diet'!K11</f>
        <v>170</v>
      </c>
      <c r="C19" s="15">
        <f>'11. Diet'!I11*B19</f>
        <v>12.409999999999998</v>
      </c>
      <c r="D19" s="15">
        <v>35</v>
      </c>
      <c r="E19" s="15">
        <v>0.7</v>
      </c>
      <c r="F19" s="15"/>
      <c r="G19" s="15">
        <v>9.15</v>
      </c>
      <c r="H19" s="15">
        <v>8.4499999999999993</v>
      </c>
      <c r="I19" s="681">
        <v>0</v>
      </c>
      <c r="J19" s="15">
        <f t="shared" si="1"/>
        <v>4.3434999999999988</v>
      </c>
      <c r="K19" s="15">
        <f t="shared" si="2"/>
        <v>8.6869999999999975E-2</v>
      </c>
      <c r="L19" s="15">
        <f t="shared" si="3"/>
        <v>0</v>
      </c>
      <c r="M19" s="15">
        <f t="shared" si="4"/>
        <v>1.1355149999999998</v>
      </c>
      <c r="N19" s="15">
        <f t="shared" si="5"/>
        <v>1.0486449999999998</v>
      </c>
      <c r="O19" s="15">
        <f t="shared" si="6"/>
        <v>0</v>
      </c>
    </row>
    <row r="20" spans="1:15" x14ac:dyDescent="0.25">
      <c r="A20" s="108" t="s">
        <v>105</v>
      </c>
      <c r="B20" s="15">
        <f>'11. Diet'!K12</f>
        <v>145</v>
      </c>
      <c r="C20" s="15">
        <f>'11. Diet'!I12*B20</f>
        <v>1.595</v>
      </c>
      <c r="D20" s="15">
        <v>57</v>
      </c>
      <c r="E20" s="15">
        <v>0.71</v>
      </c>
      <c r="F20" s="15">
        <v>0.71</v>
      </c>
      <c r="G20" s="15">
        <v>12.14</v>
      </c>
      <c r="H20" s="15">
        <v>8.57</v>
      </c>
      <c r="I20" s="681">
        <v>0</v>
      </c>
      <c r="J20" s="15">
        <f t="shared" si="1"/>
        <v>0.9091499999999999</v>
      </c>
      <c r="K20" s="15">
        <f t="shared" si="2"/>
        <v>1.1324499999999999E-2</v>
      </c>
      <c r="L20" s="15">
        <f t="shared" si="3"/>
        <v>1.1324499999999999E-2</v>
      </c>
      <c r="M20" s="15">
        <f t="shared" si="4"/>
        <v>0.193633</v>
      </c>
      <c r="N20" s="15">
        <f t="shared" si="5"/>
        <v>0.13669149999999999</v>
      </c>
      <c r="O20" s="15">
        <f t="shared" si="6"/>
        <v>0</v>
      </c>
    </row>
    <row r="21" spans="1:15" x14ac:dyDescent="0.25">
      <c r="A21" s="108" t="s">
        <v>108</v>
      </c>
      <c r="B21" s="15">
        <f>'11. Diet'!K13</f>
        <v>155</v>
      </c>
      <c r="C21" s="15">
        <f>'11. Diet'!I13*B21</f>
        <v>0.46500000000000002</v>
      </c>
      <c r="D21" s="15">
        <v>65</v>
      </c>
      <c r="E21" s="15">
        <v>1.3</v>
      </c>
      <c r="F21" s="15"/>
      <c r="G21" s="15">
        <v>16.23</v>
      </c>
      <c r="H21" s="15">
        <v>12.99</v>
      </c>
      <c r="I21" s="681">
        <v>0</v>
      </c>
      <c r="J21" s="15">
        <f t="shared" si="1"/>
        <v>0.30225000000000002</v>
      </c>
      <c r="K21" s="15">
        <f t="shared" si="2"/>
        <v>6.0450000000000009E-3</v>
      </c>
      <c r="L21" s="15">
        <f t="shared" si="3"/>
        <v>0</v>
      </c>
      <c r="M21" s="15">
        <f t="shared" si="4"/>
        <v>7.5469500000000009E-2</v>
      </c>
      <c r="N21" s="15">
        <f t="shared" si="5"/>
        <v>6.0403500000000013E-2</v>
      </c>
      <c r="O21" s="15">
        <f t="shared" si="6"/>
        <v>0</v>
      </c>
    </row>
    <row r="22" spans="1:15" x14ac:dyDescent="0.25">
      <c r="A22" s="108" t="s">
        <v>111</v>
      </c>
      <c r="B22" s="15">
        <f>'11. Diet'!K14</f>
        <v>150</v>
      </c>
      <c r="C22" s="15">
        <f>'11. Diet'!I14*B22</f>
        <v>5.3999999999999995</v>
      </c>
      <c r="D22" s="15">
        <v>71</v>
      </c>
      <c r="E22" s="15">
        <v>0.88</v>
      </c>
      <c r="F22" s="15">
        <v>0.28999999999999998</v>
      </c>
      <c r="G22" s="15">
        <v>18.079999999999998</v>
      </c>
      <c r="H22" s="15">
        <v>15.43</v>
      </c>
      <c r="I22" s="681">
        <v>0.09</v>
      </c>
      <c r="J22" s="15">
        <f t="shared" si="1"/>
        <v>3.8339999999999996</v>
      </c>
      <c r="K22" s="15">
        <f t="shared" si="2"/>
        <v>4.752E-2</v>
      </c>
      <c r="L22" s="15">
        <f t="shared" si="3"/>
        <v>1.5659999999999997E-2</v>
      </c>
      <c r="M22" s="15">
        <f t="shared" si="4"/>
        <v>0.97631999999999985</v>
      </c>
      <c r="N22" s="15">
        <f t="shared" si="5"/>
        <v>0.83321999999999985</v>
      </c>
      <c r="O22" s="15">
        <f t="shared" si="6"/>
        <v>4.8599999999999997E-3</v>
      </c>
    </row>
    <row r="23" spans="1:15" x14ac:dyDescent="0.25">
      <c r="A23" s="108" t="s">
        <v>114</v>
      </c>
      <c r="B23" s="15">
        <f>'11. Diet'!K15</f>
        <v>165</v>
      </c>
      <c r="C23" s="15">
        <f>'11. Diet'!I15*B23</f>
        <v>2.31</v>
      </c>
      <c r="D23" s="15">
        <v>60</v>
      </c>
      <c r="E23" s="15">
        <v>0.6</v>
      </c>
      <c r="F23" s="15">
        <v>0</v>
      </c>
      <c r="G23" s="15">
        <v>15.06</v>
      </c>
      <c r="H23" s="15">
        <v>9.0399999999999991</v>
      </c>
      <c r="I23" s="681">
        <v>0</v>
      </c>
      <c r="J23" s="15">
        <f t="shared" si="1"/>
        <v>1.3859999999999999</v>
      </c>
      <c r="K23" s="15">
        <f t="shared" si="2"/>
        <v>1.3860000000000001E-2</v>
      </c>
      <c r="L23" s="15">
        <f t="shared" si="3"/>
        <v>0</v>
      </c>
      <c r="M23" s="15">
        <f t="shared" si="4"/>
        <v>0.34788600000000003</v>
      </c>
      <c r="N23" s="15">
        <f t="shared" si="5"/>
        <v>0.20882399999999998</v>
      </c>
      <c r="O23" s="15">
        <f t="shared" si="6"/>
        <v>0</v>
      </c>
    </row>
    <row r="24" spans="1:15" x14ac:dyDescent="0.25">
      <c r="A24" s="108" t="s">
        <v>117</v>
      </c>
      <c r="B24" s="15">
        <f>'11. Diet'!K16</f>
        <v>145</v>
      </c>
      <c r="C24" s="15">
        <f>'11. Diet'!I16*B24</f>
        <v>0.72499999999999998</v>
      </c>
      <c r="D24" s="15">
        <v>50</v>
      </c>
      <c r="E24" s="15">
        <v>1.43</v>
      </c>
      <c r="F24" s="15">
        <v>0.71</v>
      </c>
      <c r="G24" s="15">
        <v>12.14</v>
      </c>
      <c r="H24" s="15">
        <v>4.29</v>
      </c>
      <c r="I24" s="681">
        <v>0</v>
      </c>
      <c r="J24" s="15">
        <f t="shared" si="1"/>
        <v>0.36249999999999999</v>
      </c>
      <c r="K24" s="15">
        <f t="shared" si="2"/>
        <v>1.03675E-2</v>
      </c>
      <c r="L24" s="15">
        <f t="shared" si="3"/>
        <v>5.1474999999999993E-3</v>
      </c>
      <c r="M24" s="15">
        <f t="shared" si="4"/>
        <v>8.801500000000001E-2</v>
      </c>
      <c r="N24" s="15">
        <f t="shared" si="5"/>
        <v>3.1102499999999998E-2</v>
      </c>
      <c r="O24" s="15">
        <f t="shared" si="6"/>
        <v>0</v>
      </c>
    </row>
    <row r="25" spans="1:15" x14ac:dyDescent="0.25">
      <c r="A25" s="108" t="s">
        <v>120</v>
      </c>
      <c r="B25" s="15">
        <f>'11. Diet'!K17</f>
        <v>145</v>
      </c>
      <c r="C25" s="15">
        <f>'11. Diet'!I17*B25</f>
        <v>4.4950000000000001</v>
      </c>
      <c r="D25" s="15">
        <v>350</v>
      </c>
      <c r="E25" s="15">
        <v>0</v>
      </c>
      <c r="F25" s="15">
        <v>0</v>
      </c>
      <c r="G25" s="15">
        <v>87.5</v>
      </c>
      <c r="H25" s="15">
        <v>85</v>
      </c>
      <c r="I25" s="681">
        <v>0</v>
      </c>
      <c r="J25" s="15">
        <f t="shared" si="1"/>
        <v>15.7325</v>
      </c>
      <c r="K25" s="15">
        <f t="shared" si="2"/>
        <v>0</v>
      </c>
      <c r="L25" s="15">
        <f t="shared" si="3"/>
        <v>0</v>
      </c>
      <c r="M25" s="15">
        <f t="shared" si="4"/>
        <v>3.933125</v>
      </c>
      <c r="N25" s="15">
        <f t="shared" si="5"/>
        <v>3.8207499999999999</v>
      </c>
      <c r="O25" s="15">
        <f t="shared" si="6"/>
        <v>0</v>
      </c>
    </row>
    <row r="26" spans="1:15" x14ac:dyDescent="0.25">
      <c r="A26" s="126" t="s">
        <v>124</v>
      </c>
      <c r="B26" s="15">
        <f>'11. Diet'!K18</f>
        <v>233.83802816901408</v>
      </c>
      <c r="C26" s="15">
        <f>'11. Diet'!I18*B26</f>
        <v>33.205000000000005</v>
      </c>
      <c r="D26" s="15"/>
      <c r="E26" s="15"/>
      <c r="F26" s="15"/>
      <c r="G26" s="15"/>
      <c r="H26" s="15"/>
      <c r="I26" s="681"/>
      <c r="J26" s="15">
        <f t="shared" si="1"/>
        <v>0</v>
      </c>
      <c r="K26" s="15">
        <f t="shared" si="2"/>
        <v>0</v>
      </c>
      <c r="L26" s="15">
        <f t="shared" si="3"/>
        <v>0</v>
      </c>
      <c r="M26" s="15">
        <f t="shared" si="4"/>
        <v>0</v>
      </c>
      <c r="N26" s="15">
        <f t="shared" si="5"/>
        <v>0</v>
      </c>
      <c r="O26" s="15">
        <f t="shared" si="6"/>
        <v>0</v>
      </c>
    </row>
    <row r="27" spans="1:15" x14ac:dyDescent="0.25">
      <c r="A27" s="110" t="s">
        <v>128</v>
      </c>
      <c r="B27" s="15">
        <f>'11. Diet'!K19</f>
        <v>80</v>
      </c>
      <c r="C27" s="15">
        <f>'11. Diet'!I19*B27</f>
        <v>2.9704000000000002</v>
      </c>
      <c r="D27" s="15">
        <v>34</v>
      </c>
      <c r="E27" s="15">
        <v>2.7</v>
      </c>
      <c r="F27" s="15">
        <v>0.34</v>
      </c>
      <c r="G27" s="15">
        <v>5.41</v>
      </c>
      <c r="H27" s="15">
        <v>1.35</v>
      </c>
      <c r="I27" s="681">
        <v>0</v>
      </c>
      <c r="J27" s="15">
        <f t="shared" si="1"/>
        <v>1.0099360000000002</v>
      </c>
      <c r="K27" s="15">
        <f t="shared" si="2"/>
        <v>8.0200800000000017E-2</v>
      </c>
      <c r="L27" s="15">
        <f t="shared" si="3"/>
        <v>1.0099360000000002E-2</v>
      </c>
      <c r="M27" s="15">
        <f t="shared" si="4"/>
        <v>0.16069864</v>
      </c>
      <c r="N27" s="15">
        <f t="shared" si="5"/>
        <v>4.0100400000000008E-2</v>
      </c>
      <c r="O27" s="15">
        <f t="shared" si="6"/>
        <v>0</v>
      </c>
    </row>
    <row r="28" spans="1:15" x14ac:dyDescent="0.25">
      <c r="A28" s="111" t="s">
        <v>131</v>
      </c>
      <c r="B28" s="15">
        <f>'11. Diet'!K20</f>
        <v>70</v>
      </c>
      <c r="C28" s="15">
        <f>'11. Diet'!I20*B28</f>
        <v>0.3871</v>
      </c>
      <c r="D28" s="15">
        <v>32</v>
      </c>
      <c r="E28" s="15">
        <v>3.02</v>
      </c>
      <c r="F28" s="15">
        <v>0.61</v>
      </c>
      <c r="G28" s="15">
        <v>5.42</v>
      </c>
      <c r="H28" s="15"/>
      <c r="I28" s="681"/>
      <c r="J28" s="15">
        <f t="shared" si="1"/>
        <v>0.123872</v>
      </c>
      <c r="K28" s="15">
        <f t="shared" si="2"/>
        <v>1.169042E-2</v>
      </c>
      <c r="L28" s="15">
        <f t="shared" si="3"/>
        <v>2.3613099999999997E-3</v>
      </c>
      <c r="M28" s="15">
        <f t="shared" si="4"/>
        <v>2.0980820000000001E-2</v>
      </c>
      <c r="N28" s="15">
        <f t="shared" si="5"/>
        <v>0</v>
      </c>
      <c r="O28" s="15">
        <f t="shared" si="6"/>
        <v>0</v>
      </c>
    </row>
    <row r="29" spans="1:15" x14ac:dyDescent="0.25">
      <c r="A29" s="111" t="s">
        <v>134</v>
      </c>
      <c r="B29" s="15">
        <f>'11. Diet'!K21</f>
        <v>70</v>
      </c>
      <c r="C29" s="15">
        <f>'11. Diet'!I21*B29</f>
        <v>0.1106</v>
      </c>
      <c r="D29" s="15">
        <v>35</v>
      </c>
      <c r="E29" s="15">
        <v>2.92</v>
      </c>
      <c r="F29" s="15">
        <v>1.49</v>
      </c>
      <c r="G29" s="15">
        <v>4.42</v>
      </c>
      <c r="H29" s="15"/>
      <c r="I29" s="681"/>
      <c r="J29" s="15">
        <f t="shared" si="1"/>
        <v>3.8710000000000001E-2</v>
      </c>
      <c r="K29" s="15">
        <f t="shared" si="2"/>
        <v>3.22952E-3</v>
      </c>
      <c r="L29" s="15">
        <f t="shared" si="3"/>
        <v>1.6479400000000001E-3</v>
      </c>
      <c r="M29" s="15">
        <f t="shared" si="4"/>
        <v>4.8885199999999995E-3</v>
      </c>
      <c r="N29" s="15">
        <f t="shared" si="5"/>
        <v>0</v>
      </c>
      <c r="O29" s="15">
        <f t="shared" si="6"/>
        <v>0</v>
      </c>
    </row>
    <row r="30" spans="1:15" x14ac:dyDescent="0.25">
      <c r="A30" s="111" t="s">
        <v>137</v>
      </c>
      <c r="B30" s="15">
        <f>'11. Diet'!K22</f>
        <v>70</v>
      </c>
      <c r="C30" s="15">
        <f>'11. Diet'!I22*B30</f>
        <v>5.3641000000000005</v>
      </c>
      <c r="D30" s="15">
        <v>12</v>
      </c>
      <c r="E30" s="15">
        <v>1.18</v>
      </c>
      <c r="F30" s="15">
        <v>0</v>
      </c>
      <c r="G30" s="15">
        <v>3.53</v>
      </c>
      <c r="H30" s="15">
        <v>2.35</v>
      </c>
      <c r="I30" s="681">
        <v>0</v>
      </c>
      <c r="J30" s="15">
        <f t="shared" si="1"/>
        <v>0.64369200000000004</v>
      </c>
      <c r="K30" s="15">
        <f t="shared" si="2"/>
        <v>6.3296379999999999E-2</v>
      </c>
      <c r="L30" s="15">
        <f t="shared" si="3"/>
        <v>0</v>
      </c>
      <c r="M30" s="15">
        <f t="shared" si="4"/>
        <v>0.18935273</v>
      </c>
      <c r="N30" s="15">
        <f t="shared" si="5"/>
        <v>0.12605635000000001</v>
      </c>
      <c r="O30" s="15">
        <f t="shared" si="6"/>
        <v>0</v>
      </c>
    </row>
    <row r="31" spans="1:15" x14ac:dyDescent="0.25">
      <c r="A31" s="111" t="s">
        <v>140</v>
      </c>
      <c r="B31" s="15">
        <f>'11. Diet'!K23</f>
        <v>70</v>
      </c>
      <c r="C31" s="15">
        <f>'11. Diet'!I23*B31</f>
        <v>1.0507</v>
      </c>
      <c r="D31" s="15">
        <v>24</v>
      </c>
      <c r="E31" s="15">
        <v>2.35</v>
      </c>
      <c r="F31" s="15">
        <v>0</v>
      </c>
      <c r="G31" s="15">
        <v>3.53</v>
      </c>
      <c r="H31" s="15">
        <v>0</v>
      </c>
      <c r="I31" s="681">
        <v>0</v>
      </c>
      <c r="J31" s="15">
        <f t="shared" si="1"/>
        <v>0.252168</v>
      </c>
      <c r="K31" s="15">
        <f t="shared" si="2"/>
        <v>2.469145E-2</v>
      </c>
      <c r="L31" s="15">
        <f t="shared" si="3"/>
        <v>0</v>
      </c>
      <c r="M31" s="15">
        <f t="shared" si="4"/>
        <v>3.7089709999999998E-2</v>
      </c>
      <c r="N31" s="15">
        <f t="shared" si="5"/>
        <v>0</v>
      </c>
      <c r="O31" s="15">
        <f t="shared" si="6"/>
        <v>0</v>
      </c>
    </row>
    <row r="32" spans="1:15" x14ac:dyDescent="0.25">
      <c r="A32" s="113" t="s">
        <v>143</v>
      </c>
      <c r="B32" s="15">
        <f>'11. Diet'!K24</f>
        <v>155</v>
      </c>
      <c r="C32" s="15">
        <f>'11. Diet'!I24*B32</f>
        <v>1.59185</v>
      </c>
      <c r="D32" s="15">
        <v>32.5</v>
      </c>
      <c r="E32" s="15">
        <v>2.6475</v>
      </c>
      <c r="F32" s="15">
        <v>0.28899999999999998</v>
      </c>
      <c r="G32" s="15">
        <v>5.1280000000000001</v>
      </c>
      <c r="H32" s="15">
        <v>1.1475</v>
      </c>
      <c r="I32" s="681">
        <v>0</v>
      </c>
      <c r="J32" s="15">
        <f t="shared" si="1"/>
        <v>0.51735125000000004</v>
      </c>
      <c r="K32" s="15">
        <f t="shared" si="2"/>
        <v>4.2144228749999998E-2</v>
      </c>
      <c r="L32" s="15">
        <f t="shared" si="3"/>
        <v>4.6004465E-3</v>
      </c>
      <c r="M32" s="15">
        <f t="shared" si="4"/>
        <v>8.1630068E-2</v>
      </c>
      <c r="N32" s="15">
        <f t="shared" si="5"/>
        <v>1.8266478749999999E-2</v>
      </c>
      <c r="O32" s="15">
        <f t="shared" si="6"/>
        <v>0</v>
      </c>
    </row>
    <row r="33" spans="1:15" x14ac:dyDescent="0.25">
      <c r="A33" s="110" t="s">
        <v>146</v>
      </c>
      <c r="B33" s="15">
        <f>'11. Diet'!K25</f>
        <v>125</v>
      </c>
      <c r="C33" s="15">
        <f>'11. Diet'!I25*B33</f>
        <v>3.95</v>
      </c>
      <c r="D33" s="15">
        <v>41</v>
      </c>
      <c r="E33" s="15">
        <v>0.93</v>
      </c>
      <c r="F33" s="15">
        <v>0.24</v>
      </c>
      <c r="G33" s="15">
        <v>9.58</v>
      </c>
      <c r="H33" s="15">
        <v>4.74</v>
      </c>
      <c r="I33" s="681"/>
      <c r="J33" s="15">
        <f t="shared" si="1"/>
        <v>1.6194999999999999</v>
      </c>
      <c r="K33" s="15">
        <f t="shared" si="2"/>
        <v>3.6735000000000004E-2</v>
      </c>
      <c r="L33" s="15">
        <f t="shared" si="3"/>
        <v>9.4799999999999988E-3</v>
      </c>
      <c r="M33" s="15">
        <f t="shared" si="4"/>
        <v>0.37841000000000002</v>
      </c>
      <c r="N33" s="15">
        <f t="shared" si="5"/>
        <v>0.18723000000000004</v>
      </c>
      <c r="O33" s="15">
        <f t="shared" si="6"/>
        <v>0</v>
      </c>
    </row>
    <row r="34" spans="1:15" x14ac:dyDescent="0.25">
      <c r="A34" s="111" t="s">
        <v>149</v>
      </c>
      <c r="B34" s="15">
        <f>'11. Diet'!K26</f>
        <v>115</v>
      </c>
      <c r="C34" s="15">
        <f>'11. Diet'!I26*B34</f>
        <v>1.0902000000000001</v>
      </c>
      <c r="D34" s="15">
        <v>33</v>
      </c>
      <c r="E34" s="15">
        <v>0.83</v>
      </c>
      <c r="F34" s="15"/>
      <c r="G34" s="15">
        <v>8.33</v>
      </c>
      <c r="H34" s="15">
        <v>3.33</v>
      </c>
      <c r="I34" s="681">
        <v>0</v>
      </c>
      <c r="J34" s="15">
        <f t="shared" si="1"/>
        <v>0.35976600000000003</v>
      </c>
      <c r="K34" s="15">
        <f t="shared" si="2"/>
        <v>9.04866E-3</v>
      </c>
      <c r="L34" s="15">
        <f t="shared" si="3"/>
        <v>0</v>
      </c>
      <c r="M34" s="15">
        <f t="shared" si="4"/>
        <v>9.0813660000000004E-2</v>
      </c>
      <c r="N34" s="15">
        <f t="shared" si="5"/>
        <v>3.6303660000000008E-2</v>
      </c>
      <c r="O34" s="15">
        <f t="shared" si="6"/>
        <v>0</v>
      </c>
    </row>
    <row r="35" spans="1:15" x14ac:dyDescent="0.25">
      <c r="A35" s="111" t="s">
        <v>152</v>
      </c>
      <c r="B35" s="15">
        <f>'11. Diet'!K27</f>
        <v>130</v>
      </c>
      <c r="C35" s="15">
        <f>'11. Diet'!I27*B35</f>
        <v>2.3621000000000003</v>
      </c>
      <c r="D35" s="15">
        <v>73</v>
      </c>
      <c r="E35" s="15">
        <v>1.18</v>
      </c>
      <c r="F35" s="15">
        <v>0</v>
      </c>
      <c r="G35" s="15">
        <v>17.649999999999999</v>
      </c>
      <c r="H35" s="15">
        <v>5.88</v>
      </c>
      <c r="I35" s="681"/>
      <c r="J35" s="15">
        <f t="shared" si="1"/>
        <v>1.7243330000000001</v>
      </c>
      <c r="K35" s="15">
        <f t="shared" si="2"/>
        <v>2.7872780000000003E-2</v>
      </c>
      <c r="L35" s="15">
        <f t="shared" si="3"/>
        <v>0</v>
      </c>
      <c r="M35" s="15">
        <f t="shared" si="4"/>
        <v>0.41691065000000005</v>
      </c>
      <c r="N35" s="15">
        <f t="shared" si="5"/>
        <v>0.13889148000000001</v>
      </c>
      <c r="O35" s="15">
        <f t="shared" si="6"/>
        <v>0</v>
      </c>
    </row>
    <row r="36" spans="1:15" x14ac:dyDescent="0.25">
      <c r="A36" s="111" t="s">
        <v>155</v>
      </c>
      <c r="B36" s="15">
        <f>'11. Diet'!K28</f>
        <v>170</v>
      </c>
      <c r="C36" s="15">
        <f>'11. Diet'!I28*B36</f>
        <v>11.549799999999999</v>
      </c>
      <c r="D36" s="15">
        <v>21</v>
      </c>
      <c r="E36" s="15">
        <v>0.83</v>
      </c>
      <c r="F36" s="15"/>
      <c r="G36" s="15">
        <v>4.13</v>
      </c>
      <c r="H36" s="15">
        <v>2.48</v>
      </c>
      <c r="I36" s="681">
        <v>0</v>
      </c>
      <c r="J36" s="15">
        <f t="shared" si="1"/>
        <v>2.4254579999999999</v>
      </c>
      <c r="K36" s="15">
        <f t="shared" si="2"/>
        <v>9.5863339999999991E-2</v>
      </c>
      <c r="L36" s="15">
        <f t="shared" si="3"/>
        <v>0</v>
      </c>
      <c r="M36" s="15">
        <f t="shared" si="4"/>
        <v>0.47700673999999993</v>
      </c>
      <c r="N36" s="15">
        <f t="shared" si="5"/>
        <v>0.28643503999999997</v>
      </c>
      <c r="O36" s="15">
        <f t="shared" si="6"/>
        <v>0</v>
      </c>
    </row>
    <row r="37" spans="1:15" x14ac:dyDescent="0.25">
      <c r="A37" s="113" t="s">
        <v>158</v>
      </c>
      <c r="B37" s="15">
        <f>'11. Diet'!K29</f>
        <v>234.79591836734693</v>
      </c>
      <c r="C37" s="15">
        <f>'11. Diet'!I29*B37</f>
        <v>18.177899999999998</v>
      </c>
      <c r="D37" s="15">
        <v>21</v>
      </c>
      <c r="E37" s="15">
        <v>0.83</v>
      </c>
      <c r="F37" s="15">
        <v>0</v>
      </c>
      <c r="G37" s="15">
        <v>4.13</v>
      </c>
      <c r="H37" s="15">
        <v>2.48</v>
      </c>
      <c r="I37" s="681">
        <v>0</v>
      </c>
      <c r="J37" s="15">
        <f t="shared" si="1"/>
        <v>3.8173589999999993</v>
      </c>
      <c r="K37" s="15">
        <f t="shared" si="2"/>
        <v>0.15087656999999999</v>
      </c>
      <c r="L37" s="15">
        <f t="shared" si="3"/>
        <v>0</v>
      </c>
      <c r="M37" s="15">
        <f t="shared" si="4"/>
        <v>0.75074726999999986</v>
      </c>
      <c r="N37" s="15">
        <f t="shared" si="5"/>
        <v>0.45081191999999992</v>
      </c>
      <c r="O37" s="15">
        <f t="shared" si="6"/>
        <v>0</v>
      </c>
    </row>
    <row r="38" spans="1:15" x14ac:dyDescent="0.25">
      <c r="A38" s="110" t="s">
        <v>161</v>
      </c>
      <c r="B38" s="15">
        <f>'11. Diet'!K30</f>
        <v>150</v>
      </c>
      <c r="C38" s="15">
        <f>'11. Diet'!I30*B38</f>
        <v>1.5405</v>
      </c>
      <c r="D38" s="15">
        <v>84</v>
      </c>
      <c r="E38" s="15">
        <v>3.16</v>
      </c>
      <c r="F38" s="15">
        <v>1.05</v>
      </c>
      <c r="G38" s="15">
        <v>15.79</v>
      </c>
      <c r="H38" s="15">
        <v>6.32</v>
      </c>
      <c r="I38" s="681">
        <v>0</v>
      </c>
      <c r="J38" s="15">
        <f t="shared" si="1"/>
        <v>1.2940199999999999</v>
      </c>
      <c r="K38" s="15">
        <f t="shared" si="2"/>
        <v>4.8679800000000002E-2</v>
      </c>
      <c r="L38" s="15">
        <f t="shared" si="3"/>
        <v>1.6175250000000002E-2</v>
      </c>
      <c r="M38" s="15">
        <f t="shared" si="4"/>
        <v>0.24324494999999996</v>
      </c>
      <c r="N38" s="15">
        <f t="shared" si="5"/>
        <v>9.7359600000000004E-2</v>
      </c>
      <c r="O38" s="15">
        <f t="shared" si="6"/>
        <v>0</v>
      </c>
    </row>
    <row r="39" spans="1:15" x14ac:dyDescent="0.25">
      <c r="A39" s="111" t="s">
        <v>164</v>
      </c>
      <c r="B39" s="15">
        <f>'11. Diet'!K31</f>
        <v>60</v>
      </c>
      <c r="C39" s="15">
        <f>'11. Diet'!I31*B39</f>
        <v>0</v>
      </c>
      <c r="D39" s="15">
        <v>81</v>
      </c>
      <c r="E39" s="15">
        <v>5.42</v>
      </c>
      <c r="F39" s="15">
        <v>0.4</v>
      </c>
      <c r="G39" s="15">
        <v>14.45</v>
      </c>
      <c r="H39" s="15"/>
      <c r="I39" s="681"/>
      <c r="J39" s="15">
        <f t="shared" si="1"/>
        <v>0</v>
      </c>
      <c r="K39" s="15">
        <f t="shared" si="2"/>
        <v>0</v>
      </c>
      <c r="L39" s="15">
        <f t="shared" si="3"/>
        <v>0</v>
      </c>
      <c r="M39" s="15">
        <f t="shared" si="4"/>
        <v>0</v>
      </c>
      <c r="N39" s="15">
        <f t="shared" si="5"/>
        <v>0</v>
      </c>
      <c r="O39" s="15">
        <f t="shared" si="6"/>
        <v>0</v>
      </c>
    </row>
    <row r="40" spans="1:15" x14ac:dyDescent="0.25">
      <c r="A40" s="111" t="s">
        <v>167</v>
      </c>
      <c r="B40" s="15">
        <f>'11. Diet'!K32</f>
        <v>150</v>
      </c>
      <c r="C40" s="15">
        <f>'11. Diet'!I32*B40</f>
        <v>23.700000000000003</v>
      </c>
      <c r="D40" s="15">
        <v>74</v>
      </c>
      <c r="E40" s="15">
        <v>2.7</v>
      </c>
      <c r="F40" s="15">
        <v>0</v>
      </c>
      <c r="G40" s="15">
        <v>16.89</v>
      </c>
      <c r="H40" s="15">
        <v>0.68</v>
      </c>
      <c r="I40" s="681">
        <v>0</v>
      </c>
      <c r="J40" s="15">
        <f t="shared" si="1"/>
        <v>17.538</v>
      </c>
      <c r="K40" s="15">
        <f t="shared" si="2"/>
        <v>0.63990000000000014</v>
      </c>
      <c r="L40" s="15">
        <f t="shared" si="3"/>
        <v>0</v>
      </c>
      <c r="M40" s="15">
        <f t="shared" si="4"/>
        <v>4.0029300000000001</v>
      </c>
      <c r="N40" s="15">
        <f t="shared" si="5"/>
        <v>0.16116000000000003</v>
      </c>
      <c r="O40" s="15">
        <f t="shared" si="6"/>
        <v>0</v>
      </c>
    </row>
    <row r="41" spans="1:15" x14ac:dyDescent="0.25">
      <c r="A41" s="113" t="s">
        <v>170</v>
      </c>
      <c r="B41" s="15">
        <f>'11. Diet'!K33</f>
        <v>154.08823529411765</v>
      </c>
      <c r="C41" s="15">
        <f>'11. Diet'!I33*B41</f>
        <v>20.694050000000001</v>
      </c>
      <c r="D41" s="15">
        <v>76.349999999999994</v>
      </c>
      <c r="E41" s="15">
        <v>2.9279999999999999</v>
      </c>
      <c r="F41" s="15">
        <v>0.23</v>
      </c>
      <c r="G41" s="15">
        <v>16.547999999999998</v>
      </c>
      <c r="H41" s="15">
        <v>1.774</v>
      </c>
      <c r="I41" s="681">
        <v>0</v>
      </c>
      <c r="J41" s="15">
        <f t="shared" si="1"/>
        <v>15.799907175</v>
      </c>
      <c r="K41" s="15">
        <f t="shared" si="2"/>
        <v>0.60592178400000007</v>
      </c>
      <c r="L41" s="15">
        <f t="shared" si="3"/>
        <v>4.7596315E-2</v>
      </c>
      <c r="M41" s="15">
        <f t="shared" si="4"/>
        <v>3.4244513940000001</v>
      </c>
      <c r="N41" s="15">
        <f t="shared" si="5"/>
        <v>0.36711244700000001</v>
      </c>
      <c r="O41" s="15">
        <f t="shared" si="6"/>
        <v>0</v>
      </c>
    </row>
    <row r="42" spans="1:15" x14ac:dyDescent="0.25">
      <c r="A42" s="113" t="s">
        <v>87</v>
      </c>
      <c r="B42" s="15">
        <f>'11. Diet'!K34</f>
        <v>175</v>
      </c>
      <c r="C42" s="15">
        <f>'11. Diet'!I34*B42</f>
        <v>4.375</v>
      </c>
      <c r="D42" s="15">
        <v>333</v>
      </c>
      <c r="E42" s="15">
        <v>24.44</v>
      </c>
      <c r="F42" s="15">
        <v>0</v>
      </c>
      <c r="G42" s="15">
        <v>57.78</v>
      </c>
      <c r="H42" s="15">
        <v>2.2200000000000002</v>
      </c>
      <c r="I42" s="681">
        <v>0</v>
      </c>
      <c r="J42" s="15">
        <f t="shared" si="1"/>
        <v>14.56875</v>
      </c>
      <c r="K42" s="15">
        <f t="shared" si="2"/>
        <v>1.06925</v>
      </c>
      <c r="L42" s="15">
        <f t="shared" si="3"/>
        <v>0</v>
      </c>
      <c r="M42" s="15">
        <f t="shared" si="4"/>
        <v>2.5278749999999999</v>
      </c>
      <c r="N42" s="15">
        <f t="shared" si="5"/>
        <v>9.7125000000000003E-2</v>
      </c>
      <c r="O42" s="15">
        <f t="shared" si="6"/>
        <v>0</v>
      </c>
    </row>
    <row r="43" spans="1:15" x14ac:dyDescent="0.25">
      <c r="A43" s="110" t="s">
        <v>175</v>
      </c>
      <c r="B43" s="15">
        <f>'11. Diet'!K35</f>
        <v>110</v>
      </c>
      <c r="C43" s="15">
        <f>'11. Diet'!I35*B43</f>
        <v>0.86900000000000011</v>
      </c>
      <c r="D43" s="15">
        <v>29</v>
      </c>
      <c r="E43" s="15">
        <v>2.35</v>
      </c>
      <c r="F43" s="15">
        <v>0</v>
      </c>
      <c r="G43" s="15">
        <v>7.06</v>
      </c>
      <c r="H43" s="15">
        <v>3.53</v>
      </c>
      <c r="I43" s="681">
        <v>0</v>
      </c>
      <c r="J43" s="15">
        <f t="shared" si="1"/>
        <v>0.25201000000000001</v>
      </c>
      <c r="K43" s="15">
        <f t="shared" si="2"/>
        <v>2.0421500000000002E-2</v>
      </c>
      <c r="L43" s="15">
        <f t="shared" si="3"/>
        <v>0</v>
      </c>
      <c r="M43" s="15">
        <f t="shared" si="4"/>
        <v>6.1351400000000007E-2</v>
      </c>
      <c r="N43" s="15">
        <f t="shared" si="5"/>
        <v>3.0675700000000004E-2</v>
      </c>
      <c r="O43" s="15">
        <f t="shared" si="6"/>
        <v>0</v>
      </c>
    </row>
    <row r="44" spans="1:15" x14ac:dyDescent="0.25">
      <c r="A44" s="111" t="s">
        <v>178</v>
      </c>
      <c r="B44" s="15">
        <f>'11. Diet'!K36</f>
        <v>90</v>
      </c>
      <c r="C44" s="15">
        <f>'11. Diet'!I36*B44</f>
        <v>3.0573000000000001</v>
      </c>
      <c r="D44" s="15">
        <v>25</v>
      </c>
      <c r="E44" s="15">
        <v>1.28</v>
      </c>
      <c r="F44" s="15">
        <v>0.1</v>
      </c>
      <c r="G44" s="15">
        <v>5.8</v>
      </c>
      <c r="H44" s="15">
        <v>3.2</v>
      </c>
      <c r="I44" s="681"/>
      <c r="J44" s="15">
        <f t="shared" si="1"/>
        <v>0.76432500000000003</v>
      </c>
      <c r="K44" s="15">
        <f t="shared" si="2"/>
        <v>3.9133440000000005E-2</v>
      </c>
      <c r="L44" s="15">
        <f t="shared" si="3"/>
        <v>3.0573000000000002E-3</v>
      </c>
      <c r="M44" s="15">
        <f t="shared" si="4"/>
        <v>0.17732339999999999</v>
      </c>
      <c r="N44" s="15">
        <f t="shared" si="5"/>
        <v>9.7833600000000007E-2</v>
      </c>
      <c r="O44" s="15">
        <f t="shared" si="6"/>
        <v>0</v>
      </c>
    </row>
    <row r="45" spans="1:15" x14ac:dyDescent="0.25">
      <c r="A45" s="111" t="s">
        <v>181</v>
      </c>
      <c r="B45" s="15">
        <f>'11. Diet'!K37</f>
        <v>120</v>
      </c>
      <c r="C45" s="15">
        <f>'11. Diet'!I37*B45</f>
        <v>3.2232000000000003</v>
      </c>
      <c r="D45" s="15">
        <v>10</v>
      </c>
      <c r="E45" s="15">
        <v>1.01</v>
      </c>
      <c r="F45" s="15">
        <v>0</v>
      </c>
      <c r="G45" s="15">
        <v>2.02</v>
      </c>
      <c r="H45" s="15">
        <v>1.01</v>
      </c>
      <c r="I45" s="681">
        <v>0</v>
      </c>
      <c r="J45" s="15">
        <f t="shared" si="1"/>
        <v>0.32232000000000005</v>
      </c>
      <c r="K45" s="15">
        <f t="shared" si="2"/>
        <v>3.2554320000000005E-2</v>
      </c>
      <c r="L45" s="15">
        <f t="shared" si="3"/>
        <v>0</v>
      </c>
      <c r="M45" s="15">
        <f t="shared" si="4"/>
        <v>6.5108640000000009E-2</v>
      </c>
      <c r="N45" s="15">
        <f t="shared" si="5"/>
        <v>3.2554320000000005E-2</v>
      </c>
      <c r="O45" s="15">
        <f t="shared" si="6"/>
        <v>0</v>
      </c>
    </row>
    <row r="46" spans="1:15" x14ac:dyDescent="0.25">
      <c r="A46" s="111" t="s">
        <v>184</v>
      </c>
      <c r="B46" s="15">
        <f>'11. Diet'!K38</f>
        <v>70</v>
      </c>
      <c r="C46" s="15">
        <f>'11. Diet'!I38*B46</f>
        <v>5.2535000000000007</v>
      </c>
      <c r="D46" s="15">
        <v>12</v>
      </c>
      <c r="E46" s="15">
        <v>1.18</v>
      </c>
      <c r="F46" s="15">
        <v>0</v>
      </c>
      <c r="G46" s="15">
        <v>2.35</v>
      </c>
      <c r="H46" s="15">
        <v>1.18</v>
      </c>
      <c r="I46" s="681">
        <v>0</v>
      </c>
      <c r="J46" s="15">
        <f t="shared" si="1"/>
        <v>0.63042000000000009</v>
      </c>
      <c r="K46" s="15">
        <f t="shared" si="2"/>
        <v>6.1991300000000006E-2</v>
      </c>
      <c r="L46" s="15">
        <f t="shared" si="3"/>
        <v>0</v>
      </c>
      <c r="M46" s="15">
        <f t="shared" si="4"/>
        <v>0.12345725000000002</v>
      </c>
      <c r="N46" s="15">
        <f t="shared" si="5"/>
        <v>6.1991300000000006E-2</v>
      </c>
      <c r="O46" s="15">
        <f t="shared" si="6"/>
        <v>0</v>
      </c>
    </row>
    <row r="47" spans="1:15" x14ac:dyDescent="0.25">
      <c r="A47" s="111" t="s">
        <v>187</v>
      </c>
      <c r="B47" s="15">
        <f>'11. Diet'!K39</f>
        <v>160</v>
      </c>
      <c r="C47" s="15">
        <f>'11. Diet'!I39*B47</f>
        <v>10.112000000000002</v>
      </c>
      <c r="D47" s="15">
        <v>41</v>
      </c>
      <c r="E47" s="15">
        <v>1.18</v>
      </c>
      <c r="F47" s="15">
        <v>0</v>
      </c>
      <c r="G47" s="15">
        <v>9.41</v>
      </c>
      <c r="H47" s="15">
        <v>1.2</v>
      </c>
      <c r="I47" s="681">
        <v>0</v>
      </c>
      <c r="J47" s="15">
        <f t="shared" si="1"/>
        <v>4.1459200000000003</v>
      </c>
      <c r="K47" s="15">
        <f t="shared" si="2"/>
        <v>0.11932160000000001</v>
      </c>
      <c r="L47" s="15">
        <f t="shared" si="3"/>
        <v>0</v>
      </c>
      <c r="M47" s="15">
        <f t="shared" si="4"/>
        <v>0.95153920000000025</v>
      </c>
      <c r="N47" s="15">
        <f t="shared" si="5"/>
        <v>0.12134400000000002</v>
      </c>
      <c r="O47" s="15">
        <f t="shared" si="6"/>
        <v>0</v>
      </c>
    </row>
    <row r="48" spans="1:15" x14ac:dyDescent="0.25">
      <c r="A48" s="111" t="s">
        <v>190</v>
      </c>
      <c r="B48" s="15">
        <f>'11. Diet'!K40</f>
        <v>115</v>
      </c>
      <c r="C48" s="15">
        <f>'11. Diet'!I40*B48</f>
        <v>2.4529500000000004</v>
      </c>
      <c r="D48" s="15">
        <v>53</v>
      </c>
      <c r="E48" s="15">
        <v>1.18</v>
      </c>
      <c r="F48" s="15">
        <v>0</v>
      </c>
      <c r="G48" s="15">
        <v>11.76</v>
      </c>
      <c r="H48" s="15">
        <v>2.35</v>
      </c>
      <c r="I48" s="681">
        <v>0</v>
      </c>
      <c r="J48" s="15">
        <f t="shared" si="1"/>
        <v>1.3000635000000003</v>
      </c>
      <c r="K48" s="15">
        <f t="shared" si="2"/>
        <v>2.8944810000000005E-2</v>
      </c>
      <c r="L48" s="15">
        <f t="shared" si="3"/>
        <v>0</v>
      </c>
      <c r="M48" s="15">
        <f t="shared" si="4"/>
        <v>0.28846692000000002</v>
      </c>
      <c r="N48" s="15">
        <f t="shared" si="5"/>
        <v>5.764432500000001E-2</v>
      </c>
      <c r="O48" s="15">
        <f t="shared" si="6"/>
        <v>0</v>
      </c>
    </row>
    <row r="49" spans="1:15" x14ac:dyDescent="0.25">
      <c r="A49" s="113" t="s">
        <v>191</v>
      </c>
      <c r="B49" s="15">
        <f>'11. Diet'!K41</f>
        <v>147.5</v>
      </c>
      <c r="C49" s="15">
        <f>'11. Diet'!I41*B49</f>
        <v>3.1461750000000004</v>
      </c>
      <c r="D49" s="15">
        <v>367</v>
      </c>
      <c r="E49" s="15">
        <v>10</v>
      </c>
      <c r="F49" s="15">
        <v>0</v>
      </c>
      <c r="G49" s="15">
        <v>76.67</v>
      </c>
      <c r="H49" s="15">
        <v>0</v>
      </c>
      <c r="I49" s="681">
        <v>0</v>
      </c>
      <c r="J49" s="15">
        <f t="shared" si="1"/>
        <v>11.546462250000001</v>
      </c>
      <c r="K49" s="15">
        <f t="shared" si="2"/>
        <v>0.31461750000000005</v>
      </c>
      <c r="L49" s="15">
        <f t="shared" si="3"/>
        <v>0</v>
      </c>
      <c r="M49" s="15">
        <f t="shared" si="4"/>
        <v>2.4121723725000006</v>
      </c>
      <c r="N49" s="15">
        <f t="shared" si="5"/>
        <v>0</v>
      </c>
      <c r="O49" s="15">
        <f t="shared" si="6"/>
        <v>0</v>
      </c>
    </row>
    <row r="50" spans="1:15" x14ac:dyDescent="0.25">
      <c r="A50" s="114" t="s">
        <v>194</v>
      </c>
      <c r="B50" s="15">
        <f>'11. Diet'!K42</f>
        <v>28.35</v>
      </c>
      <c r="C50" s="15">
        <f>'11. Diet'!I42*B50</f>
        <v>72.938879999999997</v>
      </c>
      <c r="D50" s="15">
        <v>340</v>
      </c>
      <c r="E50" s="15">
        <v>13.21</v>
      </c>
      <c r="F50" s="15">
        <v>2.5</v>
      </c>
      <c r="G50" s="15">
        <v>71.97</v>
      </c>
      <c r="H50" s="15">
        <v>0.41</v>
      </c>
      <c r="I50" s="681"/>
      <c r="J50" s="15">
        <f t="shared" si="1"/>
        <v>247.99219199999999</v>
      </c>
      <c r="K50" s="15">
        <f t="shared" si="2"/>
        <v>9.6352260479999998</v>
      </c>
      <c r="L50" s="15">
        <f t="shared" si="3"/>
        <v>1.823472</v>
      </c>
      <c r="M50" s="15">
        <f t="shared" si="4"/>
        <v>52.494111935999996</v>
      </c>
      <c r="N50" s="15">
        <f t="shared" si="5"/>
        <v>0.29904940799999996</v>
      </c>
      <c r="O50" s="15">
        <f t="shared" si="6"/>
        <v>0</v>
      </c>
    </row>
    <row r="51" spans="1:15" x14ac:dyDescent="0.25">
      <c r="A51" s="115" t="s">
        <v>196</v>
      </c>
      <c r="B51" s="15">
        <f>'11. Diet'!K43</f>
        <v>28.35</v>
      </c>
      <c r="C51" s="15">
        <f>'11. Diet'!I43*B51</f>
        <v>21.577752</v>
      </c>
      <c r="D51" s="15">
        <v>371</v>
      </c>
      <c r="E51" s="15">
        <v>8.57</v>
      </c>
      <c r="F51" s="15">
        <v>1.43</v>
      </c>
      <c r="G51" s="15">
        <v>77.14</v>
      </c>
      <c r="H51" s="15">
        <v>1.43</v>
      </c>
      <c r="I51" s="681"/>
      <c r="J51" s="15">
        <f t="shared" si="1"/>
        <v>80.053459919999995</v>
      </c>
      <c r="K51" s="15">
        <f t="shared" si="2"/>
        <v>1.8492133464</v>
      </c>
      <c r="L51" s="15">
        <f t="shared" si="3"/>
        <v>0.30856185359999999</v>
      </c>
      <c r="M51" s="15">
        <f t="shared" si="4"/>
        <v>16.6450778928</v>
      </c>
      <c r="N51" s="15">
        <f t="shared" si="5"/>
        <v>0.30856185359999999</v>
      </c>
      <c r="O51" s="15">
        <f t="shared" si="6"/>
        <v>0</v>
      </c>
    </row>
    <row r="52" spans="1:15" x14ac:dyDescent="0.25">
      <c r="A52" s="116" t="s">
        <v>199</v>
      </c>
      <c r="B52" s="15">
        <f>'11. Diet'!K44</f>
        <v>1</v>
      </c>
      <c r="C52" s="15">
        <f>'11. Diet'!I44*B52</f>
        <v>25.568400000000004</v>
      </c>
      <c r="D52" s="15">
        <v>857</v>
      </c>
      <c r="E52" s="15">
        <v>0</v>
      </c>
      <c r="F52" s="15">
        <v>100</v>
      </c>
      <c r="G52" s="15">
        <v>0</v>
      </c>
      <c r="H52" s="15"/>
      <c r="I52" s="681">
        <v>0</v>
      </c>
      <c r="J52" s="15">
        <f t="shared" si="1"/>
        <v>219.12118800000005</v>
      </c>
      <c r="K52" s="15">
        <f t="shared" si="2"/>
        <v>0</v>
      </c>
      <c r="L52" s="15">
        <f t="shared" si="3"/>
        <v>25.568400000000004</v>
      </c>
      <c r="M52" s="15">
        <f t="shared" si="4"/>
        <v>0</v>
      </c>
      <c r="N52" s="15">
        <f t="shared" si="5"/>
        <v>0</v>
      </c>
      <c r="O52" s="15">
        <f t="shared" si="6"/>
        <v>0</v>
      </c>
    </row>
    <row r="53" spans="1:15" x14ac:dyDescent="0.25">
      <c r="A53" s="117" t="s">
        <v>201</v>
      </c>
      <c r="B53" s="15">
        <f>'11. Diet'!K45</f>
        <v>1</v>
      </c>
      <c r="C53" s="15">
        <f>'11. Diet'!I45*B53</f>
        <v>6.392100000000001</v>
      </c>
      <c r="D53" s="15">
        <v>857</v>
      </c>
      <c r="E53" s="15">
        <v>0</v>
      </c>
      <c r="F53" s="15">
        <v>100</v>
      </c>
      <c r="G53" s="15">
        <v>0</v>
      </c>
      <c r="H53" s="15">
        <v>0</v>
      </c>
      <c r="I53" s="681">
        <v>7.14</v>
      </c>
      <c r="J53" s="15">
        <f t="shared" si="1"/>
        <v>54.780297000000012</v>
      </c>
      <c r="K53" s="15">
        <f t="shared" si="2"/>
        <v>0</v>
      </c>
      <c r="L53" s="15">
        <f t="shared" si="3"/>
        <v>6.392100000000001</v>
      </c>
      <c r="M53" s="15">
        <f t="shared" si="4"/>
        <v>0</v>
      </c>
      <c r="N53" s="15">
        <f t="shared" si="5"/>
        <v>0</v>
      </c>
      <c r="O53" s="15">
        <f t="shared" si="6"/>
        <v>0.45639594</v>
      </c>
    </row>
    <row r="54" spans="1:15" x14ac:dyDescent="0.25">
      <c r="A54" s="118" t="s">
        <v>204</v>
      </c>
      <c r="B54" s="15">
        <f>'11. Diet'!K46</f>
        <v>6.83</v>
      </c>
      <c r="C54" s="15">
        <f>'11. Diet'!I46*B54</f>
        <v>67.070599999999999</v>
      </c>
      <c r="D54" s="15">
        <v>333</v>
      </c>
      <c r="E54" s="15">
        <v>0</v>
      </c>
      <c r="F54" s="15">
        <v>0</v>
      </c>
      <c r="G54" s="15">
        <v>88.33</v>
      </c>
      <c r="H54" s="15">
        <v>43.33</v>
      </c>
      <c r="I54" s="681"/>
      <c r="J54" s="15">
        <f t="shared" si="1"/>
        <v>223.34509800000001</v>
      </c>
      <c r="K54" s="15">
        <f t="shared" si="2"/>
        <v>0</v>
      </c>
      <c r="L54" s="15">
        <f t="shared" si="3"/>
        <v>0</v>
      </c>
      <c r="M54" s="15">
        <f t="shared" si="4"/>
        <v>59.243460979999995</v>
      </c>
      <c r="N54" s="15">
        <f t="shared" si="5"/>
        <v>29.061690979999998</v>
      </c>
      <c r="O54" s="15">
        <f t="shared" si="6"/>
        <v>0</v>
      </c>
    </row>
    <row r="55" spans="1:15" x14ac:dyDescent="0.25">
      <c r="A55" s="119" t="s">
        <v>205</v>
      </c>
      <c r="B55" s="15">
        <f>'11. Diet'!K47</f>
        <v>4.2056074766355138</v>
      </c>
      <c r="C55" s="15">
        <f>'11. Diet'!I47*B55</f>
        <v>6.1115887850467283</v>
      </c>
      <c r="D55" s="15">
        <v>375</v>
      </c>
      <c r="E55" s="15">
        <v>0</v>
      </c>
      <c r="F55" s="15">
        <v>0</v>
      </c>
      <c r="G55" s="15">
        <v>100</v>
      </c>
      <c r="H55" s="15">
        <v>100</v>
      </c>
      <c r="I55" s="681">
        <v>0</v>
      </c>
      <c r="J55" s="15">
        <f t="shared" si="1"/>
        <v>22.91845794392523</v>
      </c>
      <c r="K55" s="15">
        <f t="shared" si="2"/>
        <v>0</v>
      </c>
      <c r="L55" s="15">
        <f t="shared" si="3"/>
        <v>0</v>
      </c>
      <c r="M55" s="15">
        <f t="shared" si="4"/>
        <v>6.1115887850467283</v>
      </c>
      <c r="N55" s="15">
        <f t="shared" si="5"/>
        <v>6.1115887850467283</v>
      </c>
      <c r="O55" s="15">
        <f t="shared" si="6"/>
        <v>0</v>
      </c>
    </row>
    <row r="57" spans="1:15" x14ac:dyDescent="0.25">
      <c r="A57" s="1172" t="s">
        <v>307</v>
      </c>
      <c r="B57" s="1172"/>
      <c r="C57" s="1172"/>
      <c r="D57" s="1172"/>
      <c r="E57" s="1172"/>
      <c r="F57" s="1172"/>
      <c r="G57" s="1172"/>
      <c r="H57" s="1172"/>
      <c r="I57" s="1172"/>
    </row>
    <row r="58" spans="1:15" ht="33" customHeight="1" x14ac:dyDescent="0.25">
      <c r="A58" s="3" t="s">
        <v>825</v>
      </c>
      <c r="B58" s="1183" t="s">
        <v>826</v>
      </c>
      <c r="C58" s="1183"/>
      <c r="D58" s="1183"/>
      <c r="E58" s="1183"/>
      <c r="F58" s="1183"/>
      <c r="G58" s="1183"/>
      <c r="H58" s="1183"/>
      <c r="I58" s="1183"/>
    </row>
    <row r="59" spans="1:15" ht="60.6" customHeight="1" x14ac:dyDescent="0.25">
      <c r="A59" s="3" t="s">
        <v>827</v>
      </c>
      <c r="B59" s="1184" t="s">
        <v>828</v>
      </c>
      <c r="C59" s="1184"/>
      <c r="D59" s="1184"/>
      <c r="E59" s="1184"/>
      <c r="F59" s="1184"/>
      <c r="G59" s="1184"/>
      <c r="H59" s="1184"/>
      <c r="I59" s="1184"/>
    </row>
    <row r="60" spans="1:15" ht="58.9" customHeight="1" x14ac:dyDescent="0.25">
      <c r="A60" s="1064" t="s">
        <v>829</v>
      </c>
      <c r="B60" s="1096" t="s">
        <v>830</v>
      </c>
      <c r="C60" s="1096"/>
      <c r="D60" s="1096"/>
      <c r="E60" s="1096"/>
      <c r="F60" s="1096"/>
      <c r="G60" s="1096"/>
      <c r="H60" s="1096"/>
      <c r="I60" s="1096"/>
    </row>
    <row r="61" spans="1:15" ht="47.25" customHeight="1" x14ac:dyDescent="0.25">
      <c r="A61" s="1064" t="s">
        <v>831</v>
      </c>
      <c r="B61" s="1096" t="s">
        <v>832</v>
      </c>
      <c r="C61" s="1096"/>
      <c r="D61" s="1096"/>
      <c r="E61" s="1096"/>
      <c r="F61" s="1096"/>
      <c r="G61" s="1096"/>
      <c r="H61" s="1096"/>
      <c r="I61" s="1096"/>
    </row>
    <row r="62" spans="1:15" x14ac:dyDescent="0.25">
      <c r="A62" s="1185"/>
      <c r="B62" s="1185"/>
      <c r="C62" s="1185"/>
      <c r="D62" s="1185"/>
      <c r="E62" s="1185"/>
      <c r="F62" s="1185"/>
      <c r="G62" s="1185"/>
      <c r="H62" s="1185"/>
      <c r="I62" s="1185"/>
    </row>
    <row r="63" spans="1:15" x14ac:dyDescent="0.25">
      <c r="A63" s="1127" t="s">
        <v>206</v>
      </c>
      <c r="B63" s="1127"/>
      <c r="C63" s="1127"/>
      <c r="D63" s="1127"/>
      <c r="E63" s="1127"/>
      <c r="F63" s="1127"/>
      <c r="G63" s="1127"/>
      <c r="H63" s="1127"/>
      <c r="I63" s="1127"/>
    </row>
    <row r="64" spans="1:15" x14ac:dyDescent="0.25">
      <c r="A64" s="1100" t="s">
        <v>833</v>
      </c>
      <c r="B64" s="1100"/>
      <c r="C64" s="1100"/>
      <c r="D64" s="1100"/>
      <c r="E64" s="1100"/>
      <c r="F64" s="1100"/>
      <c r="G64" s="1100"/>
      <c r="H64" s="1100"/>
      <c r="I64" s="1100"/>
    </row>
    <row r="65" spans="1:9" x14ac:dyDescent="0.25">
      <c r="A65" s="885" t="s">
        <v>834</v>
      </c>
      <c r="B65" s="1179" t="s">
        <v>835</v>
      </c>
      <c r="C65" s="1179"/>
      <c r="D65" s="1179"/>
      <c r="E65" s="1179"/>
      <c r="F65" s="1179"/>
      <c r="G65" s="1179"/>
      <c r="H65" s="1179"/>
      <c r="I65" s="1179"/>
    </row>
    <row r="67" spans="1:9" x14ac:dyDescent="0.25">
      <c r="A67" s="1127" t="s">
        <v>314</v>
      </c>
      <c r="B67" s="1127"/>
      <c r="C67" s="1127"/>
      <c r="D67" s="1127"/>
      <c r="E67" s="1127"/>
      <c r="F67" s="1127"/>
      <c r="G67" s="1127"/>
      <c r="H67" s="1127"/>
      <c r="I67" s="1127"/>
    </row>
    <row r="68" spans="1:9" ht="28.9" customHeight="1" x14ac:dyDescent="0.25">
      <c r="A68" s="1006" t="s">
        <v>836</v>
      </c>
      <c r="B68" s="1177" t="s">
        <v>837</v>
      </c>
      <c r="C68" s="1177"/>
      <c r="D68" s="1177"/>
      <c r="E68" s="1177"/>
      <c r="F68" s="1177"/>
      <c r="G68" s="1177"/>
      <c r="H68" s="1177"/>
      <c r="I68" s="1177"/>
    </row>
  </sheetData>
  <mergeCells count="15">
    <mergeCell ref="B68:I68"/>
    <mergeCell ref="A67:I67"/>
    <mergeCell ref="A1:C1"/>
    <mergeCell ref="A8:O8"/>
    <mergeCell ref="B61:I61"/>
    <mergeCell ref="B65:I65"/>
    <mergeCell ref="D9:I9"/>
    <mergeCell ref="J9:O9"/>
    <mergeCell ref="A57:I57"/>
    <mergeCell ref="A63:I63"/>
    <mergeCell ref="A64:I64"/>
    <mergeCell ref="B60:I60"/>
    <mergeCell ref="B58:I58"/>
    <mergeCell ref="B59:I59"/>
    <mergeCell ref="A62:I6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68219-1E4A-486F-9E94-8EAC27BCB886}">
  <sheetPr>
    <tabColor theme="2" tint="-9.9978637043366805E-2"/>
  </sheetPr>
  <dimension ref="A1:M133"/>
  <sheetViews>
    <sheetView zoomScaleNormal="100" workbookViewId="0">
      <selection activeCell="I26" sqref="I26"/>
    </sheetView>
  </sheetViews>
  <sheetFormatPr defaultColWidth="8.85546875" defaultRowHeight="15" x14ac:dyDescent="0.25"/>
  <cols>
    <col min="1" max="1" width="30.28515625" customWidth="1"/>
    <col min="2" max="2" width="20" bestFit="1" customWidth="1"/>
    <col min="3" max="3" width="11.28515625" customWidth="1"/>
    <col min="4" max="4" width="19.5703125" customWidth="1"/>
    <col min="5" max="5" width="11.5703125" customWidth="1"/>
    <col min="6" max="6" width="11.85546875" customWidth="1"/>
    <col min="7" max="7" width="14.7109375" bestFit="1" customWidth="1"/>
    <col min="8" max="8" width="17.85546875" customWidth="1"/>
    <col min="9" max="9" width="12.140625" bestFit="1" customWidth="1"/>
    <col min="10" max="10" width="14.7109375" bestFit="1" customWidth="1"/>
    <col min="11" max="11" width="18.140625" customWidth="1"/>
    <col min="12" max="12" width="24.7109375" customWidth="1"/>
    <col min="13" max="13" width="27.7109375" customWidth="1"/>
  </cols>
  <sheetData>
    <row r="1" spans="1:13" ht="14.45" customHeight="1" x14ac:dyDescent="0.25">
      <c r="A1" s="1187" t="s">
        <v>838</v>
      </c>
      <c r="B1" s="1187"/>
      <c r="C1" s="1187"/>
      <c r="D1" s="1187"/>
      <c r="E1" s="1187"/>
      <c r="F1" s="1187"/>
      <c r="G1" s="1187"/>
      <c r="H1" s="1187"/>
      <c r="I1" s="1187"/>
      <c r="J1" s="1187"/>
      <c r="K1" s="1187"/>
      <c r="L1" s="1153"/>
      <c r="M1" s="1153"/>
    </row>
    <row r="2" spans="1:13" ht="28.9" customHeight="1" x14ac:dyDescent="0.25">
      <c r="A2" s="173" t="s">
        <v>814</v>
      </c>
      <c r="B2" s="173" t="s">
        <v>839</v>
      </c>
      <c r="C2" s="178" t="s">
        <v>840</v>
      </c>
      <c r="D2" s="178" t="s">
        <v>841</v>
      </c>
      <c r="E2" s="178" t="s">
        <v>842</v>
      </c>
      <c r="F2" s="178" t="s">
        <v>843</v>
      </c>
      <c r="G2" s="380" t="s">
        <v>844</v>
      </c>
      <c r="H2" s="401" t="s">
        <v>845</v>
      </c>
      <c r="I2" s="178" t="s">
        <v>846</v>
      </c>
      <c r="J2" s="178" t="s">
        <v>847</v>
      </c>
      <c r="K2" s="524" t="s">
        <v>848</v>
      </c>
      <c r="L2" s="165"/>
      <c r="M2" s="385"/>
    </row>
    <row r="3" spans="1:13" x14ac:dyDescent="0.25">
      <c r="A3" s="405" t="s">
        <v>72</v>
      </c>
      <c r="B3" s="526" t="s">
        <v>849</v>
      </c>
      <c r="C3" s="129">
        <v>82.6</v>
      </c>
      <c r="D3" s="129">
        <v>9.9699999999999997E-3</v>
      </c>
      <c r="E3" s="129">
        <f>C3/D3</f>
        <v>8284.8545636910731</v>
      </c>
      <c r="F3" s="129">
        <f>E3*B$125</f>
        <v>0.92873219658976924</v>
      </c>
      <c r="G3" s="129">
        <f>E3*B$126</f>
        <v>9287.3219658976923</v>
      </c>
      <c r="H3" s="130">
        <v>1</v>
      </c>
      <c r="I3" s="129">
        <f>F3*H3</f>
        <v>0.92873219658976924</v>
      </c>
      <c r="J3" s="129">
        <f>G3*H3</f>
        <v>9287.3219658976923</v>
      </c>
      <c r="K3" s="15">
        <f>J3</f>
        <v>9287.3219658976923</v>
      </c>
      <c r="M3" s="7"/>
    </row>
    <row r="4" spans="1:13" x14ac:dyDescent="0.25">
      <c r="A4" s="404" t="s">
        <v>72</v>
      </c>
      <c r="B4" s="403" t="s">
        <v>850</v>
      </c>
      <c r="C4" s="129">
        <v>47.9</v>
      </c>
      <c r="D4" s="133">
        <v>1.9630000000000002E-2</v>
      </c>
      <c r="E4" s="129">
        <f t="shared" ref="E4:E61" si="0">C4/D4</f>
        <v>2440.1426388181353</v>
      </c>
      <c r="F4" s="129">
        <f>(E4*B$125)/B$127</f>
        <v>0.21709523000913727</v>
      </c>
      <c r="G4" s="129">
        <f>(E4*B$126)/B$127</f>
        <v>2170.9523000913728</v>
      </c>
      <c r="H4" s="130">
        <v>1</v>
      </c>
      <c r="I4" s="129">
        <f>F4*H4</f>
        <v>0.21709523000913727</v>
      </c>
      <c r="J4" s="129">
        <f>G4*H4</f>
        <v>2170.9523000913728</v>
      </c>
      <c r="K4" s="15">
        <f t="shared" ref="K4:K67" si="1">J4</f>
        <v>2170.9523000913728</v>
      </c>
    </row>
    <row r="5" spans="1:13" ht="30" x14ac:dyDescent="0.25">
      <c r="A5" s="284" t="s">
        <v>76</v>
      </c>
      <c r="B5" s="285" t="s">
        <v>851</v>
      </c>
      <c r="C5" s="129">
        <v>295.8</v>
      </c>
      <c r="D5" s="129">
        <v>7.6329999999999995E-2</v>
      </c>
      <c r="E5" s="129">
        <f t="shared" si="0"/>
        <v>3875.2783964365262</v>
      </c>
      <c r="F5" s="129">
        <f t="shared" ref="F5:F67" si="2">E5*B$125</f>
        <v>0.43441870824053458</v>
      </c>
      <c r="G5" s="129">
        <f t="shared" ref="G5:G67" si="3">E5*B$126</f>
        <v>4344.1870824053458</v>
      </c>
      <c r="H5" s="130">
        <v>1</v>
      </c>
      <c r="I5" s="133">
        <f>J5*H5*B$125</f>
        <v>0.90800999999999998</v>
      </c>
      <c r="J5" s="133">
        <f>8100*H5</f>
        <v>8100</v>
      </c>
      <c r="K5" s="618">
        <f t="shared" si="1"/>
        <v>8100</v>
      </c>
      <c r="M5" s="54"/>
    </row>
    <row r="6" spans="1:13" x14ac:dyDescent="0.25">
      <c r="A6" s="284" t="s">
        <v>76</v>
      </c>
      <c r="B6" s="286" t="s">
        <v>852</v>
      </c>
      <c r="C6" s="133">
        <v>401</v>
      </c>
      <c r="D6" s="133">
        <v>0.87480999999999998</v>
      </c>
      <c r="E6" s="133">
        <f t="shared" si="0"/>
        <v>458.3852493684343</v>
      </c>
      <c r="F6" s="133">
        <f t="shared" si="2"/>
        <v>5.1384986454201483E-2</v>
      </c>
      <c r="G6" s="133">
        <f t="shared" si="3"/>
        <v>513.84986454201487</v>
      </c>
      <c r="H6" s="242">
        <v>1</v>
      </c>
      <c r="I6" s="133">
        <f>J6*H6*B$125</f>
        <v>1.0649500000000001</v>
      </c>
      <c r="J6" s="133">
        <f>9500*H6</f>
        <v>9500</v>
      </c>
      <c r="K6" s="618">
        <f>J6</f>
        <v>9500</v>
      </c>
      <c r="M6" s="429"/>
    </row>
    <row r="7" spans="1:13" x14ac:dyDescent="0.25">
      <c r="A7" s="284" t="s">
        <v>76</v>
      </c>
      <c r="B7" s="286" t="s">
        <v>849</v>
      </c>
      <c r="C7" s="129">
        <v>119.3</v>
      </c>
      <c r="D7" s="129">
        <v>1.44E-2</v>
      </c>
      <c r="E7" s="129">
        <f t="shared" si="0"/>
        <v>8284.7222222222226</v>
      </c>
      <c r="F7" s="129">
        <f>E7*B$125</f>
        <v>0.92871736111111114</v>
      </c>
      <c r="G7" s="129">
        <f t="shared" si="3"/>
        <v>9287.1736111111113</v>
      </c>
      <c r="H7" s="130">
        <v>1</v>
      </c>
      <c r="I7" s="129">
        <f>F7*H7</f>
        <v>0.92871736111111114</v>
      </c>
      <c r="J7" s="129">
        <f t="shared" ref="J7:J31" si="4">G7*H7</f>
        <v>9287.1736111111113</v>
      </c>
      <c r="K7" s="15">
        <f t="shared" si="1"/>
        <v>9287.1736111111113</v>
      </c>
      <c r="M7" s="7"/>
    </row>
    <row r="8" spans="1:13" x14ac:dyDescent="0.25">
      <c r="A8" s="284" t="s">
        <v>76</v>
      </c>
      <c r="B8" s="286" t="s">
        <v>850</v>
      </c>
      <c r="C8" s="129">
        <v>9</v>
      </c>
      <c r="D8" s="129">
        <v>3.6800000000000001E-3</v>
      </c>
      <c r="E8" s="129">
        <f t="shared" si="0"/>
        <v>2445.6521739130435</v>
      </c>
      <c r="F8" s="129">
        <f>(E8*B$125)/B$127</f>
        <v>0.21758540372670809</v>
      </c>
      <c r="G8" s="129">
        <f>(E8*B$126)/B$127</f>
        <v>2175.8540372670809</v>
      </c>
      <c r="H8" s="130">
        <v>1</v>
      </c>
      <c r="I8" s="129">
        <f t="shared" ref="I8:I31" si="5">F8*H8</f>
        <v>0.21758540372670809</v>
      </c>
      <c r="J8" s="129">
        <f t="shared" si="4"/>
        <v>2175.8540372670809</v>
      </c>
      <c r="K8" s="15">
        <f t="shared" si="1"/>
        <v>2175.8540372670809</v>
      </c>
    </row>
    <row r="9" spans="1:13" x14ac:dyDescent="0.25">
      <c r="A9" s="284" t="s">
        <v>79</v>
      </c>
      <c r="B9" s="286" t="s">
        <v>849</v>
      </c>
      <c r="C9" s="129">
        <v>138.9</v>
      </c>
      <c r="D9" s="129">
        <v>1.6760000000000001E-2</v>
      </c>
      <c r="E9" s="129">
        <f t="shared" si="0"/>
        <v>8287.589498806683</v>
      </c>
      <c r="F9" s="129">
        <f t="shared" si="2"/>
        <v>0.9290387828162292</v>
      </c>
      <c r="G9" s="129">
        <f t="shared" si="3"/>
        <v>9290.387828162291</v>
      </c>
      <c r="H9" s="130">
        <v>1</v>
      </c>
      <c r="I9" s="129">
        <f t="shared" si="5"/>
        <v>0.9290387828162292</v>
      </c>
      <c r="J9" s="129">
        <f t="shared" si="4"/>
        <v>9290.387828162291</v>
      </c>
      <c r="K9" s="15">
        <f t="shared" si="1"/>
        <v>9290.387828162291</v>
      </c>
      <c r="M9" s="7"/>
    </row>
    <row r="10" spans="1:13" x14ac:dyDescent="0.25">
      <c r="A10" s="284" t="s">
        <v>79</v>
      </c>
      <c r="B10" s="286" t="s">
        <v>850</v>
      </c>
      <c r="C10" s="129">
        <v>41.2</v>
      </c>
      <c r="D10" s="129">
        <v>1.6889999999999999E-2</v>
      </c>
      <c r="E10" s="129">
        <f t="shared" si="0"/>
        <v>2439.3132030787451</v>
      </c>
      <c r="F10" s="129">
        <f>(E10*B$125)/B$127</f>
        <v>0.21702143655962486</v>
      </c>
      <c r="G10" s="129">
        <f>(E10*B$126)/B$127</f>
        <v>2170.2143655962486</v>
      </c>
      <c r="H10" s="130">
        <v>1</v>
      </c>
      <c r="I10" s="129">
        <f t="shared" si="5"/>
        <v>0.21702143655962486</v>
      </c>
      <c r="J10" s="129">
        <f t="shared" si="4"/>
        <v>2170.2143655962486</v>
      </c>
      <c r="K10" s="15">
        <f t="shared" si="1"/>
        <v>2170.2143655962486</v>
      </c>
    </row>
    <row r="11" spans="1:13" x14ac:dyDescent="0.25">
      <c r="A11" s="284" t="s">
        <v>83</v>
      </c>
      <c r="B11" s="283" t="s">
        <v>849</v>
      </c>
      <c r="C11" s="129">
        <v>72.269831300000007</v>
      </c>
      <c r="D11" s="129">
        <v>8.7200000000000003E-3</v>
      </c>
      <c r="E11" s="129">
        <f t="shared" si="0"/>
        <v>8287.8246903669733</v>
      </c>
      <c r="F11" s="129">
        <f t="shared" si="2"/>
        <v>0.92906514779013771</v>
      </c>
      <c r="G11" s="129">
        <f t="shared" si="3"/>
        <v>9290.6514779013778</v>
      </c>
      <c r="H11" s="130">
        <v>1</v>
      </c>
      <c r="I11" s="129">
        <f t="shared" si="5"/>
        <v>0.92906514779013771</v>
      </c>
      <c r="J11" s="129">
        <f t="shared" si="4"/>
        <v>9290.6514779013778</v>
      </c>
      <c r="K11" s="15">
        <f t="shared" si="1"/>
        <v>9290.6514779013778</v>
      </c>
      <c r="M11" s="7"/>
    </row>
    <row r="12" spans="1:13" x14ac:dyDescent="0.25">
      <c r="A12" s="284" t="s">
        <v>83</v>
      </c>
      <c r="B12" s="283" t="s">
        <v>850</v>
      </c>
      <c r="C12" s="129">
        <v>24.934481640000001</v>
      </c>
      <c r="D12" s="129">
        <v>1.022E-2</v>
      </c>
      <c r="E12" s="129">
        <f t="shared" si="0"/>
        <v>2439.7731545988258</v>
      </c>
      <c r="F12" s="129">
        <f>(E12*B$125)/B$127</f>
        <v>0.2170623576432765</v>
      </c>
      <c r="G12" s="129">
        <f>(E12*B$126)/B$127</f>
        <v>2170.6235764327648</v>
      </c>
      <c r="H12" s="130">
        <v>1</v>
      </c>
      <c r="I12" s="129">
        <f t="shared" si="5"/>
        <v>0.2170623576432765</v>
      </c>
      <c r="J12" s="129">
        <f t="shared" si="4"/>
        <v>2170.6235764327648</v>
      </c>
      <c r="K12" s="15">
        <f t="shared" si="1"/>
        <v>2170.6235764327648</v>
      </c>
    </row>
    <row r="13" spans="1:13" x14ac:dyDescent="0.25">
      <c r="A13" s="287" t="s">
        <v>533</v>
      </c>
      <c r="B13" s="283"/>
      <c r="C13" s="129">
        <v>13.9</v>
      </c>
      <c r="D13" s="129">
        <v>8.2699999999999996E-3</v>
      </c>
      <c r="E13" s="129">
        <f t="shared" si="0"/>
        <v>1680.7738814993954</v>
      </c>
      <c r="F13" s="129">
        <f t="shared" si="2"/>
        <v>0.18841475211608222</v>
      </c>
      <c r="G13" s="129">
        <f t="shared" si="3"/>
        <v>1884.1475211608222</v>
      </c>
      <c r="H13" s="130">
        <v>1</v>
      </c>
      <c r="I13" s="129">
        <f t="shared" si="5"/>
        <v>0.18841475211608222</v>
      </c>
      <c r="J13" s="129">
        <f t="shared" si="4"/>
        <v>1884.1475211608222</v>
      </c>
      <c r="K13" s="15">
        <f t="shared" si="1"/>
        <v>1884.1475211608222</v>
      </c>
    </row>
    <row r="14" spans="1:13" x14ac:dyDescent="0.25">
      <c r="A14" s="288" t="s">
        <v>91</v>
      </c>
      <c r="B14" s="289" t="s">
        <v>853</v>
      </c>
      <c r="C14" s="129">
        <v>76.400000000000006</v>
      </c>
      <c r="D14" s="129">
        <v>1.1400760120346238E-2</v>
      </c>
      <c r="E14" s="133">
        <f>C14/D14</f>
        <v>6701.3075613838773</v>
      </c>
      <c r="F14" s="133">
        <f t="shared" si="2"/>
        <v>0.7512165776311327</v>
      </c>
      <c r="G14" s="133">
        <f t="shared" si="3"/>
        <v>7512.1657763113262</v>
      </c>
      <c r="H14" s="242">
        <v>1</v>
      </c>
      <c r="I14" s="133">
        <f>J14*H14*B$125</f>
        <v>0.84211378352449973</v>
      </c>
      <c r="J14" s="133">
        <f>G14*H14</f>
        <v>7512.1657763113262</v>
      </c>
      <c r="K14" s="618">
        <f t="shared" si="1"/>
        <v>7512.1657763113262</v>
      </c>
      <c r="M14" s="54"/>
    </row>
    <row r="15" spans="1:13" ht="30" x14ac:dyDescent="0.25">
      <c r="A15" s="288" t="s">
        <v>91</v>
      </c>
      <c r="B15" s="289" t="s">
        <v>851</v>
      </c>
      <c r="C15" s="129">
        <v>96.4</v>
      </c>
      <c r="D15" s="129">
        <v>2.487471954779874E-2</v>
      </c>
      <c r="E15" s="133">
        <f t="shared" si="0"/>
        <v>3875.4205776977619</v>
      </c>
      <c r="F15" s="133">
        <f t="shared" si="2"/>
        <v>0.43443464675991911</v>
      </c>
      <c r="G15" s="133">
        <f t="shared" si="3"/>
        <v>4344.3464675991909</v>
      </c>
      <c r="H15" s="242">
        <v>1</v>
      </c>
      <c r="I15" s="133">
        <f>J15*H15*B$125</f>
        <v>0.48700123901786929</v>
      </c>
      <c r="J15" s="133">
        <f t="shared" si="4"/>
        <v>4344.3464675991909</v>
      </c>
      <c r="K15" s="618">
        <f t="shared" si="1"/>
        <v>4344.3464675991909</v>
      </c>
    </row>
    <row r="16" spans="1:13" x14ac:dyDescent="0.25">
      <c r="A16" s="288" t="s">
        <v>91</v>
      </c>
      <c r="B16" s="290" t="s">
        <v>854</v>
      </c>
      <c r="C16" s="129">
        <v>343.6</v>
      </c>
      <c r="D16" s="129">
        <v>1.0019999999999999E-2</v>
      </c>
      <c r="E16" s="133">
        <f t="shared" si="0"/>
        <v>34291.417165668667</v>
      </c>
      <c r="F16" s="133">
        <f t="shared" si="2"/>
        <v>3.8440678642714574</v>
      </c>
      <c r="G16" s="133">
        <f t="shared" si="3"/>
        <v>38440.678642714578</v>
      </c>
      <c r="H16" s="242">
        <v>1</v>
      </c>
      <c r="I16" s="133">
        <f t="shared" si="5"/>
        <v>3.8440678642714574</v>
      </c>
      <c r="J16" s="133">
        <f t="shared" si="4"/>
        <v>38440.678642714578</v>
      </c>
      <c r="K16" s="618">
        <f t="shared" si="1"/>
        <v>38440.678642714578</v>
      </c>
    </row>
    <row r="17" spans="1:13" x14ac:dyDescent="0.25">
      <c r="A17" s="288" t="s">
        <v>91</v>
      </c>
      <c r="B17" s="290" t="s">
        <v>849</v>
      </c>
      <c r="C17" s="129">
        <v>50.5</v>
      </c>
      <c r="D17" s="129">
        <v>6.1000000000000004E-3</v>
      </c>
      <c r="E17" s="133">
        <f t="shared" si="0"/>
        <v>8278.6885245901631</v>
      </c>
      <c r="F17" s="133">
        <f t="shared" si="2"/>
        <v>0.92804098360655729</v>
      </c>
      <c r="G17" s="133">
        <f t="shared" si="3"/>
        <v>9280.4098360655735</v>
      </c>
      <c r="H17" s="242">
        <v>1</v>
      </c>
      <c r="I17" s="133">
        <f t="shared" si="5"/>
        <v>0.92804098360655729</v>
      </c>
      <c r="J17" s="133">
        <f t="shared" si="4"/>
        <v>9280.4098360655735</v>
      </c>
      <c r="K17" s="618">
        <f t="shared" si="1"/>
        <v>9280.4098360655735</v>
      </c>
      <c r="M17" s="7"/>
    </row>
    <row r="18" spans="1:13" x14ac:dyDescent="0.25">
      <c r="A18" s="288" t="s">
        <v>91</v>
      </c>
      <c r="B18" s="291" t="s">
        <v>850</v>
      </c>
      <c r="C18" s="129">
        <v>34.299999999999997</v>
      </c>
      <c r="D18" s="129">
        <v>1.405E-2</v>
      </c>
      <c r="E18" s="133">
        <f t="shared" si="0"/>
        <v>2441.2811387900356</v>
      </c>
      <c r="F18" s="133">
        <f>(E18*B$125)/B$127</f>
        <v>0.21719652036378015</v>
      </c>
      <c r="G18" s="133">
        <f>(E18*B$126)/B$127</f>
        <v>2171.9652036378016</v>
      </c>
      <c r="H18" s="242">
        <v>1</v>
      </c>
      <c r="I18" s="133">
        <f t="shared" si="5"/>
        <v>0.21719652036378015</v>
      </c>
      <c r="J18" s="133">
        <f t="shared" si="4"/>
        <v>2171.9652036378016</v>
      </c>
      <c r="K18" s="618">
        <f t="shared" si="1"/>
        <v>2171.9652036378016</v>
      </c>
    </row>
    <row r="19" spans="1:13" x14ac:dyDescent="0.25">
      <c r="A19" s="288" t="s">
        <v>95</v>
      </c>
      <c r="B19" s="289" t="s">
        <v>853</v>
      </c>
      <c r="C19" s="129">
        <v>76.400000000000006</v>
      </c>
      <c r="D19" s="129">
        <v>1.1400760120346238E-2</v>
      </c>
      <c r="E19" s="129">
        <f t="shared" si="0"/>
        <v>6701.3075613838773</v>
      </c>
      <c r="F19" s="129">
        <f t="shared" si="2"/>
        <v>0.7512165776311327</v>
      </c>
      <c r="G19" s="129">
        <f t="shared" si="3"/>
        <v>7512.1657763113262</v>
      </c>
      <c r="H19" s="130">
        <v>1</v>
      </c>
      <c r="I19" s="133">
        <f>J19*H19*B$125</f>
        <v>0.99768999999999997</v>
      </c>
      <c r="J19" s="133">
        <v>8900</v>
      </c>
      <c r="K19" s="618">
        <f t="shared" si="1"/>
        <v>8900</v>
      </c>
      <c r="M19" s="54"/>
    </row>
    <row r="20" spans="1:13" ht="30" x14ac:dyDescent="0.25">
      <c r="A20" s="288" t="s">
        <v>95</v>
      </c>
      <c r="B20" s="289" t="s">
        <v>851</v>
      </c>
      <c r="C20" s="129">
        <v>96.4</v>
      </c>
      <c r="D20" s="129">
        <v>2.487471954779874E-2</v>
      </c>
      <c r="E20" s="129">
        <f t="shared" si="0"/>
        <v>3875.4205776977619</v>
      </c>
      <c r="F20" s="129">
        <f>E20*B$125</f>
        <v>0.43443464675991911</v>
      </c>
      <c r="G20" s="129">
        <f>E20*B$126</f>
        <v>4344.3464675991909</v>
      </c>
      <c r="H20" s="130">
        <v>1</v>
      </c>
      <c r="I20" s="133">
        <f>J20*H20*B$125</f>
        <v>0.90800999999999998</v>
      </c>
      <c r="J20" s="133">
        <v>8100</v>
      </c>
      <c r="K20" s="618">
        <f t="shared" si="1"/>
        <v>8100</v>
      </c>
    </row>
    <row r="21" spans="1:13" x14ac:dyDescent="0.25">
      <c r="A21" s="288" t="s">
        <v>95</v>
      </c>
      <c r="B21" s="290" t="s">
        <v>854</v>
      </c>
      <c r="C21" s="129">
        <v>343.6</v>
      </c>
      <c r="D21" s="129">
        <v>1.0019999999999999E-2</v>
      </c>
      <c r="E21" s="129">
        <f t="shared" si="0"/>
        <v>34291.417165668667</v>
      </c>
      <c r="F21" s="129">
        <f t="shared" si="2"/>
        <v>3.8440678642714574</v>
      </c>
      <c r="G21" s="129">
        <f t="shared" si="3"/>
        <v>38440.678642714578</v>
      </c>
      <c r="H21" s="130">
        <v>1</v>
      </c>
      <c r="I21" s="133">
        <f t="shared" si="5"/>
        <v>3.8440678642714574</v>
      </c>
      <c r="J21" s="133">
        <f t="shared" si="4"/>
        <v>38440.678642714578</v>
      </c>
      <c r="K21" s="618">
        <f t="shared" si="1"/>
        <v>38440.678642714578</v>
      </c>
    </row>
    <row r="22" spans="1:13" x14ac:dyDescent="0.25">
      <c r="A22" s="288" t="s">
        <v>95</v>
      </c>
      <c r="B22" s="290" t="s">
        <v>849</v>
      </c>
      <c r="C22" s="129">
        <v>50.5</v>
      </c>
      <c r="D22" s="129">
        <v>6.1000000000000004E-3</v>
      </c>
      <c r="E22" s="129">
        <f t="shared" si="0"/>
        <v>8278.6885245901631</v>
      </c>
      <c r="F22" s="129">
        <f t="shared" si="2"/>
        <v>0.92804098360655729</v>
      </c>
      <c r="G22" s="129">
        <f t="shared" si="3"/>
        <v>9280.4098360655735</v>
      </c>
      <c r="H22" s="130">
        <v>1</v>
      </c>
      <c r="I22" s="129">
        <f t="shared" si="5"/>
        <v>0.92804098360655729</v>
      </c>
      <c r="J22" s="129">
        <f t="shared" si="4"/>
        <v>9280.4098360655735</v>
      </c>
      <c r="K22" s="15">
        <f t="shared" si="1"/>
        <v>9280.4098360655735</v>
      </c>
      <c r="M22" s="7"/>
    </row>
    <row r="23" spans="1:13" x14ac:dyDescent="0.25">
      <c r="A23" s="288" t="s">
        <v>95</v>
      </c>
      <c r="B23" s="291" t="s">
        <v>850</v>
      </c>
      <c r="C23" s="129">
        <v>34.299999999999997</v>
      </c>
      <c r="D23" s="129">
        <v>1.405E-2</v>
      </c>
      <c r="E23" s="129">
        <f t="shared" si="0"/>
        <v>2441.2811387900356</v>
      </c>
      <c r="F23" s="129">
        <f>(E23*B$125)/B$127</f>
        <v>0.21719652036378015</v>
      </c>
      <c r="G23" s="129">
        <f>(E23*B$126)/B$127</f>
        <v>2171.9652036378016</v>
      </c>
      <c r="H23" s="130">
        <v>1</v>
      </c>
      <c r="I23" s="129">
        <f t="shared" si="5"/>
        <v>0.21719652036378015</v>
      </c>
      <c r="J23" s="129">
        <f t="shared" si="4"/>
        <v>2171.9652036378016</v>
      </c>
      <c r="K23" s="15">
        <f t="shared" si="1"/>
        <v>2171.9652036378016</v>
      </c>
    </row>
    <row r="24" spans="1:13" x14ac:dyDescent="0.25">
      <c r="A24" s="292" t="s">
        <v>99</v>
      </c>
      <c r="B24" s="293"/>
      <c r="C24" s="131">
        <v>47</v>
      </c>
      <c r="D24" s="131">
        <v>1.81E-3</v>
      </c>
      <c r="E24" s="129">
        <f t="shared" si="0"/>
        <v>25966.850828729283</v>
      </c>
      <c r="F24" s="129">
        <f t="shared" si="2"/>
        <v>2.9108839779005526</v>
      </c>
      <c r="G24" s="129">
        <f t="shared" si="3"/>
        <v>29108.839779005524</v>
      </c>
      <c r="H24" s="130">
        <v>0.621</v>
      </c>
      <c r="I24" s="129">
        <f>F24*H24</f>
        <v>1.8076589502762432</v>
      </c>
      <c r="J24" s="133">
        <f t="shared" si="4"/>
        <v>18076.589502762432</v>
      </c>
      <c r="K24" s="15">
        <f t="shared" si="1"/>
        <v>18076.589502762432</v>
      </c>
    </row>
    <row r="25" spans="1:13" x14ac:dyDescent="0.25">
      <c r="A25" s="294" t="s">
        <v>102</v>
      </c>
      <c r="B25" s="295"/>
      <c r="C25" s="131">
        <v>11.85</v>
      </c>
      <c r="D25" s="131">
        <v>4.7999999999999996E-4</v>
      </c>
      <c r="E25" s="129">
        <f t="shared" si="0"/>
        <v>24687.5</v>
      </c>
      <c r="F25" s="129">
        <f t="shared" si="2"/>
        <v>2.7674687499999999</v>
      </c>
      <c r="G25" s="129">
        <f t="shared" si="3"/>
        <v>27674.6875</v>
      </c>
      <c r="H25" s="130">
        <v>0.98126000000000002</v>
      </c>
      <c r="I25" s="129">
        <f t="shared" si="5"/>
        <v>2.7156063856250001</v>
      </c>
      <c r="J25" s="133">
        <f t="shared" si="4"/>
        <v>27156.063856249999</v>
      </c>
      <c r="K25" s="15">
        <f t="shared" si="1"/>
        <v>27156.063856249999</v>
      </c>
    </row>
    <row r="26" spans="1:13" x14ac:dyDescent="0.25">
      <c r="A26" s="296" t="s">
        <v>105</v>
      </c>
      <c r="B26" s="297"/>
      <c r="C26" s="131"/>
      <c r="D26" s="131"/>
      <c r="E26" s="129"/>
      <c r="F26" s="129">
        <f>G26/10000</f>
        <v>0.74312400000000001</v>
      </c>
      <c r="G26" s="133">
        <v>7431.24</v>
      </c>
      <c r="H26" s="130">
        <v>0.60319999999999996</v>
      </c>
      <c r="I26" s="129">
        <f>F26*H26</f>
        <v>0.44825239679999995</v>
      </c>
      <c r="J26" s="133">
        <f t="shared" si="4"/>
        <v>4482.5239679999995</v>
      </c>
      <c r="K26" s="15">
        <f t="shared" si="1"/>
        <v>4482.5239679999995</v>
      </c>
    </row>
    <row r="27" spans="1:13" x14ac:dyDescent="0.25">
      <c r="A27" s="296" t="s">
        <v>108</v>
      </c>
      <c r="B27" s="297"/>
      <c r="C27" s="131">
        <v>2.5</v>
      </c>
      <c r="D27" s="131">
        <v>3.5E-4</v>
      </c>
      <c r="E27" s="129">
        <f t="shared" si="0"/>
        <v>7142.8571428571431</v>
      </c>
      <c r="F27" s="129">
        <f t="shared" si="2"/>
        <v>0.80071428571428571</v>
      </c>
      <c r="G27" s="129">
        <f t="shared" si="3"/>
        <v>8007.1428571428578</v>
      </c>
      <c r="H27" s="130">
        <v>1</v>
      </c>
      <c r="I27" s="129">
        <f t="shared" si="5"/>
        <v>0.80071428571428571</v>
      </c>
      <c r="J27" s="133">
        <f t="shared" si="4"/>
        <v>8007.1428571428578</v>
      </c>
      <c r="K27" s="15">
        <f t="shared" si="1"/>
        <v>8007.1428571428578</v>
      </c>
    </row>
    <row r="28" spans="1:13" s="9" customFormat="1" x14ac:dyDescent="0.25">
      <c r="A28" s="296" t="s">
        <v>111</v>
      </c>
      <c r="B28" s="297"/>
      <c r="C28" s="129">
        <v>12.3</v>
      </c>
      <c r="D28" s="129">
        <v>8.1999999999999998E-4</v>
      </c>
      <c r="E28" s="129">
        <f t="shared" si="0"/>
        <v>15000.000000000002</v>
      </c>
      <c r="F28" s="129">
        <f t="shared" si="2"/>
        <v>1.6815000000000002</v>
      </c>
      <c r="G28" s="129">
        <f t="shared" si="3"/>
        <v>16815.000000000004</v>
      </c>
      <c r="H28" s="130">
        <v>0.4</v>
      </c>
      <c r="I28" s="129">
        <f t="shared" si="5"/>
        <v>0.67260000000000009</v>
      </c>
      <c r="J28" s="133">
        <f t="shared" si="4"/>
        <v>6726.0000000000018</v>
      </c>
      <c r="K28" s="15">
        <f t="shared" si="1"/>
        <v>6726.0000000000018</v>
      </c>
    </row>
    <row r="29" spans="1:13" x14ac:dyDescent="0.25">
      <c r="A29" s="296" t="s">
        <v>114</v>
      </c>
      <c r="B29" s="297"/>
      <c r="C29" s="129">
        <v>6.1</v>
      </c>
      <c r="D29" s="129">
        <v>2.1000000000000001E-4</v>
      </c>
      <c r="E29" s="129">
        <f t="shared" si="0"/>
        <v>29047.619047619046</v>
      </c>
      <c r="F29" s="129">
        <f t="shared" si="2"/>
        <v>3.2562380952380949</v>
      </c>
      <c r="G29" s="129">
        <f t="shared" si="3"/>
        <v>32562.38095238095</v>
      </c>
      <c r="H29" s="130">
        <v>0.61960000000000004</v>
      </c>
      <c r="I29" s="129">
        <f t="shared" si="5"/>
        <v>2.0175651238095238</v>
      </c>
      <c r="J29" s="133">
        <f t="shared" si="4"/>
        <v>20175.651238095237</v>
      </c>
      <c r="K29" s="15">
        <f t="shared" si="1"/>
        <v>20175.651238095237</v>
      </c>
    </row>
    <row r="30" spans="1:13" x14ac:dyDescent="0.25">
      <c r="A30" s="296" t="s">
        <v>117</v>
      </c>
      <c r="B30" s="297"/>
      <c r="C30" s="131">
        <v>0.8</v>
      </c>
      <c r="D30" s="129">
        <v>1.2E-4</v>
      </c>
      <c r="E30" s="129">
        <f t="shared" si="0"/>
        <v>6666.666666666667</v>
      </c>
      <c r="F30" s="129">
        <f t="shared" si="2"/>
        <v>0.7473333333333334</v>
      </c>
      <c r="G30" s="129">
        <f t="shared" si="3"/>
        <v>7473.3333333333339</v>
      </c>
      <c r="H30" s="130">
        <v>0.55500000000000005</v>
      </c>
      <c r="I30" s="129">
        <f t="shared" si="5"/>
        <v>0.41477000000000008</v>
      </c>
      <c r="J30" s="133">
        <f t="shared" si="4"/>
        <v>4147.7000000000007</v>
      </c>
      <c r="K30" s="15">
        <f t="shared" si="1"/>
        <v>4147.7000000000007</v>
      </c>
    </row>
    <row r="31" spans="1:13" x14ac:dyDescent="0.25">
      <c r="A31" s="294" t="s">
        <v>120</v>
      </c>
      <c r="B31" s="295"/>
      <c r="C31" s="129">
        <v>16</v>
      </c>
      <c r="D31" s="129">
        <v>3.5E-4</v>
      </c>
      <c r="E31" s="129">
        <f t="shared" si="0"/>
        <v>45714.285714285717</v>
      </c>
      <c r="F31" s="129">
        <f t="shared" si="2"/>
        <v>5.1245714285714286</v>
      </c>
      <c r="G31" s="129">
        <f t="shared" si="3"/>
        <v>51245.71428571429</v>
      </c>
      <c r="H31" s="130">
        <v>0.28433999999999998</v>
      </c>
      <c r="I31" s="129">
        <f t="shared" si="5"/>
        <v>1.4571206399999999</v>
      </c>
      <c r="J31" s="133">
        <f t="shared" si="4"/>
        <v>14571.206400000001</v>
      </c>
      <c r="K31" s="15">
        <f t="shared" si="1"/>
        <v>14571.206400000001</v>
      </c>
    </row>
    <row r="32" spans="1:13" x14ac:dyDescent="0.25">
      <c r="A32" s="298" t="str">
        <f>'[5]Waste, Losses'!A18</f>
        <v>Preserved, Fruit</v>
      </c>
      <c r="B32" s="299"/>
      <c r="C32" s="132">
        <v>37.45064706163452</v>
      </c>
      <c r="D32" s="132">
        <v>1.4952462472894983E-3</v>
      </c>
      <c r="E32" s="129">
        <f t="shared" si="0"/>
        <v>25046.47453857385</v>
      </c>
      <c r="F32" s="129">
        <f t="shared" si="2"/>
        <v>2.8077097957741284</v>
      </c>
      <c r="G32" s="129">
        <f t="shared" si="3"/>
        <v>28077.097957741287</v>
      </c>
      <c r="H32" s="38">
        <v>0.71499999999999997</v>
      </c>
      <c r="I32" s="132">
        <f>(I76*'11. Diet'!B51)+(I77*'11. Diet'!$B52)+(I78*'11. Diet'!$B53)+(I79*'11. Diet'!$B54)+(I80*'11. Diet'!$B55)+(I81*'11. Diet'!$B56)+(I82*'11. Diet'!$B57)+(I83*'11. Diet'!$B58)+(I84*'11. Diet'!$B59)</f>
        <v>2.7593357129497758</v>
      </c>
      <c r="J32" s="132">
        <f>(J76*'11. Diet'!B51)+(J77*'11. Diet'!$B52)+(J78*'11. Diet'!$B53)+(J79*'11. Diet'!$B54)+(J80*'11. Diet'!$B55)+(J81*'11. Diet'!$B56)+(J82*'11. Diet'!$B57)+(J83*'11. Diet'!$B58)+(J84*'11. Diet'!$B59)</f>
        <v>27593.357129497752</v>
      </c>
      <c r="K32" s="15">
        <f t="shared" si="1"/>
        <v>27593.357129497752</v>
      </c>
    </row>
    <row r="33" spans="1:11" x14ac:dyDescent="0.25">
      <c r="A33" s="300" t="s">
        <v>128</v>
      </c>
      <c r="B33" s="301"/>
      <c r="C33" s="129">
        <v>8</v>
      </c>
      <c r="D33" s="129">
        <v>5.4000000000000001E-4</v>
      </c>
      <c r="E33" s="129">
        <f t="shared" si="0"/>
        <v>14814.814814814814</v>
      </c>
      <c r="F33" s="129">
        <f t="shared" si="2"/>
        <v>1.6607407407407406</v>
      </c>
      <c r="G33" s="129">
        <f t="shared" si="3"/>
        <v>16607.407407407405</v>
      </c>
      <c r="H33" s="242">
        <v>0.91369999999999996</v>
      </c>
      <c r="I33" s="129">
        <f>F33*H33</f>
        <v>1.5174188148148147</v>
      </c>
      <c r="J33" s="129">
        <f>G33*H33</f>
        <v>15174.188148148145</v>
      </c>
      <c r="K33" s="15">
        <f t="shared" si="1"/>
        <v>15174.188148148145</v>
      </c>
    </row>
    <row r="34" spans="1:11" x14ac:dyDescent="0.25">
      <c r="A34" s="300" t="s">
        <v>131</v>
      </c>
      <c r="B34" s="301"/>
      <c r="C34" s="129">
        <v>0.6</v>
      </c>
      <c r="D34" s="129">
        <v>5.0000000000000002E-5</v>
      </c>
      <c r="E34" s="129">
        <f t="shared" si="0"/>
        <v>11999.999999999998</v>
      </c>
      <c r="F34" s="129">
        <f t="shared" si="2"/>
        <v>1.3451999999999997</v>
      </c>
      <c r="G34" s="129">
        <f t="shared" si="3"/>
        <v>13451.999999999998</v>
      </c>
      <c r="H34" s="242">
        <v>1</v>
      </c>
      <c r="I34" s="129">
        <f>F34*H34</f>
        <v>1.3451999999999997</v>
      </c>
      <c r="J34" s="129">
        <f>G34*H34</f>
        <v>13451.999999999998</v>
      </c>
      <c r="K34" s="15">
        <f t="shared" si="1"/>
        <v>13451.999999999998</v>
      </c>
    </row>
    <row r="35" spans="1:11" x14ac:dyDescent="0.25">
      <c r="A35" s="300" t="s">
        <v>134</v>
      </c>
      <c r="B35" s="302"/>
      <c r="C35" s="131">
        <v>0.5</v>
      </c>
      <c r="D35" s="131">
        <v>2.0000000000000002E-5</v>
      </c>
      <c r="E35" s="129">
        <f t="shared" si="0"/>
        <v>24999.999999999996</v>
      </c>
      <c r="F35" s="129">
        <f t="shared" si="2"/>
        <v>2.8024999999999998</v>
      </c>
      <c r="G35" s="129">
        <f t="shared" si="3"/>
        <v>28024.999999999996</v>
      </c>
      <c r="H35" s="242">
        <v>1</v>
      </c>
      <c r="I35" s="129">
        <f>F35*H35</f>
        <v>2.8024999999999998</v>
      </c>
      <c r="J35" s="129">
        <f>G35*H35</f>
        <v>28024.999999999996</v>
      </c>
      <c r="K35" s="15">
        <f t="shared" si="1"/>
        <v>28024.999999999996</v>
      </c>
    </row>
    <row r="36" spans="1:11" ht="17.25" customHeight="1" x14ac:dyDescent="0.25">
      <c r="A36" s="303" t="s">
        <v>855</v>
      </c>
      <c r="B36" s="304"/>
      <c r="C36" s="131">
        <v>10.199999999999999</v>
      </c>
      <c r="D36" s="131">
        <v>3.6999999999999999E-4</v>
      </c>
      <c r="E36" s="129">
        <f t="shared" si="0"/>
        <v>27567.567567567567</v>
      </c>
      <c r="F36" s="129">
        <f t="shared" si="2"/>
        <v>3.0903243243243241</v>
      </c>
      <c r="G36" s="129">
        <f t="shared" si="3"/>
        <v>30903.243243243243</v>
      </c>
      <c r="H36" s="242">
        <v>0.97499999999999998</v>
      </c>
      <c r="I36" s="129">
        <f>F36*H36</f>
        <v>3.0130662162162158</v>
      </c>
      <c r="J36" s="129">
        <f>G36*H36</f>
        <v>30130.66216216216</v>
      </c>
      <c r="K36" s="15">
        <f t="shared" si="1"/>
        <v>30130.66216216216</v>
      </c>
    </row>
    <row r="37" spans="1:11" x14ac:dyDescent="0.25">
      <c r="A37" s="300" t="s">
        <v>140</v>
      </c>
      <c r="B37" s="302"/>
      <c r="C37" s="131">
        <v>1.4</v>
      </c>
      <c r="D37" s="131">
        <v>9.0000000000000006E-5</v>
      </c>
      <c r="E37" s="129">
        <f t="shared" si="0"/>
        <v>15555.555555555553</v>
      </c>
      <c r="F37" s="129">
        <f t="shared" si="2"/>
        <v>1.7437777777777774</v>
      </c>
      <c r="G37" s="129">
        <f t="shared" si="3"/>
        <v>17437.777777777774</v>
      </c>
      <c r="H37" s="242">
        <v>0.88568999999999998</v>
      </c>
      <c r="I37" s="129">
        <f>F37*H37</f>
        <v>1.5444465399999996</v>
      </c>
      <c r="J37" s="129">
        <f>G37*H37</f>
        <v>15444.465399999995</v>
      </c>
      <c r="K37" s="15">
        <f t="shared" si="1"/>
        <v>15444.465399999995</v>
      </c>
    </row>
    <row r="38" spans="1:11" x14ac:dyDescent="0.25">
      <c r="A38" s="305" t="str">
        <f>'[5]Waste, Losses'!A24</f>
        <v>Preserved, Dark Green</v>
      </c>
      <c r="B38" s="302"/>
      <c r="C38" s="131">
        <v>3.01</v>
      </c>
      <c r="D38" s="131">
        <v>2.03E-4</v>
      </c>
      <c r="E38" s="129">
        <f t="shared" si="0"/>
        <v>14827.586206896551</v>
      </c>
      <c r="F38" s="129">
        <f t="shared" si="2"/>
        <v>1.6621724137931033</v>
      </c>
      <c r="G38" s="129">
        <f t="shared" si="3"/>
        <v>16621.724137931033</v>
      </c>
      <c r="H38" s="133">
        <f>(H85*0.85)+(H86*0.15)</f>
        <v>0.95</v>
      </c>
      <c r="I38" s="131">
        <f>(I85*0.85)+(I86*0.15)</f>
        <v>1.5937208260869562</v>
      </c>
      <c r="J38" s="131">
        <f>(J85*0.85)+(J86*0.15)</f>
        <v>15937.20826086956</v>
      </c>
      <c r="K38" s="15">
        <f t="shared" si="1"/>
        <v>15937.20826086956</v>
      </c>
    </row>
    <row r="39" spans="1:11" x14ac:dyDescent="0.25">
      <c r="A39" s="303" t="s">
        <v>146</v>
      </c>
      <c r="B39" s="304"/>
      <c r="C39" s="131">
        <v>22.6</v>
      </c>
      <c r="D39" s="131">
        <v>7.1000000000000002E-4</v>
      </c>
      <c r="E39" s="129">
        <f t="shared" si="0"/>
        <v>31830.985915492958</v>
      </c>
      <c r="F39" s="129">
        <f t="shared" si="2"/>
        <v>3.5682535211267608</v>
      </c>
      <c r="G39" s="129">
        <f t="shared" si="3"/>
        <v>35682.535211267605</v>
      </c>
      <c r="H39" s="242">
        <v>1.1032200000000001</v>
      </c>
      <c r="I39" s="129">
        <f>F39*H39</f>
        <v>3.9365686495774654</v>
      </c>
      <c r="J39" s="276">
        <f>G39*H39</f>
        <v>39365.686495774651</v>
      </c>
      <c r="K39" s="15">
        <f t="shared" si="1"/>
        <v>39365.686495774651</v>
      </c>
    </row>
    <row r="40" spans="1:11" ht="16.899999999999999" customHeight="1" x14ac:dyDescent="0.25">
      <c r="A40" s="300" t="s">
        <v>149</v>
      </c>
      <c r="B40" s="302"/>
      <c r="C40" s="131">
        <v>12</v>
      </c>
      <c r="D40" s="131">
        <v>5.1999999999999995E-4</v>
      </c>
      <c r="E40" s="129">
        <f t="shared" si="0"/>
        <v>23076.923076923078</v>
      </c>
      <c r="F40" s="129">
        <f t="shared" si="2"/>
        <v>2.5869230769230769</v>
      </c>
      <c r="G40" s="129">
        <f t="shared" si="3"/>
        <v>25869.23076923077</v>
      </c>
      <c r="H40" s="242">
        <v>1.2582</v>
      </c>
      <c r="I40" s="129">
        <f>F40*H40</f>
        <v>3.2548666153846151</v>
      </c>
      <c r="J40" s="276">
        <f>G40*H40</f>
        <v>32548.666153846152</v>
      </c>
      <c r="K40" s="15">
        <f t="shared" si="1"/>
        <v>32548.666153846152</v>
      </c>
    </row>
    <row r="41" spans="1:11" x14ac:dyDescent="0.25">
      <c r="A41" s="300" t="s">
        <v>152</v>
      </c>
      <c r="B41" s="301"/>
      <c r="C41" s="129">
        <v>22399.94</v>
      </c>
      <c r="D41" s="129">
        <v>1</v>
      </c>
      <c r="E41" s="129">
        <f t="shared" si="0"/>
        <v>22399.94</v>
      </c>
      <c r="F41" s="129">
        <f t="shared" si="2"/>
        <v>2.5110332739999999</v>
      </c>
      <c r="G41" s="129">
        <f t="shared" si="3"/>
        <v>25110.332739999998</v>
      </c>
      <c r="H41" s="242">
        <v>0.89634999999999998</v>
      </c>
      <c r="I41" s="129">
        <f>F41*H41</f>
        <v>2.2507646751498998</v>
      </c>
      <c r="J41" s="276">
        <f>G41*H41</f>
        <v>22507.646751498996</v>
      </c>
      <c r="K41" s="15">
        <f t="shared" si="1"/>
        <v>22507.646751498996</v>
      </c>
    </row>
    <row r="42" spans="1:11" x14ac:dyDescent="0.25">
      <c r="A42" s="305" t="s">
        <v>155</v>
      </c>
      <c r="B42" s="306"/>
      <c r="C42" s="129">
        <v>42.9</v>
      </c>
      <c r="D42" s="129">
        <v>1.4300000000000001E-3</v>
      </c>
      <c r="E42" s="129">
        <f t="shared" si="0"/>
        <v>29999.999999999996</v>
      </c>
      <c r="F42" s="129">
        <f t="shared" si="2"/>
        <v>3.3629999999999995</v>
      </c>
      <c r="G42" s="129">
        <f t="shared" si="3"/>
        <v>33629.999999999993</v>
      </c>
      <c r="H42" s="242">
        <v>0.94991999999999999</v>
      </c>
      <c r="I42" s="129">
        <f>F42*H42</f>
        <v>3.1945809599999997</v>
      </c>
      <c r="J42" s="276">
        <f>G42*H42</f>
        <v>31945.809599999993</v>
      </c>
      <c r="K42" s="15">
        <f t="shared" si="1"/>
        <v>31945.809599999993</v>
      </c>
    </row>
    <row r="43" spans="1:11" x14ac:dyDescent="0.25">
      <c r="A43" s="305" t="str">
        <f>'[5]Waste, Losses'!A29</f>
        <v>Preserved, Orange &amp; Red</v>
      </c>
      <c r="B43" s="307"/>
      <c r="C43" s="131">
        <v>173.21632653061226</v>
      </c>
      <c r="D43" s="131">
        <v>2.2548920291114985E-3</v>
      </c>
      <c r="E43" s="129">
        <f t="shared" si="0"/>
        <v>76818.013587491005</v>
      </c>
      <c r="F43" s="129">
        <f t="shared" si="2"/>
        <v>8.6112993231577413</v>
      </c>
      <c r="G43" s="129">
        <f t="shared" si="3"/>
        <v>86112.99323157742</v>
      </c>
      <c r="H43" s="133">
        <f>(H87*'11. Diet'!B64)+ (H88*'11. Diet'!B65) + (H89*'11. Diet'!B66)</f>
        <v>0.95</v>
      </c>
      <c r="I43" s="349">
        <f>(I87*'11. Diet'!$B64)+(I88*'11. Diet'!$B65)+(I89*'11. Diet'!$B66)</f>
        <v>7.9363045672898336</v>
      </c>
      <c r="J43" s="349">
        <f>(J87*'11. Diet'!$B64)+(J88*'11. Diet'!$B65)+(J89*'11. Diet'!$B66)</f>
        <v>79363.045672898341</v>
      </c>
      <c r="K43" s="15">
        <f t="shared" si="1"/>
        <v>79363.045672898341</v>
      </c>
    </row>
    <row r="44" spans="1:11" x14ac:dyDescent="0.25">
      <c r="A44" s="300" t="s">
        <v>161</v>
      </c>
      <c r="B44" s="302"/>
      <c r="C44" s="131">
        <v>2</v>
      </c>
      <c r="D44" s="131">
        <v>1.7000000000000001E-4</v>
      </c>
      <c r="E44" s="129">
        <f t="shared" si="0"/>
        <v>11764.705882352941</v>
      </c>
      <c r="F44" s="129">
        <f t="shared" si="2"/>
        <v>1.3188235294117647</v>
      </c>
      <c r="G44" s="129">
        <f t="shared" si="3"/>
        <v>13188.235294117647</v>
      </c>
      <c r="H44" s="242">
        <v>0.88244</v>
      </c>
      <c r="I44" s="129">
        <f>F44*H44</f>
        <v>1.1637826352941176</v>
      </c>
      <c r="J44" s="276">
        <f>G44*H44</f>
        <v>11637.826352941176</v>
      </c>
      <c r="K44" s="15">
        <f t="shared" si="1"/>
        <v>11637.826352941176</v>
      </c>
    </row>
    <row r="45" spans="1:11" x14ac:dyDescent="0.25">
      <c r="A45" s="300" t="s">
        <v>164</v>
      </c>
      <c r="B45" s="302"/>
      <c r="C45" s="129"/>
      <c r="D45" s="129"/>
      <c r="E45" s="129"/>
      <c r="F45" s="129">
        <f t="shared" si="2"/>
        <v>0</v>
      </c>
      <c r="G45" s="129">
        <f t="shared" si="3"/>
        <v>0</v>
      </c>
      <c r="H45" s="242"/>
      <c r="I45" s="129"/>
      <c r="J45" s="276"/>
      <c r="K45" s="15">
        <f t="shared" si="1"/>
        <v>0</v>
      </c>
    </row>
    <row r="46" spans="1:11" x14ac:dyDescent="0.25">
      <c r="A46" s="300" t="s">
        <v>167</v>
      </c>
      <c r="B46" s="302"/>
      <c r="C46" s="131">
        <v>92.5</v>
      </c>
      <c r="D46" s="131">
        <v>2.3999999999999998E-3</v>
      </c>
      <c r="E46" s="129">
        <f t="shared" si="0"/>
        <v>38541.666666666672</v>
      </c>
      <c r="F46" s="129">
        <f t="shared" si="2"/>
        <v>4.320520833333334</v>
      </c>
      <c r="G46" s="129">
        <f t="shared" si="3"/>
        <v>43205.208333333336</v>
      </c>
      <c r="H46" s="242">
        <v>0.90398999999999996</v>
      </c>
      <c r="I46" s="129">
        <f>F46*H46</f>
        <v>3.9057076281250005</v>
      </c>
      <c r="J46" s="276">
        <f>G46*H46</f>
        <v>39057.076281250003</v>
      </c>
      <c r="K46" s="15">
        <f t="shared" si="1"/>
        <v>39057.076281250003</v>
      </c>
    </row>
    <row r="47" spans="1:11" x14ac:dyDescent="0.25">
      <c r="A47" s="305" t="str">
        <f>'[5]Waste, Losses'!A33</f>
        <v>Preserved, Starchy</v>
      </c>
      <c r="B47" s="301"/>
      <c r="C47" s="132">
        <v>72.077058823529413</v>
      </c>
      <c r="D47" s="132">
        <v>2.0053529411764707E-3</v>
      </c>
      <c r="E47" s="129">
        <f t="shared" si="0"/>
        <v>35942.330820451141</v>
      </c>
      <c r="F47" s="129">
        <f t="shared" si="2"/>
        <v>4.0291352849725728</v>
      </c>
      <c r="G47" s="129">
        <f t="shared" si="3"/>
        <v>40291.352849725728</v>
      </c>
      <c r="H47" s="132">
        <f>(H90*SUM('11. Diet'!B68:B69) )+ (H93 * SUM('11. Diet'!B70:B71))+(H95*SUM('11. Diet'!B72:B73))</f>
        <v>0.95</v>
      </c>
      <c r="I47" s="359">
        <f>(I90*'11. Diet'!$B68)+(I91*'11. Diet'!$B69)+(I92*'11. Diet'!$B70)+(I93*'11. Diet'!$B71)+(I94*'11. Diet'!$B72)+(I95*'11. Diet'!$B73)</f>
        <v>3.4400151630974065</v>
      </c>
      <c r="J47" s="359">
        <f>(J90*'11. Diet'!$B68)+(J91*'11. Diet'!$B69)+(J92*'11. Diet'!$B70)+(J93*'11. Diet'!$B71)+(J94*'11. Diet'!$B72)+(J95*'11. Diet'!$B73)</f>
        <v>34400.151630974062</v>
      </c>
      <c r="K47" s="15">
        <f t="shared" si="1"/>
        <v>34400.151630974062</v>
      </c>
    </row>
    <row r="48" spans="1:11" x14ac:dyDescent="0.25">
      <c r="A48" s="308" t="str">
        <f>'[5]Waste, Losses'!A34</f>
        <v>Beans, dry</v>
      </c>
      <c r="B48" s="304"/>
      <c r="C48" s="131">
        <v>13.9</v>
      </c>
      <c r="D48" s="131">
        <v>8.2699999999999996E-3</v>
      </c>
      <c r="E48" s="129">
        <f t="shared" si="0"/>
        <v>1680.7738814993954</v>
      </c>
      <c r="F48" s="129">
        <f t="shared" si="2"/>
        <v>0.18841475211608222</v>
      </c>
      <c r="G48" s="129">
        <f t="shared" si="3"/>
        <v>1884.1475211608222</v>
      </c>
      <c r="H48" s="242">
        <v>0.95</v>
      </c>
      <c r="I48" s="129">
        <f t="shared" ref="I48:I54" si="6">F48*H48</f>
        <v>0.1789940145102781</v>
      </c>
      <c r="J48" s="276">
        <f t="shared" ref="J48:J54" si="7">G48*H48</f>
        <v>1789.9401451027809</v>
      </c>
      <c r="K48" s="15">
        <f t="shared" si="1"/>
        <v>1789.9401451027809</v>
      </c>
    </row>
    <row r="49" spans="1:12" x14ac:dyDescent="0.25">
      <c r="A49" s="309" t="s">
        <v>175</v>
      </c>
      <c r="B49" s="310"/>
      <c r="C49" s="129">
        <v>2.4</v>
      </c>
      <c r="D49" s="129">
        <v>3.8999999999999999E-4</v>
      </c>
      <c r="E49" s="129">
        <f t="shared" si="0"/>
        <v>6153.8461538461534</v>
      </c>
      <c r="F49" s="129">
        <f t="shared" si="2"/>
        <v>0.68984615384615378</v>
      </c>
      <c r="G49" s="129">
        <f t="shared" si="3"/>
        <v>6898.4615384615381</v>
      </c>
      <c r="H49" s="242">
        <v>1.9622999999999999</v>
      </c>
      <c r="I49" s="129">
        <f t="shared" si="6"/>
        <v>1.3536851076923075</v>
      </c>
      <c r="J49" s="276">
        <f t="shared" si="7"/>
        <v>13536.851076923076</v>
      </c>
      <c r="K49" s="15">
        <f t="shared" si="1"/>
        <v>13536.851076923076</v>
      </c>
    </row>
    <row r="50" spans="1:12" x14ac:dyDescent="0.25">
      <c r="A50" s="311" t="s">
        <v>178</v>
      </c>
      <c r="B50" s="312"/>
      <c r="C50" s="129">
        <v>10.1</v>
      </c>
      <c r="D50" s="129">
        <v>2.9999999999999997E-4</v>
      </c>
      <c r="E50" s="129">
        <f t="shared" si="0"/>
        <v>33666.666666666672</v>
      </c>
      <c r="F50" s="129">
        <f t="shared" si="2"/>
        <v>3.774033333333334</v>
      </c>
      <c r="G50" s="129">
        <f t="shared" si="3"/>
        <v>37740.333333333336</v>
      </c>
      <c r="H50" s="242">
        <v>1.0439700000000001</v>
      </c>
      <c r="I50" s="129">
        <f t="shared" si="6"/>
        <v>3.9399775790000011</v>
      </c>
      <c r="J50" s="276">
        <f t="shared" si="7"/>
        <v>39399.775790000007</v>
      </c>
      <c r="K50" s="15">
        <f t="shared" si="1"/>
        <v>39399.775790000007</v>
      </c>
    </row>
    <row r="51" spans="1:12" s="9" customFormat="1" x14ac:dyDescent="0.25">
      <c r="A51" s="313" t="s">
        <v>181</v>
      </c>
      <c r="B51" s="314"/>
      <c r="C51" s="129">
        <v>3.3</v>
      </c>
      <c r="D51" s="129">
        <v>1.8000000000000001E-4</v>
      </c>
      <c r="E51" s="129">
        <f t="shared" si="0"/>
        <v>18333.333333333332</v>
      </c>
      <c r="F51" s="129">
        <f t="shared" si="2"/>
        <v>2.0551666666666666</v>
      </c>
      <c r="G51" s="129">
        <f t="shared" si="3"/>
        <v>20551.666666666664</v>
      </c>
      <c r="H51" s="242">
        <v>0.88629999999999998</v>
      </c>
      <c r="I51" s="129">
        <f t="shared" si="6"/>
        <v>1.8214942166666666</v>
      </c>
      <c r="J51" s="276">
        <f t="shared" si="7"/>
        <v>18214.942166666664</v>
      </c>
      <c r="K51" s="15">
        <f t="shared" si="1"/>
        <v>18214.942166666664</v>
      </c>
    </row>
    <row r="52" spans="1:12" x14ac:dyDescent="0.25">
      <c r="A52" s="315" t="s">
        <v>856</v>
      </c>
      <c r="B52" s="316"/>
      <c r="C52" s="129">
        <v>15.4</v>
      </c>
      <c r="D52" s="129">
        <v>4.2000000000000002E-4</v>
      </c>
      <c r="E52" s="129">
        <f t="shared" si="0"/>
        <v>36666.666666666664</v>
      </c>
      <c r="F52" s="129">
        <f t="shared" si="2"/>
        <v>4.1103333333333332</v>
      </c>
      <c r="G52" s="129">
        <f t="shared" si="3"/>
        <v>41103.333333333328</v>
      </c>
      <c r="H52" s="242">
        <v>0.88402999999999998</v>
      </c>
      <c r="I52" s="129">
        <f t="shared" si="6"/>
        <v>3.6336579766666666</v>
      </c>
      <c r="J52" s="276">
        <f t="shared" si="7"/>
        <v>36336.579766666662</v>
      </c>
      <c r="K52" s="15">
        <f t="shared" si="1"/>
        <v>36336.579766666662</v>
      </c>
    </row>
    <row r="53" spans="1:12" x14ac:dyDescent="0.25">
      <c r="A53" s="317" t="s">
        <v>187</v>
      </c>
      <c r="B53" s="318"/>
      <c r="C53" s="129">
        <v>24.7</v>
      </c>
      <c r="D53" s="129">
        <v>5.2999999999999998E-4</v>
      </c>
      <c r="E53" s="129">
        <f t="shared" si="0"/>
        <v>46603.773584905663</v>
      </c>
      <c r="F53" s="129">
        <f t="shared" si="2"/>
        <v>5.2242830188679248</v>
      </c>
      <c r="G53" s="129">
        <f t="shared" si="3"/>
        <v>52242.830188679247</v>
      </c>
      <c r="H53" s="242">
        <v>1.03637</v>
      </c>
      <c r="I53" s="129">
        <f t="shared" si="6"/>
        <v>5.4142901922641515</v>
      </c>
      <c r="J53" s="276">
        <f t="shared" si="7"/>
        <v>54142.901922641511</v>
      </c>
      <c r="K53" s="15">
        <f t="shared" si="1"/>
        <v>54142.901922641511</v>
      </c>
    </row>
    <row r="54" spans="1:12" x14ac:dyDescent="0.25">
      <c r="A54" s="319" t="s">
        <v>190</v>
      </c>
      <c r="B54" s="316"/>
      <c r="C54" s="129">
        <v>3.1</v>
      </c>
      <c r="D54" s="129">
        <v>2.0000000000000001E-4</v>
      </c>
      <c r="E54" s="129">
        <f t="shared" si="0"/>
        <v>15500</v>
      </c>
      <c r="F54" s="129">
        <f t="shared" si="2"/>
        <v>1.7375499999999999</v>
      </c>
      <c r="G54" s="129">
        <f t="shared" si="3"/>
        <v>17375.5</v>
      </c>
      <c r="H54" s="242">
        <v>1.1450499999999999</v>
      </c>
      <c r="I54" s="129">
        <f t="shared" si="6"/>
        <v>1.9895816274999998</v>
      </c>
      <c r="J54" s="276">
        <f t="shared" si="7"/>
        <v>19895.816274999997</v>
      </c>
      <c r="K54" s="15">
        <f t="shared" si="1"/>
        <v>19895.816274999997</v>
      </c>
    </row>
    <row r="55" spans="1:12" x14ac:dyDescent="0.25">
      <c r="A55" s="313" t="str">
        <f>'[5]Waste, Losses'!A41</f>
        <v>Preserved, Other</v>
      </c>
      <c r="B55" s="320"/>
      <c r="C55" s="132">
        <v>3.3166666666666673</v>
      </c>
      <c r="D55" s="132">
        <v>3.255555555555556E-4</v>
      </c>
      <c r="E55" s="129">
        <f t="shared" si="0"/>
        <v>10187.713310580206</v>
      </c>
      <c r="F55" s="129">
        <f t="shared" si="2"/>
        <v>1.1420426621160411</v>
      </c>
      <c r="G55" s="129">
        <f t="shared" si="3"/>
        <v>11420.42662116041</v>
      </c>
      <c r="H55" s="132">
        <f>(H96*SUM('11. Diet'!B75:B76))+(H98*'11. Diet'!B77)+(H99*'11. Diet'!B78)</f>
        <v>0.95000000000000018</v>
      </c>
      <c r="I55" s="132">
        <f>(I97*'11. Diet'!$B75)+(I98*'11. Diet'!$B76)+(I96*'11. Diet'!$B77)+(I99*'11. Diet'!$B78)</f>
        <v>1.32966035484343</v>
      </c>
      <c r="J55" s="132">
        <f>(J97*'11. Diet'!$B75)+(J98*'11. Diet'!$B76)+(J96*'11. Diet'!$B77)+(J99*'11. Diet'!$B78)</f>
        <v>13296.603548434301</v>
      </c>
      <c r="K55" s="15">
        <f t="shared" si="1"/>
        <v>13296.603548434301</v>
      </c>
    </row>
    <row r="56" spans="1:12" x14ac:dyDescent="0.25">
      <c r="A56" s="321" t="str">
        <f>'[5]Waste, Losses'!A42</f>
        <v>Wheat flour</v>
      </c>
      <c r="B56" s="322"/>
      <c r="C56" s="129">
        <v>167.6</v>
      </c>
      <c r="D56" s="129">
        <v>6.6629999999999995E-2</v>
      </c>
      <c r="E56" s="129">
        <f t="shared" si="0"/>
        <v>2515.3834609034971</v>
      </c>
      <c r="F56" s="129">
        <f t="shared" si="2"/>
        <v>0.28197448596728203</v>
      </c>
      <c r="G56" s="129">
        <f t="shared" si="3"/>
        <v>2819.74485967282</v>
      </c>
      <c r="H56" s="130">
        <v>1</v>
      </c>
      <c r="I56" s="129">
        <f t="shared" ref="I56:I61" si="8">F56*H56</f>
        <v>0.28197448596728203</v>
      </c>
      <c r="J56" s="129">
        <f t="shared" ref="J56:J73" si="9">G56*H56</f>
        <v>2819.74485967282</v>
      </c>
      <c r="K56" s="15">
        <f t="shared" si="1"/>
        <v>2819.74485967282</v>
      </c>
    </row>
    <row r="57" spans="1:12" x14ac:dyDescent="0.25">
      <c r="A57" s="323" t="s">
        <v>196</v>
      </c>
      <c r="B57" s="324"/>
      <c r="C57" s="129">
        <v>38.200000000000003</v>
      </c>
      <c r="D57" s="129">
        <v>4.6100000000000004E-3</v>
      </c>
      <c r="E57" s="129">
        <f t="shared" si="0"/>
        <v>8286.3340563991314</v>
      </c>
      <c r="F57" s="129">
        <f t="shared" si="2"/>
        <v>0.92889804772234263</v>
      </c>
      <c r="G57" s="129">
        <f t="shared" si="3"/>
        <v>9288.9804772234256</v>
      </c>
      <c r="H57" s="130">
        <v>1</v>
      </c>
      <c r="I57" s="129">
        <f t="shared" si="8"/>
        <v>0.92889804772234263</v>
      </c>
      <c r="J57" s="129">
        <f t="shared" si="9"/>
        <v>9288.9804772234256</v>
      </c>
      <c r="K57" s="15">
        <f t="shared" si="1"/>
        <v>9288.9804772234256</v>
      </c>
    </row>
    <row r="58" spans="1:12" ht="15" customHeight="1" x14ac:dyDescent="0.25">
      <c r="A58" s="325" t="s">
        <v>199</v>
      </c>
      <c r="B58" s="326"/>
      <c r="C58" s="129">
        <v>68.7</v>
      </c>
      <c r="D58" s="129">
        <v>2.8170000000000001E-2</v>
      </c>
      <c r="E58" s="129">
        <f t="shared" si="0"/>
        <v>2438.7646432374868</v>
      </c>
      <c r="F58" s="129">
        <f>E58*B$125</f>
        <v>0.27338551650692228</v>
      </c>
      <c r="G58" s="129">
        <f>E58*B$126</f>
        <v>2733.8551650692225</v>
      </c>
      <c r="H58" s="130">
        <v>1</v>
      </c>
      <c r="I58" s="129">
        <f t="shared" si="8"/>
        <v>0.27338551650692228</v>
      </c>
      <c r="J58" s="129">
        <f t="shared" si="9"/>
        <v>2733.8551650692225</v>
      </c>
      <c r="K58" s="15">
        <f t="shared" si="1"/>
        <v>2733.8551650692225</v>
      </c>
    </row>
    <row r="59" spans="1:12" ht="25.9" customHeight="1" x14ac:dyDescent="0.25">
      <c r="A59" s="327" t="s">
        <v>201</v>
      </c>
      <c r="B59" s="326"/>
      <c r="C59" s="129">
        <v>3.8</v>
      </c>
      <c r="D59" s="129">
        <v>2.5899999999999999E-3</v>
      </c>
      <c r="E59" s="129">
        <f>C59/D59</f>
        <v>1467.1814671814673</v>
      </c>
      <c r="F59" s="129">
        <f>E59*B$125</f>
        <v>0.16447104247104249</v>
      </c>
      <c r="G59" s="129">
        <f>E59*B$126</f>
        <v>1644.7104247104248</v>
      </c>
      <c r="H59" s="130">
        <v>1</v>
      </c>
      <c r="I59" s="129">
        <f t="shared" si="8"/>
        <v>0.16447104247104249</v>
      </c>
      <c r="J59" s="129">
        <f t="shared" si="9"/>
        <v>1644.7104247104248</v>
      </c>
      <c r="K59" s="15">
        <f t="shared" si="1"/>
        <v>1644.7104247104248</v>
      </c>
    </row>
    <row r="60" spans="1:12" x14ac:dyDescent="0.25">
      <c r="A60" s="328" t="s">
        <v>857</v>
      </c>
      <c r="B60" s="329"/>
      <c r="C60" s="129">
        <v>27.3</v>
      </c>
      <c r="D60" s="129">
        <v>3.3E-3</v>
      </c>
      <c r="E60" s="129">
        <f>C60/D60</f>
        <v>8272.7272727272739</v>
      </c>
      <c r="F60" s="129">
        <f>E60*B$125</f>
        <v>0.92737272727272746</v>
      </c>
      <c r="G60" s="129">
        <f>E60*B$126</f>
        <v>9273.7272727272739</v>
      </c>
      <c r="H60" s="130">
        <v>1</v>
      </c>
      <c r="I60" s="129">
        <f t="shared" si="8"/>
        <v>0.92737272727272746</v>
      </c>
      <c r="J60" s="129">
        <f t="shared" si="9"/>
        <v>9273.7272727272739</v>
      </c>
      <c r="K60" s="15">
        <f t="shared" si="1"/>
        <v>9273.7272727272739</v>
      </c>
    </row>
    <row r="61" spans="1:12" x14ac:dyDescent="0.25">
      <c r="A61" s="330" t="s">
        <v>858</v>
      </c>
      <c r="B61" s="331"/>
      <c r="C61" s="129">
        <v>102.6</v>
      </c>
      <c r="D61" s="129">
        <v>1.8500000000000001E-3</v>
      </c>
      <c r="E61" s="129">
        <f t="shared" si="0"/>
        <v>55459.459459459453</v>
      </c>
      <c r="F61" s="129">
        <f t="shared" si="2"/>
        <v>6.2170054054054047</v>
      </c>
      <c r="G61" s="129">
        <f t="shared" si="3"/>
        <v>62170.054054054046</v>
      </c>
      <c r="H61" s="130">
        <v>1</v>
      </c>
      <c r="I61" s="129">
        <f t="shared" si="8"/>
        <v>6.2170054054054047</v>
      </c>
      <c r="J61" s="129">
        <f t="shared" si="9"/>
        <v>62170.054054054046</v>
      </c>
      <c r="K61" s="15">
        <f t="shared" si="1"/>
        <v>62170.054054054046</v>
      </c>
    </row>
    <row r="62" spans="1:12" x14ac:dyDescent="0.25">
      <c r="A62" s="509" t="s">
        <v>859</v>
      </c>
      <c r="B62" s="509" t="s">
        <v>860</v>
      </c>
      <c r="C62" s="349">
        <f>139.7*25.40117272</f>
        <v>3548.5438289839999</v>
      </c>
      <c r="D62" s="133">
        <v>1</v>
      </c>
      <c r="E62" s="133">
        <f t="shared" ref="E62:E73" si="10">C62/D62</f>
        <v>3548.5438289839999</v>
      </c>
      <c r="F62" s="129">
        <f t="shared" si="2"/>
        <v>0.39779176322910637</v>
      </c>
      <c r="G62" s="129">
        <f t="shared" si="3"/>
        <v>3977.9176322910639</v>
      </c>
      <c r="H62" s="242">
        <v>1</v>
      </c>
      <c r="I62" s="133">
        <f t="shared" ref="I62:I73" si="11">F62*H62</f>
        <v>0.39779176322910637</v>
      </c>
      <c r="J62" s="133">
        <f t="shared" ref="J62:J71" si="12">G62*H62</f>
        <v>3977.9176322910639</v>
      </c>
      <c r="K62" s="15">
        <f t="shared" si="1"/>
        <v>3977.9176322910639</v>
      </c>
      <c r="L62" s="348"/>
    </row>
    <row r="63" spans="1:12" x14ac:dyDescent="0.25">
      <c r="A63" s="510" t="s">
        <v>859</v>
      </c>
      <c r="B63" s="511" t="s">
        <v>861</v>
      </c>
      <c r="C63" s="349">
        <f>47.1* 27.2155</f>
        <v>1281.85005</v>
      </c>
      <c r="D63" s="133">
        <v>1</v>
      </c>
      <c r="E63" s="133">
        <f t="shared" si="10"/>
        <v>1281.85005</v>
      </c>
      <c r="F63" s="129">
        <f t="shared" si="2"/>
        <v>0.143695390605</v>
      </c>
      <c r="G63" s="129">
        <f t="shared" si="3"/>
        <v>1436.9539060500001</v>
      </c>
      <c r="H63" s="242">
        <v>1</v>
      </c>
      <c r="I63" s="133">
        <f t="shared" si="11"/>
        <v>0.143695390605</v>
      </c>
      <c r="J63" s="133">
        <f t="shared" si="12"/>
        <v>1436.9539060500001</v>
      </c>
      <c r="K63" s="15">
        <f t="shared" si="1"/>
        <v>1436.9539060500001</v>
      </c>
    </row>
    <row r="64" spans="1:12" x14ac:dyDescent="0.25">
      <c r="A64" s="512" t="s">
        <v>862</v>
      </c>
      <c r="B64" s="512" t="s">
        <v>860</v>
      </c>
      <c r="C64" s="349">
        <f>151.3*25.40117272</f>
        <v>3843.1974325360006</v>
      </c>
      <c r="D64" s="133">
        <v>1</v>
      </c>
      <c r="E64" s="133">
        <f t="shared" si="10"/>
        <v>3843.1974325360006</v>
      </c>
      <c r="F64" s="129">
        <f t="shared" si="2"/>
        <v>0.43082243218728566</v>
      </c>
      <c r="G64" s="129">
        <f t="shared" si="3"/>
        <v>4308.2243218728563</v>
      </c>
      <c r="H64" s="242">
        <v>1</v>
      </c>
      <c r="I64" s="133">
        <f t="shared" si="11"/>
        <v>0.43082243218728566</v>
      </c>
      <c r="J64" s="133">
        <f t="shared" si="12"/>
        <v>4308.2243218728563</v>
      </c>
      <c r="K64" s="15">
        <f t="shared" si="1"/>
        <v>4308.2243218728563</v>
      </c>
    </row>
    <row r="65" spans="1:11" x14ac:dyDescent="0.25">
      <c r="A65" s="510" t="s">
        <v>862</v>
      </c>
      <c r="B65" s="511" t="s">
        <v>861</v>
      </c>
      <c r="C65" s="349">
        <f>45.5* 27.2155</f>
        <v>1238.3052499999999</v>
      </c>
      <c r="D65" s="133">
        <v>1</v>
      </c>
      <c r="E65" s="133">
        <f t="shared" si="10"/>
        <v>1238.3052499999999</v>
      </c>
      <c r="F65" s="129">
        <f t="shared" si="2"/>
        <v>0.138814018525</v>
      </c>
      <c r="G65" s="129">
        <f t="shared" si="3"/>
        <v>1388.1401852499998</v>
      </c>
      <c r="H65" s="242">
        <v>1</v>
      </c>
      <c r="I65" s="133">
        <f t="shared" si="11"/>
        <v>0.138814018525</v>
      </c>
      <c r="J65" s="133">
        <f t="shared" si="12"/>
        <v>1388.1401852499998</v>
      </c>
      <c r="K65" s="15">
        <f t="shared" si="1"/>
        <v>1388.1401852499998</v>
      </c>
    </row>
    <row r="66" spans="1:11" x14ac:dyDescent="0.25">
      <c r="A66" s="512" t="s">
        <v>863</v>
      </c>
      <c r="B66" s="512" t="s">
        <v>860</v>
      </c>
      <c r="C66" s="349">
        <f>209.3*25.40117272</f>
        <v>5316.4654502960002</v>
      </c>
      <c r="D66" s="133">
        <v>1</v>
      </c>
      <c r="E66" s="133">
        <f t="shared" si="10"/>
        <v>5316.4654502960002</v>
      </c>
      <c r="F66" s="129">
        <f t="shared" si="2"/>
        <v>0.5959757769781816</v>
      </c>
      <c r="G66" s="129">
        <f t="shared" si="3"/>
        <v>5959.757769781816</v>
      </c>
      <c r="H66" s="242">
        <v>1</v>
      </c>
      <c r="I66" s="133">
        <f t="shared" si="11"/>
        <v>0.5959757769781816</v>
      </c>
      <c r="J66" s="133">
        <f t="shared" si="12"/>
        <v>5959.757769781816</v>
      </c>
      <c r="K66" s="15">
        <f t="shared" si="1"/>
        <v>5959.757769781816</v>
      </c>
    </row>
    <row r="67" spans="1:11" x14ac:dyDescent="0.25">
      <c r="A67" s="510" t="s">
        <v>863</v>
      </c>
      <c r="B67" s="511" t="s">
        <v>861</v>
      </c>
      <c r="C67" s="349">
        <f>56.5* 27.2155</f>
        <v>1537.6757499999999</v>
      </c>
      <c r="D67" s="133">
        <v>1</v>
      </c>
      <c r="E67" s="133">
        <f t="shared" si="10"/>
        <v>1537.6757499999999</v>
      </c>
      <c r="F67" s="129">
        <f t="shared" si="2"/>
        <v>0.17237345157499998</v>
      </c>
      <c r="G67" s="129">
        <f t="shared" si="3"/>
        <v>1723.7345157499999</v>
      </c>
      <c r="H67" s="242">
        <v>1</v>
      </c>
      <c r="I67" s="133">
        <f t="shared" si="11"/>
        <v>0.17237345157499998</v>
      </c>
      <c r="J67" s="133">
        <f t="shared" si="12"/>
        <v>1723.7345157499999</v>
      </c>
      <c r="K67" s="15">
        <f t="shared" si="1"/>
        <v>1723.7345157499999</v>
      </c>
    </row>
    <row r="68" spans="1:11" x14ac:dyDescent="0.25">
      <c r="A68" s="512" t="s">
        <v>864</v>
      </c>
      <c r="B68" s="512" t="s">
        <v>860</v>
      </c>
      <c r="C68" s="349">
        <f>172*25.40117272</f>
        <v>4369.0017078400006</v>
      </c>
      <c r="D68" s="133">
        <v>1</v>
      </c>
      <c r="E68" s="133">
        <f t="shared" si="10"/>
        <v>4369.0017078400006</v>
      </c>
      <c r="F68" s="129">
        <f t="shared" ref="F68:F73" si="13">E68*B$125</f>
        <v>0.48976509144886404</v>
      </c>
      <c r="G68" s="129">
        <f t="shared" ref="G68:G72" si="14">E68*B$126</f>
        <v>4897.6509144886404</v>
      </c>
      <c r="H68" s="242">
        <v>1</v>
      </c>
      <c r="I68" s="133">
        <f t="shared" si="11"/>
        <v>0.48976509144886404</v>
      </c>
      <c r="J68" s="133">
        <f t="shared" si="12"/>
        <v>4897.6509144886404</v>
      </c>
      <c r="K68" s="15">
        <f t="shared" ref="K68:K73" si="15">J68</f>
        <v>4897.6509144886404</v>
      </c>
    </row>
    <row r="69" spans="1:11" x14ac:dyDescent="0.25">
      <c r="A69" s="510" t="s">
        <v>864</v>
      </c>
      <c r="B69" s="511" t="s">
        <v>861</v>
      </c>
      <c r="C69" s="349">
        <f>51.4* 27.2155</f>
        <v>1398.8766999999998</v>
      </c>
      <c r="D69" s="133">
        <v>1</v>
      </c>
      <c r="E69" s="133">
        <f t="shared" si="10"/>
        <v>1398.8766999999998</v>
      </c>
      <c r="F69" s="129">
        <f t="shared" si="13"/>
        <v>0.15681407806999997</v>
      </c>
      <c r="G69" s="129">
        <f t="shared" si="14"/>
        <v>1568.1407806999998</v>
      </c>
      <c r="H69" s="242">
        <v>1</v>
      </c>
      <c r="I69" s="133">
        <f t="shared" si="11"/>
        <v>0.15681407806999997</v>
      </c>
      <c r="J69" s="133">
        <f t="shared" si="12"/>
        <v>1568.1407806999998</v>
      </c>
      <c r="K69" s="15">
        <f t="shared" si="15"/>
        <v>1568.1407806999998</v>
      </c>
    </row>
    <row r="70" spans="1:11" x14ac:dyDescent="0.25">
      <c r="A70" s="512" t="s">
        <v>865</v>
      </c>
      <c r="B70" s="512" t="s">
        <v>860</v>
      </c>
      <c r="C70" s="349">
        <f>150.2*25.40117272</f>
        <v>3815.2561425439999</v>
      </c>
      <c r="D70" s="133">
        <v>1</v>
      </c>
      <c r="E70" s="133">
        <f t="shared" si="10"/>
        <v>3815.2561425439999</v>
      </c>
      <c r="F70" s="129">
        <f t="shared" si="13"/>
        <v>0.42769021357918241</v>
      </c>
      <c r="G70" s="129">
        <f t="shared" si="14"/>
        <v>4276.9021357918236</v>
      </c>
      <c r="H70" s="242">
        <v>1</v>
      </c>
      <c r="I70" s="133">
        <f t="shared" si="11"/>
        <v>0.42769021357918241</v>
      </c>
      <c r="J70" s="133">
        <f t="shared" si="12"/>
        <v>4276.9021357918236</v>
      </c>
      <c r="K70" s="15">
        <f t="shared" si="15"/>
        <v>4276.9021357918236</v>
      </c>
    </row>
    <row r="71" spans="1:11" x14ac:dyDescent="0.25">
      <c r="A71" s="510" t="s">
        <v>865</v>
      </c>
      <c r="B71" s="511" t="s">
        <v>861</v>
      </c>
      <c r="C71" s="349">
        <f>50.2* 27.2155</f>
        <v>1366.2181</v>
      </c>
      <c r="D71" s="133">
        <v>1</v>
      </c>
      <c r="E71" s="133">
        <f t="shared" si="10"/>
        <v>1366.2181</v>
      </c>
      <c r="F71" s="129">
        <f t="shared" si="13"/>
        <v>0.15315304901000001</v>
      </c>
      <c r="G71" s="129">
        <f t="shared" si="14"/>
        <v>1531.5304901</v>
      </c>
      <c r="H71" s="242">
        <v>1</v>
      </c>
      <c r="I71" s="133">
        <f t="shared" si="11"/>
        <v>0.15315304901000001</v>
      </c>
      <c r="J71" s="133">
        <f t="shared" si="12"/>
        <v>1531.5304901</v>
      </c>
      <c r="K71" s="15">
        <f t="shared" si="15"/>
        <v>1531.5304901</v>
      </c>
    </row>
    <row r="72" spans="1:11" x14ac:dyDescent="0.25">
      <c r="A72" s="512" t="s">
        <v>866</v>
      </c>
      <c r="B72" s="512" t="s">
        <v>860</v>
      </c>
      <c r="C72" s="349">
        <f>168*25.40117272</f>
        <v>4267.3970169600007</v>
      </c>
      <c r="D72" s="133">
        <v>1</v>
      </c>
      <c r="E72" s="133">
        <f t="shared" si="10"/>
        <v>4267.3970169600007</v>
      </c>
      <c r="F72" s="129">
        <f t="shared" si="13"/>
        <v>0.4783752056012161</v>
      </c>
      <c r="G72" s="129">
        <f t="shared" si="14"/>
        <v>4783.7520560121611</v>
      </c>
      <c r="H72" s="242">
        <v>1</v>
      </c>
      <c r="I72" s="133">
        <f t="shared" si="11"/>
        <v>0.4783752056012161</v>
      </c>
      <c r="J72" s="133">
        <f t="shared" si="9"/>
        <v>4783.7520560121611</v>
      </c>
      <c r="K72" s="15">
        <f t="shared" si="15"/>
        <v>4783.7520560121611</v>
      </c>
    </row>
    <row r="73" spans="1:11" x14ac:dyDescent="0.25">
      <c r="A73" s="510" t="s">
        <v>866</v>
      </c>
      <c r="B73" s="511" t="s">
        <v>861</v>
      </c>
      <c r="C73" s="349">
        <f>49.5* 27.2155</f>
        <v>1347.16725</v>
      </c>
      <c r="D73" s="133">
        <v>1</v>
      </c>
      <c r="E73" s="133">
        <f t="shared" si="10"/>
        <v>1347.16725</v>
      </c>
      <c r="F73" s="129">
        <f t="shared" si="13"/>
        <v>0.151017448725</v>
      </c>
      <c r="G73" s="129">
        <f>E73*B$126</f>
        <v>1510.1744872499999</v>
      </c>
      <c r="H73" s="242">
        <v>1</v>
      </c>
      <c r="I73" s="133">
        <f t="shared" si="11"/>
        <v>0.151017448725</v>
      </c>
      <c r="J73" s="133">
        <f t="shared" si="9"/>
        <v>1510.1744872499999</v>
      </c>
      <c r="K73" s="15">
        <f t="shared" si="15"/>
        <v>1510.1744872499999</v>
      </c>
    </row>
    <row r="74" spans="1:11" x14ac:dyDescent="0.25">
      <c r="A74" s="275"/>
      <c r="B74" s="230"/>
      <c r="C74" s="129"/>
      <c r="D74" s="282"/>
      <c r="E74" s="129"/>
      <c r="F74" s="129"/>
      <c r="G74" s="129"/>
      <c r="H74" s="130"/>
      <c r="I74" s="129"/>
      <c r="J74" s="129"/>
    </row>
    <row r="75" spans="1:11" x14ac:dyDescent="0.25">
      <c r="A75" s="1188" t="s">
        <v>867</v>
      </c>
      <c r="B75" s="1122"/>
      <c r="C75" s="1122"/>
      <c r="D75" s="1122"/>
      <c r="E75" s="1122"/>
      <c r="F75" s="1122"/>
      <c r="G75" s="1122"/>
      <c r="H75" s="1122"/>
      <c r="I75" s="1122"/>
      <c r="J75" s="1122"/>
      <c r="K75" s="1122"/>
    </row>
    <row r="76" spans="1:11" x14ac:dyDescent="0.25">
      <c r="A76" s="332" t="s">
        <v>868</v>
      </c>
      <c r="B76" s="333"/>
      <c r="C76" s="129">
        <v>10.802803382011758</v>
      </c>
      <c r="D76" s="129">
        <v>4.1584786329386587E-4</v>
      </c>
      <c r="E76" s="129">
        <f>(C76/D76)</f>
        <v>25977.777777777774</v>
      </c>
      <c r="F76" s="129">
        <f>E76*B$125</f>
        <v>2.9121088888888886</v>
      </c>
      <c r="G76" s="129">
        <f>E76*B$126</f>
        <v>29121.088888888884</v>
      </c>
      <c r="H76" s="130">
        <v>0.95</v>
      </c>
      <c r="I76" s="129">
        <f t="shared" ref="I76:I100" si="16">F76*H76</f>
        <v>2.7665034444444441</v>
      </c>
      <c r="J76" s="129">
        <f t="shared" ref="J76:J99" si="17">G76*H76</f>
        <v>27665.034444444438</v>
      </c>
      <c r="K76" s="129">
        <f>J76</f>
        <v>27665.034444444438</v>
      </c>
    </row>
    <row r="77" spans="1:11" x14ac:dyDescent="0.25">
      <c r="A77" s="334" t="s">
        <v>739</v>
      </c>
      <c r="B77" s="335"/>
      <c r="C77" s="129">
        <v>0.12056078062390427</v>
      </c>
      <c r="D77" s="129">
        <v>4.6399999999999996E-6</v>
      </c>
      <c r="E77" s="129">
        <f>(C77/D77)</f>
        <v>25982.926858600058</v>
      </c>
      <c r="F77" s="129">
        <f t="shared" ref="F77:F100" si="18">E77*B$125</f>
        <v>2.9126861008490663</v>
      </c>
      <c r="G77" s="129">
        <f t="shared" ref="G77:G100" si="19">E77*B$126</f>
        <v>29126.861008490665</v>
      </c>
      <c r="H77" s="130">
        <v>0.95</v>
      </c>
      <c r="I77" s="129">
        <f t="shared" si="16"/>
        <v>2.767051795806613</v>
      </c>
      <c r="J77" s="129">
        <f t="shared" si="17"/>
        <v>27670.517958066132</v>
      </c>
      <c r="K77" s="129">
        <f t="shared" ref="K77:K100" si="20">J77</f>
        <v>27670.517958066132</v>
      </c>
    </row>
    <row r="78" spans="1:11" x14ac:dyDescent="0.25">
      <c r="A78" s="334" t="s">
        <v>741</v>
      </c>
      <c r="B78" s="335"/>
      <c r="C78" s="129">
        <v>68.026199553269464</v>
      </c>
      <c r="D78" s="129">
        <v>2.6186304361823149E-3</v>
      </c>
      <c r="E78" s="129">
        <f>(C78/D78)</f>
        <v>25977.777777777777</v>
      </c>
      <c r="F78" s="129">
        <f t="shared" si="18"/>
        <v>2.9121088888888891</v>
      </c>
      <c r="G78" s="129">
        <f t="shared" si="19"/>
        <v>29121.088888888888</v>
      </c>
      <c r="H78" s="130">
        <v>0.95</v>
      </c>
      <c r="I78" s="129">
        <f t="shared" si="16"/>
        <v>2.7665034444444445</v>
      </c>
      <c r="J78" s="129">
        <f t="shared" si="17"/>
        <v>27665.034444444442</v>
      </c>
      <c r="K78" s="129">
        <f t="shared" si="20"/>
        <v>27665.034444444442</v>
      </c>
    </row>
    <row r="79" spans="1:11" x14ac:dyDescent="0.25">
      <c r="A79" s="334" t="s">
        <v>743</v>
      </c>
      <c r="B79" s="335"/>
      <c r="C79" s="129">
        <v>4.5999999999999996</v>
      </c>
      <c r="D79" s="129">
        <v>8.8000000000000003E-4</v>
      </c>
      <c r="E79" s="129">
        <f>(4.6/D79)</f>
        <v>5227.272727272727</v>
      </c>
      <c r="F79" s="129">
        <f t="shared" si="18"/>
        <v>0.58597727272727274</v>
      </c>
      <c r="G79" s="129">
        <f t="shared" si="19"/>
        <v>5859.772727272727</v>
      </c>
      <c r="H79" s="130">
        <v>0.95</v>
      </c>
      <c r="I79" s="129">
        <f t="shared" si="16"/>
        <v>0.55667840909090904</v>
      </c>
      <c r="J79" s="129">
        <f t="shared" si="17"/>
        <v>5566.7840909090901</v>
      </c>
      <c r="K79" s="129">
        <f t="shared" si="20"/>
        <v>5566.7840909090901</v>
      </c>
    </row>
    <row r="80" spans="1:11" x14ac:dyDescent="0.25">
      <c r="A80" s="334" t="s">
        <v>744</v>
      </c>
      <c r="B80" s="335"/>
      <c r="C80" s="129">
        <v>1.9168171730800796</v>
      </c>
      <c r="D80" s="129">
        <v>2.9999999999999997E-4</v>
      </c>
      <c r="E80" s="129">
        <f>(C80/D80)</f>
        <v>6389.3905769335988</v>
      </c>
      <c r="F80" s="129">
        <f t="shared" si="18"/>
        <v>0.71625068367425648</v>
      </c>
      <c r="G80" s="129">
        <f t="shared" si="19"/>
        <v>7162.5068367425647</v>
      </c>
      <c r="H80" s="130">
        <v>0.95</v>
      </c>
      <c r="I80" s="129">
        <f t="shared" si="16"/>
        <v>0.6804381494905436</v>
      </c>
      <c r="J80" s="129">
        <f t="shared" si="17"/>
        <v>6804.3814949054358</v>
      </c>
      <c r="K80" s="129">
        <f t="shared" si="20"/>
        <v>6804.3814949054358</v>
      </c>
    </row>
    <row r="81" spans="1:11" x14ac:dyDescent="0.25">
      <c r="A81" s="334" t="s">
        <v>746</v>
      </c>
      <c r="B81" s="335"/>
      <c r="C81" s="129">
        <v>13.7</v>
      </c>
      <c r="D81" s="129">
        <v>9.1E-4</v>
      </c>
      <c r="E81" s="129">
        <f>(13.7/D81)</f>
        <v>15054.945054945054</v>
      </c>
      <c r="F81" s="129">
        <f t="shared" si="18"/>
        <v>1.6876593406593405</v>
      </c>
      <c r="G81" s="129">
        <f t="shared" si="19"/>
        <v>16876.593406593405</v>
      </c>
      <c r="H81" s="130">
        <v>0.95</v>
      </c>
      <c r="I81" s="129">
        <f t="shared" si="16"/>
        <v>1.6032763736263735</v>
      </c>
      <c r="J81" s="129">
        <f t="shared" si="17"/>
        <v>16032.763736263734</v>
      </c>
      <c r="K81" s="129">
        <f t="shared" si="20"/>
        <v>16032.763736263734</v>
      </c>
    </row>
    <row r="82" spans="1:11" x14ac:dyDescent="0.25">
      <c r="A82" s="334" t="s">
        <v>748</v>
      </c>
      <c r="B82" s="335"/>
      <c r="C82" s="129">
        <v>6</v>
      </c>
      <c r="D82" s="129">
        <v>2.0000000000000001E-4</v>
      </c>
      <c r="E82" s="129">
        <f>(6/D82)</f>
        <v>30000</v>
      </c>
      <c r="F82" s="129">
        <f t="shared" si="18"/>
        <v>3.363</v>
      </c>
      <c r="G82" s="129">
        <f t="shared" si="19"/>
        <v>33630</v>
      </c>
      <c r="H82" s="130">
        <v>0.95</v>
      </c>
      <c r="I82" s="129">
        <f t="shared" si="16"/>
        <v>3.1948499999999997</v>
      </c>
      <c r="J82" s="129">
        <f t="shared" si="17"/>
        <v>31948.5</v>
      </c>
      <c r="K82" s="129">
        <f t="shared" si="20"/>
        <v>31948.5</v>
      </c>
    </row>
    <row r="83" spans="1:11" x14ac:dyDescent="0.25">
      <c r="A83" s="334" t="s">
        <v>869</v>
      </c>
      <c r="B83" s="335"/>
      <c r="C83" s="129">
        <v>0.8</v>
      </c>
      <c r="D83" s="129">
        <v>1.2999999999999999E-4</v>
      </c>
      <c r="E83" s="129">
        <f>(0.8/D83)</f>
        <v>6153.8461538461552</v>
      </c>
      <c r="F83" s="129">
        <f t="shared" si="18"/>
        <v>0.689846153846154</v>
      </c>
      <c r="G83" s="129">
        <f t="shared" si="19"/>
        <v>6898.4615384615399</v>
      </c>
      <c r="H83" s="130">
        <v>0.95</v>
      </c>
      <c r="I83" s="129">
        <f t="shared" si="16"/>
        <v>0.65535384615384629</v>
      </c>
      <c r="J83" s="129">
        <f t="shared" si="17"/>
        <v>6553.5384615384628</v>
      </c>
      <c r="K83" s="129">
        <f t="shared" si="20"/>
        <v>6553.5384615384628</v>
      </c>
    </row>
    <row r="84" spans="1:11" ht="15.75" thickBot="1" x14ac:dyDescent="0.3">
      <c r="A84" s="336" t="s">
        <v>751</v>
      </c>
      <c r="B84" s="337"/>
      <c r="C84" s="129">
        <v>1.5</v>
      </c>
      <c r="D84" s="129">
        <v>3.0000000000000001E-5</v>
      </c>
      <c r="E84" s="129">
        <f>(1.5/D84)</f>
        <v>50000</v>
      </c>
      <c r="F84" s="129">
        <f t="shared" si="18"/>
        <v>5.6050000000000004</v>
      </c>
      <c r="G84" s="129">
        <f t="shared" si="19"/>
        <v>56050</v>
      </c>
      <c r="H84" s="130">
        <v>0.95</v>
      </c>
      <c r="I84" s="129">
        <f t="shared" si="16"/>
        <v>5.3247499999999999</v>
      </c>
      <c r="J84" s="129">
        <f t="shared" si="17"/>
        <v>53247.5</v>
      </c>
      <c r="K84" s="129">
        <f t="shared" si="20"/>
        <v>53247.5</v>
      </c>
    </row>
    <row r="85" spans="1:11" x14ac:dyDescent="0.25">
      <c r="A85" s="338" t="s">
        <v>870</v>
      </c>
      <c r="B85" s="339"/>
      <c r="C85" s="131">
        <v>3.4</v>
      </c>
      <c r="D85" s="131">
        <v>2.3000000000000001E-4</v>
      </c>
      <c r="E85" s="129">
        <f>(3.4/D85)</f>
        <v>14782.608695652172</v>
      </c>
      <c r="F85" s="129">
        <f t="shared" si="18"/>
        <v>1.6571304347826086</v>
      </c>
      <c r="G85" s="129">
        <f t="shared" si="19"/>
        <v>16571.304347826084</v>
      </c>
      <c r="H85" s="130">
        <v>0.95</v>
      </c>
      <c r="I85" s="129">
        <f t="shared" si="16"/>
        <v>1.574273913043478</v>
      </c>
      <c r="J85" s="129">
        <f t="shared" si="17"/>
        <v>15742.739130434778</v>
      </c>
      <c r="K85" s="129">
        <f t="shared" si="20"/>
        <v>15742.739130434778</v>
      </c>
    </row>
    <row r="86" spans="1:11" ht="15.75" thickBot="1" x14ac:dyDescent="0.3">
      <c r="A86" s="336" t="s">
        <v>753</v>
      </c>
      <c r="B86" s="337"/>
      <c r="C86" s="131">
        <v>0.8</v>
      </c>
      <c r="D86" s="131">
        <v>5.0000000000000002E-5</v>
      </c>
      <c r="E86" s="129">
        <f t="shared" ref="E86:E100" si="21">(C86/D86)</f>
        <v>16000</v>
      </c>
      <c r="F86" s="129">
        <f t="shared" si="18"/>
        <v>1.7936000000000001</v>
      </c>
      <c r="G86" s="129">
        <f t="shared" si="19"/>
        <v>17936</v>
      </c>
      <c r="H86" s="130">
        <v>0.95</v>
      </c>
      <c r="I86" s="129">
        <f t="shared" si="16"/>
        <v>1.7039200000000001</v>
      </c>
      <c r="J86" s="129">
        <f t="shared" si="17"/>
        <v>17039.2</v>
      </c>
      <c r="K86" s="129">
        <f t="shared" si="20"/>
        <v>17039.2</v>
      </c>
    </row>
    <row r="87" spans="1:11" x14ac:dyDescent="0.25">
      <c r="A87" s="340" t="s">
        <v>871</v>
      </c>
      <c r="B87" s="341"/>
      <c r="C87" s="131">
        <v>4.4000000000000004</v>
      </c>
      <c r="D87" s="129">
        <v>8.2487351127275338E-5</v>
      </c>
      <c r="E87" s="129">
        <f t="shared" si="21"/>
        <v>53341.511636262163</v>
      </c>
      <c r="F87" s="129">
        <f t="shared" si="18"/>
        <v>5.9795834544249882</v>
      </c>
      <c r="G87" s="129">
        <f t="shared" si="19"/>
        <v>59795.834544249883</v>
      </c>
      <c r="H87" s="130">
        <v>0.95</v>
      </c>
      <c r="I87" s="129">
        <f t="shared" si="16"/>
        <v>5.6806042817037383</v>
      </c>
      <c r="J87" s="129">
        <f t="shared" si="17"/>
        <v>56806.042817037385</v>
      </c>
      <c r="K87" s="129">
        <f t="shared" si="20"/>
        <v>56806.042817037385</v>
      </c>
    </row>
    <row r="88" spans="1:11" x14ac:dyDescent="0.25">
      <c r="A88" s="340" t="s">
        <v>872</v>
      </c>
      <c r="B88" s="341"/>
      <c r="C88" s="131">
        <v>4.4000000000000004</v>
      </c>
      <c r="D88" s="129">
        <v>8.3218457625434863E-5</v>
      </c>
      <c r="E88" s="129">
        <f t="shared" si="21"/>
        <v>52872.885722111554</v>
      </c>
      <c r="F88" s="129">
        <f t="shared" si="18"/>
        <v>5.9270504894487051</v>
      </c>
      <c r="G88" s="129">
        <f t="shared" si="19"/>
        <v>59270.50489448705</v>
      </c>
      <c r="H88" s="130">
        <v>0.95</v>
      </c>
      <c r="I88" s="129">
        <f t="shared" si="16"/>
        <v>5.6306979649762692</v>
      </c>
      <c r="J88" s="129">
        <f t="shared" si="17"/>
        <v>56306.979649762696</v>
      </c>
      <c r="K88" s="129">
        <f t="shared" si="20"/>
        <v>56306.979649762696</v>
      </c>
    </row>
    <row r="89" spans="1:11" ht="15.75" thickBot="1" x14ac:dyDescent="0.3">
      <c r="A89" s="340" t="s">
        <v>873</v>
      </c>
      <c r="B89" s="341"/>
      <c r="C89" s="131">
        <v>192.4</v>
      </c>
      <c r="D89" s="129">
        <v>2.5017063488939218E-3</v>
      </c>
      <c r="E89" s="129">
        <f t="shared" si="21"/>
        <v>76907.507583800048</v>
      </c>
      <c r="F89" s="129">
        <f t="shared" si="18"/>
        <v>8.6213316001439857</v>
      </c>
      <c r="G89" s="129">
        <f t="shared" si="19"/>
        <v>86213.31600143986</v>
      </c>
      <c r="H89" s="130">
        <v>0.95</v>
      </c>
      <c r="I89" s="129">
        <f t="shared" si="16"/>
        <v>8.1902650201367866</v>
      </c>
      <c r="J89" s="129">
        <f t="shared" si="17"/>
        <v>81902.650201367869</v>
      </c>
      <c r="K89" s="129">
        <f t="shared" si="20"/>
        <v>81902.650201367869</v>
      </c>
    </row>
    <row r="90" spans="1:11" x14ac:dyDescent="0.25">
      <c r="A90" s="342" t="s">
        <v>762</v>
      </c>
      <c r="B90" s="343"/>
      <c r="C90" s="131">
        <v>12.7</v>
      </c>
      <c r="D90" s="131">
        <v>8.7000000000000001E-4</v>
      </c>
      <c r="E90" s="129">
        <f t="shared" si="21"/>
        <v>14597.701149425286</v>
      </c>
      <c r="F90" s="129">
        <f t="shared" si="18"/>
        <v>1.6364022988505744</v>
      </c>
      <c r="G90" s="129">
        <f t="shared" si="19"/>
        <v>16364.022988505745</v>
      </c>
      <c r="H90" s="130">
        <v>0.95</v>
      </c>
      <c r="I90" s="129">
        <f t="shared" si="16"/>
        <v>1.5545821839080456</v>
      </c>
      <c r="J90" s="129">
        <f t="shared" si="17"/>
        <v>15545.821839080458</v>
      </c>
      <c r="K90" s="129">
        <f t="shared" si="20"/>
        <v>15545.821839080458</v>
      </c>
    </row>
    <row r="91" spans="1:11" ht="27" customHeight="1" x14ac:dyDescent="0.25">
      <c r="A91" s="334" t="s">
        <v>764</v>
      </c>
      <c r="B91" s="335"/>
      <c r="C91" s="131">
        <v>17</v>
      </c>
      <c r="D91" s="131">
        <v>1.0499999999999999E-3</v>
      </c>
      <c r="E91" s="129">
        <f t="shared" si="21"/>
        <v>16190.476190476191</v>
      </c>
      <c r="F91" s="129">
        <f t="shared" si="18"/>
        <v>1.8149523809523811</v>
      </c>
      <c r="G91" s="129">
        <f t="shared" si="19"/>
        <v>18149.523809523809</v>
      </c>
      <c r="H91" s="130">
        <v>0.95</v>
      </c>
      <c r="I91" s="129">
        <f t="shared" si="16"/>
        <v>1.724204761904762</v>
      </c>
      <c r="J91" s="129">
        <f t="shared" si="17"/>
        <v>17242.047619047618</v>
      </c>
      <c r="K91" s="129">
        <f t="shared" si="20"/>
        <v>17242.047619047618</v>
      </c>
    </row>
    <row r="92" spans="1:11" x14ac:dyDescent="0.25">
      <c r="A92" s="334" t="s">
        <v>765</v>
      </c>
      <c r="B92" s="335"/>
      <c r="C92" s="129">
        <v>1.6</v>
      </c>
      <c r="D92" s="129">
        <v>4.4000000000000002E-4</v>
      </c>
      <c r="E92" s="129">
        <f t="shared" si="21"/>
        <v>3636.3636363636365</v>
      </c>
      <c r="F92" s="129">
        <f t="shared" si="18"/>
        <v>0.40763636363636363</v>
      </c>
      <c r="G92" s="129">
        <f t="shared" si="19"/>
        <v>4076.3636363636365</v>
      </c>
      <c r="H92" s="130">
        <v>0.95</v>
      </c>
      <c r="I92" s="129">
        <f t="shared" si="16"/>
        <v>0.38725454545454541</v>
      </c>
      <c r="J92" s="129">
        <f t="shared" si="17"/>
        <v>3872.5454545454545</v>
      </c>
      <c r="K92" s="129">
        <f t="shared" si="20"/>
        <v>3872.5454545454545</v>
      </c>
    </row>
    <row r="93" spans="1:11" x14ac:dyDescent="0.25">
      <c r="A93" s="334" t="s">
        <v>766</v>
      </c>
      <c r="B93" s="335"/>
      <c r="C93" s="131">
        <v>2.6</v>
      </c>
      <c r="D93" s="131">
        <v>6.6E-4</v>
      </c>
      <c r="E93" s="129">
        <f t="shared" si="21"/>
        <v>3939.3939393939395</v>
      </c>
      <c r="F93" s="129">
        <f t="shared" si="18"/>
        <v>0.44160606060606061</v>
      </c>
      <c r="G93" s="129">
        <f t="shared" si="19"/>
        <v>4416.060606060606</v>
      </c>
      <c r="H93" s="130">
        <v>0.95</v>
      </c>
      <c r="I93" s="129">
        <f t="shared" si="16"/>
        <v>0.41952575757575755</v>
      </c>
      <c r="J93" s="129">
        <f t="shared" si="17"/>
        <v>4195.2575757575751</v>
      </c>
      <c r="K93" s="129">
        <f t="shared" si="20"/>
        <v>4195.2575757575751</v>
      </c>
    </row>
    <row r="94" spans="1:11" x14ac:dyDescent="0.25">
      <c r="A94" s="334" t="s">
        <v>767</v>
      </c>
      <c r="B94" s="335"/>
      <c r="C94" s="131">
        <v>1.5</v>
      </c>
      <c r="D94" s="131">
        <v>4.0000000000000003E-5</v>
      </c>
      <c r="E94" s="129">
        <f t="shared" si="21"/>
        <v>37500</v>
      </c>
      <c r="F94" s="129">
        <f t="shared" si="18"/>
        <v>4.2037500000000003</v>
      </c>
      <c r="G94" s="129">
        <f t="shared" si="19"/>
        <v>42037.5</v>
      </c>
      <c r="H94" s="130">
        <v>0.95</v>
      </c>
      <c r="I94" s="129">
        <f t="shared" si="16"/>
        <v>3.9935624999999999</v>
      </c>
      <c r="J94" s="129">
        <f t="shared" si="17"/>
        <v>39935.625</v>
      </c>
      <c r="K94" s="129">
        <f t="shared" si="20"/>
        <v>39935.625</v>
      </c>
    </row>
    <row r="95" spans="1:11" ht="15.75" thickBot="1" x14ac:dyDescent="0.3">
      <c r="A95" s="336" t="s">
        <v>768</v>
      </c>
      <c r="B95" s="337"/>
      <c r="C95" s="131">
        <v>92</v>
      </c>
      <c r="D95" s="131">
        <v>2.3900000000000002E-3</v>
      </c>
      <c r="E95" s="129">
        <f t="shared" si="21"/>
        <v>38493.723849372385</v>
      </c>
      <c r="F95" s="129">
        <f t="shared" si="18"/>
        <v>4.315146443514644</v>
      </c>
      <c r="G95" s="129">
        <f t="shared" si="19"/>
        <v>43151.464435146445</v>
      </c>
      <c r="H95" s="130">
        <v>0.95</v>
      </c>
      <c r="I95" s="129">
        <f t="shared" si="16"/>
        <v>4.0993891213389118</v>
      </c>
      <c r="J95" s="129">
        <f t="shared" si="17"/>
        <v>40993.891213389121</v>
      </c>
      <c r="K95" s="129">
        <f t="shared" si="20"/>
        <v>40993.891213389121</v>
      </c>
    </row>
    <row r="96" spans="1:11" x14ac:dyDescent="0.25">
      <c r="A96" s="342" t="s">
        <v>874</v>
      </c>
      <c r="B96" s="343"/>
      <c r="C96" s="129">
        <v>1.6</v>
      </c>
      <c r="D96" s="129">
        <v>3.0000000000000001E-5</v>
      </c>
      <c r="E96" s="129">
        <f t="shared" si="21"/>
        <v>53333.333333333336</v>
      </c>
      <c r="F96" s="129">
        <f t="shared" si="18"/>
        <v>5.9786666666666672</v>
      </c>
      <c r="G96" s="129">
        <f t="shared" si="19"/>
        <v>59786.666666666672</v>
      </c>
      <c r="H96" s="130">
        <v>0.95</v>
      </c>
      <c r="I96" s="129">
        <f t="shared" si="16"/>
        <v>5.679733333333334</v>
      </c>
      <c r="J96" s="129">
        <f t="shared" si="17"/>
        <v>56797.333333333336</v>
      </c>
      <c r="K96" s="129">
        <f t="shared" si="20"/>
        <v>56797.333333333336</v>
      </c>
    </row>
    <row r="97" spans="1:11" x14ac:dyDescent="0.25">
      <c r="A97" s="334" t="s">
        <v>769</v>
      </c>
      <c r="B97" s="335"/>
      <c r="C97" s="129">
        <v>5.2</v>
      </c>
      <c r="D97" s="129">
        <v>6.7000000000000002E-4</v>
      </c>
      <c r="E97" s="129">
        <f t="shared" si="21"/>
        <v>7761.1940298507461</v>
      </c>
      <c r="F97" s="129">
        <f t="shared" si="18"/>
        <v>0.8700298507462686</v>
      </c>
      <c r="G97" s="129">
        <f t="shared" si="19"/>
        <v>8700.2985074626868</v>
      </c>
      <c r="H97" s="130">
        <v>0.95</v>
      </c>
      <c r="I97" s="129">
        <f t="shared" si="16"/>
        <v>0.82652835820895509</v>
      </c>
      <c r="J97" s="129">
        <f t="shared" si="17"/>
        <v>8265.2835820895525</v>
      </c>
      <c r="K97" s="129">
        <f t="shared" si="20"/>
        <v>8265.2835820895525</v>
      </c>
    </row>
    <row r="98" spans="1:11" x14ac:dyDescent="0.25">
      <c r="A98" s="334" t="s">
        <v>770</v>
      </c>
      <c r="B98" s="335"/>
      <c r="C98" s="129">
        <v>2.4</v>
      </c>
      <c r="D98" s="129">
        <v>2.9999999999999997E-4</v>
      </c>
      <c r="E98" s="129">
        <f t="shared" si="21"/>
        <v>8000</v>
      </c>
      <c r="F98" s="129">
        <f t="shared" si="18"/>
        <v>0.89680000000000004</v>
      </c>
      <c r="G98" s="129">
        <f t="shared" si="19"/>
        <v>8968</v>
      </c>
      <c r="H98" s="130">
        <v>0.95</v>
      </c>
      <c r="I98" s="129">
        <f t="shared" si="16"/>
        <v>0.85196000000000005</v>
      </c>
      <c r="J98" s="129">
        <f t="shared" si="17"/>
        <v>8519.6</v>
      </c>
      <c r="K98" s="129">
        <f t="shared" si="20"/>
        <v>8519.6</v>
      </c>
    </row>
    <row r="99" spans="1:11" ht="15.75" thickBot="1" x14ac:dyDescent="0.3">
      <c r="A99" s="344" t="s">
        <v>875</v>
      </c>
      <c r="B99" s="345"/>
      <c r="C99" s="129">
        <v>3.8</v>
      </c>
      <c r="D99" s="129">
        <v>3.4000000000000002E-4</v>
      </c>
      <c r="E99" s="129">
        <f t="shared" si="21"/>
        <v>11176.470588235294</v>
      </c>
      <c r="F99" s="129">
        <f t="shared" si="18"/>
        <v>1.2528823529411763</v>
      </c>
      <c r="G99" s="129">
        <f t="shared" si="19"/>
        <v>12528.823529411764</v>
      </c>
      <c r="H99" s="130">
        <v>0.95</v>
      </c>
      <c r="I99" s="129">
        <f t="shared" si="16"/>
        <v>1.1902382352941174</v>
      </c>
      <c r="J99" s="129">
        <f t="shared" si="17"/>
        <v>11902.382352941175</v>
      </c>
      <c r="K99" s="129">
        <f t="shared" si="20"/>
        <v>11902.382352941175</v>
      </c>
    </row>
    <row r="100" spans="1:11" ht="15.75" thickBot="1" x14ac:dyDescent="0.3">
      <c r="A100" s="346" t="s">
        <v>876</v>
      </c>
      <c r="B100" s="347"/>
      <c r="C100" s="131">
        <v>2.2000000000000002</v>
      </c>
      <c r="D100" s="131">
        <v>1.47E-3</v>
      </c>
      <c r="E100" s="129">
        <f t="shared" si="21"/>
        <v>1496.5986394557824</v>
      </c>
      <c r="F100" s="129">
        <f t="shared" si="18"/>
        <v>0.16776870748299322</v>
      </c>
      <c r="G100" s="129">
        <f t="shared" si="19"/>
        <v>1677.687074829932</v>
      </c>
      <c r="H100" s="130">
        <v>0.95</v>
      </c>
      <c r="I100" s="129">
        <f t="shared" si="16"/>
        <v>0.15938027210884356</v>
      </c>
      <c r="J100" s="129">
        <f>G100*H100</f>
        <v>1593.8027210884354</v>
      </c>
      <c r="K100" s="129">
        <f t="shared" si="20"/>
        <v>1593.8027210884354</v>
      </c>
    </row>
    <row r="101" spans="1:11" x14ac:dyDescent="0.25">
      <c r="A101" s="230"/>
      <c r="B101" s="230"/>
      <c r="C101" s="131"/>
      <c r="D101" s="131"/>
      <c r="E101" s="129"/>
      <c r="F101" s="129"/>
      <c r="G101" s="129"/>
      <c r="H101" s="130"/>
      <c r="I101" s="129"/>
      <c r="J101" s="129"/>
    </row>
    <row r="102" spans="1:11" x14ac:dyDescent="0.25">
      <c r="A102" s="1127" t="s">
        <v>307</v>
      </c>
      <c r="B102" s="1127"/>
      <c r="C102" s="1127"/>
      <c r="D102" s="1127"/>
      <c r="E102" s="1127"/>
      <c r="F102" s="1127"/>
      <c r="G102" s="1127"/>
      <c r="H102" s="1127"/>
      <c r="I102" s="1127"/>
      <c r="J102" s="1127"/>
    </row>
    <row r="103" spans="1:11" ht="30" customHeight="1" x14ac:dyDescent="0.25">
      <c r="A103" s="1186" t="s">
        <v>877</v>
      </c>
      <c r="B103" s="1186"/>
      <c r="C103" s="1186"/>
      <c r="D103" s="1186"/>
      <c r="E103" s="1186"/>
      <c r="F103" s="1186"/>
      <c r="G103" s="1186"/>
      <c r="H103" s="1186"/>
      <c r="I103" s="1186"/>
      <c r="J103" s="1186"/>
    </row>
    <row r="104" spans="1:11" ht="30.75" customHeight="1" x14ac:dyDescent="0.25">
      <c r="A104" s="1125" t="s">
        <v>878</v>
      </c>
      <c r="B104" s="1125"/>
      <c r="C104" s="1125"/>
      <c r="D104" s="1125"/>
      <c r="E104" s="1125"/>
      <c r="F104" s="1125"/>
      <c r="G104" s="1125"/>
      <c r="H104" s="1125"/>
      <c r="I104" s="1125"/>
      <c r="J104" s="1125"/>
    </row>
    <row r="105" spans="1:11" ht="30.75" customHeight="1" x14ac:dyDescent="0.25">
      <c r="A105" s="1124" t="s">
        <v>879</v>
      </c>
      <c r="B105" s="1124"/>
      <c r="C105" s="1124"/>
      <c r="D105" s="1124"/>
      <c r="E105" s="1124"/>
      <c r="F105" s="1124"/>
      <c r="G105" s="1124"/>
      <c r="H105" s="1124"/>
      <c r="I105" s="1124"/>
      <c r="J105" s="1124"/>
    </row>
    <row r="106" spans="1:11" x14ac:dyDescent="0.25">
      <c r="A106" s="1126" t="s">
        <v>880</v>
      </c>
      <c r="B106" s="1126"/>
      <c r="C106" s="1126"/>
      <c r="D106" s="1126"/>
      <c r="E106" s="1126"/>
      <c r="F106" s="1126"/>
      <c r="G106" s="1126"/>
      <c r="H106" s="1126"/>
      <c r="I106" s="1126"/>
      <c r="J106" s="1126"/>
    </row>
    <row r="107" spans="1:11" ht="31.15" customHeight="1" x14ac:dyDescent="0.25">
      <c r="A107" s="1126" t="s">
        <v>881</v>
      </c>
      <c r="B107" s="1126"/>
      <c r="C107" s="1126"/>
      <c r="D107" s="1126"/>
      <c r="E107" s="1126"/>
      <c r="F107" s="1126"/>
      <c r="G107" s="1126"/>
      <c r="H107" s="1126"/>
      <c r="I107" s="1126"/>
      <c r="J107" s="1126"/>
    </row>
    <row r="109" spans="1:11" x14ac:dyDescent="0.25">
      <c r="A109" s="1127" t="s">
        <v>206</v>
      </c>
      <c r="B109" s="1127"/>
      <c r="C109" s="1127"/>
      <c r="D109" s="1127"/>
      <c r="E109" s="1127"/>
      <c r="F109" s="1127"/>
      <c r="G109" s="1127"/>
      <c r="H109" s="1127"/>
      <c r="I109" s="1127"/>
      <c r="J109" s="1127"/>
    </row>
    <row r="110" spans="1:11" ht="17.25" customHeight="1" x14ac:dyDescent="0.25">
      <c r="A110" s="1100" t="s">
        <v>882</v>
      </c>
      <c r="B110" s="1100"/>
      <c r="C110" s="1100"/>
      <c r="D110" s="1100"/>
      <c r="E110" s="1100"/>
      <c r="F110" s="1100"/>
      <c r="G110" s="1100"/>
      <c r="H110" s="1100"/>
      <c r="I110" s="1100"/>
      <c r="J110" s="1100"/>
    </row>
    <row r="111" spans="1:11" ht="16.5" customHeight="1" x14ac:dyDescent="0.25">
      <c r="A111" s="1096" t="s">
        <v>883</v>
      </c>
      <c r="B111" s="1096"/>
      <c r="C111" s="1096"/>
      <c r="D111" s="1096"/>
      <c r="E111" s="1096"/>
      <c r="F111" s="1096"/>
      <c r="G111" s="1096"/>
      <c r="H111" s="1096"/>
      <c r="I111" s="1096"/>
      <c r="J111" s="1096"/>
    </row>
    <row r="112" spans="1:11" x14ac:dyDescent="0.25">
      <c r="A112" s="1096" t="s">
        <v>884</v>
      </c>
      <c r="B112" s="1096"/>
      <c r="C112" s="1096"/>
      <c r="D112" s="1096"/>
      <c r="E112" s="1096"/>
      <c r="F112" s="1096"/>
      <c r="G112" s="1096"/>
      <c r="H112" s="1096"/>
      <c r="I112" s="1096"/>
      <c r="J112" s="1096"/>
    </row>
    <row r="113" spans="1:10" ht="30" customHeight="1" x14ac:dyDescent="0.25">
      <c r="A113" s="1096" t="s">
        <v>885</v>
      </c>
      <c r="B113" s="1096"/>
      <c r="C113" s="1096"/>
      <c r="D113" s="1096"/>
      <c r="E113" s="1096"/>
      <c r="F113" s="1096"/>
      <c r="G113" s="1096"/>
      <c r="H113" s="1096"/>
      <c r="I113" s="1096"/>
      <c r="J113" s="1096"/>
    </row>
    <row r="114" spans="1:10" x14ac:dyDescent="0.25">
      <c r="A114" s="1130" t="s">
        <v>886</v>
      </c>
      <c r="B114" s="1130"/>
      <c r="C114" s="1130"/>
      <c r="D114" s="1130"/>
      <c r="E114" s="1130"/>
      <c r="F114" s="1130"/>
      <c r="G114" s="1130"/>
      <c r="H114" s="1130"/>
      <c r="I114" s="1130"/>
      <c r="J114" s="1130"/>
    </row>
    <row r="115" spans="1:10" x14ac:dyDescent="0.25">
      <c r="A115" s="1130" t="s">
        <v>887</v>
      </c>
      <c r="B115" s="1130"/>
      <c r="C115" s="1130"/>
      <c r="D115" s="1130"/>
      <c r="E115" s="1130"/>
      <c r="F115" s="1130"/>
      <c r="G115" s="1130"/>
      <c r="H115" s="1130"/>
      <c r="I115" s="1130"/>
      <c r="J115" s="1130"/>
    </row>
    <row r="116" spans="1:10" ht="28.15" customHeight="1" x14ac:dyDescent="0.25">
      <c r="A116" s="1095" t="s">
        <v>888</v>
      </c>
      <c r="B116" s="1095"/>
      <c r="C116" s="1095"/>
      <c r="D116" s="1095"/>
      <c r="E116" s="1095"/>
      <c r="F116" s="1095"/>
      <c r="G116" s="1095"/>
      <c r="H116" s="1095"/>
      <c r="I116" s="1095"/>
      <c r="J116" s="1095"/>
    </row>
    <row r="117" spans="1:10" ht="27" customHeight="1" x14ac:dyDescent="0.25">
      <c r="A117" s="1095" t="s">
        <v>889</v>
      </c>
      <c r="B117" s="1095"/>
      <c r="C117" s="1095"/>
      <c r="D117" s="1095"/>
      <c r="E117" s="1095"/>
      <c r="F117" s="1095"/>
      <c r="G117" s="1095"/>
      <c r="H117" s="1095"/>
      <c r="I117" s="1095"/>
      <c r="J117" s="1095"/>
    </row>
    <row r="118" spans="1:10" x14ac:dyDescent="0.25">
      <c r="A118" s="1096" t="s">
        <v>890</v>
      </c>
      <c r="B118" s="1096"/>
      <c r="C118" s="1096"/>
      <c r="D118" s="1096"/>
      <c r="E118" s="1096"/>
      <c r="F118" s="1096"/>
      <c r="G118" s="1096"/>
      <c r="H118" s="1096"/>
      <c r="I118" s="1096"/>
      <c r="J118" s="1096"/>
    </row>
    <row r="119" spans="1:10" x14ac:dyDescent="0.25">
      <c r="A119" s="1095" t="s">
        <v>891</v>
      </c>
      <c r="B119" s="1095"/>
      <c r="C119" s="1095"/>
      <c r="D119" s="1095"/>
      <c r="E119" s="1095"/>
      <c r="F119" s="1095"/>
      <c r="G119" s="1095"/>
      <c r="H119" s="1095"/>
      <c r="I119" s="1095"/>
      <c r="J119" s="1095"/>
    </row>
    <row r="120" spans="1:10" x14ac:dyDescent="0.25">
      <c r="A120" s="1095" t="s">
        <v>892</v>
      </c>
      <c r="B120" s="1095"/>
      <c r="C120" s="1095"/>
      <c r="D120" s="1095"/>
      <c r="E120" s="1095"/>
      <c r="F120" s="1095"/>
      <c r="G120" s="1095"/>
      <c r="H120" s="1095"/>
      <c r="I120" s="1095"/>
      <c r="J120" s="1095"/>
    </row>
    <row r="121" spans="1:10" x14ac:dyDescent="0.25">
      <c r="A121" s="1095" t="s">
        <v>893</v>
      </c>
      <c r="B121" s="1095"/>
      <c r="C121" s="1095"/>
      <c r="D121" s="1095"/>
      <c r="E121" s="1095"/>
      <c r="F121" s="1095"/>
      <c r="G121" s="1095"/>
      <c r="H121" s="1095"/>
      <c r="I121" s="1095"/>
      <c r="J121" s="1095"/>
    </row>
    <row r="122" spans="1:10" x14ac:dyDescent="0.25">
      <c r="A122" s="1096" t="s">
        <v>894</v>
      </c>
      <c r="B122" s="1096"/>
      <c r="C122" s="1096"/>
      <c r="D122" s="1096"/>
      <c r="E122" s="1096"/>
      <c r="F122" s="1096"/>
      <c r="G122" s="1096"/>
      <c r="H122" s="1096"/>
      <c r="I122" s="1096"/>
      <c r="J122" s="1096"/>
    </row>
    <row r="123" spans="1:10" ht="14.45" customHeight="1" x14ac:dyDescent="0.25">
      <c r="A123" s="1130" t="s">
        <v>895</v>
      </c>
      <c r="B123" s="1130"/>
      <c r="C123" s="1130"/>
      <c r="D123" s="1130"/>
      <c r="E123" s="1130"/>
      <c r="F123" s="1130"/>
      <c r="G123" s="1130"/>
      <c r="H123" s="1130"/>
      <c r="I123" s="1130"/>
      <c r="J123" s="1130"/>
    </row>
    <row r="124" spans="1:10" ht="14.45" customHeight="1" x14ac:dyDescent="0.25">
      <c r="A124" s="1065" t="s">
        <v>896</v>
      </c>
      <c r="B124" s="1068"/>
      <c r="C124" s="1068"/>
      <c r="D124" s="1068"/>
      <c r="E124" s="1068"/>
      <c r="F124" s="1068"/>
      <c r="G124" s="1068"/>
      <c r="H124" s="1068"/>
      <c r="I124" s="1068"/>
      <c r="J124" s="1068"/>
    </row>
    <row r="125" spans="1:10" x14ac:dyDescent="0.25">
      <c r="A125" t="s">
        <v>897</v>
      </c>
      <c r="B125" s="943">
        <v>1.121E-4</v>
      </c>
    </row>
    <row r="126" spans="1:10" x14ac:dyDescent="0.25">
      <c r="A126" t="s">
        <v>898</v>
      </c>
      <c r="B126" s="943">
        <v>1.121</v>
      </c>
    </row>
    <row r="127" spans="1:10" ht="30" x14ac:dyDescent="0.25">
      <c r="A127" s="885" t="s">
        <v>899</v>
      </c>
      <c r="B127" s="943">
        <v>1.26</v>
      </c>
    </row>
    <row r="128" spans="1:10" ht="28.15" customHeight="1" x14ac:dyDescent="0.25">
      <c r="A128" s="885" t="s">
        <v>900</v>
      </c>
      <c r="B128" s="943">
        <v>1.05</v>
      </c>
    </row>
    <row r="129" spans="1:10" x14ac:dyDescent="0.25">
      <c r="A129" s="885" t="s">
        <v>901</v>
      </c>
      <c r="B129" s="943">
        <v>1.1000000000000001</v>
      </c>
    </row>
    <row r="130" spans="1:10" x14ac:dyDescent="0.25">
      <c r="A130" s="5"/>
    </row>
    <row r="131" spans="1:10" x14ac:dyDescent="0.25">
      <c r="A131" s="1127" t="s">
        <v>314</v>
      </c>
      <c r="B131" s="1127"/>
      <c r="C131" s="1127"/>
      <c r="D131" s="1127"/>
      <c r="E131" s="1127"/>
      <c r="F131" s="1127"/>
      <c r="G131" s="1127"/>
      <c r="H131" s="1127"/>
      <c r="I131" s="1127"/>
      <c r="J131" s="1127"/>
    </row>
    <row r="132" spans="1:10" ht="30" x14ac:dyDescent="0.25">
      <c r="A132" s="1006" t="s">
        <v>902</v>
      </c>
      <c r="B132" s="1189" t="s">
        <v>903</v>
      </c>
      <c r="C132" s="1190"/>
      <c r="D132" s="1190"/>
      <c r="E132" s="1190"/>
      <c r="F132" s="1190"/>
      <c r="G132" s="1190"/>
      <c r="H132" s="1190"/>
      <c r="I132" s="1190"/>
      <c r="J132" s="1190"/>
    </row>
    <row r="133" spans="1:10" ht="30" x14ac:dyDescent="0.25">
      <c r="A133" s="1006" t="s">
        <v>904</v>
      </c>
      <c r="B133" s="1177" t="s">
        <v>905</v>
      </c>
      <c r="C133" s="1191"/>
      <c r="D133" s="1191"/>
      <c r="E133" s="1191"/>
      <c r="F133" s="1191"/>
      <c r="G133" s="1191"/>
      <c r="H133" s="1191"/>
      <c r="I133" s="1191"/>
      <c r="J133" s="1191"/>
    </row>
  </sheetData>
  <mergeCells count="27">
    <mergeCell ref="A115:J115"/>
    <mergeCell ref="A117:J117"/>
    <mergeCell ref="A118:J118"/>
    <mergeCell ref="A119:J119"/>
    <mergeCell ref="A131:J131"/>
    <mergeCell ref="B132:J132"/>
    <mergeCell ref="B133:J133"/>
    <mergeCell ref="A123:J123"/>
    <mergeCell ref="A120:J120"/>
    <mergeCell ref="A121:J121"/>
    <mergeCell ref="A122:J122"/>
    <mergeCell ref="A112:J112"/>
    <mergeCell ref="A110:J110"/>
    <mergeCell ref="A116:J116"/>
    <mergeCell ref="A106:J106"/>
    <mergeCell ref="L1:M1"/>
    <mergeCell ref="A109:J109"/>
    <mergeCell ref="A102:J102"/>
    <mergeCell ref="A105:J105"/>
    <mergeCell ref="A103:J103"/>
    <mergeCell ref="A104:J104"/>
    <mergeCell ref="A1:K1"/>
    <mergeCell ref="A75:K75"/>
    <mergeCell ref="A114:J114"/>
    <mergeCell ref="A113:J113"/>
    <mergeCell ref="A111:J111"/>
    <mergeCell ref="A107:J107"/>
  </mergeCells>
  <pageMargins left="0.7" right="0.7" top="0.75" bottom="0.75" header="0.3" footer="0.3"/>
  <pageSetup orientation="portrait" horizont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271C-3711-4B59-90FF-4252A0A603ED}">
  <sheetPr>
    <tabColor theme="2" tint="-9.9978637043366805E-2"/>
  </sheetPr>
  <dimension ref="A1:Q79"/>
  <sheetViews>
    <sheetView zoomScale="80" zoomScaleNormal="80" workbookViewId="0">
      <selection activeCell="B19" sqref="B19"/>
    </sheetView>
  </sheetViews>
  <sheetFormatPr defaultColWidth="8.85546875" defaultRowHeight="15" x14ac:dyDescent="0.25"/>
  <cols>
    <col min="1" max="1" width="30.140625" customWidth="1"/>
    <col min="2" max="2" width="28" customWidth="1"/>
    <col min="3" max="3" width="28.7109375" customWidth="1"/>
    <col min="4" max="4" width="11.7109375" style="357" bestFit="1" customWidth="1"/>
    <col min="5" max="5" width="11.7109375" style="36" bestFit="1" customWidth="1"/>
    <col min="6" max="6" width="18.7109375" style="36" bestFit="1" customWidth="1"/>
    <col min="7" max="7" width="12.5703125" style="36" customWidth="1"/>
    <col min="8" max="8" width="16.28515625" customWidth="1"/>
    <col min="9" max="9" width="16" customWidth="1"/>
    <col min="10" max="12" width="13.85546875" bestFit="1" customWidth="1"/>
    <col min="13" max="13" width="11.85546875" customWidth="1"/>
  </cols>
  <sheetData>
    <row r="1" spans="1:17" x14ac:dyDescent="0.25">
      <c r="A1" s="1113" t="s">
        <v>906</v>
      </c>
      <c r="B1" s="1113"/>
      <c r="C1" s="1113"/>
      <c r="D1" s="1113"/>
      <c r="E1" s="1113"/>
      <c r="F1" s="1113"/>
      <c r="G1" s="1113"/>
    </row>
    <row r="2" spans="1:17" ht="39" x14ac:dyDescent="0.25">
      <c r="A2" s="7"/>
      <c r="B2" s="277" t="s">
        <v>907</v>
      </c>
      <c r="C2" s="277" t="s">
        <v>908</v>
      </c>
      <c r="D2" s="358" t="s">
        <v>909</v>
      </c>
      <c r="E2" s="358"/>
      <c r="F2" s="947" t="s">
        <v>910</v>
      </c>
      <c r="G2" s="278"/>
    </row>
    <row r="3" spans="1:17" ht="45" x14ac:dyDescent="0.25">
      <c r="A3" s="185" t="str">
        <f>[5]Diets!B2</f>
        <v>Food</v>
      </c>
      <c r="B3" s="75" t="s">
        <v>911</v>
      </c>
      <c r="C3" s="75" t="s">
        <v>912</v>
      </c>
      <c r="D3" s="1061" t="s">
        <v>913</v>
      </c>
      <c r="E3" s="1061" t="s">
        <v>914</v>
      </c>
      <c r="F3" s="885" t="s">
        <v>913</v>
      </c>
      <c r="G3" s="885" t="s">
        <v>914</v>
      </c>
      <c r="H3" s="704"/>
    </row>
    <row r="4" spans="1:17" x14ac:dyDescent="0.25">
      <c r="A4" s="186" t="s">
        <v>72</v>
      </c>
      <c r="B4" s="223">
        <f>'11. Diet'!J3*(PRODUCT('18. Waste, Losses'!D4:H4))</f>
        <v>47477288.752029404</v>
      </c>
      <c r="C4" s="223">
        <f>'11. Diet'!J3*(PRODUCT('18. Waste, Losses'!H4:L4))</f>
        <v>40543748.837204903</v>
      </c>
      <c r="D4" s="240">
        <f>B4/(('13. Yields'!G3/('6. ABM-LCA Inputs'!B52))+('13. Yields'!G4/'6. ABM-LCA Inputs'!C52))</f>
        <v>4901.0293194592268</v>
      </c>
      <c r="E4" s="240">
        <f>(C4/(('13. Yields'!K3/'6. ABM-LCA Inputs'!B52)+('13. Yields'!K4/'6. ABM-LCA Inputs'!C52))*'15. Ag Prod'!G45)</f>
        <v>4185.2874710213628</v>
      </c>
      <c r="F4" s="240"/>
      <c r="G4" s="240">
        <f>E4*('15. Ag Prod'!E45/'15. Ag Prod'!F45)</f>
        <v>334.82299768170901</v>
      </c>
      <c r="J4" s="9"/>
      <c r="N4" s="187"/>
      <c r="O4" s="188"/>
      <c r="P4" s="187"/>
      <c r="Q4" s="188"/>
    </row>
    <row r="5" spans="1:17" x14ac:dyDescent="0.25">
      <c r="A5" s="189" t="s">
        <v>76</v>
      </c>
      <c r="B5" s="223">
        <f>'11. Diet'!J4*(PRODUCT('18. Waste, Losses'!D5:H5))</f>
        <v>35853400.963251807</v>
      </c>
      <c r="C5" s="223">
        <f>'11. Diet'!J4*(PRODUCT('18. Waste, Losses'!H5:L5))</f>
        <v>32269841.839468837</v>
      </c>
      <c r="D5" s="240">
        <f>B5/(('13. Yields'!G7/('6. ABM-LCA Inputs'!$B53))+('13. Yields'!G8/('6. ABM-LCA Inputs'!$C53)))</f>
        <v>1701.0563013753329</v>
      </c>
      <c r="E5" s="240">
        <f>(C5/(('13. Yields'!K7/'6. ABM-LCA Inputs'!$B53)+('13. Yields'!K8/'6. ABM-LCA Inputs'!$C53)))*'15. Ag Prod'!G46</f>
        <v>765.51758453370439</v>
      </c>
      <c r="F5" s="240">
        <f>B5/ (('13. Yields'!G5/'6. ABM-LCA Inputs'!$D53) + ('13. Yields'!G6/'6. ABM-LCA Inputs'!$F53))</f>
        <v>38928.865117498179</v>
      </c>
      <c r="G5" s="240">
        <f>(C5/ (('13. Yields'!K5/'6. ABM-LCA Inputs'!$D53) + ('13. Yields'!K6/'6. ABM-LCA Inputs'!$F53))) * '15. Ag Prod'!H46</f>
        <v>36932.248119657394</v>
      </c>
      <c r="I5" s="416"/>
      <c r="J5" s="21"/>
    </row>
    <row r="6" spans="1:17" x14ac:dyDescent="0.25">
      <c r="A6" s="186" t="s">
        <v>79</v>
      </c>
      <c r="B6" s="223">
        <f>'11. Diet'!J5*(PRODUCT('18. Waste, Losses'!D6:H6))</f>
        <v>23813788.225032367</v>
      </c>
      <c r="C6" s="223">
        <f>'11. Diet'!J5*(PRODUCT('18. Waste, Losses'!H6:L6))</f>
        <v>21398036.126576938</v>
      </c>
      <c r="D6" s="240">
        <f>B6/(('13. Yields'!G9/('6. ABM-LCA Inputs'!$B54))+('13. Yields'!G10/('6. ABM-LCA Inputs'!$C54)))</f>
        <v>3081.7381916075401</v>
      </c>
      <c r="E6" s="240">
        <f>(C6/(('13. Yields'!K9/'6. ABM-LCA Inputs'!$B54)+('13. Yields'!K10/'6. ABM-LCA Inputs'!$C54)))*'15. Ag Prod'!G47</f>
        <v>3599.8509726209058</v>
      </c>
      <c r="F6" s="240"/>
      <c r="G6" s="240">
        <f>E6*('15. Ag Prod'!E47/'15. Ag Prod'!F47)</f>
        <v>443.05858124564998</v>
      </c>
      <c r="I6" s="416"/>
      <c r="J6" s="21"/>
    </row>
    <row r="7" spans="1:17" x14ac:dyDescent="0.25">
      <c r="A7" s="186" t="s">
        <v>83</v>
      </c>
      <c r="B7" s="223">
        <f>'11. Diet'!J6*(PRODUCT('18. Waste, Losses'!D7:H7))</f>
        <v>7500296.4752125274</v>
      </c>
      <c r="C7" s="223">
        <f>'11. Diet'!J6*(PRODUCT('18. Waste, Losses'!H7:L7))</f>
        <v>6819240.4431182928</v>
      </c>
      <c r="D7" s="240">
        <f>B7/(('13. Yields'!G11/('6. ABM-LCA Inputs'!$B55))+('13. Yields'!G12/('6. ABM-LCA Inputs'!$C55)))</f>
        <v>889.68045771992433</v>
      </c>
      <c r="E7" s="240">
        <f>(C7/(('13. Yields'!K11/'6. ABM-LCA Inputs'!$B55)+('13. Yields'!K12/'6. ABM-LCA Inputs'!$C55)))*'15. Ag Prod'!G48</f>
        <v>808.8940188946051</v>
      </c>
      <c r="F7" s="240"/>
      <c r="G7" s="240">
        <f>E7*('15. Ag Prod'!E48/'15. Ag Prod'!F48)</f>
        <v>40.444700944730258</v>
      </c>
      <c r="I7" s="416"/>
      <c r="J7" s="21"/>
    </row>
    <row r="8" spans="1:17" x14ac:dyDescent="0.25">
      <c r="A8" s="190" t="s">
        <v>533</v>
      </c>
      <c r="B8" s="223">
        <f>'11. Diet'!J7*(PRODUCT('18. Waste, Losses'!D8:H8))</f>
        <v>2466173.4970129812</v>
      </c>
      <c r="C8" s="223">
        <f>'11. Diet'!J7*(PRODUCT('18. Waste, Losses'!H8:L8))</f>
        <v>2368451.3723728126</v>
      </c>
      <c r="D8" s="240">
        <f>B8/'13. Yields'!G13</f>
        <v>1308.9067970078972</v>
      </c>
      <c r="E8" s="240">
        <f>C8/'13. Yields'!$K13</f>
        <v>1257.0413652714471</v>
      </c>
      <c r="F8" s="240"/>
      <c r="G8" s="240"/>
    </row>
    <row r="9" spans="1:17" x14ac:dyDescent="0.25">
      <c r="A9" s="191" t="s">
        <v>91</v>
      </c>
      <c r="B9" s="223">
        <f>'11. Diet'!J8*(PRODUCT('18. Waste, Losses'!D9:H9))</f>
        <v>45182450.207231879</v>
      </c>
      <c r="C9" s="223">
        <f>'11. Diet'!J8*(PRODUCT('18. Waste, Losses'!H9:L9))</f>
        <v>42264125.963227265</v>
      </c>
      <c r="D9" s="240">
        <f>B9/(('13. Yields'!G16/('6. ABM-LCA Inputs'!$E56)) + ('13. Yields'!G17/('6. ABM-LCA Inputs'!$B56)) + ('13. Yields'!G18/('6. ABM-LCA Inputs'!$C56)))</f>
        <v>317.16282506994645</v>
      </c>
      <c r="E9" s="240">
        <f>(C9/(('13. Yields'!K16/'6. ABM-LCA Inputs'!$E56)+('13. Yields'!K17/'6. ABM-LCA Inputs'!$B56)+('13. Yields'!K18/'6. ABM-LCA Inputs'!$C56)))*'15. Ag Prod'!G49</f>
        <v>178.00640994184545</v>
      </c>
      <c r="F9" s="240">
        <f>B9/ (('13. Yields'!G14/'6. ABM-LCA Inputs'!$D56) + ('13. Yields'!G15/'6. ABM-LCA Inputs'!$D56))</f>
        <v>2515.108703412232</v>
      </c>
      <c r="G9" s="240">
        <f>(C9/ (('13. Yields'!K14/'6. ABM-LCA Inputs'!$D56) + ('13. Yields'!K15/'6. ABM-LCA Inputs'!$D56))) *'15. Ag Prod'!H49</f>
        <v>4705.3168017528033</v>
      </c>
    </row>
    <row r="10" spans="1:17" x14ac:dyDescent="0.25">
      <c r="A10" s="192" t="s">
        <v>95</v>
      </c>
      <c r="B10" s="223">
        <f>'11. Diet'!J9*(PRODUCT('18. Waste, Losses'!D10:H10))</f>
        <v>29634326.84394351</v>
      </c>
      <c r="C10" s="223">
        <f>'11. Diet'!J9*(PRODUCT('18. Waste, Losses'!H10:L10))</f>
        <v>26178223.478663277</v>
      </c>
      <c r="D10" s="240">
        <f>B10/(('13. Yields'!G16/('6. ABM-LCA Inputs'!$E56))+('13. Yields'!G17/('6. ABM-LCA Inputs'!$B56))+('13. Yields'!G18/('6. ABM-LCA Inputs'!$C56)))</f>
        <v>208.02118472465864</v>
      </c>
      <c r="E10" s="240">
        <f>(C10/(('13. Yields'!K16/'6. ABM-LCA Inputs'!$E56) + ('13. Yields'!K17/'6. ABM-LCA Inputs'!$B56) + ('13. Yields'!K18/'6. ABM-LCA Inputs'!$C56))) *'15. Ag Prod'!G50</f>
        <v>110.25642844587888</v>
      </c>
      <c r="F10" s="240">
        <f>B10/ (('13. Yields'!G19/'6. ABM-LCA Inputs'!$D56) + ('13. Yields'!G20/'6. ABM-LCA Inputs'!$D56))</f>
        <v>1649.6129143752205</v>
      </c>
      <c r="G10" s="240">
        <f>(C10/ (('13. Yields'!K19/'6. ABM-LCA Inputs'!$D56) + ('13. Yields'!K20/'6. ABM-LCA Inputs'!$D56)))*'15. Ag Prod'!H50</f>
        <v>2032.6620583432659</v>
      </c>
    </row>
    <row r="11" spans="1:17" x14ac:dyDescent="0.25">
      <c r="A11" s="193" t="s">
        <v>99</v>
      </c>
      <c r="B11" s="223">
        <f>'11. Diet'!J10*(PRODUCT('18. Waste, Losses'!D11:H11))</f>
        <v>6487264.3624874689</v>
      </c>
      <c r="C11" s="223">
        <f>'11. Diet'!J10*(PRODUCT('18. Waste, Losses'!H11:L11))</f>
        <v>5631601.6986341048</v>
      </c>
      <c r="D11" s="240">
        <f>B11/'13. Yields'!G24</f>
        <v>222.86234737415907</v>
      </c>
      <c r="E11" s="240">
        <f>C11/'13. Yields'!K24</f>
        <v>311.54116199704009</v>
      </c>
      <c r="F11" s="240"/>
      <c r="G11" s="240"/>
    </row>
    <row r="12" spans="1:17" x14ac:dyDescent="0.25">
      <c r="A12" s="194" t="s">
        <v>724</v>
      </c>
      <c r="B12" s="223">
        <f>'11. Diet'!J11*(PRODUCT('18. Waste, Losses'!D12:H12))</f>
        <v>12741857.011370109</v>
      </c>
      <c r="C12" s="223">
        <f>'11. Diet'!J11*(PRODUCT('18. Waste, Losses'!H12:L12))</f>
        <v>9104410.28926103</v>
      </c>
      <c r="D12" s="240">
        <f>B12/'13. Yields'!G25</f>
        <v>460.41556969234466</v>
      </c>
      <c r="E12" s="240">
        <f>C12/'13. Yields'!K25</f>
        <v>335.26251585852123</v>
      </c>
      <c r="F12" s="240"/>
      <c r="G12" s="240"/>
    </row>
    <row r="13" spans="1:17" x14ac:dyDescent="0.25">
      <c r="A13" s="195" t="s">
        <v>105</v>
      </c>
      <c r="B13" s="223">
        <f>'11. Diet'!J12*(PRODUCT('18. Waste, Losses'!D13:H13))</f>
        <v>723215.00952949829</v>
      </c>
      <c r="C13" s="223">
        <f>'11. Diet'!J12*(PRODUCT('18. Waste, Losses'!H13:L13))</f>
        <v>637045.91085107962</v>
      </c>
      <c r="D13" s="252">
        <f>B13/'13. Yields'!G26</f>
        <v>97.320906003506593</v>
      </c>
      <c r="E13" s="240">
        <f>C13/'13. Yields'!K26</f>
        <v>142.11768088667131</v>
      </c>
      <c r="F13" s="240"/>
      <c r="G13" s="240"/>
    </row>
    <row r="14" spans="1:17" x14ac:dyDescent="0.25">
      <c r="A14" s="195" t="s">
        <v>108</v>
      </c>
      <c r="B14" s="223">
        <f>'11. Diet'!J13*(PRODUCT('18. Waste, Losses'!D14:H14))</f>
        <v>216963.46287688587</v>
      </c>
      <c r="C14" s="223">
        <f>'11. Diet'!J13*(PRODUCT('18. Waste, Losses'!H14:L14))</f>
        <v>189448.04543085623</v>
      </c>
      <c r="D14" s="240">
        <f>B14/'13. Yields'!G27</f>
        <v>27.096239788371115</v>
      </c>
      <c r="E14" s="240">
        <f>C14/'13. Yields'!K27</f>
        <v>23.659880785298725</v>
      </c>
      <c r="F14" s="240"/>
      <c r="G14" s="240"/>
    </row>
    <row r="15" spans="1:17" x14ac:dyDescent="0.25">
      <c r="A15" s="195" t="s">
        <v>111</v>
      </c>
      <c r="B15" s="223">
        <f>'11. Diet'!J14*(PRODUCT('18. Waste, Losses'!D15:H15))</f>
        <v>2511589.3455666914</v>
      </c>
      <c r="C15" s="223">
        <f>'11. Diet'!J14*(PRODUCT('18. Waste, Losses'!H15:L15))</f>
        <v>2195179.7957050833</v>
      </c>
      <c r="D15" s="240">
        <f>B15/'13. Yields'!G28</f>
        <v>149.36600330459061</v>
      </c>
      <c r="E15" s="240">
        <f>C15/'13. Yields'!K28</f>
        <v>326.37225627491563</v>
      </c>
      <c r="F15" s="240"/>
      <c r="G15" s="240"/>
    </row>
    <row r="16" spans="1:17" x14ac:dyDescent="0.25">
      <c r="A16" s="195" t="s">
        <v>114</v>
      </c>
      <c r="B16" s="223">
        <f>'11. Diet'!J15*(PRODUCT('18. Waste, Losses'!D16:H16))</f>
        <v>1230891.9346790663</v>
      </c>
      <c r="C16" s="223">
        <f>'11. Diet'!J15*(PRODUCT('18. Waste, Losses'!H16:L16))</f>
        <v>1033192.0545935234</v>
      </c>
      <c r="D16" s="240">
        <f>B16/'13. Yields'!G29</f>
        <v>37.801042143666216</v>
      </c>
      <c r="E16" s="240">
        <f>C16/'13. Yields'!K29</f>
        <v>51.209849060171699</v>
      </c>
      <c r="F16" s="240"/>
      <c r="G16" s="240"/>
    </row>
    <row r="17" spans="1:12" x14ac:dyDescent="0.25">
      <c r="A17" s="195" t="s">
        <v>117</v>
      </c>
      <c r="B17" s="223">
        <f>'11. Diet'!J16*(PRODUCT('18. Waste, Losses'!D17:H17))</f>
        <v>308152.71011189831</v>
      </c>
      <c r="C17" s="223">
        <f>'11. Diet'!J16*(PRODUCT('18. Waste, Losses'!H17:L17))</f>
        <v>276621.07466345723</v>
      </c>
      <c r="D17" s="240">
        <f>B17/'13. Yields'!G30</f>
        <v>41.233636500254008</v>
      </c>
      <c r="E17" s="240">
        <f>C17/'13. Yields'!K30</f>
        <v>66.692642829389101</v>
      </c>
      <c r="F17" s="240"/>
      <c r="G17" s="240"/>
    </row>
    <row r="18" spans="1:12" x14ac:dyDescent="0.25">
      <c r="A18" s="194" t="s">
        <v>120</v>
      </c>
      <c r="B18" s="223">
        <f>'11. Diet'!J17*(PRODUCT('18. Waste, Losses'!D18:H18))</f>
        <v>2162709.3944383557</v>
      </c>
      <c r="C18" s="223">
        <f>'11. Diet'!J17*(PRODUCT('18. Waste, Losses'!H18:L18))</f>
        <v>1870511.788553512</v>
      </c>
      <c r="D18" s="240">
        <f>B18/'13. Yields'!G31</f>
        <v>42.202736845083876</v>
      </c>
      <c r="E18" s="240">
        <f>C18/'13. Yields'!K31</f>
        <v>128.37041334844531</v>
      </c>
      <c r="F18" s="240"/>
      <c r="G18" s="240"/>
    </row>
    <row r="19" spans="1:12" ht="17.25" customHeight="1" x14ac:dyDescent="0.25">
      <c r="A19" s="197" t="s">
        <v>547</v>
      </c>
      <c r="B19" s="223">
        <f>'11. Diet'!J18*(PRODUCT('18. Waste, Losses'!D19:H19))</f>
        <v>14680270.341650508</v>
      </c>
      <c r="C19" s="223">
        <f>'11. Diet'!J18*(PRODUCT('18. Waste, Losses'!H19:L19))</f>
        <v>12899181.153313624</v>
      </c>
      <c r="D19" s="240">
        <f>B19/'13. Yields'!G32</f>
        <v>522.85568699962209</v>
      </c>
      <c r="E19" s="240">
        <f>C19/'13. Yields'!K32</f>
        <v>467.47414940403127</v>
      </c>
      <c r="F19" s="240"/>
      <c r="G19" s="240"/>
      <c r="K19" s="6"/>
      <c r="L19" s="6"/>
    </row>
    <row r="20" spans="1:12" x14ac:dyDescent="0.25">
      <c r="A20" s="198" t="s">
        <v>128</v>
      </c>
      <c r="B20" s="223">
        <f>'11. Diet'!J19*(PRODUCT('18. Waste, Losses'!D20:H20))</f>
        <v>2257360.7757930988</v>
      </c>
      <c r="C20" s="223">
        <f>'11. Diet'!J19*(PRODUCT('18. Waste, Losses'!H20:L20))</f>
        <v>1772043.2191879204</v>
      </c>
      <c r="D20" s="240">
        <f>B20/'13. Yields'!G33</f>
        <v>135.92493520609651</v>
      </c>
      <c r="E20" s="240">
        <f>C20/'13. Yields'!K33</f>
        <v>116.78010064770287</v>
      </c>
      <c r="F20" s="240"/>
      <c r="G20" s="966"/>
      <c r="K20" s="87"/>
      <c r="L20" s="9"/>
    </row>
    <row r="21" spans="1:12" x14ac:dyDescent="0.25">
      <c r="A21" s="199" t="s">
        <v>131</v>
      </c>
      <c r="B21" s="223">
        <f>'11. Diet'!J20*(PRODUCT('18. Waste, Losses'!D21:H21))</f>
        <v>463412.28187283821</v>
      </c>
      <c r="C21" s="223">
        <f>'11. Diet'!J20*(PRODUCT('18. Waste, Losses'!H21:L21))</f>
        <v>327043.19286712684</v>
      </c>
      <c r="D21" s="240">
        <f>B21/'13. Yields'!G34</f>
        <v>34.449322173122084</v>
      </c>
      <c r="E21" s="240">
        <f>C21/'13. Yields'!K34</f>
        <v>24.311863876533369</v>
      </c>
      <c r="F21" s="240"/>
      <c r="G21" s="240"/>
      <c r="K21" s="87"/>
      <c r="L21" s="9"/>
    </row>
    <row r="22" spans="1:12" x14ac:dyDescent="0.25">
      <c r="A22" s="199" t="s">
        <v>134</v>
      </c>
      <c r="B22" s="223">
        <f>'11. Diet'!J21*(PRODUCT('18. Waste, Losses'!D22:H22))</f>
        <v>127194.55787217917</v>
      </c>
      <c r="C22" s="223">
        <f>'11. Diet'!J21*(PRODUCT('18. Waste, Losses'!H22:L22))</f>
        <v>90460.284800802183</v>
      </c>
      <c r="D22" s="240">
        <f>B22/'13. Yields'!G35</f>
        <v>4.5386104503899798</v>
      </c>
      <c r="E22" s="240">
        <f>C22/'13. Yields'!K35</f>
        <v>3.227842454979561</v>
      </c>
      <c r="F22" s="240"/>
      <c r="G22" s="240"/>
      <c r="K22" s="87"/>
      <c r="L22" s="9"/>
    </row>
    <row r="23" spans="1:12" x14ac:dyDescent="0.25">
      <c r="A23" s="199" t="s">
        <v>137</v>
      </c>
      <c r="B23" s="223">
        <f>'11. Diet'!J22*(PRODUCT('18. Waste, Losses'!D23:H23))</f>
        <v>3171206.7366537945</v>
      </c>
      <c r="C23" s="223">
        <f>'11. Diet'!J22*(PRODUCT('18. Waste, Losses'!H23:L23))</f>
        <v>2633195.2164938883</v>
      </c>
      <c r="D23" s="240">
        <f>B23/'13. Yields'!G36</f>
        <v>102.61727908921516</v>
      </c>
      <c r="E23" s="240">
        <f>C23/'13. Yields'!K36</f>
        <v>87.392543924926855</v>
      </c>
      <c r="F23" s="240"/>
      <c r="G23" s="240"/>
      <c r="K23" s="87"/>
      <c r="L23" s="9"/>
    </row>
    <row r="24" spans="1:12" x14ac:dyDescent="0.25">
      <c r="A24" s="13" t="s">
        <v>140</v>
      </c>
      <c r="B24" s="223">
        <f>'11. Diet'!J23*(PRODUCT('18. Waste, Losses'!D24:H24))</f>
        <v>727397.03117074945</v>
      </c>
      <c r="C24" s="223">
        <f>'11. Diet'!J23*(PRODUCT('18. Waste, Losses'!H24:L24))</f>
        <v>580399.03703937621</v>
      </c>
      <c r="D24" s="240">
        <f>B24/'13. Yields'!G37</f>
        <v>41.713860587082621</v>
      </c>
      <c r="E24" s="240">
        <f>C24/'13. Yields'!K37</f>
        <v>37.579742775646764</v>
      </c>
      <c r="F24" s="240"/>
      <c r="G24" s="240"/>
      <c r="J24" s="9"/>
      <c r="K24" s="9"/>
      <c r="L24" s="9"/>
    </row>
    <row r="25" spans="1:12" x14ac:dyDescent="0.25">
      <c r="A25" s="200" t="s">
        <v>555</v>
      </c>
      <c r="B25" s="223">
        <f>'11. Diet'!J24*(PRODUCT('18. Waste, Losses'!D25:H25))</f>
        <v>825660.6555029212</v>
      </c>
      <c r="C25" s="223">
        <f>'11. Diet'!J24*(PRODUCT('18. Waste, Losses'!H25:L25))</f>
        <v>728528.13944895857</v>
      </c>
      <c r="D25" s="240">
        <f>B25/'13. Yields'!G38</f>
        <v>49.673586726105675</v>
      </c>
      <c r="E25" s="240">
        <f>C25/'13. Yields'!K38</f>
        <v>45.712406308807871</v>
      </c>
      <c r="F25" s="240"/>
      <c r="G25" s="240"/>
      <c r="J25" s="9"/>
      <c r="K25" s="9"/>
      <c r="L25" s="9"/>
    </row>
    <row r="26" spans="1:12" x14ac:dyDescent="0.25">
      <c r="A26" s="198" t="s">
        <v>146</v>
      </c>
      <c r="B26" s="223">
        <f>'11. Diet'!J25*(PRODUCT('18. Waste, Losses'!D26:H26))</f>
        <v>1811187.6865538659</v>
      </c>
      <c r="C26" s="223">
        <f>'11. Diet'!J25*(PRODUCT('18. Waste, Losses'!H26:L26))</f>
        <v>1610227.053114071</v>
      </c>
      <c r="D26" s="240">
        <f>B26/'13. Yields'!G39</f>
        <v>50.758380138358007</v>
      </c>
      <c r="E26" s="240">
        <f>C26/'13. Yields'!K39</f>
        <v>40.904330559227162</v>
      </c>
      <c r="F26" s="240"/>
      <c r="G26" s="240"/>
    </row>
    <row r="27" spans="1:12" x14ac:dyDescent="0.25">
      <c r="A27" s="199" t="s">
        <v>149</v>
      </c>
      <c r="B27" s="223">
        <f>'11. Diet'!J26*(PRODUCT('18. Waste, Losses'!D27:H27))</f>
        <v>732046.74387178815</v>
      </c>
      <c r="C27" s="223">
        <f>'11. Diet'!J26*(PRODUCT('18. Waste, Losses'!H27:L27))</f>
        <v>589567.58345783106</v>
      </c>
      <c r="D27" s="240">
        <f>B27/'13. Yields'!G40</f>
        <v>28.297971068490174</v>
      </c>
      <c r="E27" s="240">
        <f>C27/'13. Yields'!K40</f>
        <v>18.113417633495377</v>
      </c>
      <c r="F27" s="240"/>
      <c r="G27" s="240"/>
    </row>
    <row r="28" spans="1:12" x14ac:dyDescent="0.25">
      <c r="A28" s="13" t="s">
        <v>152</v>
      </c>
      <c r="B28" s="223">
        <f>'11. Diet'!J27*(PRODUCT('18. Waste, Losses'!D28:H28))</f>
        <v>1849226.3829780975</v>
      </c>
      <c r="C28" s="223">
        <f>'11. Diet'!J27*(PRODUCT('18. Waste, Losses'!H28:L28))</f>
        <v>1434427.4360006701</v>
      </c>
      <c r="D28" s="240">
        <f>B28/'13. Yields'!G41</f>
        <v>73.644041364387661</v>
      </c>
      <c r="E28" s="240">
        <f>C28/'13. Yields'!K41</f>
        <v>63.73067126198513</v>
      </c>
      <c r="F28" s="240"/>
      <c r="G28" s="240"/>
    </row>
    <row r="29" spans="1:12" x14ac:dyDescent="0.25">
      <c r="A29" s="13" t="s">
        <v>155</v>
      </c>
      <c r="B29" s="223">
        <f>'11. Diet'!J28*(PRODUCT('18. Waste, Losses'!D29:H29))</f>
        <v>6458282.2818992753</v>
      </c>
      <c r="C29" s="223">
        <f>'11. Diet'!J28*(PRODUCT('18. Waste, Losses'!H29:L29))</f>
        <v>5437115.2467202693</v>
      </c>
      <c r="D29" s="240">
        <f>B29/'13. Yields'!G42</f>
        <v>192.03931852213134</v>
      </c>
      <c r="E29" s="240">
        <f>C29/'13. Yields'!K42</f>
        <v>170.19807338738633</v>
      </c>
      <c r="F29" s="240"/>
      <c r="G29" s="240"/>
    </row>
    <row r="30" spans="1:12" x14ac:dyDescent="0.25">
      <c r="A30" s="200" t="s">
        <v>555</v>
      </c>
      <c r="B30" s="223">
        <f>'11. Diet'!J29*(PRODUCT('18. Waste, Losses'!D30:H30))</f>
        <v>15228381.865870252</v>
      </c>
      <c r="C30" s="223">
        <f>'11. Diet'!J29*(PRODUCT('18. Waste, Losses'!H30:L30))</f>
        <v>12516590.733998878</v>
      </c>
      <c r="D30" s="240">
        <f>B30/'13. Yields'!G43</f>
        <v>176.8418596821698</v>
      </c>
      <c r="E30" s="240">
        <f>C30/'13. Yields'!K43</f>
        <v>157.71308457070927</v>
      </c>
      <c r="F30" s="240"/>
      <c r="G30" s="240"/>
    </row>
    <row r="31" spans="1:12" x14ac:dyDescent="0.25">
      <c r="A31" s="198" t="s">
        <v>161</v>
      </c>
      <c r="B31" s="223">
        <f>'11. Diet'!J30*(PRODUCT('18. Waste, Losses'!D31:H31))</f>
        <v>2067419.9996566926</v>
      </c>
      <c r="C31" s="223">
        <f>'11. Diet'!J30*(PRODUCT('18. Waste, Losses'!H31:L31))</f>
        <v>1481862.7944925441</v>
      </c>
      <c r="D31" s="240">
        <f>B31/'13. Yields'!G44</f>
        <v>156.7624442201774</v>
      </c>
      <c r="E31" s="240">
        <f>C31/'13. Yields'!K44</f>
        <v>127.33157804146472</v>
      </c>
      <c r="F31" s="240"/>
      <c r="G31" s="240"/>
    </row>
    <row r="32" spans="1:12" x14ac:dyDescent="0.25">
      <c r="A32" s="201" t="s">
        <v>164</v>
      </c>
      <c r="B32" s="223">
        <f>'11. Diet'!J31*(PRODUCT('18. Waste, Losses'!D32:H32))</f>
        <v>0</v>
      </c>
      <c r="C32" s="223">
        <f>'11. Diet'!J31*(PRODUCT('18. Waste, Losses'!H32:L32))</f>
        <v>0</v>
      </c>
      <c r="D32" s="240"/>
      <c r="E32" s="240"/>
      <c r="F32" s="240"/>
      <c r="G32" s="240"/>
    </row>
    <row r="33" spans="1:7" x14ac:dyDescent="0.25">
      <c r="A33" s="13" t="s">
        <v>167</v>
      </c>
      <c r="B33" s="223">
        <f>'11. Diet'!J32*(PRODUCT('18. Waste, Losses'!D33:H33))</f>
        <v>11330939.067107625</v>
      </c>
      <c r="C33" s="223">
        <f>'11. Diet'!J32*(PRODUCT('18. Waste, Losses'!H33:L33))</f>
        <v>10014447.99309106</v>
      </c>
      <c r="D33" s="240">
        <f>B33/'13. Yields'!G46</f>
        <v>262.2586374237124</v>
      </c>
      <c r="E33" s="240">
        <f>C33/'13. Yields'!K46</f>
        <v>256.40546980467815</v>
      </c>
      <c r="F33" s="240"/>
      <c r="G33" s="240"/>
    </row>
    <row r="34" spans="1:7" x14ac:dyDescent="0.25">
      <c r="A34" s="200" t="s">
        <v>555</v>
      </c>
      <c r="B34" s="223">
        <f>'11. Diet'!J33*(PRODUCT('18. Waste, Losses'!D34:H34))</f>
        <v>18002476.520700525</v>
      </c>
      <c r="C34" s="223">
        <f>'11. Diet'!J33*(PRODUCT('18. Waste, Losses'!H34:L34))</f>
        <v>14472712.996215688</v>
      </c>
      <c r="D34" s="240">
        <f>B34/'13. Yields'!G47</f>
        <v>446.80744744025321</v>
      </c>
      <c r="E34" s="240">
        <f>C34/'13. Yields'!K47</f>
        <v>420.71654658592809</v>
      </c>
      <c r="F34" s="240"/>
      <c r="G34" s="240"/>
    </row>
    <row r="35" spans="1:7" x14ac:dyDescent="0.25">
      <c r="A35" s="202" t="s">
        <v>533</v>
      </c>
      <c r="B35" s="223">
        <f>'11. Diet'!J34*(PRODUCT('18. Waste, Losses'!D35:H35))</f>
        <v>1553495.1162286499</v>
      </c>
      <c r="C35" s="223">
        <f>'11. Diet'!J34*(PRODUCT('18. Waste, Losses'!H35:L35))</f>
        <v>1491937.8723608272</v>
      </c>
      <c r="D35" s="240">
        <f>B35/'13. Yields'!G48</f>
        <v>824.50821858765198</v>
      </c>
      <c r="E35" s="240">
        <f>C35/'13. Yields'!K48</f>
        <v>833.51271630100121</v>
      </c>
      <c r="F35" s="240"/>
      <c r="G35" s="240"/>
    </row>
    <row r="36" spans="1:7" x14ac:dyDescent="0.25">
      <c r="A36" s="198" t="s">
        <v>175</v>
      </c>
      <c r="B36" s="223">
        <f>'11. Diet'!J35*(PRODUCT('18. Waste, Losses'!D36:H36))</f>
        <v>496811.31703634938</v>
      </c>
      <c r="C36" s="223">
        <f>'11. Diet'!J35*(PRODUCT('18. Waste, Losses'!H36:L36))</f>
        <v>416313.04598291643</v>
      </c>
      <c r="D36" s="240">
        <f>B36/'13. Yields'!G49</f>
        <v>72.017697607856178</v>
      </c>
      <c r="E36" s="240">
        <f>C36/'13. Yields'!K49</f>
        <v>30.754053776407822</v>
      </c>
      <c r="F36" s="240"/>
      <c r="G36" s="240"/>
    </row>
    <row r="37" spans="1:7" x14ac:dyDescent="0.25">
      <c r="A37" s="199" t="s">
        <v>178</v>
      </c>
      <c r="B37" s="223">
        <f>'11. Diet'!J36*(PRODUCT('18. Waste, Losses'!D37:H37))</f>
        <v>1795811.1416052354</v>
      </c>
      <c r="C37" s="223">
        <f>'11. Diet'!J36*(PRODUCT('18. Waste, Losses'!H37:L37))</f>
        <v>1493503.0060697824</v>
      </c>
      <c r="D37" s="240">
        <f>B37/'13. Yields'!G50</f>
        <v>47.583340765544428</v>
      </c>
      <c r="E37" s="240">
        <f>C37/'13. Yields'!K50</f>
        <v>37.90638337715734</v>
      </c>
      <c r="F37" s="240"/>
      <c r="G37" s="240"/>
    </row>
    <row r="38" spans="1:7" x14ac:dyDescent="0.25">
      <c r="A38" s="199" t="s">
        <v>181</v>
      </c>
      <c r="B38" s="223">
        <f>'11. Diet'!J37*(PRODUCT('18. Waste, Losses'!D38:H38))</f>
        <v>1919828.8535604032</v>
      </c>
      <c r="C38" s="223">
        <f>'11. Diet'!J37*(PRODUCT('18. Waste, Losses'!H38:L38))</f>
        <v>1594984.5742903196</v>
      </c>
      <c r="D38" s="240">
        <f>B38/'13. Yields'!G51</f>
        <v>93.414752423667352</v>
      </c>
      <c r="E38" s="240">
        <f>C38/'13. Yields'!K51</f>
        <v>87.564624674413764</v>
      </c>
      <c r="F38" s="240"/>
      <c r="G38" s="240"/>
    </row>
    <row r="39" spans="1:7" x14ac:dyDescent="0.25">
      <c r="A39" s="199" t="s">
        <v>184</v>
      </c>
      <c r="B39" s="223">
        <f>'11. Diet'!J38*(PRODUCT('18. Waste, Losses'!D39:H39))</f>
        <v>2766639.6751920348</v>
      </c>
      <c r="C39" s="223">
        <f>'11. Diet'!J38*(PRODUCT('18. Waste, Losses'!H39:L39))</f>
        <v>2367899.3518577474</v>
      </c>
      <c r="D39" s="240">
        <f>B39/'13. Yields'!G52</f>
        <v>67.309374953986747</v>
      </c>
      <c r="E39" s="240">
        <f>C39/'13. Yields'!K52</f>
        <v>65.165719147566506</v>
      </c>
      <c r="F39" s="240"/>
      <c r="G39" s="240"/>
    </row>
    <row r="40" spans="1:7" x14ac:dyDescent="0.25">
      <c r="A40" s="199" t="s">
        <v>187</v>
      </c>
      <c r="B40" s="223">
        <f>'11. Diet'!J39*(PRODUCT('18. Waste, Losses'!D40:H40))</f>
        <v>6121261.8916393612</v>
      </c>
      <c r="C40" s="223">
        <f>'11. Diet'!J39*(PRODUCT('18. Waste, Losses'!H40:L40))</f>
        <v>5085333.5933895819</v>
      </c>
      <c r="D40" s="240">
        <f>B40/'13. Yields'!G53</f>
        <v>117.16941577498623</v>
      </c>
      <c r="E40" s="240">
        <f>C40/'13. Yields'!K53</f>
        <v>93.924289478525239</v>
      </c>
      <c r="F40" s="240"/>
      <c r="G40" s="240"/>
    </row>
    <row r="41" spans="1:7" x14ac:dyDescent="0.25">
      <c r="A41" s="13" t="s">
        <v>190</v>
      </c>
      <c r="B41" s="223">
        <f>'11. Diet'!J40*(PRODUCT('18. Waste, Losses'!D41:H41))</f>
        <v>1408711.1609091966</v>
      </c>
      <c r="C41" s="223">
        <f>'11. Diet'!J40*(PRODUCT('18. Waste, Losses'!H41:L41))</f>
        <v>1177671.5750638407</v>
      </c>
      <c r="D41" s="240">
        <f>B41/'13. Yields'!G54</f>
        <v>81.07456826619071</v>
      </c>
      <c r="E41" s="240">
        <f>C41/'13. Yields'!K54</f>
        <v>59.191920491527604</v>
      </c>
      <c r="F41" s="240"/>
      <c r="G41" s="240"/>
    </row>
    <row r="42" spans="1:7" x14ac:dyDescent="0.25">
      <c r="A42" s="200" t="s">
        <v>555</v>
      </c>
      <c r="B42" s="223">
        <f>'11. Diet'!J41*(PRODUCT('18. Waste, Losses'!D42:H42))</f>
        <v>2317754.80289105</v>
      </c>
      <c r="C42" s="223">
        <f>'11. Diet'!J41*(PRODUCT('18. Waste, Losses'!H42:L42))</f>
        <v>1935835.5754131461</v>
      </c>
      <c r="D42" s="240">
        <f>B42/'13. Yields'!G55</f>
        <v>202.94818046434301</v>
      </c>
      <c r="E42" s="240">
        <f>C42/'13. Yields'!K55</f>
        <v>145.58872635118118</v>
      </c>
      <c r="F42" s="240"/>
      <c r="G42" s="240"/>
    </row>
    <row r="43" spans="1:7" x14ac:dyDescent="0.25">
      <c r="A43" s="203" t="s">
        <v>730</v>
      </c>
      <c r="B43" s="223">
        <f>'11. Diet'!J42*(PRODUCT('18. Waste, Losses'!D43:H43))</f>
        <v>36103276.574538223</v>
      </c>
      <c r="C43" s="223">
        <f>'11. Diet'!J42*(PRODUCT('18. Waste, Losses'!H43:L43))</f>
        <v>31760965.319489088</v>
      </c>
      <c r="D43" s="240">
        <f>B43/'13. Yields'!G56</f>
        <v>12803.738767601602</v>
      </c>
      <c r="E43" s="240">
        <f>C43/'13. Yields'!K56</f>
        <v>11263.772752537039</v>
      </c>
      <c r="F43" s="240"/>
      <c r="G43" s="240"/>
    </row>
    <row r="44" spans="1:7" x14ac:dyDescent="0.25">
      <c r="A44" s="204" t="s">
        <v>196</v>
      </c>
      <c r="B44" s="223">
        <f>'11. Diet'!J43*(PRODUCT('18. Waste, Losses'!D44:H44))</f>
        <v>12429953.518927764</v>
      </c>
      <c r="C44" s="223">
        <f>'11. Diet'!J43*(PRODUCT('18. Waste, Losses'!H44:L44))</f>
        <v>10934944.417647379</v>
      </c>
      <c r="D44" s="240">
        <f>B44/'13. Yields'!G57</f>
        <v>1338.139696752082</v>
      </c>
      <c r="E44" s="240">
        <f>C44/'13. Yields'!K57</f>
        <v>1177.1953277821883</v>
      </c>
      <c r="F44" s="240"/>
      <c r="G44" s="240"/>
    </row>
    <row r="45" spans="1:7" x14ac:dyDescent="0.25">
      <c r="A45" s="205" t="s">
        <v>199</v>
      </c>
      <c r="B45" s="223">
        <f>'11. Diet'!J44*(PRODUCT('18. Waste, Losses'!D45:H45))</f>
        <v>68276094.292598128</v>
      </c>
      <c r="C45" s="223">
        <f>'11. Diet'!J44*(PRODUCT('18. Waste, Losses'!H45:L45))</f>
        <v>53681937.285736948</v>
      </c>
      <c r="D45" s="240">
        <f>B45/'13. Yields'!G58</f>
        <v>24974.290944512908</v>
      </c>
      <c r="E45" s="240">
        <f>C45/'13. Yields'!K58</f>
        <v>19635.984368022546</v>
      </c>
      <c r="F45" s="240"/>
      <c r="G45" s="240"/>
    </row>
    <row r="46" spans="1:7" x14ac:dyDescent="0.25">
      <c r="A46" s="206" t="s">
        <v>201</v>
      </c>
      <c r="B46" s="223">
        <f>'11. Diet'!J45*(PRODUCT('18. Waste, Losses'!D46:H46))</f>
        <v>7535432.0337812928</v>
      </c>
      <c r="C46" s="223">
        <f>'11. Diet'!J45*(PRODUCT('18. Waste, Losses'!H46:L46))</f>
        <v>5924717.7807919011</v>
      </c>
      <c r="D46" s="240">
        <f>B46/'13. Yields'!G59</f>
        <v>4581.6162654334821</v>
      </c>
      <c r="E46" s="240">
        <f>C46/'13. Yields'!K59</f>
        <v>3602.2862698368522</v>
      </c>
      <c r="F46" s="240"/>
      <c r="G46" s="240"/>
    </row>
    <row r="47" spans="1:7" x14ac:dyDescent="0.25">
      <c r="A47" s="207" t="s">
        <v>204</v>
      </c>
      <c r="B47" s="223">
        <f>'11. Diet'!J46*(PRODUCT('18. Waste, Losses'!D47:H47))</f>
        <v>40466014.569101229</v>
      </c>
      <c r="C47" s="223">
        <f>'11. Diet'!J46*(PRODUCT('18. Waste, Losses'!H47:L47))</f>
        <v>37164507.744979113</v>
      </c>
      <c r="D47" s="240">
        <f>B47/'13. Yields'!G60</f>
        <v>4363.5113885768542</v>
      </c>
      <c r="E47" s="240">
        <f>C47/'13. Yields'!K60</f>
        <v>4007.5049278486654</v>
      </c>
      <c r="F47" s="240"/>
      <c r="G47" s="240"/>
    </row>
    <row r="48" spans="1:7" x14ac:dyDescent="0.25">
      <c r="A48" s="208" t="s">
        <v>205</v>
      </c>
      <c r="B48" s="223">
        <f>'11. Diet'!J47*(PRODUCT('18. Waste, Losses'!D48:H48))</f>
        <v>18385094.214349143</v>
      </c>
      <c r="C48" s="223">
        <f>'11. Diet'!J47*(PRODUCT('18. Waste, Losses'!H48:L48))</f>
        <v>16885106.764209945</v>
      </c>
      <c r="D48" s="240">
        <f>B48/'13. Yields'!G61</f>
        <v>295.72266735306579</v>
      </c>
      <c r="E48" s="240">
        <f>C48/'13. Yields'!K61</f>
        <v>271.59549756107833</v>
      </c>
      <c r="F48" s="240"/>
      <c r="G48" s="240"/>
    </row>
    <row r="49" spans="1:10" x14ac:dyDescent="0.25">
      <c r="A49" s="513" t="s">
        <v>207</v>
      </c>
      <c r="B49" s="223">
        <f>(B54*'13. Yields'!J62)+(B55*'13. Yields'!J64)+(B56*'13. Yields'!J66)+(B57*'13. Yields'!J68)+(B58*'13. Yields'!J70)+(B59*'13. Yields'!J72)</f>
        <v>1183611883.7244985</v>
      </c>
      <c r="C49" s="905">
        <f>(B49/D49)*E49</f>
        <v>1003467923.061772</v>
      </c>
      <c r="D49" s="240">
        <f>SUM(B54:B59)</f>
        <v>248670.239222</v>
      </c>
      <c r="E49" s="252">
        <f>D49*(SUM(E$4:E$48)/SUM(D$4:D$48))</f>
        <v>210823.00026776039</v>
      </c>
      <c r="F49" s="240"/>
      <c r="G49" s="240"/>
    </row>
    <row r="50" spans="1:10" x14ac:dyDescent="0.25">
      <c r="A50" s="513" t="s">
        <v>210</v>
      </c>
      <c r="B50" s="223">
        <f>(C54*'13. Yields'!J63)+(C55*'13. Yields'!J65)+(C56*'13. Yields'!J67)+(C57*'13. Yields'!J69)+(C58*'13. Yields'!J71)+(C59*'13. Yields'!J73)</f>
        <v>337976837.09847265</v>
      </c>
      <c r="C50" s="905">
        <f>(B50/D50)*E50</f>
        <v>286537267.35066527</v>
      </c>
      <c r="D50" s="240">
        <f>SUM(C54:C59)</f>
        <v>220011.59075999999</v>
      </c>
      <c r="E50" s="240">
        <f>D50*(SUM(E$4:E$48)/SUM(D$4:D$48))</f>
        <v>186526.15529233901</v>
      </c>
      <c r="F50" s="240"/>
      <c r="G50" s="240"/>
    </row>
    <row r="51" spans="1:10" x14ac:dyDescent="0.25">
      <c r="A51" s="226"/>
      <c r="B51" s="223"/>
      <c r="C51" s="223"/>
      <c r="D51" s="224"/>
      <c r="E51" s="224"/>
      <c r="F51" s="225"/>
      <c r="G51" s="225"/>
    </row>
    <row r="52" spans="1:10" x14ac:dyDescent="0.25">
      <c r="A52" s="1192" t="s">
        <v>915</v>
      </c>
      <c r="B52" s="1192"/>
      <c r="C52" s="1192"/>
      <c r="D52" s="224"/>
      <c r="E52" s="224"/>
      <c r="F52" s="225"/>
      <c r="G52" s="225"/>
    </row>
    <row r="53" spans="1:10" x14ac:dyDescent="0.25">
      <c r="A53" s="389"/>
      <c r="B53" s="396" t="s">
        <v>916</v>
      </c>
      <c r="C53" s="390" t="s">
        <v>917</v>
      </c>
      <c r="D53" s="224"/>
      <c r="E53" s="224"/>
      <c r="F53" s="225"/>
      <c r="G53" s="225"/>
    </row>
    <row r="54" spans="1:10" x14ac:dyDescent="0.25">
      <c r="A54" s="379" t="s">
        <v>918</v>
      </c>
      <c r="B54" s="388">
        <f>135452*B68</f>
        <v>54815.528072000001</v>
      </c>
      <c r="C54" s="391">
        <f>100679*B68</f>
        <v>40743.381794000001</v>
      </c>
      <c r="D54" s="224"/>
      <c r="E54" s="224"/>
      <c r="F54" s="225"/>
      <c r="G54" s="225"/>
    </row>
    <row r="55" spans="1:10" x14ac:dyDescent="0.25">
      <c r="A55" s="392" t="s">
        <v>919</v>
      </c>
      <c r="B55" s="386">
        <f>112718*B68</f>
        <v>45615.396547999997</v>
      </c>
      <c r="C55" s="393">
        <f>101168*B68</f>
        <v>40941.273247999998</v>
      </c>
      <c r="D55" s="224"/>
      <c r="E55" s="224"/>
      <c r="F55" s="225"/>
      <c r="G55" s="225"/>
    </row>
    <row r="56" spans="1:10" x14ac:dyDescent="0.25">
      <c r="A56" s="392" t="s">
        <v>920</v>
      </c>
      <c r="B56" s="386">
        <f>155986*B68</f>
        <v>63125.350396000002</v>
      </c>
      <c r="C56" s="393">
        <f>133023*B68</f>
        <v>53832.545778</v>
      </c>
      <c r="D56" s="224"/>
      <c r="E56" s="224"/>
      <c r="F56" s="225"/>
      <c r="G56" s="225"/>
    </row>
    <row r="57" spans="1:10" x14ac:dyDescent="0.25">
      <c r="A57" s="392" t="s">
        <v>921</v>
      </c>
      <c r="B57" s="386">
        <f>62854*B68</f>
        <v>25436.133844</v>
      </c>
      <c r="C57" s="393">
        <f>67071*B68</f>
        <v>27142.694705999998</v>
      </c>
      <c r="D57" s="224"/>
      <c r="E57" s="224"/>
      <c r="F57" s="225"/>
      <c r="G57" s="225"/>
    </row>
    <row r="58" spans="1:10" x14ac:dyDescent="0.25">
      <c r="A58" s="392" t="s">
        <v>922</v>
      </c>
      <c r="B58" s="386">
        <f>84022*B68</f>
        <v>34002.527091999997</v>
      </c>
      <c r="C58" s="393">
        <f>72965*B68</f>
        <v>29527.913990000001</v>
      </c>
      <c r="D58" s="224"/>
      <c r="E58" s="224"/>
      <c r="F58" s="225"/>
      <c r="G58" s="225"/>
    </row>
    <row r="59" spans="1:10" x14ac:dyDescent="0.25">
      <c r="A59" s="394" t="s">
        <v>923</v>
      </c>
      <c r="B59" s="387">
        <f>63445*B68</f>
        <v>25675.30327</v>
      </c>
      <c r="C59" s="395">
        <f>68754*B68</f>
        <v>27823.781243999998</v>
      </c>
      <c r="D59" s="224"/>
      <c r="E59" s="224"/>
      <c r="F59" s="225"/>
      <c r="G59" s="225"/>
    </row>
    <row r="60" spans="1:10" x14ac:dyDescent="0.25">
      <c r="A60" s="2"/>
      <c r="B60" s="223"/>
      <c r="C60" s="223"/>
      <c r="D60" s="224"/>
      <c r="E60" s="224"/>
      <c r="F60" s="225"/>
      <c r="G60" s="225"/>
    </row>
    <row r="61" spans="1:10" ht="14.45" customHeight="1" x14ac:dyDescent="0.25">
      <c r="A61" s="1172" t="s">
        <v>307</v>
      </c>
      <c r="B61" s="1172"/>
      <c r="C61" s="1172"/>
      <c r="D61" s="1172"/>
    </row>
    <row r="62" spans="1:10" x14ac:dyDescent="0.25">
      <c r="A62" s="7" t="s">
        <v>924</v>
      </c>
    </row>
    <row r="63" spans="1:10" ht="49.5" customHeight="1" x14ac:dyDescent="0.25">
      <c r="A63" s="1096" t="s">
        <v>925</v>
      </c>
      <c r="B63" s="1096"/>
      <c r="C63" s="1096"/>
      <c r="D63" s="1096"/>
      <c r="E63" s="5"/>
      <c r="F63" s="5"/>
      <c r="G63" s="5"/>
      <c r="H63" s="5"/>
      <c r="I63" s="5"/>
      <c r="J63" s="5"/>
    </row>
    <row r="64" spans="1:10" x14ac:dyDescent="0.25">
      <c r="A64" s="885"/>
      <c r="B64" s="885"/>
      <c r="C64" s="885"/>
      <c r="D64" s="885"/>
      <c r="E64" s="5"/>
      <c r="F64" s="5"/>
      <c r="G64" s="5"/>
      <c r="H64" s="5"/>
      <c r="I64" s="5"/>
      <c r="J64" s="5"/>
    </row>
    <row r="65" spans="1:4" x14ac:dyDescent="0.25">
      <c r="A65" s="1172" t="s">
        <v>206</v>
      </c>
      <c r="B65" s="1172"/>
      <c r="C65" s="1172"/>
      <c r="D65" s="1172"/>
    </row>
    <row r="66" spans="1:4" x14ac:dyDescent="0.25">
      <c r="A66" s="5" t="s">
        <v>926</v>
      </c>
      <c r="B66" s="888">
        <f>694348.5</f>
        <v>694348.5</v>
      </c>
    </row>
    <row r="67" spans="1:4" x14ac:dyDescent="0.25">
      <c r="A67" t="s">
        <v>927</v>
      </c>
      <c r="B67" s="138">
        <v>560461.33700000006</v>
      </c>
    </row>
    <row r="68" spans="1:4" x14ac:dyDescent="0.25">
      <c r="A68" t="s">
        <v>928</v>
      </c>
      <c r="B68" s="49">
        <v>0.40468599999999999</v>
      </c>
    </row>
    <row r="69" spans="1:4" ht="28.9" customHeight="1" x14ac:dyDescent="0.25">
      <c r="A69" s="1096" t="s">
        <v>929</v>
      </c>
      <c r="B69" s="1096"/>
      <c r="C69" s="1096"/>
      <c r="D69" s="1096"/>
    </row>
    <row r="71" spans="1:4" x14ac:dyDescent="0.25">
      <c r="A71" s="1172" t="s">
        <v>314</v>
      </c>
      <c r="B71" s="1172"/>
      <c r="C71" s="1172"/>
      <c r="D71" s="1172"/>
    </row>
    <row r="72" spans="1:4" ht="60" x14ac:dyDescent="0.25">
      <c r="A72" s="1000" t="s">
        <v>930</v>
      </c>
      <c r="B72" s="1193" t="s">
        <v>931</v>
      </c>
      <c r="C72" s="1194"/>
      <c r="D72" s="1194"/>
    </row>
    <row r="73" spans="1:4" ht="60.75" customHeight="1" x14ac:dyDescent="0.25">
      <c r="A73" s="1000" t="s">
        <v>932</v>
      </c>
      <c r="B73" s="1193" t="s">
        <v>933</v>
      </c>
      <c r="C73" s="1193"/>
      <c r="D73" s="1193"/>
    </row>
    <row r="74" spans="1:4" ht="29.25" customHeight="1" x14ac:dyDescent="0.25">
      <c r="A74" s="1000" t="s">
        <v>934</v>
      </c>
      <c r="B74" s="1195" t="s">
        <v>935</v>
      </c>
      <c r="C74" s="1195"/>
      <c r="D74" s="1195"/>
    </row>
    <row r="75" spans="1:4" ht="30" x14ac:dyDescent="0.25">
      <c r="A75" s="1000" t="s">
        <v>936</v>
      </c>
      <c r="B75" s="1195" t="s">
        <v>937</v>
      </c>
      <c r="C75" s="1195"/>
      <c r="D75" s="1195"/>
    </row>
    <row r="76" spans="1:4" ht="42.6" customHeight="1" x14ac:dyDescent="0.25">
      <c r="A76" s="1000" t="s">
        <v>938</v>
      </c>
      <c r="B76" s="1121" t="s">
        <v>939</v>
      </c>
      <c r="C76" s="1121"/>
      <c r="D76" s="1121"/>
    </row>
    <row r="77" spans="1:4" ht="47.45" customHeight="1" x14ac:dyDescent="0.25">
      <c r="A77" s="1000" t="s">
        <v>940</v>
      </c>
      <c r="B77" s="1121" t="s">
        <v>941</v>
      </c>
      <c r="C77" s="1121"/>
      <c r="D77" s="1121"/>
    </row>
    <row r="78" spans="1:4" ht="83.45" customHeight="1" x14ac:dyDescent="0.25">
      <c r="A78" s="1083" t="s">
        <v>942</v>
      </c>
      <c r="B78" s="1121" t="s">
        <v>943</v>
      </c>
      <c r="C78" s="1121"/>
      <c r="D78" s="1121"/>
    </row>
    <row r="79" spans="1:4" ht="59.45" customHeight="1" x14ac:dyDescent="0.25">
      <c r="A79" s="1083" t="s">
        <v>944</v>
      </c>
      <c r="B79" s="1171" t="s">
        <v>945</v>
      </c>
      <c r="C79" s="1108"/>
      <c r="D79" s="1108"/>
    </row>
  </sheetData>
  <mergeCells count="15">
    <mergeCell ref="B79:D79"/>
    <mergeCell ref="B78:D78"/>
    <mergeCell ref="A1:G1"/>
    <mergeCell ref="A52:C52"/>
    <mergeCell ref="A71:D71"/>
    <mergeCell ref="A69:D69"/>
    <mergeCell ref="A63:D63"/>
    <mergeCell ref="A65:D65"/>
    <mergeCell ref="A61:D61"/>
    <mergeCell ref="B76:D76"/>
    <mergeCell ref="B72:D72"/>
    <mergeCell ref="B73:D73"/>
    <mergeCell ref="B75:D75"/>
    <mergeCell ref="B74:D74"/>
    <mergeCell ref="B77:D77"/>
  </mergeCells>
  <pageMargins left="0.7" right="0.7" top="0.75" bottom="0.75" header="0.3" footer="0.3"/>
  <pageSetup orientation="portrait"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93FB7-21D5-4689-A494-84953D6205F9}">
  <sheetPr>
    <tabColor theme="9" tint="0.79998168889431442"/>
  </sheetPr>
  <dimension ref="A1:W97"/>
  <sheetViews>
    <sheetView zoomScale="80" zoomScaleNormal="80" workbookViewId="0">
      <selection activeCell="K56" sqref="K56"/>
    </sheetView>
  </sheetViews>
  <sheetFormatPr defaultColWidth="8.85546875" defaultRowHeight="15" x14ac:dyDescent="0.25"/>
  <cols>
    <col min="1" max="1" width="22.28515625" customWidth="1"/>
    <col min="2" max="2" width="13.7109375" bestFit="1" customWidth="1"/>
    <col min="3" max="3" width="12.5703125" customWidth="1"/>
    <col min="4" max="4" width="12" customWidth="1"/>
    <col min="5" max="5" width="10.28515625" customWidth="1"/>
    <col min="6" max="6" width="9.85546875" customWidth="1"/>
    <col min="7" max="7" width="12.85546875" customWidth="1"/>
    <col min="8" max="8" width="11.5703125" customWidth="1"/>
    <col min="9" max="9" width="8.7109375" customWidth="1"/>
    <col min="10" max="10" width="8.140625" customWidth="1"/>
    <col min="11" max="11" width="14" customWidth="1"/>
    <col min="12" max="12" width="21.28515625" customWidth="1"/>
    <col min="13" max="13" width="10" customWidth="1"/>
    <col min="14" max="14" width="8.28515625" customWidth="1"/>
    <col min="15" max="15" width="9.140625" customWidth="1"/>
    <col min="16" max="16" width="12.85546875" customWidth="1"/>
    <col min="17" max="17" width="10" customWidth="1"/>
    <col min="18" max="18" width="8.7109375" customWidth="1"/>
    <col min="19" max="19" width="8.5703125" customWidth="1"/>
    <col min="20" max="20" width="8.140625" customWidth="1"/>
    <col min="22" max="22" width="8.5703125" customWidth="1"/>
    <col min="23" max="24" width="13.7109375" customWidth="1"/>
  </cols>
  <sheetData>
    <row r="1" spans="1:23" x14ac:dyDescent="0.25">
      <c r="A1" s="1200" t="s">
        <v>946</v>
      </c>
      <c r="B1" s="1200"/>
      <c r="C1" s="1200"/>
      <c r="D1" s="1200"/>
      <c r="E1" s="1200"/>
      <c r="F1" s="1200"/>
      <c r="G1" s="1200"/>
      <c r="H1" s="1200"/>
      <c r="I1" s="1200"/>
      <c r="J1" s="1200"/>
      <c r="K1" s="1200"/>
      <c r="L1" s="1200"/>
      <c r="M1" s="1200"/>
      <c r="N1" s="1200"/>
      <c r="O1" s="1200"/>
      <c r="P1" s="1200"/>
      <c r="Q1" s="1200"/>
      <c r="R1" s="1200"/>
      <c r="S1" s="1200"/>
      <c r="T1" s="1200"/>
    </row>
    <row r="2" spans="1:23" x14ac:dyDescent="0.25">
      <c r="A2" s="1208"/>
      <c r="B2" s="529" t="s">
        <v>947</v>
      </c>
      <c r="C2" s="530" t="s">
        <v>11</v>
      </c>
      <c r="D2" s="1206" t="s">
        <v>947</v>
      </c>
      <c r="E2" s="1206"/>
      <c r="F2" s="1206"/>
      <c r="G2" s="1206"/>
      <c r="H2" s="1206"/>
      <c r="I2" s="1206"/>
      <c r="J2" s="1206"/>
      <c r="K2" s="1207"/>
      <c r="L2" s="1082"/>
      <c r="M2" s="1203" t="s">
        <v>948</v>
      </c>
      <c r="N2" s="1204"/>
      <c r="O2" s="1204"/>
      <c r="P2" s="1204"/>
      <c r="Q2" s="1204"/>
      <c r="R2" s="1204"/>
      <c r="S2" s="1204"/>
      <c r="T2" s="1205"/>
    </row>
    <row r="3" spans="1:23" ht="42" customHeight="1" x14ac:dyDescent="0.25">
      <c r="A3" s="1209"/>
      <c r="B3" s="531" t="s">
        <v>949</v>
      </c>
      <c r="C3" s="532" t="s">
        <v>949</v>
      </c>
      <c r="D3" s="178" t="s">
        <v>950</v>
      </c>
      <c r="E3" s="178" t="s">
        <v>951</v>
      </c>
      <c r="F3" s="178" t="s">
        <v>952</v>
      </c>
      <c r="G3" s="178" t="s">
        <v>953</v>
      </c>
      <c r="H3" s="178" t="s">
        <v>954</v>
      </c>
      <c r="I3" s="178" t="s">
        <v>955</v>
      </c>
      <c r="J3" s="178" t="s">
        <v>956</v>
      </c>
      <c r="K3" s="400" t="s">
        <v>957</v>
      </c>
      <c r="L3" s="401" t="s">
        <v>958</v>
      </c>
      <c r="M3" s="399" t="s">
        <v>950</v>
      </c>
      <c r="N3" s="178" t="s">
        <v>951</v>
      </c>
      <c r="O3" s="178" t="s">
        <v>952</v>
      </c>
      <c r="P3" s="178" t="s">
        <v>953</v>
      </c>
      <c r="Q3" s="178" t="s">
        <v>954</v>
      </c>
      <c r="R3" s="178" t="s">
        <v>955</v>
      </c>
      <c r="S3" s="178" t="s">
        <v>956</v>
      </c>
      <c r="T3" s="400" t="s">
        <v>957</v>
      </c>
    </row>
    <row r="4" spans="1:23" x14ac:dyDescent="0.25">
      <c r="A4" s="12" t="s">
        <v>72</v>
      </c>
      <c r="B4" s="1011">
        <v>20.643419999999999</v>
      </c>
      <c r="C4" s="1012">
        <v>20.418072725146196</v>
      </c>
      <c r="D4" s="1013">
        <v>1.9250999999999998</v>
      </c>
      <c r="E4" s="897"/>
      <c r="F4" s="897"/>
      <c r="G4" s="897"/>
      <c r="H4" s="897"/>
      <c r="I4" s="897"/>
      <c r="J4" s="897"/>
      <c r="K4" s="1014"/>
      <c r="L4" s="1015">
        <f>(M4/D4)</f>
        <v>0.859649122807018</v>
      </c>
      <c r="M4" s="1016">
        <v>1.6549105263157902</v>
      </c>
      <c r="N4" s="897"/>
      <c r="O4" s="897"/>
      <c r="P4" s="897"/>
      <c r="Q4" s="897"/>
      <c r="R4" s="897"/>
      <c r="S4" s="897"/>
      <c r="T4" s="1014"/>
    </row>
    <row r="5" spans="1:23" x14ac:dyDescent="0.25">
      <c r="A5" s="23" t="s">
        <v>76</v>
      </c>
      <c r="B5" s="1017">
        <v>63.411999999999999</v>
      </c>
      <c r="C5" s="1018">
        <v>80.343999999999994</v>
      </c>
      <c r="D5" s="1013">
        <v>24.568000000000001</v>
      </c>
      <c r="E5" s="897"/>
      <c r="F5" s="897"/>
      <c r="G5" s="897"/>
      <c r="H5" s="897"/>
      <c r="I5" s="897"/>
      <c r="J5" s="897"/>
      <c r="K5" s="898"/>
      <c r="L5" s="1015">
        <f>(M5/D5)</f>
        <v>1.2972972972972971</v>
      </c>
      <c r="M5" s="1016">
        <v>31.871999999999996</v>
      </c>
      <c r="N5" s="897"/>
      <c r="O5" s="897"/>
      <c r="P5" s="897"/>
      <c r="Q5" s="897"/>
      <c r="R5" s="897"/>
      <c r="S5" s="897"/>
      <c r="T5" s="1014"/>
    </row>
    <row r="6" spans="1:23" x14ac:dyDescent="0.25">
      <c r="A6" s="4" t="s">
        <v>79</v>
      </c>
      <c r="B6" s="1011">
        <v>13.799999999999999</v>
      </c>
      <c r="C6" s="1018">
        <v>17.606896551724137</v>
      </c>
      <c r="D6" s="1013">
        <v>3.5094827586206896</v>
      </c>
      <c r="E6" s="897"/>
      <c r="F6" s="897"/>
      <c r="G6" s="897"/>
      <c r="H6" s="897"/>
      <c r="I6" s="897"/>
      <c r="J6" s="897"/>
      <c r="K6" s="898"/>
      <c r="L6" s="1015">
        <f>(M6/D6)</f>
        <v>1.1084745762711865</v>
      </c>
      <c r="M6" s="1016">
        <v>3.8901724137931035</v>
      </c>
      <c r="N6" s="897"/>
      <c r="O6" s="897"/>
      <c r="P6" s="897"/>
      <c r="Q6" s="897"/>
      <c r="R6" s="897"/>
      <c r="S6" s="897"/>
      <c r="T6" s="1014"/>
    </row>
    <row r="7" spans="1:23" x14ac:dyDescent="0.25">
      <c r="A7" s="4" t="s">
        <v>83</v>
      </c>
      <c r="B7" s="1017">
        <v>11.2477</v>
      </c>
      <c r="C7" s="1018">
        <v>11.470600000000001</v>
      </c>
      <c r="D7" s="1019">
        <v>2.4424999999999999</v>
      </c>
      <c r="E7" s="897"/>
      <c r="F7" s="897"/>
      <c r="G7" s="897"/>
      <c r="H7" s="897"/>
      <c r="I7" s="897"/>
      <c r="J7" s="897"/>
      <c r="K7" s="898"/>
      <c r="L7" s="1015">
        <f t="shared" ref="L7:L9" si="0">(M7/D7)</f>
        <v>0.98186284544524038</v>
      </c>
      <c r="M7" s="1016">
        <v>2.3981999999999997</v>
      </c>
      <c r="N7" s="897"/>
      <c r="O7" s="897"/>
      <c r="P7" s="897"/>
      <c r="Q7" s="897"/>
      <c r="R7" s="897"/>
      <c r="S7" s="897"/>
      <c r="T7" s="1014"/>
    </row>
    <row r="8" spans="1:23" x14ac:dyDescent="0.25">
      <c r="A8" s="10" t="s">
        <v>91</v>
      </c>
      <c r="B8" s="1017">
        <v>25.8</v>
      </c>
      <c r="C8" s="1018">
        <v>20</v>
      </c>
      <c r="D8" s="1019">
        <v>12.8</v>
      </c>
      <c r="E8" s="897"/>
      <c r="F8" s="897"/>
      <c r="G8" s="897"/>
      <c r="H8" s="897"/>
      <c r="I8" s="897"/>
      <c r="J8" s="897"/>
      <c r="K8" s="898"/>
      <c r="L8" s="1015">
        <f>(M8/D8)</f>
        <v>1.140625</v>
      </c>
      <c r="M8" s="1016">
        <v>14.6</v>
      </c>
      <c r="N8" s="897"/>
      <c r="O8" s="897"/>
      <c r="P8" s="897"/>
      <c r="Q8" s="897"/>
      <c r="R8" s="897"/>
      <c r="S8" s="897"/>
      <c r="T8" s="1014"/>
      <c r="U8" s="383"/>
      <c r="V8" s="384"/>
      <c r="W8" s="212"/>
    </row>
    <row r="9" spans="1:23" x14ac:dyDescent="0.25">
      <c r="A9" s="11" t="s">
        <v>95</v>
      </c>
      <c r="B9" s="1011">
        <v>2.58</v>
      </c>
      <c r="C9" s="1012">
        <v>2</v>
      </c>
      <c r="D9" s="897">
        <v>1.28</v>
      </c>
      <c r="E9" s="897"/>
      <c r="F9" s="897"/>
      <c r="G9" s="897"/>
      <c r="H9" s="897"/>
      <c r="I9" s="897"/>
      <c r="J9" s="897"/>
      <c r="K9" s="898"/>
      <c r="L9" s="1015">
        <f t="shared" si="0"/>
        <v>1.140625</v>
      </c>
      <c r="M9" s="1016">
        <v>1.46</v>
      </c>
      <c r="N9" s="897"/>
      <c r="O9" s="897"/>
      <c r="P9" s="897"/>
      <c r="Q9" s="897"/>
      <c r="R9" s="897"/>
      <c r="S9" s="897"/>
      <c r="T9" s="1014"/>
      <c r="U9" s="383"/>
      <c r="V9" s="384"/>
    </row>
    <row r="10" spans="1:23" x14ac:dyDescent="0.25">
      <c r="A10" s="264" t="s">
        <v>99</v>
      </c>
      <c r="B10" s="900"/>
      <c r="C10" s="901"/>
      <c r="D10" s="897">
        <v>0.94699999999999995</v>
      </c>
      <c r="E10" s="1013">
        <v>3.0000000000000001E-3</v>
      </c>
      <c r="F10" s="1013">
        <v>5.3999999999999999E-2</v>
      </c>
      <c r="G10" s="1013">
        <v>0</v>
      </c>
      <c r="H10" s="1013">
        <v>1E-3</v>
      </c>
      <c r="I10" s="1013">
        <v>9.0999999999999998E-2</v>
      </c>
      <c r="J10" s="897">
        <v>0</v>
      </c>
      <c r="K10" s="1014">
        <f>SUM(E10:J10)/D10</f>
        <v>0.1573389651531151</v>
      </c>
      <c r="L10" s="1015">
        <f>1-((SUM(N10:S10)/SUM(E10:J10))*(K10))</f>
        <v>0.85908130939809924</v>
      </c>
      <c r="M10" s="899">
        <f>SUM(N10:S10)</f>
        <v>0.13345000000000001</v>
      </c>
      <c r="N10" s="1013">
        <f>E10*0.7</f>
        <v>2.0999999999999999E-3</v>
      </c>
      <c r="O10" s="1013">
        <f>F10*1.15</f>
        <v>6.2099999999999995E-2</v>
      </c>
      <c r="P10" s="1013">
        <v>0</v>
      </c>
      <c r="Q10" s="1013">
        <f>H10</f>
        <v>1E-3</v>
      </c>
      <c r="R10" s="1013">
        <f>0.091*0.75</f>
        <v>6.8250000000000005E-2</v>
      </c>
      <c r="S10" s="1013">
        <v>0</v>
      </c>
      <c r="T10" s="1014">
        <f>0.4806</f>
        <v>0.48060000000000003</v>
      </c>
      <c r="U10" s="383"/>
      <c r="V10" s="383"/>
    </row>
    <row r="11" spans="1:23" x14ac:dyDescent="0.25">
      <c r="A11" s="265" t="s">
        <v>102</v>
      </c>
      <c r="B11" s="900"/>
      <c r="C11" s="901"/>
      <c r="D11" s="897">
        <v>0.53200000000000003</v>
      </c>
      <c r="E11" s="897">
        <f>(D11*K11)*0.02</f>
        <v>1.6740865892291448E-3</v>
      </c>
      <c r="F11" s="897">
        <f>(D11*K11)*0.36</f>
        <v>3.0133558606124607E-2</v>
      </c>
      <c r="G11" s="897">
        <f>(D11*K11)*0</f>
        <v>0</v>
      </c>
      <c r="H11" s="897">
        <f>(D11*K11)*0.01</f>
        <v>8.3704329461457242E-4</v>
      </c>
      <c r="I11" s="897">
        <f>(D11*K11)*0.61</f>
        <v>5.1059640971488914E-2</v>
      </c>
      <c r="J11" s="897">
        <v>0</v>
      </c>
      <c r="K11" s="1014">
        <f>K10</f>
        <v>0.1573389651531151</v>
      </c>
      <c r="L11" s="1015">
        <f t="shared" ref="L11:L17" si="1">1-((SUM(N11:S11)/SUM(E11:J11))*(K11))</f>
        <v>0.84266103484688493</v>
      </c>
      <c r="M11" s="1020">
        <f>SUM(N11:S11)</f>
        <v>8.3704329461457228E-2</v>
      </c>
      <c r="N11" s="1015">
        <f>E11</f>
        <v>1.6740865892291448E-3</v>
      </c>
      <c r="O11" s="1015">
        <f>F11</f>
        <v>3.0133558606124607E-2</v>
      </c>
      <c r="P11" s="1015">
        <f>G11</f>
        <v>0</v>
      </c>
      <c r="Q11" s="1015">
        <f>H11</f>
        <v>8.3704329461457242E-4</v>
      </c>
      <c r="R11" s="1015">
        <f>I11</f>
        <v>5.1059640971488914E-2</v>
      </c>
      <c r="S11" s="1013">
        <v>0</v>
      </c>
      <c r="T11" s="1014">
        <f t="shared" ref="T11:T18" si="2">0.4806</f>
        <v>0.48060000000000003</v>
      </c>
      <c r="U11" s="383"/>
      <c r="V11" s="383"/>
    </row>
    <row r="12" spans="1:23" x14ac:dyDescent="0.25">
      <c r="A12" s="266" t="s">
        <v>105</v>
      </c>
      <c r="B12" s="900"/>
      <c r="C12" s="901"/>
      <c r="D12" s="897">
        <v>3.9769999999999999</v>
      </c>
      <c r="E12" s="897">
        <f t="shared" ref="E12:E17" si="3">(D12*K12)*0.02</f>
        <v>1.2514741288278775E-2</v>
      </c>
      <c r="F12" s="897">
        <f t="shared" ref="F12:F17" si="4">(D12*K12)*0.36</f>
        <v>0.22526534318901792</v>
      </c>
      <c r="G12" s="897"/>
      <c r="H12" s="897">
        <f>(D12*K12)*0.01</f>
        <v>6.2573706441393876E-3</v>
      </c>
      <c r="I12" s="897">
        <f t="shared" ref="I12:I17" si="5">(D12*K12)*0.61</f>
        <v>0.38169960929250263</v>
      </c>
      <c r="J12" s="897">
        <v>0</v>
      </c>
      <c r="K12" s="1014">
        <f>K10</f>
        <v>0.1573389651531151</v>
      </c>
      <c r="L12" s="1015">
        <f t="shared" si="1"/>
        <v>0.98788739210332699</v>
      </c>
      <c r="M12" s="1020">
        <f>SUM(N12:S12)</f>
        <v>4.8171841605068641E-2</v>
      </c>
      <c r="N12" s="1021">
        <f>E11*1.15</f>
        <v>1.9251995776135163E-3</v>
      </c>
      <c r="O12" s="1021">
        <f>F11*0.25</f>
        <v>7.5333896515311517E-3</v>
      </c>
      <c r="P12" s="1021">
        <f>G11</f>
        <v>0</v>
      </c>
      <c r="Q12" s="1021">
        <f>H11*0.5</f>
        <v>4.1852164730728621E-4</v>
      </c>
      <c r="R12" s="1021">
        <f>I11*0.75</f>
        <v>3.8294730728616687E-2</v>
      </c>
      <c r="S12" s="1013">
        <v>0</v>
      </c>
      <c r="T12" s="1014">
        <f t="shared" si="2"/>
        <v>0.48060000000000003</v>
      </c>
      <c r="U12" s="383"/>
      <c r="V12" s="383"/>
    </row>
    <row r="13" spans="1:23" x14ac:dyDescent="0.25">
      <c r="A13" s="266" t="s">
        <v>108</v>
      </c>
      <c r="B13" s="900"/>
      <c r="C13" s="901"/>
      <c r="D13" s="897">
        <v>0.997</v>
      </c>
      <c r="E13" s="897">
        <f t="shared" si="3"/>
        <v>3.1373389651531153E-3</v>
      </c>
      <c r="F13" s="897">
        <f t="shared" si="4"/>
        <v>5.6472101372756073E-2</v>
      </c>
      <c r="G13" s="897"/>
      <c r="H13" s="897">
        <f t="shared" ref="H13:H18" si="6">(D13*K13)*0.01</f>
        <v>1.5686694825765577E-3</v>
      </c>
      <c r="I13" s="897">
        <f t="shared" si="5"/>
        <v>9.5688838437170021E-2</v>
      </c>
      <c r="J13" s="897">
        <v>0</v>
      </c>
      <c r="K13" s="1014">
        <f>K10</f>
        <v>0.1573389651531151</v>
      </c>
      <c r="L13" s="1015">
        <f>1-((SUM(N13:S13)/SUM(E13:J13))*(K13))</f>
        <v>0.86744192185850055</v>
      </c>
      <c r="M13" s="1020">
        <f t="shared" ref="M13:M18" si="7">SUM(N13:S13)</f>
        <v>0.13216040390707498</v>
      </c>
      <c r="N13" s="1021">
        <f>E13</f>
        <v>3.1373389651531153E-3</v>
      </c>
      <c r="O13" s="1021">
        <f>F13</f>
        <v>5.6472101372756073E-2</v>
      </c>
      <c r="P13" s="1021">
        <f>G13</f>
        <v>0</v>
      </c>
      <c r="Q13" s="1021">
        <f>H13*0.5</f>
        <v>7.8433474128827884E-4</v>
      </c>
      <c r="R13" s="1021">
        <f>I13*0.75</f>
        <v>7.1766628827877516E-2</v>
      </c>
      <c r="S13" s="1013">
        <v>0</v>
      </c>
      <c r="T13" s="1014">
        <f t="shared" si="2"/>
        <v>0.48060000000000003</v>
      </c>
      <c r="U13" s="383"/>
      <c r="V13" s="383"/>
    </row>
    <row r="14" spans="1:23" x14ac:dyDescent="0.25">
      <c r="A14" s="266" t="s">
        <v>111</v>
      </c>
      <c r="B14" s="900"/>
      <c r="C14" s="901"/>
      <c r="D14" s="897">
        <v>0.97699999999999998</v>
      </c>
      <c r="E14" s="897">
        <f t="shared" si="3"/>
        <v>3.0744033790918689E-3</v>
      </c>
      <c r="F14" s="897">
        <f t="shared" si="4"/>
        <v>5.533926082365364E-2</v>
      </c>
      <c r="G14" s="897"/>
      <c r="H14" s="897">
        <f t="shared" si="6"/>
        <v>1.5372016895459344E-3</v>
      </c>
      <c r="I14" s="897">
        <f t="shared" si="5"/>
        <v>9.3769303062302009E-2</v>
      </c>
      <c r="J14" s="897">
        <v>0</v>
      </c>
      <c r="K14" s="1014">
        <f>K10</f>
        <v>0.1573389651531151</v>
      </c>
      <c r="L14" s="1015">
        <f t="shared" si="1"/>
        <v>0.88529989440337908</v>
      </c>
      <c r="M14" s="1020">
        <f t="shared" si="7"/>
        <v>0.11206200316789863</v>
      </c>
      <c r="N14" s="1021">
        <f>E14*0.5</f>
        <v>1.5372016895459344E-3</v>
      </c>
      <c r="O14" s="1021">
        <f>F14*1.15</f>
        <v>6.3640149947201685E-2</v>
      </c>
      <c r="P14" s="1021">
        <f>G14</f>
        <v>0</v>
      </c>
      <c r="Q14" s="1021">
        <f>H14*0</f>
        <v>0</v>
      </c>
      <c r="R14" s="1021">
        <f>I14*0.5</f>
        <v>4.6884651531151005E-2</v>
      </c>
      <c r="S14" s="1013">
        <v>0</v>
      </c>
      <c r="T14" s="1014">
        <f t="shared" si="2"/>
        <v>0.48060000000000003</v>
      </c>
      <c r="U14" s="383"/>
      <c r="V14" s="383"/>
    </row>
    <row r="15" spans="1:23" x14ac:dyDescent="0.25">
      <c r="A15" s="266" t="s">
        <v>114</v>
      </c>
      <c r="B15" s="900"/>
      <c r="C15" s="901"/>
      <c r="D15" s="897">
        <v>1.1970000000000001</v>
      </c>
      <c r="E15" s="897">
        <f t="shared" si="3"/>
        <v>3.7666948257655758E-3</v>
      </c>
      <c r="F15" s="897">
        <f t="shared" si="4"/>
        <v>6.7800506863780363E-2</v>
      </c>
      <c r="G15" s="897"/>
      <c r="H15" s="897">
        <f t="shared" si="6"/>
        <v>1.8833474128827879E-3</v>
      </c>
      <c r="I15" s="897">
        <f t="shared" si="5"/>
        <v>0.11488419218585005</v>
      </c>
      <c r="J15" s="897">
        <v>0</v>
      </c>
      <c r="K15" s="1014">
        <f>K10</f>
        <v>0.1573389651531151</v>
      </c>
      <c r="L15" s="1015">
        <f t="shared" si="1"/>
        <v>0.86382312565997887</v>
      </c>
      <c r="M15" s="1020">
        <f>SUM(N15:S15)</f>
        <v>0.16300371858500529</v>
      </c>
      <c r="N15" s="1021">
        <f>E15*0.6</f>
        <v>2.2600168954593452E-3</v>
      </c>
      <c r="O15" s="1021">
        <f>F15*1.1</f>
        <v>7.4580557550158411E-2</v>
      </c>
      <c r="P15" s="1021">
        <f>G15</f>
        <v>0</v>
      </c>
      <c r="Q15" s="1021">
        <f>H15*0</f>
        <v>0</v>
      </c>
      <c r="R15" s="1021">
        <f>I15*0.75</f>
        <v>8.616314413938754E-2</v>
      </c>
      <c r="S15" s="1013">
        <v>0</v>
      </c>
      <c r="T15" s="1014">
        <f t="shared" si="2"/>
        <v>0.48060000000000003</v>
      </c>
      <c r="U15" s="383"/>
      <c r="V15" s="383"/>
    </row>
    <row r="16" spans="1:23" x14ac:dyDescent="0.25">
      <c r="A16" s="266" t="s">
        <v>117</v>
      </c>
      <c r="B16" s="900"/>
      <c r="C16" s="901"/>
      <c r="D16" s="897">
        <v>1.107</v>
      </c>
      <c r="E16" s="897">
        <f t="shared" si="3"/>
        <v>3.4834846884899684E-3</v>
      </c>
      <c r="F16" s="897">
        <f t="shared" si="4"/>
        <v>6.2702724392819431E-2</v>
      </c>
      <c r="G16" s="897"/>
      <c r="H16" s="897">
        <f t="shared" si="6"/>
        <v>1.7417423442449842E-3</v>
      </c>
      <c r="I16" s="897">
        <f t="shared" si="5"/>
        <v>0.10624628299894404</v>
      </c>
      <c r="J16" s="897">
        <v>0</v>
      </c>
      <c r="K16" s="1014">
        <f>K10</f>
        <v>0.1573389651531151</v>
      </c>
      <c r="L16" s="1015">
        <f t="shared" si="1"/>
        <v>0.92030781414994722</v>
      </c>
      <c r="M16" s="1020">
        <f t="shared" si="7"/>
        <v>8.8219249736008448E-2</v>
      </c>
      <c r="N16" s="1021">
        <f>E16*0.5</f>
        <v>1.7417423442449842E-3</v>
      </c>
      <c r="O16" s="1021">
        <f>F16*0.5</f>
        <v>3.1351362196409716E-2</v>
      </c>
      <c r="P16" s="1021">
        <f>G16</f>
        <v>0</v>
      </c>
      <c r="Q16" s="1021">
        <f>H16*1.15</f>
        <v>2.0030036958817317E-3</v>
      </c>
      <c r="R16" s="1021">
        <f>I16*0.5</f>
        <v>5.3123141499472018E-2</v>
      </c>
      <c r="S16" s="1013">
        <v>0</v>
      </c>
      <c r="T16" s="1014">
        <f t="shared" si="2"/>
        <v>0.48060000000000003</v>
      </c>
      <c r="U16" s="383"/>
      <c r="V16" s="383"/>
    </row>
    <row r="17" spans="1:22" x14ac:dyDescent="0.25">
      <c r="A17" s="265" t="s">
        <v>120</v>
      </c>
      <c r="B17" s="900"/>
      <c r="C17" s="901"/>
      <c r="D17" s="897">
        <v>1.1970000000000001</v>
      </c>
      <c r="E17" s="897">
        <f t="shared" si="3"/>
        <v>3.7666948257655758E-3</v>
      </c>
      <c r="F17" s="897">
        <f t="shared" si="4"/>
        <v>6.7800506863780363E-2</v>
      </c>
      <c r="G17" s="897"/>
      <c r="H17" s="897">
        <f t="shared" si="6"/>
        <v>1.8833474128827879E-3</v>
      </c>
      <c r="I17" s="897">
        <f t="shared" si="5"/>
        <v>0.11488419218585005</v>
      </c>
      <c r="J17" s="897">
        <v>0</v>
      </c>
      <c r="K17" s="1014">
        <f>K10</f>
        <v>0.1573389651531151</v>
      </c>
      <c r="L17" s="1015">
        <f t="shared" si="1"/>
        <v>0.93095966209081304</v>
      </c>
      <c r="M17" s="1020">
        <f t="shared" si="7"/>
        <v>8.2641284477296739E-2</v>
      </c>
      <c r="N17" s="1021">
        <f>E17*0.5</f>
        <v>1.8833474128827879E-3</v>
      </c>
      <c r="O17" s="1021">
        <f>F17*0.33</f>
        <v>2.2374167265047522E-2</v>
      </c>
      <c r="P17" s="1021">
        <f>G17</f>
        <v>0</v>
      </c>
      <c r="Q17" s="1021">
        <f>H17*0.5</f>
        <v>9.4167370644139396E-4</v>
      </c>
      <c r="R17" s="1021">
        <f>I17*0.5</f>
        <v>5.7442096092925027E-2</v>
      </c>
      <c r="S17" s="1013">
        <v>0</v>
      </c>
      <c r="T17" s="1014">
        <f t="shared" si="2"/>
        <v>0.48060000000000003</v>
      </c>
      <c r="U17" s="383"/>
      <c r="V17" s="383"/>
    </row>
    <row r="18" spans="1:22" x14ac:dyDescent="0.25">
      <c r="A18" s="267" t="s">
        <v>124</v>
      </c>
      <c r="B18" s="900"/>
      <c r="C18" s="901"/>
      <c r="D18" s="897">
        <v>1.2220709999999999</v>
      </c>
      <c r="E18" s="897">
        <f>(D18*K18)*0.02</f>
        <v>3.8455877296726506E-3</v>
      </c>
      <c r="F18" s="897">
        <f>(D18*K18)*0.36</f>
        <v>6.9220579134107701E-2</v>
      </c>
      <c r="G18" s="897"/>
      <c r="H18" s="897">
        <f t="shared" si="6"/>
        <v>1.9227938648363253E-3</v>
      </c>
      <c r="I18" s="897">
        <f>(D18*K18)*0.61</f>
        <v>0.11729042575501583</v>
      </c>
      <c r="J18" s="897">
        <v>0</v>
      </c>
      <c r="K18" s="1014">
        <f>K10</f>
        <v>0.1573389651531151</v>
      </c>
      <c r="L18" s="1015">
        <f>1-((SUM(N18:S18)/SUM(E18:J18))*(K18))</f>
        <v>1</v>
      </c>
      <c r="M18" s="1016">
        <f t="shared" si="7"/>
        <v>0</v>
      </c>
      <c r="N18" s="902"/>
      <c r="O18" s="902"/>
      <c r="P18" s="902"/>
      <c r="Q18" s="902"/>
      <c r="R18" s="902"/>
      <c r="S18" s="1013">
        <v>0</v>
      </c>
      <c r="T18" s="1014">
        <f t="shared" si="2"/>
        <v>0.48060000000000003</v>
      </c>
      <c r="U18" s="383"/>
      <c r="V18" s="383"/>
    </row>
    <row r="19" spans="1:22" x14ac:dyDescent="0.25">
      <c r="A19" s="110" t="s">
        <v>128</v>
      </c>
      <c r="B19" s="1022">
        <v>16.45</v>
      </c>
      <c r="C19" s="903">
        <v>5.310126599427285</v>
      </c>
      <c r="D19" s="1023">
        <v>1.054</v>
      </c>
      <c r="E19" s="1023">
        <v>3.2000000000000001E-2</v>
      </c>
      <c r="F19" s="1023">
        <v>0.02</v>
      </c>
      <c r="G19" s="1023">
        <v>0.11700000000000001</v>
      </c>
      <c r="H19" s="1023">
        <v>0.10299999999999999</v>
      </c>
      <c r="I19" s="1023">
        <v>9.2999999999999999E-2</v>
      </c>
      <c r="J19" s="1023">
        <v>0</v>
      </c>
      <c r="K19" s="1024">
        <f>SUM(E19:J19)/(D19)</f>
        <v>0.34629981024667927</v>
      </c>
      <c r="L19" s="1025">
        <f>1-((SUM(N19:S19)/SUM(E19:J19))*(K19))</f>
        <v>0.8441973388544648</v>
      </c>
      <c r="M19" s="1026">
        <v>0.41321600484739407</v>
      </c>
      <c r="N19" s="1023">
        <v>2.8000000000000001E-2</v>
      </c>
      <c r="O19" s="1023">
        <v>5.63730336782646E-3</v>
      </c>
      <c r="P19" s="1023">
        <v>0.10199999999999999</v>
      </c>
      <c r="Q19" s="1023">
        <v>2.3191176652793674E-2</v>
      </c>
      <c r="R19" s="1023">
        <v>5.3875248267739482E-3</v>
      </c>
      <c r="S19" s="1023">
        <v>0</v>
      </c>
      <c r="T19" s="1027">
        <f>SUM(N19:S19)/(M19)</f>
        <v>0.39740959430659306</v>
      </c>
      <c r="V19" s="154"/>
    </row>
    <row r="20" spans="1:22" x14ac:dyDescent="0.25">
      <c r="A20" s="111" t="s">
        <v>131</v>
      </c>
      <c r="B20" s="1022">
        <v>11.79</v>
      </c>
      <c r="C20" s="903">
        <v>1.3191372799640211</v>
      </c>
      <c r="D20" s="1023">
        <v>0.64500000000000002</v>
      </c>
      <c r="E20" s="1023">
        <v>6.0000000000000001E-3</v>
      </c>
      <c r="F20" s="1023">
        <v>0</v>
      </c>
      <c r="G20" s="1023">
        <v>1E-3</v>
      </c>
      <c r="H20" s="1023">
        <v>0</v>
      </c>
      <c r="I20" s="1023">
        <v>8.4000000000000005E-2</v>
      </c>
      <c r="J20" s="1023">
        <v>0</v>
      </c>
      <c r="K20" s="1024">
        <f t="shared" ref="K20:K41" si="8">SUM(E20:J20)/(D20)</f>
        <v>0.14108527131782947</v>
      </c>
      <c r="L20" s="1025">
        <f t="shared" ref="L20:L41" si="9">1-((SUM(N20:S20)/SUM(E20:J20))*(K20))</f>
        <v>0.9422436855490911</v>
      </c>
      <c r="M20" s="1026">
        <v>0.16125282282083622</v>
      </c>
      <c r="N20" s="1023">
        <v>5.0000000000000001E-3</v>
      </c>
      <c r="O20" s="1023">
        <v>6.398609687100228E-4</v>
      </c>
      <c r="P20" s="1023">
        <v>1E-3</v>
      </c>
      <c r="Q20" s="1023">
        <v>2.8414373142221287E-2</v>
      </c>
      <c r="R20" s="1023">
        <v>2.1985887099049135E-3</v>
      </c>
      <c r="S20" s="1023">
        <v>0</v>
      </c>
      <c r="T20" s="1027">
        <f t="shared" ref="T20:T41" si="10">SUM(N20:S20)/(M20)</f>
        <v>0.23102121357730809</v>
      </c>
      <c r="V20" s="154"/>
    </row>
    <row r="21" spans="1:22" x14ac:dyDescent="0.25">
      <c r="A21" s="111" t="s">
        <v>134</v>
      </c>
      <c r="B21" s="1022">
        <v>11.79</v>
      </c>
      <c r="C21" s="903">
        <v>1.3191372799640211</v>
      </c>
      <c r="D21" s="1023">
        <v>0.64500000000000002</v>
      </c>
      <c r="E21" s="1023">
        <v>6.0000000000000001E-3</v>
      </c>
      <c r="F21" s="1023">
        <v>0</v>
      </c>
      <c r="G21" s="1023">
        <v>1E-3</v>
      </c>
      <c r="H21" s="1023">
        <v>0</v>
      </c>
      <c r="I21" s="1023">
        <v>8.4000000000000005E-2</v>
      </c>
      <c r="J21" s="1023">
        <v>0</v>
      </c>
      <c r="K21" s="1024">
        <f t="shared" si="8"/>
        <v>0.14108527131782947</v>
      </c>
      <c r="L21" s="1025">
        <f t="shared" si="9"/>
        <v>0.9422436855490911</v>
      </c>
      <c r="M21" s="1026">
        <v>0.16125282282083622</v>
      </c>
      <c r="N21" s="1023">
        <v>5.0000000000000001E-3</v>
      </c>
      <c r="O21" s="1023">
        <v>6.398609687100228E-4</v>
      </c>
      <c r="P21" s="1023">
        <v>1E-3</v>
      </c>
      <c r="Q21" s="1023">
        <v>2.8414373142221287E-2</v>
      </c>
      <c r="R21" s="1023">
        <v>2.1985887099049135E-3</v>
      </c>
      <c r="S21" s="1023">
        <v>0</v>
      </c>
      <c r="T21" s="1027">
        <f t="shared" si="10"/>
        <v>0.23102121357730809</v>
      </c>
      <c r="V21" s="154"/>
    </row>
    <row r="22" spans="1:22" x14ac:dyDescent="0.25">
      <c r="A22" s="111" t="s">
        <v>137</v>
      </c>
      <c r="B22" s="1022">
        <v>11.79</v>
      </c>
      <c r="C22" s="903">
        <v>1.3191372799640211</v>
      </c>
      <c r="D22" s="1023">
        <v>0.64500000000000002</v>
      </c>
      <c r="E22" s="1023">
        <v>6.0000000000000001E-3</v>
      </c>
      <c r="F22" s="1023">
        <v>0</v>
      </c>
      <c r="G22" s="1023">
        <v>1E-3</v>
      </c>
      <c r="H22" s="1023">
        <v>0</v>
      </c>
      <c r="I22" s="1023">
        <v>8.4000000000000005E-2</v>
      </c>
      <c r="J22" s="1023">
        <v>0</v>
      </c>
      <c r="K22" s="1024">
        <f t="shared" si="8"/>
        <v>0.14108527131782947</v>
      </c>
      <c r="L22" s="1025">
        <f t="shared" si="9"/>
        <v>0.9422436855490911</v>
      </c>
      <c r="M22" s="1026">
        <v>0.16125282282083622</v>
      </c>
      <c r="N22" s="1023">
        <v>5.0000000000000001E-3</v>
      </c>
      <c r="O22" s="1023">
        <v>6.398609687100228E-4</v>
      </c>
      <c r="P22" s="1023">
        <v>1E-3</v>
      </c>
      <c r="Q22" s="1023">
        <v>2.8414373142221287E-2</v>
      </c>
      <c r="R22" s="1023">
        <v>2.1985887099049135E-3</v>
      </c>
      <c r="S22" s="1023">
        <v>0</v>
      </c>
      <c r="T22" s="1024">
        <f t="shared" si="10"/>
        <v>0.23102121357730809</v>
      </c>
      <c r="V22" s="154"/>
    </row>
    <row r="23" spans="1:22" x14ac:dyDescent="0.25">
      <c r="A23" s="111" t="s">
        <v>140</v>
      </c>
      <c r="B23" s="1022">
        <v>16.05</v>
      </c>
      <c r="C23" s="903">
        <v>4.5759127277228266</v>
      </c>
      <c r="D23" s="1023">
        <v>1.0249999999999999</v>
      </c>
      <c r="E23" s="1023">
        <v>2.5999999999999999E-2</v>
      </c>
      <c r="F23" s="1023">
        <v>0</v>
      </c>
      <c r="G23" s="1023">
        <v>0.13500000000000001</v>
      </c>
      <c r="H23" s="1023">
        <v>0</v>
      </c>
      <c r="I23" s="1023">
        <v>0.20799999999999999</v>
      </c>
      <c r="J23" s="1023">
        <v>7.0000000000000001E-3</v>
      </c>
      <c r="K23" s="1024">
        <f t="shared" si="8"/>
        <v>0.36682926829268298</v>
      </c>
      <c r="L23" s="1025">
        <f t="shared" si="9"/>
        <v>0.84322404065485035</v>
      </c>
      <c r="M23" s="1026">
        <v>0.37669535832877837</v>
      </c>
      <c r="N23" s="1023">
        <v>2.3E-2</v>
      </c>
      <c r="O23" s="1023">
        <v>1.1739014485947063E-3</v>
      </c>
      <c r="P23" s="1023">
        <v>0.11700000000000001</v>
      </c>
      <c r="Q23" s="1023">
        <v>1.5487883029563332E-2</v>
      </c>
      <c r="R23" s="1023">
        <v>4.0335738506203367E-3</v>
      </c>
      <c r="S23" s="1023">
        <v>0</v>
      </c>
      <c r="T23" s="1027">
        <f t="shared" si="10"/>
        <v>0.42659235049167776</v>
      </c>
      <c r="V23" s="154"/>
    </row>
    <row r="24" spans="1:22" x14ac:dyDescent="0.25">
      <c r="A24" s="112" t="s">
        <v>143</v>
      </c>
      <c r="B24" s="1028">
        <v>16.389999999999997</v>
      </c>
      <c r="C24" s="1029">
        <v>5.1999945186716161</v>
      </c>
      <c r="D24" s="1013">
        <v>1.04965</v>
      </c>
      <c r="E24" s="1013">
        <v>3.1099999999999999E-2</v>
      </c>
      <c r="F24" s="1013">
        <v>1.7000000000000001E-2</v>
      </c>
      <c r="G24" s="1013">
        <v>0.1197</v>
      </c>
      <c r="H24" s="1013">
        <v>8.7549999999999989E-2</v>
      </c>
      <c r="I24" s="1013">
        <v>0.11024999999999999</v>
      </c>
      <c r="J24" s="1013">
        <v>1.0499999999999999E-3</v>
      </c>
      <c r="K24" s="1024">
        <f t="shared" si="8"/>
        <v>0.34930691182775203</v>
      </c>
      <c r="L24" s="1025">
        <f t="shared" si="9"/>
        <v>0.84405477266745899</v>
      </c>
      <c r="M24" s="1030">
        <v>0.40773790786960168</v>
      </c>
      <c r="N24" s="1013">
        <v>2.7249999999999996E-2</v>
      </c>
      <c r="O24" s="1013">
        <v>4.9677930799416972E-3</v>
      </c>
      <c r="P24" s="1013">
        <v>0.10424999999999998</v>
      </c>
      <c r="Q24" s="1013">
        <v>2.2035682609309121E-2</v>
      </c>
      <c r="R24" s="1013">
        <v>5.1844321803509062E-3</v>
      </c>
      <c r="S24" s="1013">
        <v>0</v>
      </c>
      <c r="T24" s="1027">
        <f t="shared" si="10"/>
        <v>0.40145373954768665</v>
      </c>
      <c r="V24" s="212"/>
    </row>
    <row r="25" spans="1:22" x14ac:dyDescent="0.25">
      <c r="A25" s="110" t="s">
        <v>146</v>
      </c>
      <c r="B25" s="1022">
        <v>11.37</v>
      </c>
      <c r="C25" s="903">
        <v>1.62</v>
      </c>
      <c r="D25" s="1023">
        <v>0.66799999999999993</v>
      </c>
      <c r="E25" s="1023">
        <v>1.2E-2</v>
      </c>
      <c r="F25" s="1023">
        <v>0</v>
      </c>
      <c r="G25" s="1023">
        <v>0.04</v>
      </c>
      <c r="H25" s="1023">
        <v>0</v>
      </c>
      <c r="I25" s="1023">
        <v>0</v>
      </c>
      <c r="J25" s="1023">
        <v>8.0000000000000002E-3</v>
      </c>
      <c r="K25" s="1024">
        <f t="shared" si="8"/>
        <v>8.982035928143714E-2</v>
      </c>
      <c r="L25" s="1025">
        <f t="shared" si="9"/>
        <v>0.83914864371628073</v>
      </c>
      <c r="M25" s="1026">
        <v>0.29844870599752443</v>
      </c>
      <c r="N25" s="1023">
        <v>1.0999999999999999E-2</v>
      </c>
      <c r="O25" s="1023">
        <v>2.0520723361016179E-4</v>
      </c>
      <c r="P25" s="1023">
        <v>3.5000000000000003E-2</v>
      </c>
      <c r="Q25" s="1023">
        <v>5.9348788895806644E-2</v>
      </c>
      <c r="R25" s="1023">
        <v>1.8947098681076685E-3</v>
      </c>
      <c r="S25" s="1023">
        <v>0</v>
      </c>
      <c r="T25" s="1027">
        <f t="shared" si="10"/>
        <v>0.36002403038871189</v>
      </c>
      <c r="V25" s="154"/>
    </row>
    <row r="26" spans="1:22" x14ac:dyDescent="0.25">
      <c r="A26" s="111" t="s">
        <v>149</v>
      </c>
      <c r="B26" s="1022">
        <v>10.34466466775444</v>
      </c>
      <c r="C26" s="903">
        <v>2.23</v>
      </c>
      <c r="D26" s="1023">
        <v>0.77301632706459789</v>
      </c>
      <c r="E26" s="1023">
        <v>1.4999999999999999E-2</v>
      </c>
      <c r="F26" s="1023">
        <v>3.9E-2</v>
      </c>
      <c r="G26" s="1023">
        <v>0.04</v>
      </c>
      <c r="H26" s="1023">
        <v>0.1040163270645978</v>
      </c>
      <c r="I26" s="1023">
        <v>0</v>
      </c>
      <c r="J26" s="1023">
        <v>0</v>
      </c>
      <c r="K26" s="1024">
        <f t="shared" si="8"/>
        <v>0.25616060118229611</v>
      </c>
      <c r="L26" s="1025">
        <f t="shared" si="9"/>
        <v>0.89662855897410321</v>
      </c>
      <c r="M26" s="1026">
        <v>0.26590781166521338</v>
      </c>
      <c r="N26" s="1023">
        <v>1.4E-2</v>
      </c>
      <c r="O26" s="1023">
        <v>7.0647124808675271E-4</v>
      </c>
      <c r="P26" s="1023">
        <v>3.5999999999999997E-2</v>
      </c>
      <c r="Q26" s="1023">
        <v>2.5813138382605554E-2</v>
      </c>
      <c r="R26" s="1023">
        <v>3.3882020345210829E-3</v>
      </c>
      <c r="S26" s="1023">
        <v>0</v>
      </c>
      <c r="T26" s="1027">
        <f t="shared" si="10"/>
        <v>0.30050945538155133</v>
      </c>
      <c r="V26" s="154"/>
    </row>
    <row r="27" spans="1:22" x14ac:dyDescent="0.25">
      <c r="A27" s="111" t="s">
        <v>152</v>
      </c>
      <c r="B27" s="1022">
        <v>8.9499999999999993</v>
      </c>
      <c r="C27" s="1031">
        <v>6.58</v>
      </c>
      <c r="D27" s="1023">
        <v>0.74099999999999999</v>
      </c>
      <c r="E27" s="1023">
        <v>1.4999999999999999E-2</v>
      </c>
      <c r="F27" s="1023">
        <v>1.0999999999999999E-2</v>
      </c>
      <c r="G27" s="1023">
        <v>0.13500000000000001</v>
      </c>
      <c r="H27" s="1023">
        <v>1E-3</v>
      </c>
      <c r="I27" s="1023">
        <v>4.3999999999999997E-2</v>
      </c>
      <c r="J27" s="1023">
        <v>0</v>
      </c>
      <c r="K27" s="1024">
        <f t="shared" si="8"/>
        <v>0.27800269905533065</v>
      </c>
      <c r="L27" s="1025">
        <f t="shared" si="9"/>
        <v>0.87860721524458507</v>
      </c>
      <c r="M27" s="1026">
        <v>0.24695205350376251</v>
      </c>
      <c r="N27" s="1023">
        <v>1.2999999999999999E-2</v>
      </c>
      <c r="O27" s="1023">
        <v>3.2986265004125385E-3</v>
      </c>
      <c r="P27" s="1023">
        <v>4.2999999999999997E-2</v>
      </c>
      <c r="Q27" s="1023">
        <v>2.5813138382605554E-2</v>
      </c>
      <c r="R27" s="1023">
        <v>4.8402886207444037E-3</v>
      </c>
      <c r="S27" s="1023">
        <v>0</v>
      </c>
      <c r="T27" s="1027">
        <f t="shared" si="10"/>
        <v>0.36424906060719192</v>
      </c>
      <c r="V27" s="210"/>
    </row>
    <row r="28" spans="1:22" x14ac:dyDescent="0.25">
      <c r="A28" s="111" t="s">
        <v>155</v>
      </c>
      <c r="B28" s="1022">
        <v>13.62</v>
      </c>
      <c r="C28" s="903">
        <v>4.25</v>
      </c>
      <c r="D28" s="1023">
        <v>0.82800000000000007</v>
      </c>
      <c r="E28" s="1023">
        <v>1.6E-2</v>
      </c>
      <c r="F28" s="1023">
        <v>2.7E-2</v>
      </c>
      <c r="G28" s="1023">
        <v>0.113</v>
      </c>
      <c r="H28" s="1023">
        <v>0</v>
      </c>
      <c r="I28" s="1023">
        <v>7.3999999999999996E-2</v>
      </c>
      <c r="J28" s="1023">
        <v>0.01</v>
      </c>
      <c r="K28" s="1024">
        <f t="shared" si="8"/>
        <v>0.28985507246376807</v>
      </c>
      <c r="L28" s="1025">
        <f t="shared" si="9"/>
        <v>0.82265320613630377</v>
      </c>
      <c r="M28" s="1026">
        <v>0.34284314531914051</v>
      </c>
      <c r="N28" s="1023">
        <v>1.4E-2</v>
      </c>
      <c r="O28" s="1023">
        <v>1.0484307157794721E-3</v>
      </c>
      <c r="P28" s="1023">
        <v>9.9000000000000005E-2</v>
      </c>
      <c r="Q28" s="1023">
        <v>2.8394452220866111E-2</v>
      </c>
      <c r="R28" s="1023">
        <v>4.4002623824949119E-3</v>
      </c>
      <c r="S28" s="1023">
        <v>0</v>
      </c>
      <c r="T28" s="1027">
        <f t="shared" si="10"/>
        <v>0.42830999342993842</v>
      </c>
      <c r="V28" s="154"/>
    </row>
    <row r="29" spans="1:22" x14ac:dyDescent="0.25">
      <c r="A29" s="112" t="s">
        <v>158</v>
      </c>
      <c r="B29" s="1032">
        <v>13.62</v>
      </c>
      <c r="C29" s="903">
        <v>4.25</v>
      </c>
      <c r="D29" s="1023">
        <v>0.82800000000000007</v>
      </c>
      <c r="E29" s="1023">
        <v>1.6E-2</v>
      </c>
      <c r="F29" s="1023">
        <v>2.7E-2</v>
      </c>
      <c r="G29" s="1023">
        <v>0.113</v>
      </c>
      <c r="H29" s="1023">
        <v>0</v>
      </c>
      <c r="I29" s="1023">
        <v>7.3999999999999996E-2</v>
      </c>
      <c r="J29" s="1023">
        <v>0.01</v>
      </c>
      <c r="K29" s="1024">
        <f t="shared" si="8"/>
        <v>0.28985507246376807</v>
      </c>
      <c r="L29" s="1025">
        <f t="shared" si="9"/>
        <v>0.82265320613630377</v>
      </c>
      <c r="M29" s="1026">
        <v>0.34284314531914051</v>
      </c>
      <c r="N29" s="1023">
        <v>1.4E-2</v>
      </c>
      <c r="O29" s="1023">
        <v>1.0484307157794721E-3</v>
      </c>
      <c r="P29" s="1023">
        <v>9.9000000000000005E-2</v>
      </c>
      <c r="Q29" s="1023">
        <v>2.8394452220866111E-2</v>
      </c>
      <c r="R29" s="1023">
        <v>4.4002623824949119E-3</v>
      </c>
      <c r="S29" s="1023">
        <v>0</v>
      </c>
      <c r="T29" s="1027">
        <f t="shared" si="10"/>
        <v>0.42830999342993842</v>
      </c>
      <c r="V29" s="154"/>
    </row>
    <row r="30" spans="1:22" x14ac:dyDescent="0.25">
      <c r="A30" s="110" t="s">
        <v>161</v>
      </c>
      <c r="B30" s="1022">
        <v>10.32</v>
      </c>
      <c r="C30" s="903">
        <v>3.7286286932281918</v>
      </c>
      <c r="D30" s="1023">
        <v>0.99199999999999999</v>
      </c>
      <c r="E30" s="1023">
        <v>4.5999999999999999E-2</v>
      </c>
      <c r="F30" s="1023">
        <v>0</v>
      </c>
      <c r="G30" s="1023">
        <v>0.11899999999999999</v>
      </c>
      <c r="H30" s="1023">
        <v>0</v>
      </c>
      <c r="I30" s="1023">
        <v>0</v>
      </c>
      <c r="J30" s="1023">
        <v>4.4999999999999998E-2</v>
      </c>
      <c r="K30" s="1024">
        <f t="shared" si="8"/>
        <v>0.21169354838709675</v>
      </c>
      <c r="L30" s="1025">
        <f t="shared" si="9"/>
        <v>0.77176907955283092</v>
      </c>
      <c r="M30" s="1026">
        <v>0.5954050730835917</v>
      </c>
      <c r="N30" s="1023">
        <v>0.04</v>
      </c>
      <c r="O30" s="1023">
        <v>4.0512791591362134E-4</v>
      </c>
      <c r="P30" s="1023">
        <v>0.104</v>
      </c>
      <c r="Q30" s="1023">
        <v>8.0604884096105126E-2</v>
      </c>
      <c r="R30" s="1023">
        <v>1.3950610715729229E-3</v>
      </c>
      <c r="S30" s="1023">
        <v>0</v>
      </c>
      <c r="T30" s="1027">
        <f t="shared" si="10"/>
        <v>0.38025385291234426</v>
      </c>
      <c r="V30" s="154"/>
    </row>
    <row r="31" spans="1:22" x14ac:dyDescent="0.25">
      <c r="A31" s="111" t="s">
        <v>164</v>
      </c>
      <c r="B31" s="904">
        <v>10.238417681221335</v>
      </c>
      <c r="C31" s="903">
        <v>6.222824717831811</v>
      </c>
      <c r="D31" s="1023">
        <v>0.78866462962889194</v>
      </c>
      <c r="E31" s="1023">
        <v>0</v>
      </c>
      <c r="F31" s="1023">
        <v>0.11</v>
      </c>
      <c r="G31" s="1023">
        <v>0.14799999999999999</v>
      </c>
      <c r="H31" s="1023">
        <v>5.66462962889189E-3</v>
      </c>
      <c r="I31" s="1023">
        <v>0.156</v>
      </c>
      <c r="J31" s="1023">
        <v>0</v>
      </c>
      <c r="K31" s="1024">
        <f t="shared" si="8"/>
        <v>0.53212051594904941</v>
      </c>
      <c r="L31" s="1025">
        <f t="shared" si="9"/>
        <v>0.79378487238143225</v>
      </c>
      <c r="M31" s="1026">
        <v>0.28163457724717239</v>
      </c>
      <c r="N31" s="1023">
        <v>0</v>
      </c>
      <c r="O31" s="1023">
        <v>1.5288635210707965E-2</v>
      </c>
      <c r="P31" s="1023">
        <v>0.129</v>
      </c>
      <c r="Q31" s="1023">
        <v>6.1435200260700554E-3</v>
      </c>
      <c r="R31" s="1023">
        <v>1.2202422010394356E-2</v>
      </c>
      <c r="S31" s="1023">
        <v>0</v>
      </c>
      <c r="T31" s="1027">
        <f t="shared" si="10"/>
        <v>0.57746665497127003</v>
      </c>
      <c r="V31" s="154"/>
    </row>
    <row r="32" spans="1:22" x14ac:dyDescent="0.25">
      <c r="A32" s="111" t="s">
        <v>167</v>
      </c>
      <c r="B32" s="1022">
        <v>8.9499999999999993</v>
      </c>
      <c r="C32" s="903">
        <v>6.58</v>
      </c>
      <c r="D32" s="1023">
        <v>0.74099999999999999</v>
      </c>
      <c r="E32" s="1023">
        <v>1.4999999999999999E-2</v>
      </c>
      <c r="F32" s="1023">
        <v>1.0999999999999999E-2</v>
      </c>
      <c r="G32" s="1023">
        <v>0.13500000000000001</v>
      </c>
      <c r="H32" s="1023">
        <v>1E-3</v>
      </c>
      <c r="I32" s="1023">
        <v>4.3999999999999997E-2</v>
      </c>
      <c r="J32" s="1023">
        <v>0</v>
      </c>
      <c r="K32" s="1024">
        <f t="shared" si="8"/>
        <v>0.27800269905533065</v>
      </c>
      <c r="L32" s="1025">
        <f t="shared" si="9"/>
        <v>0.87860721524458507</v>
      </c>
      <c r="M32" s="1026">
        <v>0.24695205350376251</v>
      </c>
      <c r="N32" s="1023">
        <v>1.2999999999999999E-2</v>
      </c>
      <c r="O32" s="1023">
        <v>3.2986265004125385E-3</v>
      </c>
      <c r="P32" s="1023">
        <v>4.2999999999999997E-2</v>
      </c>
      <c r="Q32" s="1023">
        <v>2.5813138382605554E-2</v>
      </c>
      <c r="R32" s="1023">
        <v>4.8402886207444037E-3</v>
      </c>
      <c r="S32" s="1023">
        <v>0</v>
      </c>
      <c r="T32" s="1027">
        <f t="shared" si="10"/>
        <v>0.36424906060719192</v>
      </c>
      <c r="V32" s="154"/>
    </row>
    <row r="33" spans="1:22" x14ac:dyDescent="0.25">
      <c r="A33" s="112" t="s">
        <v>170</v>
      </c>
      <c r="B33" s="1028">
        <v>9.2884208840610647</v>
      </c>
      <c r="C33" s="1029">
        <v>5.9918669745372295</v>
      </c>
      <c r="D33" s="1013">
        <v>0.79358323148144461</v>
      </c>
      <c r="E33" s="1013">
        <v>2.0449999999999999E-2</v>
      </c>
      <c r="F33" s="1013">
        <v>1.3750000000000002E-2</v>
      </c>
      <c r="G33" s="1013">
        <v>0.13244999999999998</v>
      </c>
      <c r="H33" s="1013">
        <v>1.0332314814445946E-3</v>
      </c>
      <c r="I33" s="1013">
        <v>4.0800000000000003E-2</v>
      </c>
      <c r="J33" s="1013">
        <v>8.9999999999999993E-3</v>
      </c>
      <c r="K33" s="1024">
        <f t="shared" si="8"/>
        <v>0.27405220127377372</v>
      </c>
      <c r="L33" s="1025">
        <f t="shared" si="9"/>
        <v>0.84768228610217911</v>
      </c>
      <c r="M33" s="1030">
        <v>0.31837678360689886</v>
      </c>
      <c r="N33" s="1013">
        <v>1.7750000000000002E-2</v>
      </c>
      <c r="O33" s="1013">
        <v>3.3194272190275264E-3</v>
      </c>
      <c r="P33" s="1013">
        <v>5.9499999999999997E-2</v>
      </c>
      <c r="Q33" s="1013">
        <v>3.5788006607478696E-2</v>
      </c>
      <c r="R33" s="1013">
        <v>4.5193497803926053E-3</v>
      </c>
      <c r="S33" s="1013">
        <v>0</v>
      </c>
      <c r="T33" s="1027">
        <f t="shared" si="10"/>
        <v>0.37966582310896724</v>
      </c>
      <c r="V33" s="212"/>
    </row>
    <row r="34" spans="1:22" x14ac:dyDescent="0.25">
      <c r="A34" s="113" t="s">
        <v>87</v>
      </c>
      <c r="B34" s="904">
        <v>9.6749528366462396</v>
      </c>
      <c r="C34" s="903">
        <v>3.0748562707779947</v>
      </c>
      <c r="D34" s="1023">
        <v>1.0627682372388072</v>
      </c>
      <c r="E34" s="1023">
        <v>1.4E-2</v>
      </c>
      <c r="F34" s="1023">
        <v>2E-3</v>
      </c>
      <c r="G34" s="1023">
        <v>0.14299999999999999</v>
      </c>
      <c r="H34" s="1023">
        <v>2.0768237238807139E-2</v>
      </c>
      <c r="I34" s="1023">
        <v>0.10100000000000001</v>
      </c>
      <c r="J34" s="1023">
        <v>0</v>
      </c>
      <c r="K34" s="1024">
        <f t="shared" si="8"/>
        <v>0.264185762615822</v>
      </c>
      <c r="L34" s="1025">
        <f t="shared" si="9"/>
        <v>0.91024888925039826</v>
      </c>
      <c r="M34" s="1026">
        <v>0.33038462976157917</v>
      </c>
      <c r="N34" s="1023">
        <v>1.2E-2</v>
      </c>
      <c r="O34" s="1023">
        <v>6.1212805331970479E-3</v>
      </c>
      <c r="P34" s="1023">
        <v>0.06</v>
      </c>
      <c r="Q34" s="1023">
        <v>5.1626276765211103E-3</v>
      </c>
      <c r="R34" s="1023">
        <v>1.2100721551861008E-2</v>
      </c>
      <c r="S34" s="1023">
        <v>0</v>
      </c>
      <c r="T34" s="1027">
        <f t="shared" si="10"/>
        <v>0.28870783071964673</v>
      </c>
      <c r="V34" s="154"/>
    </row>
    <row r="35" spans="1:22" x14ac:dyDescent="0.25">
      <c r="A35" s="110" t="s">
        <v>175</v>
      </c>
      <c r="B35" s="1032">
        <v>9.6749528366462396</v>
      </c>
      <c r="C35" s="903">
        <v>3.0748562707779947</v>
      </c>
      <c r="D35" s="1023">
        <v>1.0627682372388072</v>
      </c>
      <c r="E35" s="1023">
        <v>1.4E-2</v>
      </c>
      <c r="F35" s="1023">
        <v>2E-3</v>
      </c>
      <c r="G35" s="1023">
        <v>0.14299999999999999</v>
      </c>
      <c r="H35" s="1023">
        <v>2.0768237238807139E-2</v>
      </c>
      <c r="I35" s="1023">
        <v>0.10100000000000001</v>
      </c>
      <c r="J35" s="1023">
        <v>0</v>
      </c>
      <c r="K35" s="1024">
        <f t="shared" si="8"/>
        <v>0.264185762615822</v>
      </c>
      <c r="L35" s="1025">
        <f t="shared" si="9"/>
        <v>0.91024888925039826</v>
      </c>
      <c r="M35" s="1026">
        <v>0.33038462976157917</v>
      </c>
      <c r="N35" s="1023">
        <v>1.2E-2</v>
      </c>
      <c r="O35" s="1023">
        <v>6.1212805331970479E-3</v>
      </c>
      <c r="P35" s="1023">
        <v>0.06</v>
      </c>
      <c r="Q35" s="1023">
        <v>5.1626276765211103E-3</v>
      </c>
      <c r="R35" s="1023">
        <v>1.2100721551861008E-2</v>
      </c>
      <c r="S35" s="1023">
        <v>0</v>
      </c>
      <c r="T35" s="1027">
        <f t="shared" si="10"/>
        <v>0.28870783071964673</v>
      </c>
      <c r="V35" s="154"/>
    </row>
    <row r="36" spans="1:22" x14ac:dyDescent="0.25">
      <c r="A36" s="111" t="s">
        <v>178</v>
      </c>
      <c r="B36" s="1032">
        <v>12.14</v>
      </c>
      <c r="C36" s="903">
        <v>2.0499999999999998</v>
      </c>
      <c r="D36" s="1023">
        <v>0.69599999999999995</v>
      </c>
      <c r="E36" s="1023">
        <v>1.6E-2</v>
      </c>
      <c r="F36" s="1023">
        <v>0</v>
      </c>
      <c r="G36" s="1023">
        <v>6.3E-2</v>
      </c>
      <c r="H36" s="1023">
        <v>0</v>
      </c>
      <c r="I36" s="1023">
        <v>0</v>
      </c>
      <c r="J36" s="1023">
        <v>1.2999999999999999E-2</v>
      </c>
      <c r="K36" s="1024">
        <f t="shared" si="8"/>
        <v>0.13218390804597702</v>
      </c>
      <c r="L36" s="1025">
        <f t="shared" si="9"/>
        <v>0.84235644315400737</v>
      </c>
      <c r="M36" s="1026">
        <v>0.28971991556481091</v>
      </c>
      <c r="N36" s="1023">
        <v>1.4E-2</v>
      </c>
      <c r="O36" s="1023">
        <v>4.4395367283895275E-3</v>
      </c>
      <c r="P36" s="1023">
        <v>5.3999999999999999E-2</v>
      </c>
      <c r="Q36" s="1023">
        <v>3.3557079897387217E-2</v>
      </c>
      <c r="R36" s="1023">
        <v>3.7232989390341563E-3</v>
      </c>
      <c r="S36" s="1023">
        <v>0</v>
      </c>
      <c r="T36" s="1027">
        <f t="shared" si="10"/>
        <v>0.37871029801631412</v>
      </c>
      <c r="V36" s="154"/>
    </row>
    <row r="37" spans="1:22" x14ac:dyDescent="0.25">
      <c r="A37" s="111" t="s">
        <v>181</v>
      </c>
      <c r="B37" s="1022">
        <v>9.8020783478308342</v>
      </c>
      <c r="C37" s="903">
        <v>1.9610328556353509</v>
      </c>
      <c r="D37" s="1023">
        <v>1.11789256910631</v>
      </c>
      <c r="E37" s="1023">
        <v>0.01</v>
      </c>
      <c r="F37" s="1023">
        <v>1E-3</v>
      </c>
      <c r="G37" s="1023">
        <v>8.2000000000000003E-2</v>
      </c>
      <c r="H37" s="1023">
        <v>3.2892569106310034E-2</v>
      </c>
      <c r="I37" s="1023">
        <v>0.32200000000000001</v>
      </c>
      <c r="J37" s="1023">
        <v>0</v>
      </c>
      <c r="K37" s="1024">
        <f t="shared" si="8"/>
        <v>0.40065797151185473</v>
      </c>
      <c r="L37" s="1025">
        <f t="shared" si="9"/>
        <v>0.88913952231143589</v>
      </c>
      <c r="M37" s="1026">
        <v>0.27693010421562164</v>
      </c>
      <c r="N37" s="1023">
        <v>8.0000000000000002E-3</v>
      </c>
      <c r="O37" s="1023">
        <v>2.0568358714693567E-2</v>
      </c>
      <c r="P37" s="1023">
        <v>7.0999999999999994E-2</v>
      </c>
      <c r="Q37" s="1023">
        <v>1.5487883029563332E-2</v>
      </c>
      <c r="R37" s="1023">
        <v>8.8738624713647404E-3</v>
      </c>
      <c r="S37" s="1023">
        <v>0</v>
      </c>
      <c r="T37" s="1027">
        <f t="shared" si="10"/>
        <v>0.4475140200688616</v>
      </c>
      <c r="V37" s="154"/>
    </row>
    <row r="38" spans="1:22" x14ac:dyDescent="0.25">
      <c r="A38" s="111" t="s">
        <v>184</v>
      </c>
      <c r="B38" s="1022">
        <v>13.93</v>
      </c>
      <c r="C38" s="903">
        <v>3.45</v>
      </c>
      <c r="D38" s="1023">
        <v>0.81200000000000006</v>
      </c>
      <c r="E38" s="1023">
        <v>1.0999999999999999E-2</v>
      </c>
      <c r="F38" s="1023">
        <v>2.8000000000000001E-2</v>
      </c>
      <c r="G38" s="1023">
        <v>5.1999999999999998E-2</v>
      </c>
      <c r="H38" s="1023">
        <v>2.4E-2</v>
      </c>
      <c r="I38" s="1023">
        <v>8.2000000000000003E-2</v>
      </c>
      <c r="J38" s="1023">
        <v>0</v>
      </c>
      <c r="K38" s="1024">
        <f t="shared" si="8"/>
        <v>0.24261083743842363</v>
      </c>
      <c r="L38" s="1025">
        <f t="shared" si="9"/>
        <v>0.8664363363431562</v>
      </c>
      <c r="M38" s="1026">
        <v>0.28545369488935723</v>
      </c>
      <c r="N38" s="1023">
        <v>0.01</v>
      </c>
      <c r="O38" s="1023">
        <v>3.537321453526256E-4</v>
      </c>
      <c r="P38" s="1023">
        <v>4.4999999999999998E-2</v>
      </c>
      <c r="Q38" s="1023">
        <v>5.1398349182954203E-2</v>
      </c>
      <c r="R38" s="1023">
        <v>1.7016135610503954E-3</v>
      </c>
      <c r="S38" s="1023">
        <v>0</v>
      </c>
      <c r="T38" s="1027">
        <f t="shared" si="10"/>
        <v>0.37993445813127141</v>
      </c>
      <c r="V38" s="154"/>
    </row>
    <row r="39" spans="1:22" x14ac:dyDescent="0.25">
      <c r="A39" s="111" t="s">
        <v>187</v>
      </c>
      <c r="B39" s="1022">
        <v>6.96</v>
      </c>
      <c r="C39" s="903">
        <v>1.53</v>
      </c>
      <c r="D39" s="1023">
        <v>0.58100000000000007</v>
      </c>
      <c r="E39" s="1023">
        <v>8.9999999999999993E-3</v>
      </c>
      <c r="F39" s="1023">
        <v>0</v>
      </c>
      <c r="G39" s="1023">
        <v>4.2000000000000003E-2</v>
      </c>
      <c r="H39" s="1023">
        <v>0</v>
      </c>
      <c r="I39" s="1023">
        <v>0</v>
      </c>
      <c r="J39" s="1023">
        <v>8.9999999999999993E-3</v>
      </c>
      <c r="K39" s="1024">
        <f t="shared" si="8"/>
        <v>0.10327022375215146</v>
      </c>
      <c r="L39" s="1025">
        <f t="shared" si="9"/>
        <v>0.8551793486949093</v>
      </c>
      <c r="M39" s="1026">
        <v>0.22814079840825771</v>
      </c>
      <c r="N39" s="1023">
        <v>8.0000000000000002E-3</v>
      </c>
      <c r="O39" s="1023">
        <v>2.2327494657397627E-3</v>
      </c>
      <c r="P39" s="1023">
        <v>3.6999999999999998E-2</v>
      </c>
      <c r="Q39" s="1023">
        <v>3.3557079897387217E-2</v>
      </c>
      <c r="R39" s="1023">
        <v>3.3509690451307417E-3</v>
      </c>
      <c r="S39" s="1023">
        <v>0</v>
      </c>
      <c r="T39" s="1027">
        <f t="shared" si="10"/>
        <v>0.36881083521802993</v>
      </c>
      <c r="V39" s="154"/>
    </row>
    <row r="40" spans="1:22" x14ac:dyDescent="0.25">
      <c r="A40" s="111" t="s">
        <v>190</v>
      </c>
      <c r="B40" s="1032">
        <v>14.65</v>
      </c>
      <c r="C40" s="1033">
        <v>5.2875183566876309</v>
      </c>
      <c r="D40" s="1023">
        <v>0.98299999999999998</v>
      </c>
      <c r="E40" s="1023">
        <v>1.2999999999999999E-2</v>
      </c>
      <c r="F40" s="1023">
        <v>1E-3</v>
      </c>
      <c r="G40" s="1023">
        <v>3.7999999999999999E-2</v>
      </c>
      <c r="H40" s="1023">
        <v>4.3999999999999997E-2</v>
      </c>
      <c r="I40" s="1023">
        <v>0.32200000000000001</v>
      </c>
      <c r="J40" s="1023">
        <v>0</v>
      </c>
      <c r="K40" s="1024">
        <f t="shared" si="8"/>
        <v>0.42522889114954227</v>
      </c>
      <c r="L40" s="1025">
        <f t="shared" si="9"/>
        <v>0.92284442816529888</v>
      </c>
      <c r="M40" s="1026">
        <v>0.27484392711351113</v>
      </c>
      <c r="N40" s="1023">
        <v>1.0999999999999999E-2</v>
      </c>
      <c r="O40" s="1023">
        <v>7.0647124808675271E-4</v>
      </c>
      <c r="P40" s="1023">
        <v>3.3000000000000002E-2</v>
      </c>
      <c r="Q40" s="1023">
        <v>2.5813138382605554E-2</v>
      </c>
      <c r="R40" s="1023">
        <v>5.3243174828188451E-3</v>
      </c>
      <c r="S40" s="1023">
        <v>0</v>
      </c>
      <c r="T40" s="1027">
        <f t="shared" si="10"/>
        <v>0.27595271218122081</v>
      </c>
      <c r="V40" s="211"/>
    </row>
    <row r="41" spans="1:22" x14ac:dyDescent="0.25">
      <c r="A41" s="112" t="s">
        <v>191</v>
      </c>
      <c r="B41" s="1034">
        <v>9.9461080246151532</v>
      </c>
      <c r="C41" s="1035">
        <v>2.9621220809924154</v>
      </c>
      <c r="D41" s="1036">
        <v>1.0224237311425384</v>
      </c>
      <c r="E41" s="1036">
        <v>1.422E-2</v>
      </c>
      <c r="F41" s="1036">
        <v>1.7800000000000001E-3</v>
      </c>
      <c r="G41" s="1036">
        <v>0.13419999999999999</v>
      </c>
      <c r="H41" s="1036">
        <v>1.8483731142538352E-2</v>
      </c>
      <c r="I41" s="1036">
        <v>8.9890000000000012E-2</v>
      </c>
      <c r="J41" s="1036">
        <v>1.4299999999999998E-3</v>
      </c>
      <c r="K41" s="1037">
        <f t="shared" si="8"/>
        <v>0.25430134612778332</v>
      </c>
      <c r="L41" s="1025">
        <f t="shared" si="9"/>
        <v>0.90516504239237283</v>
      </c>
      <c r="M41" s="1038">
        <v>0.32591151119993467</v>
      </c>
      <c r="N41" s="1036">
        <v>1.222E-2</v>
      </c>
      <c r="O41" s="1036">
        <v>5.9362887146682201E-3</v>
      </c>
      <c r="P41" s="1036">
        <v>5.9339999999999997E-2</v>
      </c>
      <c r="Q41" s="1036">
        <v>8.2860174208163814E-3</v>
      </c>
      <c r="R41" s="1036">
        <v>1.1179205064450054E-2</v>
      </c>
      <c r="S41" s="1036">
        <v>0</v>
      </c>
      <c r="T41" s="1039">
        <f t="shared" si="10"/>
        <v>0.29750870364456794</v>
      </c>
      <c r="V41" s="212"/>
    </row>
    <row r="42" spans="1:22" x14ac:dyDescent="0.25">
      <c r="A42" s="33"/>
      <c r="B42" s="212"/>
      <c r="C42" s="212"/>
      <c r="D42" s="212"/>
      <c r="E42" s="212"/>
      <c r="F42" s="212"/>
      <c r="G42" s="212"/>
      <c r="H42" s="212"/>
      <c r="I42" s="212"/>
      <c r="J42" s="212"/>
      <c r="K42" s="211"/>
      <c r="L42" s="211"/>
      <c r="M42" s="212"/>
      <c r="N42" s="212"/>
      <c r="O42" s="212"/>
      <c r="P42" s="212"/>
      <c r="Q42" s="212"/>
      <c r="R42" s="212"/>
      <c r="S42" s="212"/>
      <c r="T42" s="211"/>
      <c r="V42" s="212"/>
    </row>
    <row r="43" spans="1:22" ht="14.45" customHeight="1" x14ac:dyDescent="0.25">
      <c r="A43" s="1201" t="s">
        <v>959</v>
      </c>
      <c r="B43" s="1201"/>
      <c r="C43" s="1201"/>
      <c r="D43" s="1201"/>
      <c r="E43" s="1201"/>
      <c r="F43" s="1201"/>
      <c r="G43" s="1201"/>
      <c r="H43" s="1201"/>
      <c r="I43" s="1201"/>
      <c r="J43" s="1201"/>
      <c r="K43" s="1201"/>
      <c r="L43" s="1201"/>
      <c r="M43" s="212"/>
      <c r="N43" s="212"/>
      <c r="O43" s="212"/>
      <c r="P43" s="212"/>
      <c r="Q43" s="212"/>
      <c r="R43" s="212"/>
      <c r="S43" s="212"/>
      <c r="T43" s="211"/>
      <c r="V43" s="212"/>
    </row>
    <row r="44" spans="1:22" ht="96.75" customHeight="1" x14ac:dyDescent="0.25">
      <c r="A44" s="436" t="s">
        <v>960</v>
      </c>
      <c r="B44" s="398" t="s">
        <v>961</v>
      </c>
      <c r="C44" s="178" t="s">
        <v>962</v>
      </c>
      <c r="D44" s="398" t="s">
        <v>963</v>
      </c>
      <c r="E44" s="398" t="s">
        <v>964</v>
      </c>
      <c r="F44" s="178" t="s">
        <v>965</v>
      </c>
      <c r="G44" s="937" t="s">
        <v>966</v>
      </c>
      <c r="H44" s="609" t="s">
        <v>967</v>
      </c>
      <c r="I44" s="178" t="s">
        <v>968</v>
      </c>
      <c r="J44" s="402" t="s">
        <v>969</v>
      </c>
      <c r="K44" s="401" t="s">
        <v>970</v>
      </c>
      <c r="L44" s="605" t="s">
        <v>375</v>
      </c>
      <c r="N44" s="212"/>
      <c r="O44" s="212"/>
      <c r="P44" s="212"/>
      <c r="Q44" s="212"/>
      <c r="R44" s="212"/>
      <c r="S44" s="212"/>
      <c r="T44" s="211"/>
      <c r="V44" s="212"/>
    </row>
    <row r="45" spans="1:22" x14ac:dyDescent="0.25">
      <c r="A45" s="437" t="s">
        <v>72</v>
      </c>
      <c r="B45" s="910">
        <v>0</v>
      </c>
      <c r="C45" s="618">
        <v>25</v>
      </c>
      <c r="D45" s="430" t="s">
        <v>971</v>
      </c>
      <c r="E45" s="909">
        <v>2</v>
      </c>
      <c r="F45" s="15">
        <v>25</v>
      </c>
      <c r="G45" s="914">
        <f>(SUM(F45))/SUM(C45)</f>
        <v>1</v>
      </c>
      <c r="H45" s="915" t="e">
        <f>(SUM(E45))/SUM(B45)</f>
        <v>#DIV/0!</v>
      </c>
      <c r="I45" s="431"/>
      <c r="J45" s="432"/>
      <c r="K45" s="930">
        <f>SUM(E45:F45)/SUM(B45:C45)</f>
        <v>1.08</v>
      </c>
      <c r="L45" s="606"/>
      <c r="N45" s="212"/>
      <c r="O45" s="212"/>
      <c r="P45" s="212"/>
      <c r="Q45" s="212"/>
      <c r="R45" s="212"/>
      <c r="S45" s="212"/>
      <c r="T45" s="211"/>
      <c r="V45" s="212"/>
    </row>
    <row r="46" spans="1:22" x14ac:dyDescent="0.25">
      <c r="A46" s="437" t="s">
        <v>76</v>
      </c>
      <c r="B46" s="911">
        <v>40</v>
      </c>
      <c r="C46" s="15">
        <v>30</v>
      </c>
      <c r="D46" s="430" t="s">
        <v>972</v>
      </c>
      <c r="E46" s="909">
        <v>130</v>
      </c>
      <c r="F46" s="15">
        <v>15</v>
      </c>
      <c r="G46" s="914">
        <f>(SUM(F46))/SUM(C46)</f>
        <v>0.5</v>
      </c>
      <c r="H46" s="915">
        <f>(SUM(E46))/SUM(B46)</f>
        <v>3.25</v>
      </c>
      <c r="I46" s="918">
        <f>(84.3*0.0001)*1.66</f>
        <v>1.3993799999999999E-2</v>
      </c>
      <c r="J46" s="918">
        <f>(120*0.0001)*1.66</f>
        <v>1.992E-2</v>
      </c>
      <c r="K46" s="918">
        <f>(J46/I46)</f>
        <v>1.4234875444839858</v>
      </c>
      <c r="L46" s="606" t="s">
        <v>973</v>
      </c>
      <c r="N46" s="212"/>
      <c r="O46" s="212"/>
      <c r="P46" s="212"/>
      <c r="Q46" s="212"/>
      <c r="R46" s="212"/>
      <c r="S46" s="212"/>
      <c r="T46" s="211"/>
      <c r="V46" s="212"/>
    </row>
    <row r="47" spans="1:22" x14ac:dyDescent="0.25">
      <c r="A47" s="437" t="s">
        <v>79</v>
      </c>
      <c r="B47" s="909">
        <v>0</v>
      </c>
      <c r="C47" s="912">
        <v>50</v>
      </c>
      <c r="D47" s="430" t="s">
        <v>972</v>
      </c>
      <c r="E47" s="909">
        <v>8</v>
      </c>
      <c r="F47" s="15">
        <v>65</v>
      </c>
      <c r="G47" s="914">
        <f>(SUM(F47))/SUM(C47)</f>
        <v>1.3</v>
      </c>
      <c r="H47" s="915" t="e">
        <f t="shared" ref="H47:H50" si="11">(SUM(E47))/SUM(B47)</f>
        <v>#DIV/0!</v>
      </c>
      <c r="I47" s="918">
        <f>((1700/116)*0.0001)*1.38</f>
        <v>2.0224137931034482E-3</v>
      </c>
      <c r="J47" s="919">
        <f>((2460/116)*0.0001)*1.38</f>
        <v>2.9265517241379309E-3</v>
      </c>
      <c r="K47" s="918">
        <f>(J47/I47)</f>
        <v>1.4470588235294117</v>
      </c>
      <c r="L47" s="606" t="s">
        <v>974</v>
      </c>
      <c r="N47" s="212"/>
      <c r="O47" s="212"/>
      <c r="P47" s="212"/>
      <c r="Q47" s="212"/>
      <c r="R47" s="212"/>
      <c r="S47" s="212"/>
      <c r="T47" s="211"/>
      <c r="V47" s="212"/>
    </row>
    <row r="48" spans="1:22" ht="45" x14ac:dyDescent="0.25">
      <c r="A48" s="437" t="s">
        <v>83</v>
      </c>
      <c r="B48" s="909">
        <v>0</v>
      </c>
      <c r="C48" s="912">
        <v>40</v>
      </c>
      <c r="D48" s="440" t="s">
        <v>975</v>
      </c>
      <c r="E48" s="909">
        <v>2</v>
      </c>
      <c r="F48" s="15">
        <v>40</v>
      </c>
      <c r="G48" s="914">
        <f t="shared" ref="G48" si="12">(SUM(F48))/SUM(C48)</f>
        <v>1</v>
      </c>
      <c r="H48" s="915" t="e">
        <f t="shared" si="11"/>
        <v>#DIV/0!</v>
      </c>
      <c r="I48" s="920">
        <f>(7545/1000)*0.0001</f>
        <v>7.5450000000000007E-4</v>
      </c>
      <c r="J48" s="919">
        <f>(7975.1/1000)*0.0001</f>
        <v>7.9751000000000008E-4</v>
      </c>
      <c r="K48" s="918">
        <f>(J48/I48)</f>
        <v>1.0570046388336647</v>
      </c>
      <c r="L48" s="606" t="s">
        <v>976</v>
      </c>
      <c r="N48" s="212"/>
      <c r="O48" s="212"/>
      <c r="P48" s="212"/>
      <c r="Q48" s="212"/>
      <c r="R48" s="212"/>
      <c r="S48" s="212"/>
      <c r="T48" s="211"/>
      <c r="V48" s="212"/>
    </row>
    <row r="49" spans="1:22" x14ac:dyDescent="0.25">
      <c r="A49" s="438" t="s">
        <v>91</v>
      </c>
      <c r="B49" s="419">
        <v>10</v>
      </c>
      <c r="C49">
        <v>20</v>
      </c>
      <c r="D49" s="430" t="s">
        <v>977</v>
      </c>
      <c r="E49" s="909">
        <v>20</v>
      </c>
      <c r="F49" s="15">
        <v>12</v>
      </c>
      <c r="G49" s="914">
        <f t="shared" ref="G49" si="13">(SUM(F49))/SUM(C49)</f>
        <v>0.6</v>
      </c>
      <c r="H49" s="915">
        <f>(SUM(E49))/SUM(B49)</f>
        <v>2</v>
      </c>
      <c r="I49" s="432"/>
      <c r="J49" s="433"/>
      <c r="K49" s="930">
        <f>SUM(E49:F49)/SUM(B49:C49)</f>
        <v>1.0666666666666667</v>
      </c>
      <c r="L49" s="607"/>
      <c r="N49" s="212"/>
      <c r="O49" s="212"/>
      <c r="P49" s="212"/>
      <c r="Q49" s="212"/>
      <c r="R49" s="212"/>
      <c r="S49" s="212"/>
      <c r="T49" s="211"/>
      <c r="V49" s="212"/>
    </row>
    <row r="50" spans="1:22" x14ac:dyDescent="0.25">
      <c r="A50" s="439" t="s">
        <v>95</v>
      </c>
      <c r="B50" s="420">
        <v>10</v>
      </c>
      <c r="C50" s="16">
        <v>20</v>
      </c>
      <c r="D50" s="441" t="s">
        <v>977</v>
      </c>
      <c r="E50" s="913">
        <v>20</v>
      </c>
      <c r="F50" s="682">
        <v>12</v>
      </c>
      <c r="G50" s="916">
        <f>(SUM(F50))/SUM(C50)</f>
        <v>0.6</v>
      </c>
      <c r="H50" s="917">
        <f t="shared" si="11"/>
        <v>2</v>
      </c>
      <c r="I50" s="434"/>
      <c r="J50" s="435"/>
      <c r="K50" s="931">
        <f>SUM(E50:F50)/SUM(B50:C50)</f>
        <v>1.0666666666666667</v>
      </c>
      <c r="L50" s="608"/>
      <c r="N50" s="212"/>
      <c r="O50" s="212"/>
      <c r="P50" s="212"/>
      <c r="Q50" s="212"/>
      <c r="R50" s="212"/>
      <c r="S50" s="212"/>
      <c r="T50" s="211"/>
      <c r="V50" s="212"/>
    </row>
    <row r="51" spans="1:22" x14ac:dyDescent="0.25">
      <c r="A51" s="9"/>
      <c r="B51" s="9"/>
      <c r="C51" s="9"/>
      <c r="D51" s="9"/>
      <c r="E51" s="9"/>
      <c r="K51" s="9"/>
      <c r="L51" s="377"/>
      <c r="U51" s="33"/>
    </row>
    <row r="52" spans="1:22" ht="28.15" customHeight="1" x14ac:dyDescent="0.25">
      <c r="A52" s="1210" t="s">
        <v>978</v>
      </c>
      <c r="B52" s="1210"/>
      <c r="U52" s="33"/>
    </row>
    <row r="53" spans="1:22" x14ac:dyDescent="0.25">
      <c r="A53" s="397" t="str">
        <f>'[6]LOCAL Assumptions'!A3</f>
        <v>Category</v>
      </c>
      <c r="B53" s="218" t="str">
        <f>'[6]LOCAL Assumptions'!B3</f>
        <v>Production</v>
      </c>
      <c r="U53" s="33"/>
    </row>
    <row r="54" spans="1:22" x14ac:dyDescent="0.25">
      <c r="A54" s="216" t="s">
        <v>28</v>
      </c>
      <c r="B54" s="381">
        <f>(L4*('11. Diet'!D3/ SUM('11. Diet'!D3:D6))) + (L5*('11. Diet'!D4/SUM('11. Diet'!D3:D6))) + (L6*('11. Diet'!D5/ SUM('11. Diet'!D3:D6))) + (L7*('11. Diet'!D6/SUM('11. Diet'!D3:D6)))</f>
        <v>1.0591259303669061</v>
      </c>
      <c r="U54" s="33"/>
    </row>
    <row r="55" spans="1:22" x14ac:dyDescent="0.25">
      <c r="A55" s="217" t="s">
        <v>32</v>
      </c>
      <c r="B55" s="381">
        <f>(L8*('11. Diet'!D8/SUM('11. Diet'!D8:D9))) + (L9*('11. Diet'!D8/ SUM('11. Diet'!D8:D9)))</f>
        <v>1.3339512711864407</v>
      </c>
      <c r="U55" s="33"/>
    </row>
    <row r="56" spans="1:22" x14ac:dyDescent="0.25">
      <c r="A56" s="217" t="s">
        <v>979</v>
      </c>
      <c r="B56" s="382">
        <f>(L10*('11. Diet'!D10* SUM('11. Diet'!D10:D17))) + (L11*('11. Diet'!D11* SUM('11. Diet'!D10:D17))) + (L12*('11. Diet'!D12* SUM('11. Diet'!D10:D17))) + (L13*('11. Diet'!D13* SUM('11. Diet'!D10:D17))) + (L14*('11. Diet'!D14* SUM('11. Diet'!D10:D17))) + (L15*('11. Diet'!D15* SUM('11. Diet'!D10:D17))) + (L16*('11. Diet'!D16* SUM('11. Diet'!D10:D17))) + (L17*('11. Diet'!D17* SUM('11. Diet'!D10:D17)))</f>
        <v>0.16804202740035704</v>
      </c>
      <c r="U56" s="33"/>
    </row>
    <row r="57" spans="1:22" x14ac:dyDescent="0.25">
      <c r="A57" s="217" t="s">
        <v>38</v>
      </c>
      <c r="B57" s="209">
        <f>(L19*('11. Diet'!D19/SUM('11. Diet'!D19:D23,'11. Diet'!D25:D28,'11. Diet'!D30:D32,'11. Diet'!D35:D40)))+(L20*('11. Diet'!D20/SUM('11. Diet'!D19:D23,'11. Diet'!D25:D28,'11. Diet'!D30:D32,'11. Diet'!D35:D40))+(L21*('11. Diet'!D21/SUM('11. Diet'!D19:D23,'11. Diet'!D25:D28,'11. Diet'!D30:D32,'11. Diet'!D35:D40)))+(L22*('11. Diet'!D22/SUM('11. Diet'!D19:D23,'11. Diet'!D25:D28,'11. Diet'!D30:D32,'11. Diet'!D35:D40)))+(L23*('11. Diet'!D23/SUM('11. Diet'!D19:D23,'11. Diet'!D25:D28,'11. Diet'!D30:D32,'11. Diet'!D35:D40))+(L25*('11. Diet'!D25/SUM('11. Diet'!D19:D23,'11. Diet'!D25:D28,'11. Diet'!D30:D32,'11. Diet'!D35:D40)))*(L26*('11. Diet'!D26/SUM('11. Diet'!D19:D23,'11. Diet'!D25:D28,'11. Diet'!D30:D32,'11. Diet'!D35:D40)))+(L27*('11. Diet'!D27/SUM('11. Diet'!D19:D23,'11. Diet'!D25:D28,'11. Diet'!D30:D32,'11. Diet'!D35:D40))+(L28*('11. Diet'!D28/SUM('11. Diet'!D19:D23,'11. Diet'!D25:D28,'11. Diet'!D30:D32,'11. Diet'!D35:D40))))))</f>
        <v>0.28671048820320877</v>
      </c>
      <c r="U57" s="33"/>
    </row>
    <row r="58" spans="1:22" x14ac:dyDescent="0.25">
      <c r="A58" s="217" t="s">
        <v>980</v>
      </c>
      <c r="B58" s="381">
        <f>(B56*(SUM('11. Diet'!D10:D17)/(SUM('11. Diet'!D10:D17,'11. Diet'!D19:D23,'11. Diet'!D25:D28,'11. Diet'!D30:D32,'11. Diet'!D35:D40)))+(B57*(SUM('11. Diet'!D19:D23,'11. Diet'!D25:D28,'11. Diet'!D30:D32,'11. Diet'!D35:D40)/SUM('11. Diet'!D10:D17,'11. Diet'!D19:D23,'11. Diet'!D25:D28,'11. Diet'!D30:D32,'11. Diet'!D35:D40))))</f>
        <v>0.25396664515327044</v>
      </c>
      <c r="U58" s="33"/>
    </row>
    <row r="59" spans="1:22" x14ac:dyDescent="0.25">
      <c r="A59" s="217" t="s">
        <v>981</v>
      </c>
      <c r="B59" s="381">
        <v>1</v>
      </c>
      <c r="U59" s="33"/>
    </row>
    <row r="60" spans="1:22" x14ac:dyDescent="0.25">
      <c r="A60" s="218" t="s">
        <v>56</v>
      </c>
      <c r="B60" s="381">
        <v>1</v>
      </c>
      <c r="U60" s="33"/>
    </row>
    <row r="61" spans="1:22" x14ac:dyDescent="0.25">
      <c r="A61" s="218" t="s">
        <v>59</v>
      </c>
      <c r="B61" s="381">
        <v>1</v>
      </c>
      <c r="U61" s="33"/>
    </row>
    <row r="62" spans="1:22" x14ac:dyDescent="0.25">
      <c r="A62" s="218" t="s">
        <v>62</v>
      </c>
      <c r="B62" s="381">
        <v>1</v>
      </c>
      <c r="U62" s="33"/>
    </row>
    <row r="63" spans="1:22" x14ac:dyDescent="0.25">
      <c r="B63" s="9"/>
      <c r="U63" s="33"/>
    </row>
    <row r="64" spans="1:22" x14ac:dyDescent="0.25">
      <c r="A64" s="1172" t="s">
        <v>307</v>
      </c>
      <c r="B64" s="1172"/>
      <c r="C64" s="1172"/>
      <c r="D64" s="1172"/>
      <c r="E64" s="1172"/>
      <c r="F64" s="1172"/>
      <c r="G64" s="1172"/>
      <c r="H64" s="16"/>
      <c r="I64" s="16"/>
      <c r="J64" s="16"/>
      <c r="K64" s="16"/>
    </row>
    <row r="65" spans="1:11" ht="48" customHeight="1" x14ac:dyDescent="0.25">
      <c r="A65" s="1077" t="s">
        <v>982</v>
      </c>
      <c r="B65" s="1202" t="s">
        <v>983</v>
      </c>
      <c r="C65" s="1202"/>
      <c r="D65" s="1202"/>
      <c r="E65" s="1202"/>
      <c r="F65" s="1202"/>
      <c r="G65" s="1202"/>
      <c r="H65" s="1202"/>
      <c r="I65" s="1202"/>
      <c r="J65" s="1202"/>
      <c r="K65" s="1202"/>
    </row>
    <row r="66" spans="1:11" ht="48" customHeight="1" x14ac:dyDescent="0.25">
      <c r="A66" s="1077" t="s">
        <v>984</v>
      </c>
      <c r="B66" s="1143" t="s">
        <v>985</v>
      </c>
      <c r="C66" s="1143"/>
      <c r="D66" s="1143"/>
      <c r="E66" s="1143"/>
      <c r="F66" s="1143"/>
      <c r="G66" s="1143"/>
      <c r="H66" s="1143"/>
      <c r="I66" s="1143"/>
      <c r="J66" s="1143"/>
      <c r="K66" s="1143"/>
    </row>
    <row r="67" spans="1:11" ht="46.5" customHeight="1" x14ac:dyDescent="0.25">
      <c r="A67" s="1077" t="s">
        <v>76</v>
      </c>
      <c r="B67" s="1143" t="s">
        <v>881</v>
      </c>
      <c r="C67" s="1143"/>
      <c r="D67" s="1143"/>
      <c r="E67" s="1143"/>
      <c r="F67" s="1143"/>
      <c r="G67" s="1143"/>
      <c r="H67" s="1143"/>
      <c r="I67" s="1143"/>
      <c r="J67" s="1143"/>
      <c r="K67" s="1143"/>
    </row>
    <row r="68" spans="1:11" ht="48" customHeight="1" x14ac:dyDescent="0.25">
      <c r="A68" s="1077" t="s">
        <v>79</v>
      </c>
      <c r="B68" s="1143" t="s">
        <v>986</v>
      </c>
      <c r="C68" s="1143"/>
      <c r="D68" s="1143"/>
      <c r="E68" s="1143"/>
      <c r="F68" s="1143"/>
      <c r="G68" s="1143"/>
      <c r="H68" s="1143"/>
      <c r="I68" s="1143"/>
      <c r="J68" s="1143"/>
      <c r="K68" s="1143"/>
    </row>
    <row r="69" spans="1:11" ht="33" customHeight="1" x14ac:dyDescent="0.25">
      <c r="A69" s="1077" t="s">
        <v>83</v>
      </c>
      <c r="B69" s="1143" t="s">
        <v>987</v>
      </c>
      <c r="C69" s="1143"/>
      <c r="D69" s="1143"/>
      <c r="E69" s="1143"/>
      <c r="F69" s="1143"/>
      <c r="G69" s="1143"/>
      <c r="H69" s="1143"/>
      <c r="I69" s="1143"/>
      <c r="J69" s="1143"/>
      <c r="K69" s="1143"/>
    </row>
    <row r="70" spans="1:11" ht="33.75" customHeight="1" x14ac:dyDescent="0.25">
      <c r="A70" s="1077" t="s">
        <v>988</v>
      </c>
      <c r="B70" s="1143" t="s">
        <v>989</v>
      </c>
      <c r="C70" s="1143"/>
      <c r="D70" s="1143"/>
      <c r="E70" s="1143"/>
      <c r="F70" s="1143"/>
      <c r="G70" s="1143"/>
      <c r="H70" s="1143"/>
      <c r="I70" s="1143"/>
      <c r="J70" s="1143"/>
      <c r="K70" s="1143"/>
    </row>
    <row r="71" spans="1:11" ht="33" customHeight="1" x14ac:dyDescent="0.25">
      <c r="A71" s="3" t="s">
        <v>38</v>
      </c>
      <c r="B71" s="1106" t="s">
        <v>990</v>
      </c>
      <c r="C71" s="1106"/>
      <c r="D71" s="1106"/>
      <c r="E71" s="1106"/>
      <c r="F71" s="1106"/>
      <c r="G71" s="1106"/>
      <c r="H71" s="1106"/>
      <c r="I71" s="1106"/>
      <c r="J71" s="1106"/>
      <c r="K71" s="1106"/>
    </row>
    <row r="72" spans="1:11" ht="39" customHeight="1" x14ac:dyDescent="0.25">
      <c r="A72" s="3" t="s">
        <v>979</v>
      </c>
      <c r="B72" s="1171" t="s">
        <v>991</v>
      </c>
      <c r="C72" s="1171"/>
      <c r="D72" s="1171"/>
      <c r="E72" s="1171"/>
      <c r="F72" s="1171"/>
      <c r="G72" s="1171"/>
      <c r="H72" s="1171"/>
      <c r="I72" s="1171"/>
      <c r="J72" s="1171"/>
      <c r="K72" s="1171"/>
    </row>
    <row r="73" spans="1:11" ht="28.9" customHeight="1" x14ac:dyDescent="0.25">
      <c r="A73" s="1077" t="s">
        <v>992</v>
      </c>
      <c r="B73" s="1106" t="s">
        <v>993</v>
      </c>
      <c r="C73" s="1106"/>
      <c r="D73" s="1106"/>
      <c r="E73" s="1106"/>
      <c r="F73" s="1106"/>
      <c r="G73" s="1106"/>
      <c r="H73" s="1106"/>
      <c r="I73" s="1106"/>
      <c r="J73" s="1106"/>
      <c r="K73" s="1106"/>
    </row>
    <row r="75" spans="1:11" x14ac:dyDescent="0.25">
      <c r="A75" s="1198" t="s">
        <v>206</v>
      </c>
      <c r="B75" s="1198"/>
      <c r="C75" s="1198"/>
      <c r="D75" s="1198"/>
      <c r="E75" s="1198"/>
      <c r="F75" s="1198"/>
      <c r="G75" s="1198"/>
      <c r="H75" s="1198"/>
      <c r="I75" s="1198"/>
      <c r="J75" s="1198"/>
      <c r="K75" s="1198"/>
    </row>
    <row r="76" spans="1:11" x14ac:dyDescent="0.25">
      <c r="A76" s="1183" t="s">
        <v>994</v>
      </c>
      <c r="B76" s="1183"/>
      <c r="C76" s="1183"/>
      <c r="D76" s="1183"/>
      <c r="E76" s="1183"/>
      <c r="F76" s="1183"/>
      <c r="G76" s="1183"/>
      <c r="H76" s="1183"/>
      <c r="I76" s="1183"/>
      <c r="J76" s="1183"/>
      <c r="K76" s="1183"/>
    </row>
    <row r="77" spans="1:11" x14ac:dyDescent="0.25">
      <c r="A77" s="1199" t="s">
        <v>995</v>
      </c>
      <c r="B77" s="1199"/>
      <c r="C77" s="1199"/>
      <c r="D77" s="1199"/>
      <c r="E77" s="1199"/>
      <c r="F77" s="1199"/>
      <c r="G77" s="1199"/>
      <c r="H77" s="1199"/>
      <c r="I77" s="1199"/>
      <c r="J77" s="1199"/>
      <c r="K77" s="1199"/>
    </row>
    <row r="78" spans="1:11" x14ac:dyDescent="0.25">
      <c r="A78" s="1199" t="s">
        <v>996</v>
      </c>
      <c r="B78" s="1199"/>
      <c r="C78" s="1199"/>
      <c r="D78" s="1199"/>
      <c r="E78" s="1199"/>
      <c r="F78" s="1199"/>
      <c r="G78" s="1199"/>
      <c r="H78" s="1199"/>
      <c r="I78" s="1199"/>
      <c r="J78" s="1199"/>
      <c r="K78" s="1199"/>
    </row>
    <row r="79" spans="1:11" x14ac:dyDescent="0.25">
      <c r="A79" s="1130" t="s">
        <v>997</v>
      </c>
      <c r="B79" s="1130"/>
      <c r="C79" s="1130"/>
      <c r="D79" s="1130"/>
      <c r="E79" s="1130"/>
      <c r="F79" s="1130"/>
      <c r="G79" s="1130"/>
      <c r="H79" s="1130"/>
      <c r="I79" s="1130"/>
      <c r="J79" s="1130"/>
      <c r="K79" s="1130"/>
    </row>
    <row r="80" spans="1:11" x14ac:dyDescent="0.25">
      <c r="A80" s="1199" t="s">
        <v>998</v>
      </c>
      <c r="B80" s="1199"/>
      <c r="C80" s="1199"/>
      <c r="D80" s="1199"/>
      <c r="E80" s="1199"/>
      <c r="F80" s="1199"/>
      <c r="G80" s="1199"/>
      <c r="H80" s="1199"/>
      <c r="I80" s="1199"/>
      <c r="J80" s="1199"/>
      <c r="K80" s="1199"/>
    </row>
    <row r="81" spans="1:11" x14ac:dyDescent="0.25">
      <c r="A81" s="1199" t="s">
        <v>999</v>
      </c>
      <c r="B81" s="1199"/>
      <c r="C81" s="1199"/>
      <c r="D81" s="1199"/>
      <c r="E81" s="1199"/>
      <c r="F81" s="1199"/>
      <c r="G81" s="1199"/>
      <c r="H81" s="1199"/>
      <c r="I81" s="1199"/>
      <c r="J81" s="1199"/>
      <c r="K81" s="1199"/>
    </row>
    <row r="82" spans="1:11" x14ac:dyDescent="0.25">
      <c r="A82" s="1130" t="s">
        <v>1000</v>
      </c>
      <c r="B82" s="1130"/>
      <c r="C82" s="1130"/>
      <c r="D82" s="1130"/>
      <c r="E82" s="1130"/>
      <c r="F82" s="1130"/>
      <c r="G82" s="1130"/>
      <c r="H82" s="1130"/>
      <c r="I82" s="1130"/>
      <c r="J82" s="1130"/>
      <c r="K82" s="1130"/>
    </row>
    <row r="83" spans="1:11" x14ac:dyDescent="0.25">
      <c r="A83" s="1199" t="s">
        <v>1001</v>
      </c>
      <c r="B83" s="1199"/>
      <c r="C83" s="1199"/>
      <c r="D83" s="1199"/>
      <c r="E83" s="1199"/>
      <c r="F83" s="1199"/>
      <c r="G83" s="1199"/>
      <c r="H83" s="1199"/>
      <c r="I83" s="1199"/>
      <c r="J83" s="1199"/>
      <c r="K83" s="1199"/>
    </row>
    <row r="84" spans="1:11" x14ac:dyDescent="0.25">
      <c r="A84" s="1199" t="s">
        <v>1002</v>
      </c>
      <c r="B84" s="1199"/>
      <c r="C84" s="1199"/>
      <c r="D84" s="1199"/>
      <c r="E84" s="1199"/>
      <c r="F84" s="1199"/>
      <c r="G84" s="1199"/>
      <c r="H84" s="1199"/>
      <c r="I84" s="1199"/>
      <c r="J84" s="1199"/>
      <c r="K84" s="1199"/>
    </row>
    <row r="85" spans="1:11" ht="28.15" customHeight="1" x14ac:dyDescent="0.25">
      <c r="A85" s="1096" t="s">
        <v>1003</v>
      </c>
      <c r="B85" s="1096"/>
      <c r="C85" s="1096"/>
      <c r="D85" s="1096"/>
      <c r="E85" s="1096"/>
      <c r="F85" s="1096"/>
      <c r="G85" s="1096"/>
      <c r="H85" s="1096"/>
      <c r="I85" s="1096"/>
      <c r="J85" s="1096"/>
      <c r="K85" s="1096"/>
    </row>
    <row r="86" spans="1:11" x14ac:dyDescent="0.25">
      <c r="A86" s="1130" t="s">
        <v>1004</v>
      </c>
      <c r="B86" s="1130"/>
      <c r="C86" s="1130"/>
      <c r="D86" s="1130"/>
      <c r="E86" s="1130"/>
      <c r="F86" s="1130"/>
      <c r="G86" s="1130"/>
      <c r="H86" s="1130"/>
      <c r="I86" s="1130"/>
      <c r="J86" s="1130"/>
      <c r="K86" s="1130"/>
    </row>
    <row r="87" spans="1:11" x14ac:dyDescent="0.25">
      <c r="A87" s="1130" t="s">
        <v>1005</v>
      </c>
      <c r="B87" s="1130"/>
      <c r="C87" s="1130"/>
      <c r="D87" s="1130"/>
      <c r="E87" s="1130"/>
      <c r="F87" s="1130"/>
      <c r="G87" s="1130"/>
      <c r="H87" s="1130"/>
      <c r="I87" s="1130"/>
      <c r="J87" s="1130"/>
      <c r="K87" s="1130"/>
    </row>
    <row r="88" spans="1:11" x14ac:dyDescent="0.25">
      <c r="A88" s="1130" t="s">
        <v>1006</v>
      </c>
      <c r="B88" s="1130"/>
      <c r="C88" s="1130"/>
      <c r="D88" s="1130"/>
      <c r="E88" s="1130"/>
      <c r="F88" s="1130"/>
      <c r="G88" s="1130"/>
      <c r="H88" s="1130"/>
      <c r="I88" s="1130"/>
      <c r="J88" s="1130"/>
      <c r="K88" s="1130"/>
    </row>
    <row r="89" spans="1:11" x14ac:dyDescent="0.25">
      <c r="A89" s="1130" t="s">
        <v>1007</v>
      </c>
      <c r="B89" s="1130"/>
      <c r="C89" s="1130"/>
      <c r="D89" s="1130"/>
      <c r="E89" s="1130"/>
      <c r="F89" s="1130"/>
      <c r="G89" s="1130"/>
      <c r="H89" s="1130"/>
      <c r="I89" s="1130"/>
      <c r="J89" s="1130"/>
      <c r="K89" s="1130"/>
    </row>
    <row r="90" spans="1:11" ht="14.45" customHeight="1" x14ac:dyDescent="0.25">
      <c r="A90" s="1096" t="s">
        <v>1008</v>
      </c>
      <c r="B90" s="1096"/>
      <c r="C90" s="1096"/>
      <c r="D90" s="1096"/>
      <c r="E90" s="1096"/>
      <c r="F90" s="1096"/>
      <c r="G90" s="1096"/>
      <c r="H90" s="1096"/>
      <c r="I90" s="1096"/>
      <c r="J90" s="1096"/>
      <c r="K90" s="1096"/>
    </row>
    <row r="91" spans="1:11" ht="28.5" customHeight="1" x14ac:dyDescent="0.25">
      <c r="A91" s="1125" t="s">
        <v>1009</v>
      </c>
      <c r="B91" s="1125"/>
      <c r="C91" s="1125"/>
      <c r="D91" s="1125"/>
      <c r="E91" s="1125"/>
      <c r="F91" s="1125"/>
      <c r="G91" s="1125"/>
      <c r="H91" s="1125"/>
      <c r="I91" s="1125"/>
      <c r="J91" s="1125"/>
      <c r="K91" s="1125"/>
    </row>
    <row r="92" spans="1:11" ht="28.5" customHeight="1" x14ac:dyDescent="0.25">
      <c r="A92" s="1125" t="s">
        <v>1010</v>
      </c>
      <c r="B92" s="1125"/>
      <c r="C92" s="1125"/>
      <c r="D92" s="1125"/>
      <c r="E92" s="1125"/>
      <c r="F92" s="1125"/>
      <c r="G92" s="1125"/>
      <c r="H92" s="1125"/>
      <c r="I92" s="1125"/>
      <c r="J92" s="1125"/>
      <c r="K92" s="1125"/>
    </row>
    <row r="94" spans="1:11" x14ac:dyDescent="0.25">
      <c r="A94" s="1198" t="s">
        <v>314</v>
      </c>
      <c r="B94" s="1198"/>
      <c r="C94" s="1198"/>
      <c r="D94" s="1198"/>
      <c r="E94" s="1198"/>
      <c r="F94" s="1198"/>
      <c r="G94" s="1198"/>
      <c r="H94" s="1198"/>
      <c r="I94" s="1198"/>
      <c r="J94" s="1198"/>
      <c r="K94" s="1198"/>
    </row>
    <row r="95" spans="1:11" ht="30" x14ac:dyDescent="0.25">
      <c r="A95" s="921" t="s">
        <v>1011</v>
      </c>
      <c r="B95" s="1189" t="s">
        <v>1012</v>
      </c>
      <c r="C95" s="1189"/>
      <c r="D95" s="1189"/>
      <c r="E95" s="1189"/>
      <c r="F95" s="1189"/>
      <c r="G95" s="1189"/>
      <c r="H95" s="1189"/>
      <c r="I95" s="1189"/>
      <c r="J95" s="1189"/>
      <c r="K95" s="1189"/>
    </row>
    <row r="96" spans="1:11" ht="60" x14ac:dyDescent="0.25">
      <c r="A96" s="1000" t="s">
        <v>1013</v>
      </c>
      <c r="B96" s="1196" t="s">
        <v>1014</v>
      </c>
      <c r="C96" s="1196"/>
      <c r="D96" s="1196"/>
      <c r="E96" s="1196"/>
      <c r="F96" s="1196"/>
      <c r="G96" s="1196"/>
      <c r="H96" s="1196"/>
      <c r="I96" s="1196"/>
      <c r="J96" s="1196"/>
      <c r="K96" s="1196"/>
    </row>
    <row r="97" spans="1:11" ht="60" x14ac:dyDescent="0.25">
      <c r="A97" s="1000" t="s">
        <v>1015</v>
      </c>
      <c r="B97" s="1197" t="s">
        <v>1016</v>
      </c>
      <c r="C97" s="1197"/>
      <c r="D97" s="1197"/>
      <c r="E97" s="1197"/>
      <c r="F97" s="1197"/>
      <c r="G97" s="1197"/>
      <c r="H97" s="1197"/>
      <c r="I97" s="1197"/>
      <c r="J97" s="1197"/>
      <c r="K97" s="1197"/>
    </row>
  </sheetData>
  <mergeCells count="38">
    <mergeCell ref="A81:K81"/>
    <mergeCell ref="B70:K70"/>
    <mergeCell ref="B68:K68"/>
    <mergeCell ref="B66:K66"/>
    <mergeCell ref="B71:K71"/>
    <mergeCell ref="B72:K72"/>
    <mergeCell ref="A76:K76"/>
    <mergeCell ref="A77:K77"/>
    <mergeCell ref="A78:K78"/>
    <mergeCell ref="A79:K79"/>
    <mergeCell ref="A80:K80"/>
    <mergeCell ref="B73:K73"/>
    <mergeCell ref="A1:T1"/>
    <mergeCell ref="A43:L43"/>
    <mergeCell ref="B65:K65"/>
    <mergeCell ref="B67:K67"/>
    <mergeCell ref="B69:K69"/>
    <mergeCell ref="M2:T2"/>
    <mergeCell ref="D2:K2"/>
    <mergeCell ref="A2:A3"/>
    <mergeCell ref="A52:B52"/>
    <mergeCell ref="A64:G64"/>
    <mergeCell ref="B96:K96"/>
    <mergeCell ref="B97:K97"/>
    <mergeCell ref="A89:K89"/>
    <mergeCell ref="A90:K90"/>
    <mergeCell ref="A75:K75"/>
    <mergeCell ref="A94:K94"/>
    <mergeCell ref="B95:K95"/>
    <mergeCell ref="A91:K91"/>
    <mergeCell ref="A86:K86"/>
    <mergeCell ref="A88:K88"/>
    <mergeCell ref="A85:K85"/>
    <mergeCell ref="A87:K87"/>
    <mergeCell ref="A92:K92"/>
    <mergeCell ref="A82:K82"/>
    <mergeCell ref="A83:K83"/>
    <mergeCell ref="A84:K84"/>
  </mergeCells>
  <phoneticPr fontId="51" type="noConversion"/>
  <pageMargins left="0.7" right="0.7" top="0.75" bottom="0.75" header="0.3" footer="0.3"/>
  <pageSetup orientation="portrait"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85DAE-2E56-4637-A9FB-4F7893E87299}">
  <sheetPr>
    <tabColor theme="9" tint="0.79998168889431442"/>
  </sheetPr>
  <dimension ref="A1:M38"/>
  <sheetViews>
    <sheetView topLeftCell="A24" workbookViewId="0">
      <selection activeCell="A29" sqref="A29:G29"/>
    </sheetView>
  </sheetViews>
  <sheetFormatPr defaultColWidth="8.85546875" defaultRowHeight="15" x14ac:dyDescent="0.25"/>
  <cols>
    <col min="1" max="1" width="21.85546875" customWidth="1"/>
    <col min="2" max="2" width="15.140625" customWidth="1"/>
    <col min="3" max="3" width="17.5703125" customWidth="1"/>
    <col min="4" max="4" width="4.7109375" customWidth="1"/>
    <col min="5" max="5" width="22.7109375" customWidth="1"/>
    <col min="6" max="6" width="15.5703125" customWidth="1"/>
    <col min="7" max="7" width="12.140625" customWidth="1"/>
    <col min="8" max="8" width="4" customWidth="1"/>
    <col min="9" max="9" width="19.42578125" customWidth="1"/>
    <col min="10" max="10" width="17.140625" customWidth="1"/>
    <col min="11" max="11" width="4.28515625" customWidth="1"/>
    <col min="12" max="12" width="15.7109375" customWidth="1"/>
    <col min="13" max="13" width="13.42578125" customWidth="1"/>
  </cols>
  <sheetData>
    <row r="1" spans="1:13" ht="33.75" customHeight="1" x14ac:dyDescent="0.25">
      <c r="A1" s="1123" t="s">
        <v>1017</v>
      </c>
      <c r="B1" s="1123"/>
      <c r="C1" s="1123"/>
      <c r="D1" s="1065"/>
      <c r="E1" s="1113" t="s">
        <v>1018</v>
      </c>
      <c r="F1" s="1113"/>
      <c r="G1" s="1113"/>
      <c r="I1" s="1210" t="s">
        <v>1019</v>
      </c>
      <c r="J1" s="1210"/>
      <c r="K1" s="614"/>
      <c r="L1" s="1127" t="s">
        <v>1020</v>
      </c>
      <c r="M1" s="1127"/>
    </row>
    <row r="2" spans="1:13" x14ac:dyDescent="0.25">
      <c r="A2" s="421"/>
      <c r="B2" s="1214" t="s">
        <v>7</v>
      </c>
      <c r="C2" s="1215"/>
      <c r="E2" s="421"/>
      <c r="F2" s="1214" t="s">
        <v>7</v>
      </c>
      <c r="G2" s="1215"/>
      <c r="I2" s="934" t="s">
        <v>28</v>
      </c>
      <c r="J2" s="935">
        <f>(B14*(SUM('11. Diet'!D3:D5)/SUM('11. Diet'!$D$3:$D$7))+(B15*('11. Diet'!D6/ SUM('11. Diet'!$D$3:$D$7)))+(B16*('11. Diet'!D7/SUM('11. Diet'!$D$3:$D$7))))/((B4*(SUM('11. Diet'!D3:D5)/SUM('11. Diet'!$D$3:$D$7)))+(B5*('11. Diet'!D6/SUM('11. Diet'!$D$3:$D$7)))+(B6*('11. Diet'!D7/SUM('11. Diet'!$D$3:$D$7))))</f>
        <v>0.44500000000000017</v>
      </c>
      <c r="L2" s="394">
        <v>2020</v>
      </c>
      <c r="M2" s="936">
        <f>J28+J27</f>
        <v>0.32500000000000001</v>
      </c>
    </row>
    <row r="3" spans="1:13" ht="45" x14ac:dyDescent="0.25">
      <c r="A3" s="422" t="s">
        <v>1021</v>
      </c>
      <c r="B3" s="28" t="s">
        <v>1022</v>
      </c>
      <c r="C3" s="423" t="s">
        <v>1023</v>
      </c>
      <c r="D3" s="28"/>
      <c r="E3" s="422" t="s">
        <v>1024</v>
      </c>
      <c r="F3" s="28" t="s">
        <v>1022</v>
      </c>
      <c r="G3" s="423" t="s">
        <v>1023</v>
      </c>
      <c r="I3" s="692" t="s">
        <v>32</v>
      </c>
      <c r="J3" s="691">
        <f>(B18*('11. Diet'!D8/SUM('11. Diet'!$D$8:$D$9))+(B17*('11. Diet'!D9/ SUM('11. Diet'!$D$8:$D$9))))/((B8 *('11. Diet'!D8 /SUM('11. Diet'!$D$8:$D$9)))+(B7 *('11. Diet'!D9 /SUM('11. Diet'!$D$8:$D$9))))</f>
        <v>0.44500000000000006</v>
      </c>
      <c r="L3" s="218">
        <v>2021</v>
      </c>
      <c r="M3" s="883">
        <f>(M2+$J$24)</f>
        <v>0.33100000000000002</v>
      </c>
    </row>
    <row r="4" spans="1:13" x14ac:dyDescent="0.25">
      <c r="A4" s="419" t="s">
        <v>1025</v>
      </c>
      <c r="B4" s="15">
        <f>0.41*$B$32</f>
        <v>0.38949999999999996</v>
      </c>
      <c r="C4" s="681">
        <f>B4/B$31</f>
        <v>1.9785835475317231</v>
      </c>
      <c r="E4" s="419" t="s">
        <v>1026</v>
      </c>
      <c r="F4" s="15">
        <f>0.017*B$32</f>
        <v>1.6150000000000001E-2</v>
      </c>
      <c r="G4" s="681">
        <f>F4/B$31</f>
        <v>8.2038830019608044E-2</v>
      </c>
      <c r="I4" s="692" t="s">
        <v>979</v>
      </c>
      <c r="J4" s="880">
        <f>SUM(B19:B20) / SUM(B9:B10)</f>
        <v>0.44500000000000012</v>
      </c>
      <c r="L4" s="218">
        <v>2022</v>
      </c>
      <c r="M4" s="883">
        <f t="shared" ref="M4:M32" si="0">(M3+$J$24)</f>
        <v>0.33700000000000002</v>
      </c>
    </row>
    <row r="5" spans="1:13" ht="45" x14ac:dyDescent="0.25">
      <c r="A5" s="419" t="s">
        <v>83</v>
      </c>
      <c r="B5" s="15">
        <f>0.18*$B$32</f>
        <v>0.17099999999999999</v>
      </c>
      <c r="C5" s="681">
        <f t="shared" ref="C5:C12" si="1">B5/B$31</f>
        <v>0.86864643550173215</v>
      </c>
      <c r="E5" s="419" t="s">
        <v>1027</v>
      </c>
      <c r="F5" s="15">
        <f>0.27*B$32</f>
        <v>0.25650000000000001</v>
      </c>
      <c r="G5" s="681">
        <f t="shared" ref="G5:G6" si="2">F5/B$31</f>
        <v>1.3029696532525983</v>
      </c>
      <c r="I5" s="692" t="s">
        <v>38</v>
      </c>
      <c r="J5" s="880">
        <f t="shared" ref="J5:J6" si="3">SUM(B20:B21) / SUM(B10:B11)</f>
        <v>0.44500000000000012</v>
      </c>
      <c r="L5" s="218">
        <v>2023</v>
      </c>
      <c r="M5" s="883">
        <f t="shared" si="0"/>
        <v>0.34300000000000003</v>
      </c>
    </row>
    <row r="6" spans="1:13" ht="30" x14ac:dyDescent="0.25">
      <c r="A6" s="419" t="s">
        <v>1028</v>
      </c>
      <c r="B6" s="15">
        <f>0.36*$B$32</f>
        <v>0.34199999999999997</v>
      </c>
      <c r="C6" s="681">
        <f t="shared" si="1"/>
        <v>1.7372928710034643</v>
      </c>
      <c r="E6" s="420" t="s">
        <v>1029</v>
      </c>
      <c r="F6" s="682">
        <f>0.04*B$32</f>
        <v>3.7999999999999999E-2</v>
      </c>
      <c r="G6" s="681">
        <f t="shared" si="2"/>
        <v>0.19303254122260716</v>
      </c>
      <c r="I6" s="692" t="s">
        <v>1030</v>
      </c>
      <c r="J6" s="880">
        <f t="shared" si="3"/>
        <v>0.44500000000000012</v>
      </c>
      <c r="L6" s="218">
        <v>2024</v>
      </c>
      <c r="M6" s="883">
        <f t="shared" si="0"/>
        <v>0.34900000000000003</v>
      </c>
    </row>
    <row r="7" spans="1:13" ht="25.5" x14ac:dyDescent="0.25">
      <c r="A7" s="419" t="s">
        <v>1031</v>
      </c>
      <c r="B7" s="15">
        <f>0.18*$B$32</f>
        <v>0.17099999999999999</v>
      </c>
      <c r="C7" s="681">
        <f t="shared" si="1"/>
        <v>0.86864643550173215</v>
      </c>
      <c r="E7" s="418" t="s">
        <v>1024</v>
      </c>
      <c r="F7" s="1216" t="s">
        <v>11</v>
      </c>
      <c r="G7" s="1217"/>
      <c r="I7" s="693" t="s">
        <v>1032</v>
      </c>
      <c r="J7" s="880">
        <f>B19/B9</f>
        <v>0.44500000000000012</v>
      </c>
      <c r="L7" s="218">
        <v>2025</v>
      </c>
      <c r="M7" s="883">
        <f t="shared" si="0"/>
        <v>0.35500000000000004</v>
      </c>
    </row>
    <row r="8" spans="1:13" x14ac:dyDescent="0.25">
      <c r="A8" s="419" t="s">
        <v>95</v>
      </c>
      <c r="B8" s="15">
        <f>0.1*$B$32</f>
        <v>9.5000000000000001E-2</v>
      </c>
      <c r="C8" s="681">
        <f t="shared" si="1"/>
        <v>0.48258135305651789</v>
      </c>
      <c r="E8" s="419" t="s">
        <v>1026</v>
      </c>
      <c r="F8" s="686">
        <f>F4*J25</f>
        <v>7.1867500000000022E-3</v>
      </c>
      <c r="G8" s="687">
        <f>G4*J25</f>
        <v>3.6507279358725588E-2</v>
      </c>
      <c r="I8" s="691" t="s">
        <v>56</v>
      </c>
      <c r="J8" s="880">
        <f>B22/B12</f>
        <v>0.44500000000000012</v>
      </c>
      <c r="L8" s="218">
        <v>2026</v>
      </c>
      <c r="M8" s="883">
        <f t="shared" si="0"/>
        <v>0.36100000000000004</v>
      </c>
    </row>
    <row r="9" spans="1:13" ht="45" x14ac:dyDescent="0.25">
      <c r="A9" s="419" t="s">
        <v>1033</v>
      </c>
      <c r="B9" s="15">
        <f>0.045*$B$32</f>
        <v>4.2749999999999996E-2</v>
      </c>
      <c r="C9" s="681">
        <f>B9/B$31</f>
        <v>0.21716160887543304</v>
      </c>
      <c r="E9" s="419" t="s">
        <v>1027</v>
      </c>
      <c r="F9" s="686">
        <f>F5*J25</f>
        <v>0.11414250000000004</v>
      </c>
      <c r="G9" s="687">
        <f>G5*J25</f>
        <v>0.57982149569740637</v>
      </c>
      <c r="I9" s="691" t="s">
        <v>59</v>
      </c>
      <c r="J9" s="880">
        <f>B22/B12</f>
        <v>0.44500000000000012</v>
      </c>
      <c r="L9" s="218">
        <v>2027</v>
      </c>
      <c r="M9" s="883">
        <f t="shared" si="0"/>
        <v>0.36700000000000005</v>
      </c>
    </row>
    <row r="10" spans="1:13" ht="30" x14ac:dyDescent="0.25">
      <c r="A10" s="419" t="s">
        <v>1034</v>
      </c>
      <c r="B10" s="15">
        <f>0.21*$B$32</f>
        <v>0.19949999999999998</v>
      </c>
      <c r="C10" s="681">
        <f t="shared" si="1"/>
        <v>1.0134208414186874</v>
      </c>
      <c r="E10" s="420" t="s">
        <v>1029</v>
      </c>
      <c r="F10" s="688">
        <f>F6*J25</f>
        <v>1.6910000000000005E-2</v>
      </c>
      <c r="G10" s="689">
        <f>G6*J25</f>
        <v>8.5899480844060211E-2</v>
      </c>
      <c r="I10" s="691" t="s">
        <v>62</v>
      </c>
      <c r="J10" s="880">
        <f>B22/B12</f>
        <v>0.44500000000000012</v>
      </c>
      <c r="L10" s="218">
        <v>2028</v>
      </c>
      <c r="M10" s="883">
        <f t="shared" si="0"/>
        <v>0.37300000000000005</v>
      </c>
    </row>
    <row r="11" spans="1:13" x14ac:dyDescent="0.25">
      <c r="A11" s="419" t="s">
        <v>59</v>
      </c>
      <c r="B11" s="15">
        <f>0.79*$B$32</f>
        <v>0.75049999999999994</v>
      </c>
      <c r="C11" s="681">
        <f t="shared" si="1"/>
        <v>3.812392689146491</v>
      </c>
      <c r="F11" s="15"/>
      <c r="G11" s="15"/>
      <c r="I11" s="15"/>
      <c r="J11" s="15"/>
      <c r="L11" s="218">
        <v>2029</v>
      </c>
      <c r="M11" s="883">
        <f t="shared" si="0"/>
        <v>0.37900000000000006</v>
      </c>
    </row>
    <row r="12" spans="1:13" ht="30" x14ac:dyDescent="0.25">
      <c r="A12" s="420" t="s">
        <v>1035</v>
      </c>
      <c r="B12" s="682">
        <f>0.09*$B$32</f>
        <v>8.5499999999999993E-2</v>
      </c>
      <c r="C12" s="681">
        <f t="shared" si="1"/>
        <v>0.43432321775086608</v>
      </c>
      <c r="I12" s="1212" t="s">
        <v>1036</v>
      </c>
      <c r="J12" s="1213"/>
      <c r="L12" s="218">
        <v>2030</v>
      </c>
      <c r="M12" s="883">
        <f t="shared" si="0"/>
        <v>0.38500000000000006</v>
      </c>
    </row>
    <row r="13" spans="1:13" x14ac:dyDescent="0.25">
      <c r="A13" s="418" t="s">
        <v>1021</v>
      </c>
      <c r="B13" s="1218" t="s">
        <v>11</v>
      </c>
      <c r="C13" s="1219"/>
      <c r="I13" s="690" t="s">
        <v>28</v>
      </c>
      <c r="J13" s="880">
        <f>F9/F5</f>
        <v>0.44500000000000012</v>
      </c>
      <c r="L13" s="218">
        <v>2031</v>
      </c>
      <c r="M13" s="883">
        <f t="shared" si="0"/>
        <v>0.39100000000000007</v>
      </c>
    </row>
    <row r="14" spans="1:13" x14ac:dyDescent="0.25">
      <c r="A14" s="419" t="s">
        <v>1025</v>
      </c>
      <c r="B14" s="618">
        <f t="shared" ref="B14:C22" si="4">B4*$J$25</f>
        <v>0.17332750000000002</v>
      </c>
      <c r="C14" s="683">
        <f t="shared" si="4"/>
        <v>0.88046967865161696</v>
      </c>
      <c r="I14" s="692" t="s">
        <v>32</v>
      </c>
      <c r="J14" s="880">
        <f>F10/F6</f>
        <v>0.44500000000000012</v>
      </c>
      <c r="L14" s="218">
        <v>2032</v>
      </c>
      <c r="M14" s="883">
        <f t="shared" si="0"/>
        <v>0.39700000000000008</v>
      </c>
    </row>
    <row r="15" spans="1:13" x14ac:dyDescent="0.25">
      <c r="A15" s="419" t="s">
        <v>83</v>
      </c>
      <c r="B15" s="618">
        <f t="shared" si="4"/>
        <v>7.609500000000001E-2</v>
      </c>
      <c r="C15" s="683">
        <f t="shared" si="4"/>
        <v>0.38654766379827094</v>
      </c>
      <c r="I15" s="692" t="s">
        <v>979</v>
      </c>
      <c r="J15" s="880">
        <f>F8/F4</f>
        <v>0.44500000000000012</v>
      </c>
      <c r="L15" s="218">
        <v>2033</v>
      </c>
      <c r="M15" s="883">
        <f t="shared" si="0"/>
        <v>0.40300000000000008</v>
      </c>
    </row>
    <row r="16" spans="1:13" x14ac:dyDescent="0.25">
      <c r="A16" s="419" t="s">
        <v>1028</v>
      </c>
      <c r="B16" s="618">
        <f t="shared" si="4"/>
        <v>0.15219000000000002</v>
      </c>
      <c r="C16" s="683">
        <f t="shared" si="4"/>
        <v>0.77309532759654187</v>
      </c>
      <c r="I16" s="692" t="s">
        <v>38</v>
      </c>
      <c r="J16" s="880">
        <f>F8/F4</f>
        <v>0.44500000000000012</v>
      </c>
      <c r="L16" s="218">
        <v>2034</v>
      </c>
      <c r="M16" s="883">
        <f t="shared" si="0"/>
        <v>0.40900000000000009</v>
      </c>
    </row>
    <row r="17" spans="1:13" x14ac:dyDescent="0.25">
      <c r="A17" s="419" t="s">
        <v>1031</v>
      </c>
      <c r="B17" s="618">
        <f t="shared" si="4"/>
        <v>7.609500000000001E-2</v>
      </c>
      <c r="C17" s="683">
        <f t="shared" si="4"/>
        <v>0.38654766379827094</v>
      </c>
      <c r="I17" s="692" t="s">
        <v>1030</v>
      </c>
      <c r="J17" s="880">
        <f>F8/F4</f>
        <v>0.44500000000000012</v>
      </c>
      <c r="L17" s="218">
        <v>2035</v>
      </c>
      <c r="M17" s="883">
        <f t="shared" si="0"/>
        <v>0.41500000000000009</v>
      </c>
    </row>
    <row r="18" spans="1:13" ht="25.5" x14ac:dyDescent="0.25">
      <c r="A18" s="419" t="s">
        <v>95</v>
      </c>
      <c r="B18" s="618">
        <f t="shared" si="4"/>
        <v>4.2275000000000014E-2</v>
      </c>
      <c r="C18" s="683">
        <f t="shared" si="4"/>
        <v>0.21474870211015051</v>
      </c>
      <c r="I18" s="693" t="s">
        <v>1032</v>
      </c>
      <c r="J18" s="880">
        <f>F10/F6</f>
        <v>0.44500000000000012</v>
      </c>
      <c r="L18" s="218">
        <v>2036</v>
      </c>
      <c r="M18" s="883">
        <f t="shared" si="0"/>
        <v>0.4210000000000001</v>
      </c>
    </row>
    <row r="19" spans="1:13" ht="30" x14ac:dyDescent="0.25">
      <c r="A19" s="419" t="s">
        <v>1033</v>
      </c>
      <c r="B19" s="618">
        <f t="shared" si="4"/>
        <v>1.9023750000000002E-2</v>
      </c>
      <c r="C19" s="683">
        <f t="shared" si="4"/>
        <v>9.6636915949567734E-2</v>
      </c>
      <c r="I19" s="691" t="s">
        <v>56</v>
      </c>
      <c r="J19" s="880">
        <f>F10/F6</f>
        <v>0.44500000000000012</v>
      </c>
      <c r="L19" s="218">
        <v>2037</v>
      </c>
      <c r="M19" s="883">
        <f t="shared" si="0"/>
        <v>0.4270000000000001</v>
      </c>
    </row>
    <row r="20" spans="1:13" ht="30" x14ac:dyDescent="0.25">
      <c r="A20" s="419" t="s">
        <v>1034</v>
      </c>
      <c r="B20" s="618">
        <f t="shared" si="4"/>
        <v>8.8777500000000009E-2</v>
      </c>
      <c r="C20" s="683">
        <f t="shared" si="4"/>
        <v>0.45097227443131599</v>
      </c>
      <c r="I20" s="691" t="s">
        <v>59</v>
      </c>
      <c r="J20" s="880">
        <f>F10/F6</f>
        <v>0.44500000000000012</v>
      </c>
      <c r="L20" s="218">
        <v>2038</v>
      </c>
      <c r="M20" s="883">
        <f t="shared" si="0"/>
        <v>0.43300000000000011</v>
      </c>
    </row>
    <row r="21" spans="1:13" x14ac:dyDescent="0.25">
      <c r="A21" s="419" t="s">
        <v>59</v>
      </c>
      <c r="B21" s="618">
        <f t="shared" si="4"/>
        <v>0.33397250000000006</v>
      </c>
      <c r="C21" s="683">
        <f t="shared" si="4"/>
        <v>1.6965147466701889</v>
      </c>
      <c r="I21" s="691" t="s">
        <v>62</v>
      </c>
      <c r="J21" s="880">
        <f>F10/F6</f>
        <v>0.44500000000000012</v>
      </c>
      <c r="L21" s="218">
        <v>2039</v>
      </c>
      <c r="M21" s="883">
        <f t="shared" si="0"/>
        <v>0.43900000000000011</v>
      </c>
    </row>
    <row r="22" spans="1:13" ht="30" x14ac:dyDescent="0.25">
      <c r="A22" s="420" t="s">
        <v>1035</v>
      </c>
      <c r="B22" s="684">
        <f t="shared" si="4"/>
        <v>3.8047500000000005E-2</v>
      </c>
      <c r="C22" s="685">
        <f t="shared" si="4"/>
        <v>0.19327383189913547</v>
      </c>
      <c r="I22" s="15"/>
      <c r="J22" s="15"/>
      <c r="L22" s="218">
        <v>2040</v>
      </c>
      <c r="M22" s="883">
        <f t="shared" si="0"/>
        <v>0.44500000000000012</v>
      </c>
    </row>
    <row r="23" spans="1:13" ht="31.5" customHeight="1" x14ac:dyDescent="0.25">
      <c r="I23" s="1211" t="s">
        <v>1037</v>
      </c>
      <c r="J23" s="1211"/>
      <c r="L23" s="218">
        <v>2041</v>
      </c>
      <c r="M23" s="883">
        <f t="shared" si="0"/>
        <v>0.45100000000000012</v>
      </c>
    </row>
    <row r="24" spans="1:13" ht="30" customHeight="1" x14ac:dyDescent="0.25">
      <c r="A24" s="1172" t="s">
        <v>307</v>
      </c>
      <c r="B24" s="1172"/>
      <c r="C24" s="1172"/>
      <c r="D24" s="1172"/>
      <c r="E24" s="1172"/>
      <c r="F24" s="1172"/>
      <c r="G24" s="1172"/>
      <c r="I24" s="694" t="s">
        <v>1038</v>
      </c>
      <c r="J24" s="695">
        <v>6.0000000000000001E-3</v>
      </c>
      <c r="L24" s="218">
        <v>2042</v>
      </c>
      <c r="M24" s="883">
        <f t="shared" si="0"/>
        <v>0.45700000000000013</v>
      </c>
    </row>
    <row r="25" spans="1:13" ht="30" customHeight="1" x14ac:dyDescent="0.25">
      <c r="A25" s="1100" t="s">
        <v>1039</v>
      </c>
      <c r="B25" s="1100"/>
      <c r="C25" s="1100"/>
      <c r="D25" s="1100"/>
      <c r="E25" s="1100"/>
      <c r="F25" s="1100"/>
      <c r="G25" s="1100"/>
      <c r="I25" s="696" t="s">
        <v>1040</v>
      </c>
      <c r="J25" s="697">
        <f>VLOOKUP('1. LCA Controls'!B5,L2:M32, 2, FALSE)</f>
        <v>0.44500000000000012</v>
      </c>
      <c r="L25" s="218">
        <v>2043</v>
      </c>
      <c r="M25" s="883">
        <f t="shared" si="0"/>
        <v>0.46300000000000013</v>
      </c>
    </row>
    <row r="26" spans="1:13" ht="43.9" customHeight="1" x14ac:dyDescent="0.25">
      <c r="A26" s="1096" t="s">
        <v>1041</v>
      </c>
      <c r="B26" s="1096"/>
      <c r="C26" s="1096"/>
      <c r="D26" s="1096"/>
      <c r="E26" s="1096"/>
      <c r="F26" s="1096"/>
      <c r="G26" s="1096"/>
      <c r="I26" s="698" t="s">
        <v>1042</v>
      </c>
      <c r="J26" s="698">
        <f>VLOOKUP('2. ABM-LCA Controls'!B5,L2:M32, 2, FALSE)</f>
        <v>0.32500000000000001</v>
      </c>
      <c r="L26" s="218">
        <v>2044</v>
      </c>
      <c r="M26" s="883">
        <f t="shared" si="0"/>
        <v>0.46900000000000014</v>
      </c>
    </row>
    <row r="27" spans="1:13" ht="45" x14ac:dyDescent="0.25">
      <c r="I27" s="699" t="s">
        <v>1043</v>
      </c>
      <c r="J27" s="700">
        <v>0.13500000000000001</v>
      </c>
      <c r="L27" s="218">
        <v>2045</v>
      </c>
      <c r="M27" s="883">
        <f t="shared" si="0"/>
        <v>0.47500000000000014</v>
      </c>
    </row>
    <row r="28" spans="1:13" x14ac:dyDescent="0.25">
      <c r="A28" s="1172" t="s">
        <v>206</v>
      </c>
      <c r="B28" s="1172"/>
      <c r="C28" s="1172"/>
      <c r="D28" s="1172"/>
      <c r="E28" s="1172"/>
      <c r="F28" s="1172"/>
      <c r="G28" s="1172"/>
      <c r="I28" s="701" t="s">
        <v>1044</v>
      </c>
      <c r="J28" s="700">
        <v>0.19</v>
      </c>
      <c r="L28" s="218">
        <v>2046</v>
      </c>
      <c r="M28" s="883">
        <f t="shared" si="0"/>
        <v>0.48100000000000015</v>
      </c>
    </row>
    <row r="29" spans="1:13" ht="64.5" customHeight="1" x14ac:dyDescent="0.25">
      <c r="A29" s="1100" t="s">
        <v>1045</v>
      </c>
      <c r="B29" s="1100"/>
      <c r="C29" s="1100"/>
      <c r="D29" s="1100"/>
      <c r="E29" s="1100"/>
      <c r="F29" s="1100"/>
      <c r="G29" s="1100"/>
      <c r="L29" s="218">
        <v>2047</v>
      </c>
      <c r="M29" s="883">
        <f t="shared" si="0"/>
        <v>0.48700000000000015</v>
      </c>
    </row>
    <row r="30" spans="1:13" ht="15.75" customHeight="1" x14ac:dyDescent="0.25">
      <c r="A30" s="1130" t="s">
        <v>1046</v>
      </c>
      <c r="B30" s="1130"/>
      <c r="C30" s="1130"/>
      <c r="D30" s="1130"/>
      <c r="E30" s="1130"/>
      <c r="F30" s="1130"/>
      <c r="G30" s="1130"/>
      <c r="L30" s="218">
        <v>2048</v>
      </c>
      <c r="M30" s="883">
        <f t="shared" si="0"/>
        <v>0.49300000000000016</v>
      </c>
    </row>
    <row r="31" spans="1:13" ht="30" customHeight="1" x14ac:dyDescent="0.25">
      <c r="A31" s="5" t="s">
        <v>1047</v>
      </c>
      <c r="B31" s="49">
        <v>0.19685800000000001</v>
      </c>
      <c r="L31" s="218">
        <v>2049</v>
      </c>
      <c r="M31" s="883">
        <f t="shared" si="0"/>
        <v>0.49900000000000017</v>
      </c>
    </row>
    <row r="32" spans="1:13" ht="46.5" customHeight="1" x14ac:dyDescent="0.25">
      <c r="A32" s="5" t="s">
        <v>1048</v>
      </c>
      <c r="B32">
        <v>0.95</v>
      </c>
      <c r="C32" s="5"/>
      <c r="L32" s="218">
        <v>2050</v>
      </c>
      <c r="M32" s="883">
        <f t="shared" si="0"/>
        <v>0.50500000000000012</v>
      </c>
    </row>
    <row r="34" spans="1:9" s="5" customFormat="1" x14ac:dyDescent="0.25">
      <c r="A34" s="1172" t="s">
        <v>314</v>
      </c>
      <c r="B34" s="1172"/>
      <c r="C34" s="1172"/>
      <c r="D34" s="1172"/>
      <c r="E34" s="1172"/>
      <c r="F34" s="1172"/>
      <c r="G34" s="1172"/>
    </row>
    <row r="35" spans="1:9" ht="18.75" customHeight="1" x14ac:dyDescent="0.25">
      <c r="A35" s="623" t="s">
        <v>1049</v>
      </c>
      <c r="B35" s="1189" t="s">
        <v>1050</v>
      </c>
      <c r="C35" s="1189"/>
      <c r="D35" s="1189"/>
      <c r="E35" s="1189"/>
      <c r="F35" s="1189"/>
      <c r="G35" s="1189"/>
    </row>
    <row r="36" spans="1:9" ht="29.25" customHeight="1" x14ac:dyDescent="0.25">
      <c r="A36" s="623" t="s">
        <v>1051</v>
      </c>
      <c r="B36" s="1177" t="s">
        <v>1052</v>
      </c>
      <c r="C36" s="1177"/>
      <c r="D36" s="1177"/>
      <c r="E36" s="1177"/>
      <c r="F36" s="1177"/>
      <c r="G36" s="1177"/>
      <c r="I36" s="884"/>
    </row>
    <row r="37" spans="1:9" ht="32.25" customHeight="1" x14ac:dyDescent="0.25">
      <c r="A37" s="623" t="s">
        <v>1053</v>
      </c>
      <c r="B37" s="1171" t="s">
        <v>1054</v>
      </c>
      <c r="C37" s="1171"/>
      <c r="D37" s="1171"/>
      <c r="E37" s="1171"/>
      <c r="F37" s="1171"/>
      <c r="G37" s="1171"/>
    </row>
    <row r="38" spans="1:9" ht="36" customHeight="1" x14ac:dyDescent="0.25">
      <c r="A38" s="624" t="s">
        <v>1055</v>
      </c>
      <c r="B38" s="1171" t="s">
        <v>1056</v>
      </c>
      <c r="C38" s="1171"/>
      <c r="D38" s="1171"/>
      <c r="E38" s="1171"/>
      <c r="F38" s="1171"/>
      <c r="G38" s="1171"/>
    </row>
  </sheetData>
  <mergeCells count="21">
    <mergeCell ref="B37:G37"/>
    <mergeCell ref="B36:G36"/>
    <mergeCell ref="B35:G35"/>
    <mergeCell ref="B38:G38"/>
    <mergeCell ref="L1:M1"/>
    <mergeCell ref="I23:J23"/>
    <mergeCell ref="A25:G25"/>
    <mergeCell ref="I12:J12"/>
    <mergeCell ref="B2:C2"/>
    <mergeCell ref="F2:G2"/>
    <mergeCell ref="F7:G7"/>
    <mergeCell ref="B13:C13"/>
    <mergeCell ref="A1:C1"/>
    <mergeCell ref="E1:G1"/>
    <mergeCell ref="I1:J1"/>
    <mergeCell ref="A24:G24"/>
    <mergeCell ref="A34:G34"/>
    <mergeCell ref="A26:G26"/>
    <mergeCell ref="A30:G30"/>
    <mergeCell ref="A29:G29"/>
    <mergeCell ref="A28:G28"/>
  </mergeCells>
  <pageMargins left="0.7" right="0.7" top="0.75" bottom="0.75" header="0.3" footer="0.3"/>
  <pageSetup orientation="portrait" horizontalDpi="4294967293" verticalDpi="0"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F10A-ED6D-4553-A4DF-7D64567BB554}">
  <sheetPr>
    <tabColor theme="9" tint="0.79998168889431442"/>
  </sheetPr>
  <dimension ref="A1:T161"/>
  <sheetViews>
    <sheetView workbookViewId="0">
      <selection activeCell="H8" sqref="H8"/>
    </sheetView>
  </sheetViews>
  <sheetFormatPr defaultColWidth="8.85546875" defaultRowHeight="15" x14ac:dyDescent="0.25"/>
  <cols>
    <col min="1" max="1" width="21.140625" style="780" customWidth="1"/>
    <col min="2" max="2" width="21.7109375" customWidth="1"/>
    <col min="3" max="3" width="19.42578125" customWidth="1"/>
    <col min="4" max="4" width="12.140625" customWidth="1"/>
    <col min="5" max="5" width="15.28515625" customWidth="1"/>
    <col min="6" max="6" width="15.7109375" customWidth="1"/>
    <col min="7" max="7" width="15.42578125" customWidth="1"/>
    <col min="8" max="8" width="16" style="5" customWidth="1"/>
    <col min="9" max="9" width="6" customWidth="1"/>
    <col min="10" max="10" width="23.140625" customWidth="1"/>
    <col min="11" max="11" width="10.85546875" customWidth="1"/>
  </cols>
  <sheetData>
    <row r="1" spans="1:11" x14ac:dyDescent="0.25">
      <c r="A1" s="857" t="s">
        <v>1057</v>
      </c>
      <c r="H1" s="26"/>
    </row>
    <row r="2" spans="1:11" x14ac:dyDescent="0.25">
      <c r="A2" s="858"/>
      <c r="B2" s="1248" t="s">
        <v>7</v>
      </c>
      <c r="C2" s="1248"/>
      <c r="D2" s="1248"/>
      <c r="E2" s="1248"/>
      <c r="F2" s="1248"/>
      <c r="G2" s="1248"/>
      <c r="H2" s="245" t="s">
        <v>11</v>
      </c>
    </row>
    <row r="3" spans="1:11" ht="45" x14ac:dyDescent="0.25">
      <c r="A3" s="1040" t="s">
        <v>325</v>
      </c>
      <c r="B3" s="155" t="s">
        <v>1058</v>
      </c>
      <c r="C3" s="155" t="s">
        <v>1059</v>
      </c>
      <c r="D3" s="155" t="s">
        <v>1060</v>
      </c>
      <c r="E3" s="155" t="s">
        <v>1061</v>
      </c>
      <c r="F3" s="155" t="s">
        <v>1062</v>
      </c>
      <c r="G3" s="156" t="s">
        <v>1063</v>
      </c>
      <c r="H3" s="234" t="s">
        <v>1062</v>
      </c>
      <c r="J3" s="1235" t="s">
        <v>1064</v>
      </c>
      <c r="K3" s="1235"/>
    </row>
    <row r="4" spans="1:11" ht="26.45" customHeight="1" x14ac:dyDescent="0.25">
      <c r="A4" s="1232" t="s">
        <v>72</v>
      </c>
      <c r="B4" s="25" t="s">
        <v>1065</v>
      </c>
      <c r="C4" s="659">
        <v>0.16800000000000001</v>
      </c>
      <c r="D4" s="33" t="s">
        <v>1066</v>
      </c>
      <c r="E4" s="33">
        <v>615</v>
      </c>
      <c r="F4" s="157"/>
      <c r="G4" s="158"/>
      <c r="H4" s="231"/>
      <c r="J4" s="706" t="s">
        <v>28</v>
      </c>
      <c r="K4" s="707">
        <f>160/((F8*('11. Diet'!D3/SUM('11. Diet'!$D$3:$D$7)))+(F14*('11. Diet'!D4/SUM('11. Diet'!$D$3:$D$7)))+(F18*('11. Diet'!D5/SUM('11. Diet'!$D$3:$D$7)))+(F26*('11. Diet'!D6/SUM('11. Diet'!$D$3:$D$7)))+(F30*('11. Diet'!D3/SUM('11. Diet'!$D$3:$D$7))))</f>
        <v>0.21910965275358973</v>
      </c>
    </row>
    <row r="5" spans="1:11" ht="26.45" customHeight="1" x14ac:dyDescent="0.25">
      <c r="A5" s="1232"/>
      <c r="B5" s="25" t="s">
        <v>1067</v>
      </c>
      <c r="C5" s="659">
        <v>0.158</v>
      </c>
      <c r="D5" s="33" t="s">
        <v>1068</v>
      </c>
      <c r="E5" s="33">
        <v>901</v>
      </c>
      <c r="F5" s="157"/>
      <c r="G5" s="158"/>
      <c r="H5" s="232"/>
      <c r="J5" s="708" t="s">
        <v>32</v>
      </c>
      <c r="K5" s="709">
        <f>160/((F33*('11. Diet'!D8/SUM('11. Diet'!$D$8:$D$9)))+(F39*('11. Diet'!D9/SUM('11. Diet'!$D$8:$D$9))))</f>
        <v>0.14187840596754658</v>
      </c>
    </row>
    <row r="6" spans="1:11" x14ac:dyDescent="0.25">
      <c r="A6" s="1232"/>
      <c r="B6" s="25" t="s">
        <v>1069</v>
      </c>
      <c r="C6" s="659">
        <v>0.14399999999999999</v>
      </c>
      <c r="D6" s="33" t="s">
        <v>1070</v>
      </c>
      <c r="E6" s="862">
        <v>1102</v>
      </c>
      <c r="F6" s="157"/>
      <c r="G6" s="158"/>
      <c r="H6" s="232"/>
      <c r="J6" s="1041" t="s">
        <v>979</v>
      </c>
      <c r="K6" s="709">
        <f>160/((F40*('11. Diet'!D10/SUM('11. Diet'!$D$10:$D$18)))+(F43*('11. Diet'!D11/SUM('11. Diet'!$D$10:$D$18)))+(F44*('11. Diet'!D12/SUM('11. Diet'!$D$10:$D$18)))+(F48*('11. Diet'!D13/SUM('11. Diet'!$D$10:$D$18)))+(F49*('11. Diet'!D14/SUM('11. Diet'!$D$10:$D$18)))*(F50*('11. Diet'!D15/SUM('11. Diet'!$D$10:$D$18)))+(F53*('11. Diet'!D16/SUM('11. Diet'!$D$10:$D$18)))+(F54*('11. Diet'!D17/SUM('11. Diet'!$D$10:$D$18)))*(F55*('11. Diet'!D18/SUM('11. Diet'!$D$10:$D$18))))</f>
        <v>9.5829053915563007E-4</v>
      </c>
    </row>
    <row r="7" spans="1:11" ht="26.45" customHeight="1" x14ac:dyDescent="0.25">
      <c r="A7" s="1232"/>
      <c r="B7" s="25" t="s">
        <v>1071</v>
      </c>
      <c r="C7" s="659">
        <v>0.14299999999999999</v>
      </c>
      <c r="D7" s="33" t="s">
        <v>1072</v>
      </c>
      <c r="E7" s="33">
        <v>936</v>
      </c>
      <c r="F7" s="157"/>
      <c r="G7" s="158"/>
      <c r="H7" s="232"/>
      <c r="J7" s="708" t="s">
        <v>38</v>
      </c>
      <c r="K7" s="1042">
        <f>160/((F57*('11. Diet'!D19/SUM('11. Diet'!D19:D23, '11. Diet'!D25:D28, '11. Diet'!D30:D32, '11. Diet'!D35:D40)))+(F58*('11. Diet'!D20/SUM('11. Diet'!D19:D23, '11. Diet'!D25:D28, '11. Diet'!D30:D32, '11. Diet'!D35:D40)))+(F59*('11. Diet'!D21/SUM('11. Diet'!D19:D23, '11. Diet'!D25:D28, '11. Diet'!D30:D32, '11. Diet'!D35:D40)))+(F60*('11. Diet'!D22/SUM('11. Diet'!D19:D23, '11. Diet'!D25:D28, '11. Diet'!D30:D32, '11. Diet'!D35:D40)))+(F61*('11. Diet'!D23/SUM('11. Diet'!D19:D23, '11. Diet'!D25:D28, '11. Diet'!D30:D32, '11. Diet'!D35:D40)))*(F63*('11. Diet'!D25/SUM('11. Diet'!D19:D23, '11. Diet'!D25:D28, '11. Diet'!D30:D32, '11. Diet'!D35:D40)))+(F69*('11. Diet'!D26/SUM('11. Diet'!D19:D23, '11. Diet'!D25:D28, '11. Diet'!D30:D32, '11. Diet'!D35:D40)))+(F72*('11. Diet'!D27/SUM('11. Diet'!D19:D23, '11. Diet'!D25:D28, '11. Diet'!D30:D32, '11. Diet'!D35:D40)))*(F75*('11. Diet'!D28/SUM('11. Diet'!D19:D23, '11. Diet'!D25:D28, '11. Diet'!D30:D32, '11. Diet'!D35:D40)))+(F81*('11. Diet'!D30/SUM('11. Diet'!D19:D23, '11. Diet'!D25:D28, '11. Diet'!D30:D32, '11. Diet'!D35:D40)))+(F85*('11. Diet'!D31/SUM('11. Diet'!D19:D23, '11. Diet'!D25:D28, '11. Diet'!D30:D32, '11. Diet'!D35:D40)))+(F89*('11. Diet'!D32/SUM('11. Diet'!D19:D23, '11. Diet'!D25:D28, '11. Diet'!D30:D32, '11. Diet'!D35:D40)))+(F93*('11. Diet'!D35/SUM('11. Diet'!D19:D23, '11. Diet'!D25:D28, '11. Diet'!D30:D32, '11. Diet'!D35:D40)))+(F96*('11. Diet'!D36/SUM('11. Diet'!D19:D23, '11. Diet'!D25:D28, '11. Diet'!D30:D32, '11. Diet'!D35:D40)))*(F100*('11. Diet'!D37/SUM('11. Diet'!D19:D23, '11. Diet'!D25:D28, '11. Diet'!D30:D32, '11. Diet'!D35:D40)))+(F105*('11. Diet'!D38/SUM('11. Diet'!D19:D23, '11. Diet'!D25:D28, '11. Diet'!D30:D32, '11. Diet'!D35:D40)))+(F101*('11. Diet'!D39/SUM('11. Diet'!D19:D23, '11. Diet'!D25:D28, '11. Diet'!D30:D32, '11. Diet'!D35:D40)))*(F109*('11. Diet'!D40/SUM('11. Diet'!D19:D23, '11. Diet'!D25:D28, '11. Diet'!D30:D32, '11. Diet'!D35:D40))))</f>
        <v>4.3640697488516516E-3</v>
      </c>
    </row>
    <row r="8" spans="1:11" x14ac:dyDescent="0.25">
      <c r="A8" s="1233"/>
      <c r="B8" s="159" t="s">
        <v>1073</v>
      </c>
      <c r="C8" s="660">
        <f>SUM(C4:C7)</f>
        <v>0.61299999999999999</v>
      </c>
      <c r="D8" s="160"/>
      <c r="E8" s="183">
        <f>SUMPRODUCT(C4:C7, E4:E7)/SUM(C4:C7)</f>
        <v>877.99999999999989</v>
      </c>
      <c r="F8" s="183">
        <v>376</v>
      </c>
      <c r="G8" s="161"/>
      <c r="H8" s="233">
        <v>160</v>
      </c>
      <c r="J8" s="708" t="s">
        <v>980</v>
      </c>
      <c r="K8" s="1042">
        <f>(K6*(SUM('11. Diet'!D10:D17)/(SUM('11. Diet'!D10:D17,'11. Diet'!D19:D23,'11. Diet'!D25:D28,'11. Diet'!D30:D32,'11. Diet'!D35:D40)))+(K7 *(SUM('11. Diet'!D19:D23,'11. Diet'!D25:D28,'11. Diet'!D30:D32,'11. Diet'!D35:D40)/SUM('11. Diet'!D10:D17,'11. Diet'!D19:D23,'11. Diet'!D25:D28,'11. Diet'!D30:D32,'11. Diet'!D35:D40))))</f>
        <v>3.4243230027444531E-3</v>
      </c>
    </row>
    <row r="9" spans="1:11" x14ac:dyDescent="0.25">
      <c r="A9" s="1231" t="s">
        <v>76</v>
      </c>
      <c r="B9" s="162" t="s">
        <v>1074</v>
      </c>
      <c r="C9" s="661">
        <v>0.159</v>
      </c>
      <c r="D9" s="863" t="s">
        <v>1075</v>
      </c>
      <c r="E9" s="863">
        <v>190</v>
      </c>
      <c r="F9" s="163"/>
      <c r="G9" s="164"/>
      <c r="H9" s="232"/>
      <c r="J9" s="708" t="s">
        <v>981</v>
      </c>
      <c r="K9" s="1042">
        <f xml:space="preserve"> (((H56*('11. Diet'!D18/SUM('11. Diet'!D18, '11. Diet'!D24,'11. Diet'!D29, '11. Diet'!D33, '11. Diet'!D41)))+(H62*('11. Diet'!D24/SUM('11. Diet'!D18, '11. Diet'!D24,'11. Diet'!D29, '11. Diet'!D33, '11. Diet'!D41)))+(H77*('11. Diet'!D29/SUM('11. Diet'!D18, '11. Diet'!D24,'11. Diet'!D29, '11. Diet'!D33, '11. Diet'!D41)))+(H90*('11. Diet'!D33/SUM('11. Diet'!D18, '11. Diet'!D24,'11. Diet'!D29, '11. Diet'!D33, '11. Diet'!D41)))+(H110*('11. Diet'!D41/SUM('11. Diet'!D18, '11. Diet'!D24,'11. Diet'!D29, '11. Diet'!D33, '11. Diet'!D41)))) / ((F56*('11. Diet'!D18/SUM('11. Diet'!D18, '11. Diet'!D24,'11. Diet'!D29, '11. Diet'!D33, '11. Diet'!D41)))+(F62*('11. Diet'!D24/SUM('11. Diet'!D18, '11. Diet'!D24,'11. Diet'!D29, '11. Diet'!D33, '11. Diet'!D41)))+(F77*('11. Diet'!D29/SUM('11. Diet'!D18, '11. Diet'!D24,'11. Diet'!D29, '11. Diet'!D33, '11. Diet'!D41)))+(F90*('11. Diet'!D33/SUM('11. Diet'!D18, '11. Diet'!D24,'11. Diet'!D29, '11. Diet'!D33, '11. Diet'!D41)))+(F110*('11. Diet'!D41/SUM('11. Diet'!D18, '11. Diet'!D24,'11. Diet'!D29, '11. Diet'!D33, '11. Diet'!D41)))))</f>
        <v>6.3702499611834579E-2</v>
      </c>
    </row>
    <row r="10" spans="1:11" x14ac:dyDescent="0.25">
      <c r="A10" s="1232"/>
      <c r="B10" s="25" t="s">
        <v>1076</v>
      </c>
      <c r="C10" s="659">
        <v>0.127</v>
      </c>
      <c r="D10" s="33" t="s">
        <v>1077</v>
      </c>
      <c r="E10" s="33">
        <v>929</v>
      </c>
      <c r="F10" s="157"/>
      <c r="G10" s="158"/>
      <c r="H10" s="232"/>
      <c r="J10" s="710" t="s">
        <v>56</v>
      </c>
      <c r="K10" s="1042">
        <f>((H115*('11. Diet'!D42/SUM('11. Diet'!D42:D43)))+(H120*('11. Diet'!D43/SUM('11. Diet'!D42:D43)))) / (((F115+(G115*0.25))*('11. Diet'!D42/SUM('11. Diet'!D42:D43)))+((F120+(G120*0.25))*('11. Diet'!D43/SUM('11. Diet'!D42:D43))))</f>
        <v>0.22909932891033372</v>
      </c>
    </row>
    <row r="11" spans="1:11" x14ac:dyDescent="0.25">
      <c r="A11" s="1232"/>
      <c r="B11" s="25" t="s">
        <v>1078</v>
      </c>
      <c r="C11" s="659">
        <v>0.127</v>
      </c>
      <c r="D11" s="33" t="s">
        <v>1079</v>
      </c>
      <c r="E11" s="33">
        <v>255</v>
      </c>
      <c r="F11" s="157"/>
      <c r="G11" s="158"/>
      <c r="H11" s="232"/>
      <c r="J11" s="710" t="s">
        <v>59</v>
      </c>
      <c r="K11" s="1042">
        <f>((H121*('11. Diet'!D43/SUM('11. Diet'!D43:D44)))+(H125*('11. Diet'!D44/SUM('11. Diet'!D43:D44)))) / ((SUM(F121:G121)*('11. Diet'!D43/SUM('11. Diet'!D43:D44)))+(SUM(F125:G125)*('11. Diet'!D44/SUM('11. Diet'!D43:D44))))</f>
        <v>8.8742108821566509E-2</v>
      </c>
    </row>
    <row r="12" spans="1:11" x14ac:dyDescent="0.25">
      <c r="A12" s="1232"/>
      <c r="B12" s="25" t="s">
        <v>1080</v>
      </c>
      <c r="C12" s="659">
        <v>5.8999999999999997E-2</v>
      </c>
      <c r="D12" s="33" t="s">
        <v>1081</v>
      </c>
      <c r="E12" s="33">
        <v>0</v>
      </c>
      <c r="F12" s="157"/>
      <c r="G12" s="158"/>
      <c r="H12" s="232"/>
      <c r="J12" s="710" t="s">
        <v>62</v>
      </c>
      <c r="K12" s="1042">
        <f>((H126*('11. Diet'!D44/SUM('11. Diet'!D44:D45)))+(H127*('11. Diet'!D45/SUM('11. Diet'!D44:D45)))) / ((F126*('11. Diet'!D44/SUM('11. Diet'!D44:D45)))+(SUM(F127:G127)*('11. Diet'!D45/SUM('11. Diet'!D44:D45))))</f>
        <v>0.32285782797990287</v>
      </c>
    </row>
    <row r="13" spans="1:11" x14ac:dyDescent="0.25">
      <c r="A13" s="1232"/>
      <c r="B13" s="33" t="s">
        <v>1082</v>
      </c>
      <c r="C13" s="662">
        <v>5.5E-2</v>
      </c>
      <c r="D13" s="33" t="s">
        <v>1083</v>
      </c>
      <c r="E13" s="33">
        <v>670</v>
      </c>
      <c r="F13" s="157"/>
      <c r="G13" s="158"/>
      <c r="H13" s="40"/>
    </row>
    <row r="14" spans="1:11" x14ac:dyDescent="0.25">
      <c r="A14" s="1233"/>
      <c r="B14" s="160" t="s">
        <v>1073</v>
      </c>
      <c r="C14" s="660">
        <f>SUM(C9:C13)</f>
        <v>0.52700000000000002</v>
      </c>
      <c r="D14" s="160"/>
      <c r="E14" s="183">
        <f>SUMPRODUCT(C9:C13, E9:E13)/SUM(C9:C13)</f>
        <v>412.57685009487665</v>
      </c>
      <c r="F14" s="183">
        <v>649</v>
      </c>
      <c r="G14" s="161"/>
      <c r="H14" s="233">
        <v>160</v>
      </c>
    </row>
    <row r="15" spans="1:11" ht="26.45" customHeight="1" x14ac:dyDescent="0.25">
      <c r="A15" s="1231" t="s">
        <v>79</v>
      </c>
      <c r="B15" s="162" t="s">
        <v>1080</v>
      </c>
      <c r="C15" s="661">
        <v>0.36099999999999999</v>
      </c>
      <c r="D15" s="863" t="s">
        <v>1081</v>
      </c>
      <c r="E15" s="863">
        <v>0</v>
      </c>
      <c r="F15" s="163"/>
      <c r="G15" s="164"/>
      <c r="H15" s="232"/>
    </row>
    <row r="16" spans="1:11" x14ac:dyDescent="0.25">
      <c r="A16" s="1232"/>
      <c r="B16" s="25" t="s">
        <v>1084</v>
      </c>
      <c r="C16" s="659">
        <v>0.11899999999999999</v>
      </c>
      <c r="D16" s="33" t="s">
        <v>1085</v>
      </c>
      <c r="E16" s="33">
        <v>248</v>
      </c>
      <c r="F16" s="157"/>
      <c r="G16" s="158"/>
      <c r="H16" s="232"/>
    </row>
    <row r="17" spans="1:8" x14ac:dyDescent="0.25">
      <c r="A17" s="1232"/>
      <c r="B17" s="25" t="s">
        <v>1069</v>
      </c>
      <c r="C17" s="659">
        <v>0.10100000000000001</v>
      </c>
      <c r="D17" s="33" t="s">
        <v>1070</v>
      </c>
      <c r="E17" s="862">
        <v>1102</v>
      </c>
      <c r="F17" s="157"/>
      <c r="G17" s="158"/>
      <c r="H17" s="232"/>
    </row>
    <row r="18" spans="1:8" x14ac:dyDescent="0.25">
      <c r="A18" s="1043"/>
      <c r="B18" s="165" t="s">
        <v>1073</v>
      </c>
      <c r="C18" s="663">
        <f>SUM(C15:C17)</f>
        <v>0.58099999999999996</v>
      </c>
      <c r="D18" s="140"/>
      <c r="E18" s="157">
        <f>SUMPRODUCT(C15:C17, E15:E17)/SUM(C15:C17)</f>
        <v>242.36488812392432</v>
      </c>
      <c r="F18" s="157">
        <v>685</v>
      </c>
      <c r="G18" s="158"/>
      <c r="H18" s="233">
        <v>160</v>
      </c>
    </row>
    <row r="19" spans="1:8" ht="26.45" customHeight="1" x14ac:dyDescent="0.25">
      <c r="A19" s="1231" t="s">
        <v>1086</v>
      </c>
      <c r="B19" s="162" t="s">
        <v>1080</v>
      </c>
      <c r="C19" s="661">
        <v>0.114</v>
      </c>
      <c r="D19" s="863" t="s">
        <v>1081</v>
      </c>
      <c r="E19" s="863">
        <v>0</v>
      </c>
      <c r="F19" s="163"/>
      <c r="G19" s="164"/>
      <c r="H19" s="232"/>
    </row>
    <row r="20" spans="1:8" ht="26.45" customHeight="1" x14ac:dyDescent="0.25">
      <c r="A20" s="1232"/>
      <c r="B20" s="25" t="s">
        <v>1067</v>
      </c>
      <c r="C20" s="659">
        <v>7.6999999999999999E-2</v>
      </c>
      <c r="D20" s="33" t="s">
        <v>1068</v>
      </c>
      <c r="E20" s="33">
        <v>901</v>
      </c>
      <c r="F20" s="157"/>
      <c r="G20" s="158"/>
      <c r="H20" s="232"/>
    </row>
    <row r="21" spans="1:8" ht="26.45" customHeight="1" x14ac:dyDescent="0.25">
      <c r="A21" s="1232"/>
      <c r="B21" s="25" t="s">
        <v>1087</v>
      </c>
      <c r="C21" s="659">
        <v>7.0999999999999994E-2</v>
      </c>
      <c r="D21" s="33" t="s">
        <v>1088</v>
      </c>
      <c r="E21" s="33">
        <v>473</v>
      </c>
      <c r="F21" s="157"/>
      <c r="G21" s="158"/>
      <c r="H21" s="232"/>
    </row>
    <row r="22" spans="1:8" ht="26.45" customHeight="1" x14ac:dyDescent="0.25">
      <c r="A22" s="1232"/>
      <c r="B22" s="25" t="s">
        <v>1089</v>
      </c>
      <c r="C22" s="659">
        <v>6.9000000000000006E-2</v>
      </c>
      <c r="D22" s="33" t="s">
        <v>1090</v>
      </c>
      <c r="E22" s="33">
        <v>648</v>
      </c>
      <c r="F22" s="157"/>
      <c r="G22" s="158"/>
      <c r="H22" s="232"/>
    </row>
    <row r="23" spans="1:8" ht="26.45" customHeight="1" x14ac:dyDescent="0.25">
      <c r="A23" s="1232"/>
      <c r="B23" s="25" t="s">
        <v>1065</v>
      </c>
      <c r="C23" s="659">
        <v>6.3E-2</v>
      </c>
      <c r="D23" s="33" t="s">
        <v>1066</v>
      </c>
      <c r="E23" s="33">
        <v>615</v>
      </c>
      <c r="F23" s="157"/>
      <c r="G23" s="158"/>
      <c r="H23" s="232"/>
    </row>
    <row r="24" spans="1:8" x14ac:dyDescent="0.25">
      <c r="A24" s="1232"/>
      <c r="B24" s="25" t="s">
        <v>1091</v>
      </c>
      <c r="C24" s="659">
        <v>6.3E-2</v>
      </c>
      <c r="D24" s="33" t="s">
        <v>1092</v>
      </c>
      <c r="E24" s="33">
        <v>976</v>
      </c>
      <c r="F24" s="157"/>
      <c r="G24" s="158"/>
      <c r="H24" s="232"/>
    </row>
    <row r="25" spans="1:8" x14ac:dyDescent="0.25">
      <c r="A25" s="1232"/>
      <c r="B25" s="25" t="s">
        <v>1069</v>
      </c>
      <c r="C25" s="659">
        <v>5.1999999999999998E-2</v>
      </c>
      <c r="D25" s="33" t="s">
        <v>1070</v>
      </c>
      <c r="E25" s="862">
        <v>1102</v>
      </c>
      <c r="F25" s="157"/>
      <c r="G25" s="158"/>
      <c r="H25" s="232"/>
    </row>
    <row r="26" spans="1:8" x14ac:dyDescent="0.25">
      <c r="A26" s="1044"/>
      <c r="B26" s="166" t="s">
        <v>1073</v>
      </c>
      <c r="C26" s="664">
        <f>SUM(C19:C25)</f>
        <v>0.50900000000000001</v>
      </c>
      <c r="D26" s="167"/>
      <c r="E26" s="255">
        <f>SUMPRODUCT(C19:C25, E19:E25)/SUM(C19:C25)</f>
        <v>599.62475442043217</v>
      </c>
      <c r="F26" s="259">
        <v>786</v>
      </c>
      <c r="G26" s="168"/>
      <c r="H26" s="233">
        <v>160</v>
      </c>
    </row>
    <row r="27" spans="1:8" x14ac:dyDescent="0.25">
      <c r="A27" s="1232" t="s">
        <v>1093</v>
      </c>
      <c r="B27" s="100" t="s">
        <v>1094</v>
      </c>
      <c r="C27" s="665">
        <v>0.253</v>
      </c>
      <c r="D27" s="35" t="s">
        <v>1095</v>
      </c>
      <c r="E27">
        <v>669</v>
      </c>
      <c r="F27" s="258"/>
      <c r="G27" s="158"/>
      <c r="H27" s="232"/>
    </row>
    <row r="28" spans="1:8" x14ac:dyDescent="0.25">
      <c r="A28" s="1232"/>
      <c r="B28" s="100" t="s">
        <v>1096</v>
      </c>
      <c r="C28" s="665">
        <v>0.14499999999999999</v>
      </c>
      <c r="D28" s="35" t="s">
        <v>1097</v>
      </c>
      <c r="E28">
        <v>535</v>
      </c>
      <c r="F28" s="258"/>
      <c r="G28" s="158"/>
      <c r="H28" s="232"/>
    </row>
    <row r="29" spans="1:8" x14ac:dyDescent="0.25">
      <c r="A29" s="1232"/>
      <c r="B29" s="100" t="s">
        <v>1084</v>
      </c>
      <c r="C29" s="665">
        <v>0.13900000000000001</v>
      </c>
      <c r="D29" s="35" t="s">
        <v>1085</v>
      </c>
      <c r="E29">
        <v>248</v>
      </c>
      <c r="F29" s="258"/>
      <c r="G29" s="158"/>
      <c r="H29" s="232"/>
    </row>
    <row r="30" spans="1:8" x14ac:dyDescent="0.25">
      <c r="A30" s="1234"/>
      <c r="B30" s="169" t="s">
        <v>1073</v>
      </c>
      <c r="C30" s="664">
        <f>SUM(C27:C29)</f>
        <v>0.53700000000000003</v>
      </c>
      <c r="D30" s="167"/>
      <c r="E30" s="255">
        <f>SUMPRODUCT(C27:C29, E27:E29)/SUM(C27:C29)</f>
        <v>523.84357541899431</v>
      </c>
      <c r="F30" s="255">
        <f>E30*B153</f>
        <v>843.04451503910605</v>
      </c>
      <c r="G30" s="168"/>
      <c r="H30" s="233">
        <v>160</v>
      </c>
    </row>
    <row r="31" spans="1:8" x14ac:dyDescent="0.25">
      <c r="A31" s="1224" t="s">
        <v>91</v>
      </c>
      <c r="B31" s="35" t="s">
        <v>1098</v>
      </c>
      <c r="C31" s="220">
        <f>3.36/12.9</f>
        <v>0.26046511627906976</v>
      </c>
      <c r="D31" s="35" t="s">
        <v>921</v>
      </c>
      <c r="E31" s="35">
        <v>292</v>
      </c>
      <c r="F31" s="258"/>
      <c r="G31" s="158"/>
      <c r="H31" s="232"/>
    </row>
    <row r="32" spans="1:8" x14ac:dyDescent="0.25">
      <c r="A32" s="1224"/>
      <c r="B32" s="35" t="s">
        <v>1099</v>
      </c>
      <c r="C32" s="220">
        <f>2.5/12.9</f>
        <v>0.19379844961240308</v>
      </c>
      <c r="D32" s="864" t="s">
        <v>1100</v>
      </c>
      <c r="E32" s="865">
        <v>1708</v>
      </c>
      <c r="F32" s="258"/>
      <c r="G32" s="158"/>
      <c r="H32" s="232"/>
    </row>
    <row r="33" spans="1:20" x14ac:dyDescent="0.25">
      <c r="A33" s="1045"/>
      <c r="B33" s="170" t="s">
        <v>1073</v>
      </c>
      <c r="C33" s="666">
        <f>SUM(C31:C32)</f>
        <v>0.45426356589147288</v>
      </c>
      <c r="D33" s="866"/>
      <c r="E33" s="256">
        <f>SUMPRODUCT(C31:C32, E31:E32)/SUM(C31:C32)</f>
        <v>896.09556313993176</v>
      </c>
      <c r="F33" s="256">
        <f>E33*B153</f>
        <v>1442.1260179658705</v>
      </c>
      <c r="G33" s="161"/>
      <c r="H33" s="233">
        <v>160</v>
      </c>
    </row>
    <row r="34" spans="1:20" ht="26.45" customHeight="1" x14ac:dyDescent="0.25">
      <c r="A34" s="1244" t="s">
        <v>95</v>
      </c>
      <c r="B34" s="162" t="s">
        <v>1099</v>
      </c>
      <c r="C34" s="661">
        <v>0.18099999999999999</v>
      </c>
      <c r="D34" s="867" t="s">
        <v>1100</v>
      </c>
      <c r="E34" s="868">
        <v>1708</v>
      </c>
      <c r="F34" s="260"/>
      <c r="G34" s="164"/>
      <c r="H34" s="232"/>
    </row>
    <row r="35" spans="1:20" x14ac:dyDescent="0.25">
      <c r="A35" s="1224"/>
      <c r="B35" s="25" t="s">
        <v>1098</v>
      </c>
      <c r="C35" s="659">
        <v>0.14199999999999999</v>
      </c>
      <c r="D35" s="33" t="s">
        <v>921</v>
      </c>
      <c r="E35" s="33">
        <v>292</v>
      </c>
      <c r="F35" s="258"/>
      <c r="G35" s="158"/>
      <c r="H35" s="232"/>
    </row>
    <row r="36" spans="1:20" ht="26.45" customHeight="1" x14ac:dyDescent="0.25">
      <c r="A36" s="1224"/>
      <c r="B36" s="25" t="s">
        <v>1101</v>
      </c>
      <c r="C36" s="659">
        <v>7.0000000000000007E-2</v>
      </c>
      <c r="D36" s="33" t="s">
        <v>1102</v>
      </c>
      <c r="E36" s="862">
        <v>1139</v>
      </c>
      <c r="F36" s="258"/>
      <c r="G36" s="158"/>
      <c r="H36" s="232"/>
    </row>
    <row r="37" spans="1:20" ht="26.45" customHeight="1" x14ac:dyDescent="0.25">
      <c r="A37" s="1224"/>
      <c r="B37" s="25" t="s">
        <v>1103</v>
      </c>
      <c r="C37" s="659">
        <v>6.7000000000000004E-2</v>
      </c>
      <c r="D37" s="33" t="s">
        <v>1104</v>
      </c>
      <c r="E37" s="862">
        <v>1360</v>
      </c>
      <c r="F37" s="258"/>
      <c r="G37" s="158"/>
      <c r="H37" s="232"/>
    </row>
    <row r="38" spans="1:20" ht="26.45" customHeight="1" x14ac:dyDescent="0.25">
      <c r="A38" s="1224"/>
      <c r="B38" s="25" t="s">
        <v>1076</v>
      </c>
      <c r="C38" s="659">
        <v>6.0999999999999999E-2</v>
      </c>
      <c r="D38" s="33" t="s">
        <v>1077</v>
      </c>
      <c r="E38" s="33">
        <v>929</v>
      </c>
      <c r="F38" s="258"/>
      <c r="G38" s="158"/>
      <c r="H38" s="232"/>
      <c r="T38" s="8"/>
    </row>
    <row r="39" spans="1:20" x14ac:dyDescent="0.25">
      <c r="A39" s="1046"/>
      <c r="B39" s="169" t="s">
        <v>1073</v>
      </c>
      <c r="C39" s="667">
        <f>SUM(C34:C38)</f>
        <v>0.52099999999999991</v>
      </c>
      <c r="D39" s="869"/>
      <c r="E39" s="255">
        <f>SUMPRODUCT(C34:C38, E34:E38)/SUM(C34:C38)</f>
        <v>1109.6564299424185</v>
      </c>
      <c r="F39" s="259">
        <v>685</v>
      </c>
      <c r="G39" s="168"/>
      <c r="H39" s="233">
        <v>160</v>
      </c>
    </row>
    <row r="40" spans="1:20" x14ac:dyDescent="0.25">
      <c r="A40" s="1088" t="s">
        <v>99</v>
      </c>
      <c r="B40" s="171" t="s">
        <v>1105</v>
      </c>
      <c r="C40" s="668">
        <v>0.72499999999999998</v>
      </c>
      <c r="D40" s="866" t="s">
        <v>1106</v>
      </c>
      <c r="E40" s="870">
        <v>1797</v>
      </c>
      <c r="F40" s="256">
        <f>E40*B153</f>
        <v>2891.991168</v>
      </c>
      <c r="G40" s="161"/>
      <c r="H40" s="233">
        <v>160</v>
      </c>
    </row>
    <row r="41" spans="1:20" ht="26.45" customHeight="1" x14ac:dyDescent="0.25">
      <c r="A41" s="1245" t="s">
        <v>1107</v>
      </c>
      <c r="B41" s="172" t="s">
        <v>1076</v>
      </c>
      <c r="C41" s="669">
        <v>0.28299999999999997</v>
      </c>
      <c r="D41" s="127" t="s">
        <v>1077</v>
      </c>
      <c r="E41" s="871">
        <v>929</v>
      </c>
      <c r="F41" s="260"/>
      <c r="G41" s="164"/>
      <c r="H41" s="232"/>
    </row>
    <row r="42" spans="1:20" ht="26.45" customHeight="1" x14ac:dyDescent="0.25">
      <c r="A42" s="1246"/>
      <c r="B42" s="100" t="s">
        <v>1108</v>
      </c>
      <c r="C42" s="665">
        <v>0.245</v>
      </c>
      <c r="D42" s="35" t="s">
        <v>1109</v>
      </c>
      <c r="E42" s="865">
        <v>1147</v>
      </c>
      <c r="F42" s="258"/>
      <c r="G42" s="158"/>
      <c r="H42" s="232"/>
    </row>
    <row r="43" spans="1:20" x14ac:dyDescent="0.25">
      <c r="A43" s="1247"/>
      <c r="B43" s="170" t="s">
        <v>1073</v>
      </c>
      <c r="C43" s="666">
        <f>SUM(C41:C42)</f>
        <v>0.52800000000000002</v>
      </c>
      <c r="D43" s="866"/>
      <c r="E43" s="256">
        <f>SUMPRODUCT(C41:C42, E41:E42)/SUM(C41:C42)</f>
        <v>1030.155303030303</v>
      </c>
      <c r="F43" s="183">
        <f>E43*B153</f>
        <v>1657.8742560000001</v>
      </c>
      <c r="G43" s="161"/>
      <c r="H43" s="233">
        <v>160</v>
      </c>
    </row>
    <row r="44" spans="1:20" x14ac:dyDescent="0.25">
      <c r="A44" s="1047" t="s">
        <v>1110</v>
      </c>
      <c r="B44" s="173" t="s">
        <v>1099</v>
      </c>
      <c r="C44" s="670">
        <v>0.56699999999999995</v>
      </c>
      <c r="D44" s="872" t="s">
        <v>1100</v>
      </c>
      <c r="E44" s="873">
        <v>1708</v>
      </c>
      <c r="F44" s="261">
        <f>E44*B153</f>
        <v>2748.759552</v>
      </c>
      <c r="G44" s="174"/>
      <c r="H44" s="233">
        <v>160</v>
      </c>
    </row>
    <row r="45" spans="1:20" ht="27" customHeight="1" x14ac:dyDescent="0.25">
      <c r="A45" s="1245" t="s">
        <v>105</v>
      </c>
      <c r="B45" s="172" t="s">
        <v>1111</v>
      </c>
      <c r="C45" s="669">
        <v>0.22</v>
      </c>
      <c r="D45" s="127" t="s">
        <v>1112</v>
      </c>
      <c r="E45" s="874">
        <v>1832</v>
      </c>
      <c r="F45" s="260"/>
      <c r="G45" s="164"/>
      <c r="H45" s="232"/>
    </row>
    <row r="46" spans="1:20" ht="27" customHeight="1" x14ac:dyDescent="0.25">
      <c r="A46" s="1246"/>
      <c r="B46" s="100" t="s">
        <v>1099</v>
      </c>
      <c r="C46" s="665">
        <v>0.17</v>
      </c>
      <c r="D46" s="35" t="s">
        <v>1100</v>
      </c>
      <c r="E46" s="865">
        <v>1708</v>
      </c>
      <c r="F46" s="258"/>
      <c r="G46" s="158"/>
      <c r="H46" s="232"/>
    </row>
    <row r="47" spans="1:20" x14ac:dyDescent="0.25">
      <c r="A47" s="1246"/>
      <c r="B47" s="100" t="s">
        <v>1105</v>
      </c>
      <c r="C47" s="665">
        <v>0.17</v>
      </c>
      <c r="D47" s="35" t="s">
        <v>1106</v>
      </c>
      <c r="E47" s="865">
        <v>1797</v>
      </c>
      <c r="F47" s="258"/>
      <c r="G47" s="158"/>
      <c r="H47" s="232"/>
    </row>
    <row r="48" spans="1:20" x14ac:dyDescent="0.25">
      <c r="A48" s="1247"/>
      <c r="B48" s="170" t="s">
        <v>1073</v>
      </c>
      <c r="C48" s="666">
        <f>SUM(C45:C47)</f>
        <v>0.56000000000000005</v>
      </c>
      <c r="D48" s="866"/>
      <c r="E48" s="256">
        <f>SUMPRODUCT(C45:C47, E45:E47)/SUM(C45:C47)</f>
        <v>1783.7321428571429</v>
      </c>
      <c r="F48" s="256">
        <f>E48*B153</f>
        <v>2870.6386217142858</v>
      </c>
      <c r="G48" s="161"/>
      <c r="H48" s="233">
        <v>160</v>
      </c>
    </row>
    <row r="49" spans="1:8" x14ac:dyDescent="0.25">
      <c r="A49" s="1048" t="s">
        <v>108</v>
      </c>
      <c r="B49" s="173" t="s">
        <v>1105</v>
      </c>
      <c r="C49" s="670">
        <v>0.62</v>
      </c>
      <c r="D49" s="872" t="s">
        <v>1106</v>
      </c>
      <c r="E49" s="873">
        <v>1797</v>
      </c>
      <c r="F49" s="262">
        <f>E49*B153</f>
        <v>2891.991168</v>
      </c>
      <c r="G49" s="174"/>
      <c r="H49" s="233">
        <v>160</v>
      </c>
    </row>
    <row r="50" spans="1:8" ht="15.6" customHeight="1" x14ac:dyDescent="0.25">
      <c r="A50" s="1048" t="s">
        <v>111</v>
      </c>
      <c r="B50" s="173" t="s">
        <v>1099</v>
      </c>
      <c r="C50" s="670">
        <v>0.94499999999999995</v>
      </c>
      <c r="D50" s="872" t="s">
        <v>1100</v>
      </c>
      <c r="E50" s="873">
        <v>1708</v>
      </c>
      <c r="F50" s="262">
        <f>E50*B153</f>
        <v>2748.759552</v>
      </c>
      <c r="G50" s="174"/>
      <c r="H50" s="233">
        <v>160</v>
      </c>
    </row>
    <row r="51" spans="1:8" x14ac:dyDescent="0.25">
      <c r="A51" s="1245" t="s">
        <v>114</v>
      </c>
      <c r="B51" s="172" t="s">
        <v>1105</v>
      </c>
      <c r="C51" s="669">
        <v>0.49099999999999999</v>
      </c>
      <c r="D51" s="127" t="s">
        <v>1106</v>
      </c>
      <c r="E51" s="874">
        <v>1797</v>
      </c>
      <c r="F51" s="260"/>
      <c r="G51" s="164"/>
      <c r="H51" s="232"/>
    </row>
    <row r="52" spans="1:8" ht="27" customHeight="1" x14ac:dyDescent="0.25">
      <c r="A52" s="1246"/>
      <c r="B52" s="100" t="s">
        <v>1111</v>
      </c>
      <c r="C52" s="665">
        <v>0.32900000000000001</v>
      </c>
      <c r="D52" s="35" t="s">
        <v>1112</v>
      </c>
      <c r="E52" s="865">
        <v>1832</v>
      </c>
      <c r="F52" s="258"/>
      <c r="G52" s="158"/>
      <c r="H52" s="232"/>
    </row>
    <row r="53" spans="1:8" x14ac:dyDescent="0.25">
      <c r="A53" s="1247"/>
      <c r="B53" s="170" t="s">
        <v>1073</v>
      </c>
      <c r="C53" s="666">
        <f>SUM(C51:C52)</f>
        <v>0.82000000000000006</v>
      </c>
      <c r="D53" s="866"/>
      <c r="E53" s="256">
        <f>SUMPRODUCT(C51:C52, E51:E52)/SUM(C51:C52)</f>
        <v>1811.0426829268292</v>
      </c>
      <c r="F53" s="183">
        <f>E53*B153</f>
        <v>2914.590675512195</v>
      </c>
      <c r="G53" s="161"/>
      <c r="H53" s="233">
        <v>160</v>
      </c>
    </row>
    <row r="54" spans="1:8" x14ac:dyDescent="0.25">
      <c r="A54" s="1048" t="s">
        <v>117</v>
      </c>
      <c r="B54" s="173" t="s">
        <v>1099</v>
      </c>
      <c r="C54" s="670">
        <v>0.90200000000000002</v>
      </c>
      <c r="D54" s="872" t="s">
        <v>1100</v>
      </c>
      <c r="E54" s="873">
        <v>1708</v>
      </c>
      <c r="F54" s="262">
        <f>E54*B153</f>
        <v>2748.759552</v>
      </c>
      <c r="G54" s="174"/>
      <c r="H54" s="233">
        <v>160</v>
      </c>
    </row>
    <row r="55" spans="1:8" x14ac:dyDescent="0.25">
      <c r="A55" s="1049" t="s">
        <v>120</v>
      </c>
      <c r="B55" s="175" t="s">
        <v>1099</v>
      </c>
      <c r="C55" s="671">
        <v>0.876</v>
      </c>
      <c r="D55" s="875" t="s">
        <v>1100</v>
      </c>
      <c r="E55" s="257">
        <v>1708</v>
      </c>
      <c r="F55" s="263">
        <f>E55*B153</f>
        <v>2748.759552</v>
      </c>
      <c r="G55" s="176"/>
      <c r="H55" s="233">
        <v>160</v>
      </c>
    </row>
    <row r="56" spans="1:8" x14ac:dyDescent="0.25">
      <c r="A56" s="1050" t="s">
        <v>124</v>
      </c>
      <c r="B56" s="100"/>
      <c r="C56" s="665"/>
      <c r="D56" s="35"/>
      <c r="E56" s="258"/>
      <c r="F56" s="855">
        <v>2865</v>
      </c>
      <c r="G56" s="158"/>
      <c r="H56" s="233">
        <v>160</v>
      </c>
    </row>
    <row r="57" spans="1:8" x14ac:dyDescent="0.25">
      <c r="A57" s="1087" t="s">
        <v>128</v>
      </c>
      <c r="B57" s="177" t="s">
        <v>1099</v>
      </c>
      <c r="C57" s="672">
        <v>0.92</v>
      </c>
      <c r="D57" s="16" t="s">
        <v>1100</v>
      </c>
      <c r="E57" s="870">
        <v>1708</v>
      </c>
      <c r="F57" s="256">
        <f>E57*B153</f>
        <v>2748.759552</v>
      </c>
      <c r="G57" s="161"/>
      <c r="H57" s="233">
        <v>160</v>
      </c>
    </row>
    <row r="58" spans="1:8" x14ac:dyDescent="0.25">
      <c r="A58" s="860" t="s">
        <v>1113</v>
      </c>
      <c r="B58" s="178" t="s">
        <v>1099</v>
      </c>
      <c r="C58" s="673" t="s">
        <v>1114</v>
      </c>
      <c r="D58" s="17" t="s">
        <v>1100</v>
      </c>
      <c r="E58" s="873">
        <v>1708</v>
      </c>
      <c r="F58" s="262">
        <f>E58*B153</f>
        <v>2748.759552</v>
      </c>
      <c r="G58" s="174"/>
      <c r="H58" s="233">
        <v>160</v>
      </c>
    </row>
    <row r="59" spans="1:8" x14ac:dyDescent="0.25">
      <c r="A59" s="1051" t="s">
        <v>1115</v>
      </c>
      <c r="B59" s="178" t="s">
        <v>1099</v>
      </c>
      <c r="C59" s="673">
        <v>0.82</v>
      </c>
      <c r="D59" s="17" t="s">
        <v>1100</v>
      </c>
      <c r="E59" s="873">
        <v>1708</v>
      </c>
      <c r="F59" s="262">
        <f>E59*B153</f>
        <v>2748.759552</v>
      </c>
      <c r="G59" s="174"/>
      <c r="H59" s="233">
        <v>160</v>
      </c>
    </row>
    <row r="60" spans="1:8" x14ac:dyDescent="0.25">
      <c r="A60" s="1051" t="s">
        <v>1116</v>
      </c>
      <c r="B60" s="178" t="s">
        <v>1099</v>
      </c>
      <c r="C60" s="673">
        <v>0.63100000000000001</v>
      </c>
      <c r="D60" s="17" t="s">
        <v>1100</v>
      </c>
      <c r="E60" s="873">
        <v>1708</v>
      </c>
      <c r="F60" s="262">
        <f>E60*B153</f>
        <v>2748.759552</v>
      </c>
      <c r="G60" s="174"/>
      <c r="H60" s="233">
        <v>160</v>
      </c>
    </row>
    <row r="61" spans="1:8" x14ac:dyDescent="0.25">
      <c r="A61" s="1052" t="s">
        <v>140</v>
      </c>
      <c r="B61" s="178" t="s">
        <v>1099</v>
      </c>
      <c r="C61" s="673">
        <v>0.73299999999999998</v>
      </c>
      <c r="D61" s="17" t="s">
        <v>1100</v>
      </c>
      <c r="E61" s="873">
        <v>1708</v>
      </c>
      <c r="F61" s="262">
        <f>E61*B153</f>
        <v>2748.759552</v>
      </c>
      <c r="G61" s="174"/>
      <c r="H61" s="233">
        <v>160</v>
      </c>
    </row>
    <row r="62" spans="1:8" x14ac:dyDescent="0.25">
      <c r="A62" s="861" t="s">
        <v>143</v>
      </c>
      <c r="B62" s="179"/>
      <c r="C62" s="674"/>
      <c r="D62" s="871"/>
      <c r="E62" s="874"/>
      <c r="F62" s="856">
        <v>2749</v>
      </c>
      <c r="G62" s="164"/>
      <c r="H62" s="233">
        <v>160</v>
      </c>
    </row>
    <row r="63" spans="1:8" x14ac:dyDescent="0.25">
      <c r="A63" s="1086" t="s">
        <v>146</v>
      </c>
      <c r="B63" s="179" t="s">
        <v>1099</v>
      </c>
      <c r="C63" s="674">
        <v>0.94699999999999995</v>
      </c>
      <c r="D63" s="871" t="s">
        <v>1100</v>
      </c>
      <c r="E63" s="874">
        <v>1708</v>
      </c>
      <c r="F63" s="260">
        <f>E63*B153</f>
        <v>2748.759552</v>
      </c>
      <c r="G63" s="164"/>
      <c r="H63" s="233">
        <v>160</v>
      </c>
    </row>
    <row r="64" spans="1:8" x14ac:dyDescent="0.25">
      <c r="A64" s="1225" t="s">
        <v>149</v>
      </c>
      <c r="B64" s="179" t="s">
        <v>1099</v>
      </c>
      <c r="C64" s="674">
        <v>0.14499999999999999</v>
      </c>
      <c r="D64" s="871" t="s">
        <v>1100</v>
      </c>
      <c r="E64" s="874">
        <v>1708</v>
      </c>
      <c r="F64" s="260"/>
      <c r="G64" s="164"/>
      <c r="H64" s="233"/>
    </row>
    <row r="65" spans="1:8" x14ac:dyDescent="0.25">
      <c r="A65" s="1226"/>
      <c r="B65" s="5" t="s">
        <v>1076</v>
      </c>
      <c r="C65" s="675">
        <v>0.127</v>
      </c>
      <c r="D65" t="s">
        <v>1077</v>
      </c>
      <c r="E65">
        <v>929</v>
      </c>
      <c r="F65" s="258"/>
      <c r="G65" s="158"/>
      <c r="H65" s="232"/>
    </row>
    <row r="66" spans="1:8" x14ac:dyDescent="0.25">
      <c r="A66" s="1226"/>
      <c r="B66" s="5" t="s">
        <v>1087</v>
      </c>
      <c r="C66" s="675">
        <v>8.8999999999999996E-2</v>
      </c>
      <c r="D66" t="s">
        <v>1088</v>
      </c>
      <c r="E66">
        <v>473</v>
      </c>
      <c r="F66" s="258"/>
      <c r="G66" s="158"/>
      <c r="H66" s="232"/>
    </row>
    <row r="67" spans="1:8" x14ac:dyDescent="0.25">
      <c r="A67" s="1226"/>
      <c r="B67" s="5" t="s">
        <v>1096</v>
      </c>
      <c r="C67" s="675">
        <v>7.9000000000000001E-2</v>
      </c>
      <c r="D67" t="s">
        <v>1097</v>
      </c>
      <c r="E67">
        <v>535</v>
      </c>
      <c r="F67" s="258"/>
      <c r="G67" s="158"/>
      <c r="H67" s="232"/>
    </row>
    <row r="68" spans="1:8" x14ac:dyDescent="0.25">
      <c r="A68" s="1226"/>
      <c r="B68" s="5" t="s">
        <v>1091</v>
      </c>
      <c r="C68" s="675">
        <v>7.2999999999999995E-2</v>
      </c>
      <c r="D68" t="s">
        <v>1092</v>
      </c>
      <c r="E68">
        <v>976</v>
      </c>
      <c r="F68" s="258"/>
      <c r="G68" s="158"/>
      <c r="H68" s="232"/>
    </row>
    <row r="69" spans="1:8" x14ac:dyDescent="0.25">
      <c r="A69" s="1227"/>
      <c r="B69" s="170" t="s">
        <v>1073</v>
      </c>
      <c r="C69" s="666">
        <f>SUM(C64:C68)</f>
        <v>0.51300000000000001</v>
      </c>
      <c r="D69" s="866"/>
      <c r="E69" s="256">
        <f>SUMPRODUCT(C65:C68, E65:E68)/SUM(C65:C68)</f>
        <v>743.45923913043487</v>
      </c>
      <c r="F69" s="256">
        <f>E69*B153</f>
        <v>1196.4816657391307</v>
      </c>
      <c r="G69" s="161"/>
      <c r="H69" s="233">
        <v>160</v>
      </c>
    </row>
    <row r="70" spans="1:8" x14ac:dyDescent="0.25">
      <c r="A70" s="1222" t="s">
        <v>152</v>
      </c>
      <c r="B70" s="5" t="s">
        <v>1069</v>
      </c>
      <c r="C70" s="675">
        <v>0.36099999999999999</v>
      </c>
      <c r="D70" t="s">
        <v>1070</v>
      </c>
      <c r="E70" s="865">
        <v>1102</v>
      </c>
      <c r="F70" s="258"/>
      <c r="G70" s="158"/>
      <c r="H70" s="232"/>
    </row>
    <row r="71" spans="1:8" ht="26.45" customHeight="1" x14ac:dyDescent="0.25">
      <c r="A71" s="1222"/>
      <c r="B71" s="5" t="s">
        <v>1099</v>
      </c>
      <c r="C71" s="675">
        <v>0.30399999999999999</v>
      </c>
      <c r="D71" t="s">
        <v>1100</v>
      </c>
      <c r="E71" s="865">
        <v>1708</v>
      </c>
      <c r="F71" s="258"/>
      <c r="G71" s="158"/>
      <c r="H71" s="232"/>
    </row>
    <row r="72" spans="1:8" ht="26.45" customHeight="1" x14ac:dyDescent="0.25">
      <c r="A72" s="1228"/>
      <c r="B72" s="170" t="s">
        <v>1073</v>
      </c>
      <c r="C72" s="666">
        <f>SUM(C70:C71)</f>
        <v>0.66500000000000004</v>
      </c>
      <c r="D72" s="866"/>
      <c r="E72" s="256">
        <f>SUMPRODUCT(C70:C71, E70:E71)/SUM(C70:C71)</f>
        <v>1379.0285714285712</v>
      </c>
      <c r="F72" s="256">
        <f>E72*B153</f>
        <v>2219.3313572571428</v>
      </c>
      <c r="G72" s="161"/>
      <c r="H72" s="233">
        <v>160</v>
      </c>
    </row>
    <row r="73" spans="1:8" ht="27.6" customHeight="1" x14ac:dyDescent="0.25">
      <c r="A73" s="1221" t="s">
        <v>155</v>
      </c>
      <c r="B73" s="179" t="s">
        <v>1108</v>
      </c>
      <c r="C73" s="674">
        <v>0.41199999999999998</v>
      </c>
      <c r="D73" s="127" t="s">
        <v>1109</v>
      </c>
      <c r="E73" s="874">
        <v>1142</v>
      </c>
      <c r="F73" s="260"/>
      <c r="G73" s="164"/>
      <c r="H73" s="232"/>
    </row>
    <row r="74" spans="1:8" ht="27.6" customHeight="1" x14ac:dyDescent="0.25">
      <c r="A74" s="1222"/>
      <c r="B74" s="5" t="s">
        <v>1099</v>
      </c>
      <c r="C74" s="675">
        <v>0.27900000000000003</v>
      </c>
      <c r="D74" s="876" t="s">
        <v>1100</v>
      </c>
      <c r="E74" s="865">
        <v>1708</v>
      </c>
      <c r="F74" s="258"/>
      <c r="G74" s="158"/>
      <c r="H74" s="232"/>
    </row>
    <row r="75" spans="1:8" ht="26.45" customHeight="1" x14ac:dyDescent="0.25">
      <c r="A75" s="1228"/>
      <c r="B75" s="170" t="s">
        <v>1073</v>
      </c>
      <c r="C75" s="666">
        <f>SUM(C73:C74)</f>
        <v>0.69100000000000006</v>
      </c>
      <c r="D75" s="866"/>
      <c r="E75" s="256">
        <f>SUMPRODUCT(C73:C74, E73:E74)/SUM(C73:C74)</f>
        <v>1370.5296671490594</v>
      </c>
      <c r="F75" s="256">
        <f>E75*B153</f>
        <v>2205.6536966483359</v>
      </c>
      <c r="G75" s="161"/>
      <c r="H75" s="233">
        <v>160</v>
      </c>
    </row>
    <row r="76" spans="1:8" ht="30" x14ac:dyDescent="0.25">
      <c r="A76" s="1053" t="s">
        <v>1117</v>
      </c>
      <c r="B76" s="155" t="s">
        <v>1099</v>
      </c>
      <c r="C76" s="676">
        <v>0.93100000000000005</v>
      </c>
      <c r="D76" s="180" t="s">
        <v>1100</v>
      </c>
      <c r="E76" s="257">
        <v>1708</v>
      </c>
      <c r="F76" s="263">
        <f>E76*B153</f>
        <v>2748.759552</v>
      </c>
      <c r="G76" s="176"/>
      <c r="H76" s="233">
        <v>160</v>
      </c>
    </row>
    <row r="77" spans="1:8" x14ac:dyDescent="0.25">
      <c r="A77" s="861" t="s">
        <v>158</v>
      </c>
      <c r="B77" s="5"/>
      <c r="C77" s="675"/>
      <c r="E77" s="865"/>
      <c r="F77" s="855">
        <v>2749</v>
      </c>
      <c r="G77" s="158"/>
      <c r="H77" s="233">
        <v>160</v>
      </c>
    </row>
    <row r="78" spans="1:8" ht="27.6" customHeight="1" x14ac:dyDescent="0.25">
      <c r="A78" s="1226" t="s">
        <v>1118</v>
      </c>
      <c r="B78" s="5" t="s">
        <v>1099</v>
      </c>
      <c r="C78" s="675">
        <v>0.26</v>
      </c>
      <c r="D78" t="s">
        <v>1100</v>
      </c>
      <c r="E78" s="865">
        <v>1708</v>
      </c>
      <c r="F78" s="258"/>
      <c r="G78" s="158"/>
      <c r="H78" s="232"/>
    </row>
    <row r="79" spans="1:8" ht="27.6" customHeight="1" x14ac:dyDescent="0.25">
      <c r="A79" s="1226"/>
      <c r="B79" s="5" t="s">
        <v>1108</v>
      </c>
      <c r="C79" s="675">
        <v>0.218</v>
      </c>
      <c r="D79" t="s">
        <v>1109</v>
      </c>
      <c r="E79" s="865">
        <v>1142</v>
      </c>
      <c r="F79" s="258"/>
      <c r="G79" s="158"/>
      <c r="H79" s="232"/>
    </row>
    <row r="80" spans="1:8" ht="15.75" customHeight="1" x14ac:dyDescent="0.25">
      <c r="A80" s="1226"/>
      <c r="B80" s="5" t="s">
        <v>1067</v>
      </c>
      <c r="C80" s="675">
        <v>0.17</v>
      </c>
      <c r="D80" t="s">
        <v>1068</v>
      </c>
      <c r="E80">
        <v>901</v>
      </c>
      <c r="F80" s="258"/>
      <c r="G80" s="158"/>
      <c r="H80" s="232"/>
    </row>
    <row r="81" spans="1:8" ht="15.75" customHeight="1" x14ac:dyDescent="0.25">
      <c r="A81" s="1227"/>
      <c r="B81" s="170" t="s">
        <v>1073</v>
      </c>
      <c r="C81" s="666">
        <f>SUM(C78:C80)</f>
        <v>0.64800000000000002</v>
      </c>
      <c r="D81" s="866"/>
      <c r="E81" s="256">
        <f>AVERAGE(E78:E80)</f>
        <v>1250.3333333333333</v>
      </c>
      <c r="F81" s="256">
        <f>E81*B153</f>
        <v>2012.2164479999999</v>
      </c>
      <c r="G81" s="161"/>
      <c r="H81" s="233">
        <v>160</v>
      </c>
    </row>
    <row r="82" spans="1:8" x14ac:dyDescent="0.25">
      <c r="A82" s="1229" t="s">
        <v>164</v>
      </c>
      <c r="B82" s="179" t="s">
        <v>1084</v>
      </c>
      <c r="C82" s="674">
        <v>0.28799999999999998</v>
      </c>
      <c r="D82" s="871" t="s">
        <v>1085</v>
      </c>
      <c r="E82" s="871">
        <v>248</v>
      </c>
      <c r="F82" s="260"/>
      <c r="G82" s="164"/>
      <c r="H82" s="232"/>
    </row>
    <row r="83" spans="1:8" x14ac:dyDescent="0.25">
      <c r="A83" s="1230"/>
      <c r="B83" s="5" t="s">
        <v>1105</v>
      </c>
      <c r="C83" s="675">
        <v>0.192</v>
      </c>
      <c r="D83" t="s">
        <v>1106</v>
      </c>
      <c r="E83" s="865">
        <v>1797</v>
      </c>
      <c r="F83" s="258"/>
      <c r="G83" s="158"/>
      <c r="H83" s="232"/>
    </row>
    <row r="84" spans="1:8" x14ac:dyDescent="0.25">
      <c r="A84" s="1230"/>
      <c r="B84" s="5" t="s">
        <v>1098</v>
      </c>
      <c r="C84" s="675">
        <v>0.16800000000000001</v>
      </c>
      <c r="D84" t="s">
        <v>921</v>
      </c>
      <c r="E84">
        <v>292</v>
      </c>
      <c r="F84" s="258"/>
      <c r="G84" s="158"/>
      <c r="H84" s="232"/>
    </row>
    <row r="85" spans="1:8" x14ac:dyDescent="0.25">
      <c r="A85" s="1054"/>
      <c r="B85" s="170" t="s">
        <v>1073</v>
      </c>
      <c r="C85" s="666">
        <f>SUM(C82:C84)</f>
        <v>0.64800000000000002</v>
      </c>
      <c r="D85" s="866"/>
      <c r="E85" s="256">
        <f>SUMPRODUCT(C82:C84, E82:E84)/SUM(C82:C84)</f>
        <v>718.37037037037032</v>
      </c>
      <c r="F85" s="256">
        <f>E85*B153</f>
        <v>1156.1050453333332</v>
      </c>
      <c r="G85" s="161"/>
      <c r="H85" s="233">
        <v>160</v>
      </c>
    </row>
    <row r="86" spans="1:8" x14ac:dyDescent="0.25">
      <c r="A86" s="1221" t="s">
        <v>167</v>
      </c>
      <c r="B86" s="179" t="s">
        <v>1103</v>
      </c>
      <c r="C86" s="674">
        <v>0.249</v>
      </c>
      <c r="D86" s="871" t="s">
        <v>1104</v>
      </c>
      <c r="E86" s="874">
        <v>1360</v>
      </c>
      <c r="F86" s="260"/>
      <c r="G86" s="164"/>
      <c r="H86" s="232"/>
    </row>
    <row r="87" spans="1:8" x14ac:dyDescent="0.25">
      <c r="A87" s="1222"/>
      <c r="B87" s="5" t="s">
        <v>1105</v>
      </c>
      <c r="C87" s="675">
        <v>0.183</v>
      </c>
      <c r="D87" t="s">
        <v>1106</v>
      </c>
      <c r="E87" s="865">
        <v>1797</v>
      </c>
      <c r="F87" s="258"/>
      <c r="G87" s="158"/>
      <c r="H87" s="232"/>
    </row>
    <row r="88" spans="1:8" x14ac:dyDescent="0.25">
      <c r="A88" s="1222"/>
      <c r="B88" s="5" t="s">
        <v>1098</v>
      </c>
      <c r="C88" s="675">
        <v>7.5999999999999998E-2</v>
      </c>
      <c r="D88" t="s">
        <v>921</v>
      </c>
      <c r="E88">
        <v>292</v>
      </c>
      <c r="F88" s="258"/>
      <c r="G88" s="158"/>
      <c r="H88" s="232"/>
    </row>
    <row r="89" spans="1:8" x14ac:dyDescent="0.25">
      <c r="A89" s="1223"/>
      <c r="B89" s="167" t="s">
        <v>1073</v>
      </c>
      <c r="C89" s="667">
        <f>SUM(C86:C88)</f>
        <v>0.50800000000000001</v>
      </c>
      <c r="D89" s="869"/>
      <c r="E89" s="255">
        <f>SUMPRODUCT(C86:C88, E86:E88)/SUM(C86:C88)</f>
        <v>1357.6437007874015</v>
      </c>
      <c r="F89" s="255">
        <f>E89*B153</f>
        <v>2184.9157439999999</v>
      </c>
      <c r="G89" s="168"/>
      <c r="H89" s="233">
        <v>160</v>
      </c>
    </row>
    <row r="90" spans="1:8" x14ac:dyDescent="0.25">
      <c r="A90" s="861" t="s">
        <v>170</v>
      </c>
      <c r="B90" s="7"/>
      <c r="C90" s="677"/>
      <c r="D90" s="35"/>
      <c r="E90" s="258"/>
      <c r="F90" s="855">
        <v>2099</v>
      </c>
      <c r="G90" s="158"/>
      <c r="H90" s="233">
        <v>160</v>
      </c>
    </row>
    <row r="91" spans="1:8" ht="27.6" customHeight="1" x14ac:dyDescent="0.25">
      <c r="A91" s="1226" t="s">
        <v>1119</v>
      </c>
      <c r="B91" s="5" t="s">
        <v>1099</v>
      </c>
      <c r="C91" s="675">
        <v>0.27100000000000002</v>
      </c>
      <c r="D91" t="s">
        <v>1100</v>
      </c>
      <c r="E91" s="865">
        <v>1708</v>
      </c>
      <c r="F91" s="258"/>
      <c r="G91" s="158"/>
      <c r="H91" s="232"/>
    </row>
    <row r="92" spans="1:8" ht="27.6" customHeight="1" x14ac:dyDescent="0.25">
      <c r="A92" s="1226"/>
      <c r="B92" s="5" t="s">
        <v>1108</v>
      </c>
      <c r="C92" s="675">
        <v>0.249</v>
      </c>
      <c r="D92" t="s">
        <v>1109</v>
      </c>
      <c r="E92" s="865">
        <v>1142</v>
      </c>
      <c r="F92" s="258"/>
      <c r="G92" s="158"/>
      <c r="H92" s="232"/>
    </row>
    <row r="93" spans="1:8" x14ac:dyDescent="0.25">
      <c r="A93" s="1227"/>
      <c r="B93" s="170" t="s">
        <v>1073</v>
      </c>
      <c r="C93" s="666">
        <f>SUM(C91:C92)</f>
        <v>0.52</v>
      </c>
      <c r="D93" s="866"/>
      <c r="E93" s="256">
        <f>SUMPRODUCT(C91:C92, E91:E92)/SUM(C91:C92)</f>
        <v>1436.9730769230771</v>
      </c>
      <c r="F93" s="256">
        <f>E93*B153</f>
        <v>2312.5839995076926</v>
      </c>
      <c r="G93" s="161"/>
      <c r="H93" s="233">
        <v>160</v>
      </c>
    </row>
    <row r="94" spans="1:8" x14ac:dyDescent="0.25">
      <c r="A94" s="1225" t="s">
        <v>178</v>
      </c>
      <c r="B94" s="179" t="s">
        <v>1099</v>
      </c>
      <c r="C94" s="674">
        <v>0.45700000000000002</v>
      </c>
      <c r="D94" s="871" t="s">
        <v>1100</v>
      </c>
      <c r="E94" s="874">
        <v>1708</v>
      </c>
      <c r="F94" s="260"/>
      <c r="G94" s="164"/>
      <c r="H94" s="232"/>
    </row>
    <row r="95" spans="1:8" x14ac:dyDescent="0.25">
      <c r="A95" s="1226"/>
      <c r="B95" s="5" t="s">
        <v>1108</v>
      </c>
      <c r="C95" s="675">
        <v>0.158</v>
      </c>
      <c r="D95" t="s">
        <v>1109</v>
      </c>
      <c r="E95" s="865">
        <v>1142</v>
      </c>
      <c r="F95" s="258"/>
      <c r="G95" s="158"/>
      <c r="H95" s="232"/>
    </row>
    <row r="96" spans="1:8" x14ac:dyDescent="0.25">
      <c r="A96" s="1227"/>
      <c r="B96" s="170" t="s">
        <v>1073</v>
      </c>
      <c r="C96" s="666">
        <f>SUM(C94:C95)</f>
        <v>0.61499999999999999</v>
      </c>
      <c r="D96" s="866"/>
      <c r="E96" s="256">
        <f>SUMPRODUCT(C94:C95, E94:E95)/SUM(C94:C95)</f>
        <v>1562.588617886179</v>
      </c>
      <c r="F96" s="256">
        <f>E96*B153</f>
        <v>2514.742616663415</v>
      </c>
      <c r="G96" s="161"/>
      <c r="H96" s="233">
        <v>160</v>
      </c>
    </row>
    <row r="97" spans="1:8" ht="27.6" customHeight="1" x14ac:dyDescent="0.25">
      <c r="A97" s="1225" t="s">
        <v>181</v>
      </c>
      <c r="B97" s="179" t="s">
        <v>1108</v>
      </c>
      <c r="C97" s="674">
        <v>0.32800000000000001</v>
      </c>
      <c r="D97" s="871" t="s">
        <v>1109</v>
      </c>
      <c r="E97" s="874">
        <v>1142</v>
      </c>
      <c r="F97" s="260"/>
      <c r="G97" s="164"/>
      <c r="H97" s="232"/>
    </row>
    <row r="98" spans="1:8" ht="27.6" customHeight="1" x14ac:dyDescent="0.25">
      <c r="A98" s="1226"/>
      <c r="B98" s="5" t="s">
        <v>1096</v>
      </c>
      <c r="C98" s="675">
        <v>0.16600000000000001</v>
      </c>
      <c r="D98" s="35" t="s">
        <v>1097</v>
      </c>
      <c r="E98">
        <v>535</v>
      </c>
      <c r="F98" s="258"/>
      <c r="G98" s="158"/>
      <c r="H98" s="232"/>
    </row>
    <row r="99" spans="1:8" ht="27.6" customHeight="1" x14ac:dyDescent="0.25">
      <c r="A99" s="1226"/>
      <c r="B99" s="5" t="s">
        <v>1099</v>
      </c>
      <c r="C99" s="675">
        <v>0.13100000000000001</v>
      </c>
      <c r="D99" t="s">
        <v>1100</v>
      </c>
      <c r="E99" s="865">
        <v>1708</v>
      </c>
      <c r="F99" s="258"/>
      <c r="G99" s="158"/>
      <c r="H99" s="232"/>
    </row>
    <row r="100" spans="1:8" x14ac:dyDescent="0.25">
      <c r="A100" s="1227"/>
      <c r="B100" s="177"/>
      <c r="C100" s="666">
        <f>SUM(C97:C99)</f>
        <v>0.625</v>
      </c>
      <c r="D100" s="866"/>
      <c r="E100" s="256">
        <f>SUMPRODUCT(C97:C99, E97:E99)/SUM(C97:C99)</f>
        <v>1099.4144000000001</v>
      </c>
      <c r="F100" s="256">
        <f>E100*B153</f>
        <v>1769.3359681536003</v>
      </c>
      <c r="G100" s="161"/>
      <c r="H100" s="233">
        <v>160</v>
      </c>
    </row>
    <row r="101" spans="1:8" x14ac:dyDescent="0.25">
      <c r="A101" s="1051" t="s">
        <v>184</v>
      </c>
      <c r="B101" s="17" t="s">
        <v>1099</v>
      </c>
      <c r="C101" s="673">
        <v>0.71199999999999997</v>
      </c>
      <c r="D101" s="17" t="s">
        <v>1100</v>
      </c>
      <c r="E101" s="873">
        <v>1708</v>
      </c>
      <c r="F101" s="262">
        <f>E101*B153</f>
        <v>2748.759552</v>
      </c>
      <c r="G101" s="174"/>
      <c r="H101" s="233">
        <v>160</v>
      </c>
    </row>
    <row r="102" spans="1:8" ht="27.6" customHeight="1" x14ac:dyDescent="0.25">
      <c r="A102" s="1225" t="s">
        <v>187</v>
      </c>
      <c r="B102" s="179" t="s">
        <v>1099</v>
      </c>
      <c r="C102" s="674">
        <v>0.223</v>
      </c>
      <c r="D102" s="871" t="s">
        <v>1100</v>
      </c>
      <c r="E102" s="874">
        <v>1708</v>
      </c>
      <c r="F102" s="260"/>
      <c r="G102" s="164"/>
      <c r="H102" s="232"/>
    </row>
    <row r="103" spans="1:8" ht="27.6" customHeight="1" x14ac:dyDescent="0.25">
      <c r="A103" s="1226"/>
      <c r="B103" s="5" t="s">
        <v>1105</v>
      </c>
      <c r="C103" s="675">
        <v>0.217</v>
      </c>
      <c r="D103" t="s">
        <v>1106</v>
      </c>
      <c r="E103" s="865">
        <v>1797</v>
      </c>
      <c r="F103" s="258"/>
      <c r="G103" s="158"/>
      <c r="H103" s="232"/>
    </row>
    <row r="104" spans="1:8" ht="27.6" customHeight="1" x14ac:dyDescent="0.25">
      <c r="A104" s="1226"/>
      <c r="B104" s="5" t="s">
        <v>1067</v>
      </c>
      <c r="C104" s="675">
        <v>0.13500000000000001</v>
      </c>
      <c r="D104" t="s">
        <v>1068</v>
      </c>
      <c r="E104">
        <v>901</v>
      </c>
      <c r="F104" s="258"/>
      <c r="G104" s="158"/>
      <c r="H104" s="232"/>
    </row>
    <row r="105" spans="1:8" x14ac:dyDescent="0.25">
      <c r="A105" s="1087"/>
      <c r="B105" s="170" t="s">
        <v>1073</v>
      </c>
      <c r="C105" s="666">
        <f>SUM(C102:C104)</f>
        <v>0.57499999999999996</v>
      </c>
      <c r="D105" s="866"/>
      <c r="E105" s="256">
        <f>SUMPRODUCT(C102:C104, E102:E104)/SUM(C102:C104)</f>
        <v>1552.1182608695656</v>
      </c>
      <c r="F105" s="256">
        <f>E105*B153</f>
        <v>2497.8922104208705</v>
      </c>
      <c r="G105" s="161"/>
      <c r="H105" s="233">
        <v>160</v>
      </c>
    </row>
    <row r="106" spans="1:8" x14ac:dyDescent="0.25">
      <c r="A106" s="1221" t="s">
        <v>1120</v>
      </c>
      <c r="B106" s="179" t="s">
        <v>1108</v>
      </c>
      <c r="C106" s="674">
        <v>0.217</v>
      </c>
      <c r="D106" s="871" t="s">
        <v>1109</v>
      </c>
      <c r="E106" s="874">
        <v>1142</v>
      </c>
      <c r="F106" s="260"/>
      <c r="G106" s="164"/>
      <c r="H106" s="232"/>
    </row>
    <row r="107" spans="1:8" x14ac:dyDescent="0.25">
      <c r="A107" s="1222"/>
      <c r="B107" s="5" t="s">
        <v>1096</v>
      </c>
      <c r="C107" s="675">
        <v>0.192</v>
      </c>
      <c r="D107" s="35" t="s">
        <v>1097</v>
      </c>
      <c r="E107">
        <v>535</v>
      </c>
      <c r="F107" s="258"/>
      <c r="G107" s="158"/>
      <c r="H107" s="232"/>
    </row>
    <row r="108" spans="1:8" x14ac:dyDescent="0.25">
      <c r="A108" s="1222"/>
      <c r="B108" s="5" t="s">
        <v>1099</v>
      </c>
      <c r="C108" s="675">
        <v>0.161</v>
      </c>
      <c r="D108" t="s">
        <v>1100</v>
      </c>
      <c r="E108" s="865">
        <v>1708</v>
      </c>
      <c r="F108" s="258"/>
      <c r="G108" s="158"/>
      <c r="H108" s="232"/>
    </row>
    <row r="109" spans="1:8" x14ac:dyDescent="0.25">
      <c r="A109" s="1223"/>
      <c r="B109" s="167" t="s">
        <v>1073</v>
      </c>
      <c r="C109" s="667">
        <f>SUM(C106:C108)</f>
        <v>0.57000000000000006</v>
      </c>
      <c r="D109" s="869"/>
      <c r="E109" s="255">
        <f>SUMPRODUCT(C106:C108, E106:E108)/SUM(C106:C108)</f>
        <v>1097.4070175438594</v>
      </c>
      <c r="F109" s="255">
        <f>E109*B153</f>
        <v>1766.105399242105</v>
      </c>
      <c r="G109" s="168"/>
      <c r="H109" s="233">
        <v>160</v>
      </c>
    </row>
    <row r="110" spans="1:8" x14ac:dyDescent="0.25">
      <c r="A110" s="861" t="s">
        <v>191</v>
      </c>
      <c r="B110" s="7"/>
      <c r="C110" s="677"/>
      <c r="D110" s="35"/>
      <c r="E110" s="258"/>
      <c r="F110" s="855">
        <v>2335</v>
      </c>
      <c r="G110" s="158"/>
      <c r="H110" s="233">
        <v>160</v>
      </c>
    </row>
    <row r="111" spans="1:8" x14ac:dyDescent="0.25">
      <c r="A111" s="1239" t="s">
        <v>1121</v>
      </c>
      <c r="B111" s="100" t="s">
        <v>1094</v>
      </c>
      <c r="C111" s="665">
        <v>0.17100000000000001</v>
      </c>
      <c r="D111" s="35" t="s">
        <v>1122</v>
      </c>
      <c r="E111" s="35">
        <v>669</v>
      </c>
      <c r="F111" s="258"/>
      <c r="G111" s="158"/>
      <c r="H111" s="232"/>
    </row>
    <row r="112" spans="1:8" x14ac:dyDescent="0.25">
      <c r="A112" s="1239"/>
      <c r="B112" s="100" t="s">
        <v>1078</v>
      </c>
      <c r="C112" s="665">
        <v>0.151</v>
      </c>
      <c r="D112" s="35" t="s">
        <v>1079</v>
      </c>
      <c r="E112" s="35">
        <v>255</v>
      </c>
      <c r="F112" s="258"/>
      <c r="G112" s="158"/>
      <c r="H112" s="232"/>
    </row>
    <row r="113" spans="1:8" x14ac:dyDescent="0.25">
      <c r="A113" s="1239"/>
      <c r="B113" s="100" t="s">
        <v>1123</v>
      </c>
      <c r="C113" s="665">
        <v>9.7000000000000003E-2</v>
      </c>
      <c r="D113" s="35" t="s">
        <v>1124</v>
      </c>
      <c r="E113" s="35">
        <v>160</v>
      </c>
      <c r="F113" s="258"/>
      <c r="G113" s="158"/>
      <c r="H113" s="232"/>
    </row>
    <row r="114" spans="1:8" x14ac:dyDescent="0.25">
      <c r="A114" s="1239"/>
      <c r="B114" s="100" t="s">
        <v>1105</v>
      </c>
      <c r="C114" s="665">
        <v>8.5999999999999993E-2</v>
      </c>
      <c r="D114" s="35" t="s">
        <v>1106</v>
      </c>
      <c r="E114" s="877">
        <v>1797</v>
      </c>
      <c r="F114" s="258"/>
      <c r="G114" s="158"/>
      <c r="H114" s="232"/>
    </row>
    <row r="115" spans="1:8" x14ac:dyDescent="0.25">
      <c r="A115" s="1240"/>
      <c r="B115" s="170" t="s">
        <v>1073</v>
      </c>
      <c r="C115" s="666">
        <f>SUM(C111:C114)</f>
        <v>0.505</v>
      </c>
      <c r="D115" s="866"/>
      <c r="E115" s="256">
        <f>SUMPRODUCT(C111:C114, E111:E114)/SUM(C111:C114)</f>
        <v>639.53663366336639</v>
      </c>
      <c r="F115" s="256">
        <f>(E115*B153)*B154</f>
        <v>771.92583312475256</v>
      </c>
      <c r="G115" s="181">
        <f>(E115*B153)*B155</f>
        <v>257.30861104158419</v>
      </c>
      <c r="H115" s="233">
        <v>160</v>
      </c>
    </row>
    <row r="116" spans="1:8" x14ac:dyDescent="0.25">
      <c r="A116" s="1241" t="s">
        <v>196</v>
      </c>
      <c r="B116" s="172" t="s">
        <v>1080</v>
      </c>
      <c r="C116" s="669">
        <v>0.17899999999999999</v>
      </c>
      <c r="D116" s="127" t="s">
        <v>1081</v>
      </c>
      <c r="E116" s="127">
        <v>0</v>
      </c>
      <c r="F116" s="260"/>
      <c r="G116" s="164"/>
      <c r="H116" s="232"/>
    </row>
    <row r="117" spans="1:8" x14ac:dyDescent="0.25">
      <c r="A117" s="1242"/>
      <c r="B117" s="100" t="s">
        <v>1125</v>
      </c>
      <c r="C117" s="665">
        <v>0.152</v>
      </c>
      <c r="D117" s="35" t="s">
        <v>1126</v>
      </c>
      <c r="E117" s="35">
        <v>337</v>
      </c>
      <c r="F117" s="258"/>
      <c r="G117" s="158"/>
      <c r="H117" s="232"/>
    </row>
    <row r="118" spans="1:8" x14ac:dyDescent="0.25">
      <c r="A118" s="1242"/>
      <c r="B118" s="100" t="s">
        <v>1074</v>
      </c>
      <c r="C118" s="665">
        <v>0.126</v>
      </c>
      <c r="D118" s="35" t="s">
        <v>1127</v>
      </c>
      <c r="E118" s="35">
        <v>190</v>
      </c>
      <c r="F118" s="258"/>
      <c r="G118" s="158"/>
      <c r="H118" s="232"/>
    </row>
    <row r="119" spans="1:8" x14ac:dyDescent="0.25">
      <c r="A119" s="1242"/>
      <c r="B119" s="35" t="s">
        <v>1084</v>
      </c>
      <c r="C119" s="222">
        <v>8.5999999999999993E-2</v>
      </c>
      <c r="D119" s="35" t="s">
        <v>1085</v>
      </c>
      <c r="E119" s="35">
        <v>248</v>
      </c>
      <c r="F119" s="258"/>
      <c r="G119" s="158"/>
      <c r="H119" s="232"/>
    </row>
    <row r="120" spans="1:8" x14ac:dyDescent="0.25">
      <c r="A120" s="1243"/>
      <c r="B120" s="167" t="s">
        <v>1073</v>
      </c>
      <c r="C120" s="667">
        <f>SUM(C116:C119)</f>
        <v>0.54299999999999993</v>
      </c>
      <c r="D120" s="869"/>
      <c r="E120" s="255">
        <f>SUMPRODUCT(C116:C119, E116:E119)/SUM(C116:C119)</f>
        <v>177.70165745856357</v>
      </c>
      <c r="F120" s="255">
        <f>(E120*1.609344)*B154</f>
        <v>214.48732216574592</v>
      </c>
      <c r="G120" s="182">
        <f>(E120*1.609344)*B155</f>
        <v>71.495774055248646</v>
      </c>
      <c r="H120" s="233">
        <v>160</v>
      </c>
    </row>
    <row r="121" spans="1:8" x14ac:dyDescent="0.25">
      <c r="A121" s="1055" t="s">
        <v>199</v>
      </c>
      <c r="B121" s="171" t="s">
        <v>1080</v>
      </c>
      <c r="C121" s="678">
        <v>0.5</v>
      </c>
      <c r="D121" s="171" t="s">
        <v>1081</v>
      </c>
      <c r="E121" s="171">
        <v>0</v>
      </c>
      <c r="F121" s="183">
        <v>160</v>
      </c>
      <c r="G121" s="161">
        <f>(E121*1.609344)*0.05</f>
        <v>0</v>
      </c>
      <c r="H121" s="232">
        <v>160</v>
      </c>
    </row>
    <row r="122" spans="1:8" ht="16.899999999999999" customHeight="1" x14ac:dyDescent="0.25">
      <c r="A122" s="1236" t="s">
        <v>201</v>
      </c>
      <c r="B122" s="172" t="s">
        <v>1069</v>
      </c>
      <c r="C122" s="679">
        <v>0.222</v>
      </c>
      <c r="D122" s="172" t="s">
        <v>1070</v>
      </c>
      <c r="E122" s="878">
        <v>1102</v>
      </c>
      <c r="F122" s="260"/>
      <c r="G122" s="164"/>
      <c r="H122" s="232"/>
    </row>
    <row r="123" spans="1:8" x14ac:dyDescent="0.25">
      <c r="A123" s="1237"/>
      <c r="B123" s="100" t="s">
        <v>1103</v>
      </c>
      <c r="C123" s="680">
        <v>0.19</v>
      </c>
      <c r="D123" s="100" t="s">
        <v>1104</v>
      </c>
      <c r="E123" s="879">
        <v>1360</v>
      </c>
      <c r="F123" s="258"/>
      <c r="G123" s="158"/>
      <c r="H123" s="232"/>
    </row>
    <row r="124" spans="1:8" x14ac:dyDescent="0.25">
      <c r="A124" s="1237"/>
      <c r="B124" s="100" t="s">
        <v>1091</v>
      </c>
      <c r="C124" s="680">
        <v>0.13400000000000001</v>
      </c>
      <c r="D124" s="100" t="s">
        <v>1092</v>
      </c>
      <c r="E124" s="100">
        <v>976</v>
      </c>
      <c r="F124" s="258"/>
      <c r="G124" s="158"/>
      <c r="H124" s="232"/>
    </row>
    <row r="125" spans="1:8" x14ac:dyDescent="0.25">
      <c r="A125" s="1238"/>
      <c r="B125" s="167" t="s">
        <v>1073</v>
      </c>
      <c r="C125" s="667">
        <f>SUM(C122:C124)</f>
        <v>0.54600000000000004</v>
      </c>
      <c r="D125" s="869"/>
      <c r="E125" s="255">
        <f>SUMPRODUCT(C122:C124, E122:E124)/SUM(C122:C124)</f>
        <v>1160.8571428571427</v>
      </c>
      <c r="F125" s="255">
        <f>(E125*B153)*B156</f>
        <v>1774.8075538285711</v>
      </c>
      <c r="G125" s="182">
        <f>(E125*B153)*B157</f>
        <v>93.410923885714283</v>
      </c>
      <c r="H125" s="232">
        <v>160</v>
      </c>
    </row>
    <row r="126" spans="1:8" x14ac:dyDescent="0.25">
      <c r="A126" s="1056" t="s">
        <v>204</v>
      </c>
      <c r="B126" s="171" t="s">
        <v>1080</v>
      </c>
      <c r="C126" s="678">
        <v>0.5</v>
      </c>
      <c r="D126" s="171" t="s">
        <v>1081</v>
      </c>
      <c r="E126" s="171">
        <v>0</v>
      </c>
      <c r="F126" s="183">
        <v>160</v>
      </c>
      <c r="G126" s="161"/>
      <c r="H126" s="232">
        <v>160</v>
      </c>
    </row>
    <row r="127" spans="1:8" x14ac:dyDescent="0.25">
      <c r="A127" s="1057" t="s">
        <v>333</v>
      </c>
      <c r="B127" s="155" t="s">
        <v>1108</v>
      </c>
      <c r="C127" s="671">
        <v>0.60499999999999998</v>
      </c>
      <c r="D127" s="180" t="s">
        <v>1109</v>
      </c>
      <c r="E127" s="257">
        <v>1142</v>
      </c>
      <c r="F127" s="263">
        <f>(E127*B153)*B156</f>
        <v>1745.9773055999999</v>
      </c>
      <c r="G127" s="184">
        <f>(E127*B153)*B157</f>
        <v>91.893542400000001</v>
      </c>
      <c r="H127" s="235">
        <v>160</v>
      </c>
    </row>
    <row r="129" spans="1:8" x14ac:dyDescent="0.25">
      <c r="A129" s="1172" t="s">
        <v>307</v>
      </c>
      <c r="B129" s="1172"/>
      <c r="C129" s="1172"/>
      <c r="D129" s="1172"/>
      <c r="E129" s="1172"/>
      <c r="F129" s="1172"/>
      <c r="G129" s="1172"/>
    </row>
    <row r="130" spans="1:8" ht="29.25" customHeight="1" x14ac:dyDescent="0.25">
      <c r="A130" s="1096" t="s">
        <v>1128</v>
      </c>
      <c r="B130" s="1096"/>
      <c r="C130" s="1096"/>
      <c r="D130" s="1096"/>
      <c r="E130" s="1096"/>
      <c r="F130" s="1096"/>
      <c r="G130" s="1096"/>
      <c r="H130"/>
    </row>
    <row r="131" spans="1:8" ht="30" customHeight="1" x14ac:dyDescent="0.25">
      <c r="A131" s="1096" t="s">
        <v>1129</v>
      </c>
      <c r="B131" s="1096"/>
      <c r="C131" s="1096"/>
      <c r="D131" s="1096"/>
      <c r="E131" s="1096"/>
      <c r="F131" s="1096"/>
      <c r="G131" s="1096"/>
      <c r="H131"/>
    </row>
    <row r="132" spans="1:8" ht="45" customHeight="1" x14ac:dyDescent="0.25">
      <c r="A132" s="1124" t="s">
        <v>1130</v>
      </c>
      <c r="B132" s="1124"/>
      <c r="C132" s="1124"/>
      <c r="D132" s="1124"/>
      <c r="E132" s="1124"/>
      <c r="F132" s="1124"/>
      <c r="G132" s="1124"/>
      <c r="H132"/>
    </row>
    <row r="133" spans="1:8" ht="30" customHeight="1" x14ac:dyDescent="0.25">
      <c r="A133" s="1096" t="s">
        <v>1131</v>
      </c>
      <c r="B133" s="1096"/>
      <c r="C133" s="1096"/>
      <c r="D133" s="1096"/>
      <c r="E133" s="1096"/>
      <c r="F133" s="1096"/>
      <c r="G133" s="1096"/>
      <c r="H133"/>
    </row>
    <row r="134" spans="1:8" ht="30" customHeight="1" x14ac:dyDescent="0.25">
      <c r="A134" s="1096" t="s">
        <v>1132</v>
      </c>
      <c r="B134" s="1096"/>
      <c r="C134" s="1096"/>
      <c r="D134" s="1096"/>
      <c r="E134" s="1096"/>
      <c r="F134" s="1096"/>
      <c r="G134" s="1096"/>
      <c r="H134"/>
    </row>
    <row r="135" spans="1:8" ht="30.75" customHeight="1" x14ac:dyDescent="0.25">
      <c r="A135" s="1096" t="s">
        <v>1133</v>
      </c>
      <c r="B135" s="1096"/>
      <c r="C135" s="1096"/>
      <c r="D135" s="1096"/>
      <c r="E135" s="1096"/>
      <c r="F135" s="1096"/>
      <c r="G135" s="1096"/>
    </row>
    <row r="136" spans="1:8" ht="20.45" customHeight="1" x14ac:dyDescent="0.25">
      <c r="A136" s="858" t="s">
        <v>1134</v>
      </c>
    </row>
    <row r="137" spans="1:8" ht="42.75" customHeight="1" x14ac:dyDescent="0.25">
      <c r="A137" s="1124" t="s">
        <v>1135</v>
      </c>
      <c r="B137" s="1124"/>
      <c r="C137" s="1124"/>
      <c r="D137" s="1124"/>
      <c r="E137" s="1124"/>
      <c r="F137" s="1124"/>
      <c r="G137" s="1124"/>
    </row>
    <row r="138" spans="1:8" ht="29.25" customHeight="1" x14ac:dyDescent="0.25">
      <c r="A138" s="1096" t="s">
        <v>1136</v>
      </c>
      <c r="B138" s="1096"/>
      <c r="C138" s="1096"/>
      <c r="D138" s="1096"/>
      <c r="E138" s="1096"/>
      <c r="F138" s="1096"/>
      <c r="G138" s="1096"/>
    </row>
    <row r="139" spans="1:8" ht="51" customHeight="1" x14ac:dyDescent="0.25">
      <c r="A139" s="1096" t="s">
        <v>1137</v>
      </c>
      <c r="B139" s="1096"/>
      <c r="C139" s="1096"/>
      <c r="D139" s="1096"/>
      <c r="E139" s="1096"/>
      <c r="F139" s="1096"/>
      <c r="G139" s="1096"/>
    </row>
    <row r="140" spans="1:8" ht="28.9" customHeight="1" x14ac:dyDescent="0.25">
      <c r="A140" s="1124" t="s">
        <v>1138</v>
      </c>
      <c r="B140" s="1124"/>
      <c r="C140" s="1124"/>
      <c r="D140" s="1124"/>
      <c r="E140" s="1124"/>
      <c r="F140" s="1124"/>
      <c r="G140" s="1124"/>
    </row>
    <row r="141" spans="1:8" ht="30" customHeight="1" x14ac:dyDescent="0.25">
      <c r="A141" s="1096" t="s">
        <v>1139</v>
      </c>
      <c r="B141" s="1096"/>
      <c r="C141" s="1096"/>
      <c r="D141" s="1096"/>
      <c r="E141" s="1096"/>
      <c r="F141" s="1096"/>
      <c r="G141" s="1096"/>
    </row>
    <row r="142" spans="1:8" ht="33" customHeight="1" x14ac:dyDescent="0.25">
      <c r="A142" s="1096" t="s">
        <v>1140</v>
      </c>
      <c r="B142" s="1096"/>
      <c r="C142" s="1096"/>
      <c r="D142" s="1096"/>
      <c r="E142" s="1096"/>
      <c r="F142" s="1096"/>
      <c r="G142" s="1096"/>
    </row>
    <row r="143" spans="1:8" ht="44.25" customHeight="1" x14ac:dyDescent="0.25">
      <c r="A143" s="1096" t="s">
        <v>1141</v>
      </c>
      <c r="B143" s="1096"/>
      <c r="C143" s="1096"/>
      <c r="D143" s="1096"/>
      <c r="E143" s="1096"/>
      <c r="F143" s="1096"/>
      <c r="G143" s="1096"/>
    </row>
    <row r="144" spans="1:8" ht="14.25" customHeight="1" x14ac:dyDescent="0.25">
      <c r="A144" s="1124"/>
      <c r="B144" s="1124"/>
      <c r="C144" s="1124"/>
      <c r="D144" s="1124"/>
      <c r="E144" s="1124"/>
      <c r="F144" s="1124"/>
      <c r="G144" s="1124"/>
    </row>
    <row r="145" spans="1:20" x14ac:dyDescent="0.25">
      <c r="A145" s="1198" t="s">
        <v>206</v>
      </c>
      <c r="B145" s="1198"/>
      <c r="C145" s="1198"/>
      <c r="D145" s="1198"/>
      <c r="E145" s="1198"/>
      <c r="F145" s="1198"/>
      <c r="G145" s="1198"/>
    </row>
    <row r="146" spans="1:20" x14ac:dyDescent="0.25">
      <c r="A146" s="1130" t="s">
        <v>1142</v>
      </c>
      <c r="B146" s="1130"/>
      <c r="C146" s="1130"/>
      <c r="D146" s="1130"/>
      <c r="E146" s="1130"/>
      <c r="F146" s="1130"/>
      <c r="G146" s="1130"/>
    </row>
    <row r="147" spans="1:20" ht="30" customHeight="1" x14ac:dyDescent="0.25">
      <c r="A147" s="859" t="s">
        <v>72</v>
      </c>
      <c r="B147" s="1106" t="s">
        <v>1143</v>
      </c>
      <c r="C147" s="1106"/>
      <c r="D147" s="1106"/>
      <c r="E147" s="1106"/>
      <c r="F147" s="1106"/>
      <c r="G147" s="1106"/>
    </row>
    <row r="148" spans="1:20" s="5" customFormat="1" ht="43.15" customHeight="1" x14ac:dyDescent="0.25">
      <c r="A148" s="859" t="s">
        <v>76</v>
      </c>
      <c r="B148" s="1108" t="s">
        <v>1144</v>
      </c>
      <c r="C148" s="1108"/>
      <c r="D148" s="1108"/>
      <c r="E148" s="1108"/>
      <c r="F148" s="1108"/>
      <c r="G148" s="1108"/>
      <c r="I148"/>
      <c r="J148"/>
      <c r="K148"/>
      <c r="L148"/>
      <c r="M148"/>
      <c r="N148"/>
      <c r="O148"/>
      <c r="P148"/>
      <c r="Q148"/>
      <c r="R148"/>
      <c r="S148"/>
      <c r="T148"/>
    </row>
    <row r="149" spans="1:20" s="5" customFormat="1" ht="31.15" customHeight="1" x14ac:dyDescent="0.25">
      <c r="A149" s="859" t="s">
        <v>1145</v>
      </c>
      <c r="B149" s="1108" t="s">
        <v>1146</v>
      </c>
      <c r="C149" s="1108"/>
      <c r="D149" s="1108"/>
      <c r="E149" s="1108"/>
      <c r="F149" s="1108"/>
      <c r="G149" s="1108"/>
      <c r="I149"/>
      <c r="J149"/>
      <c r="K149"/>
      <c r="L149"/>
      <c r="M149"/>
      <c r="N149"/>
      <c r="O149"/>
      <c r="P149"/>
      <c r="Q149"/>
      <c r="R149"/>
      <c r="S149"/>
      <c r="T149"/>
    </row>
    <row r="150" spans="1:20" s="5" customFormat="1" ht="30.6" customHeight="1" x14ac:dyDescent="0.25">
      <c r="A150" s="859" t="s">
        <v>1147</v>
      </c>
      <c r="B150" s="1108" t="s">
        <v>1148</v>
      </c>
      <c r="C150" s="1108"/>
      <c r="D150" s="1108"/>
      <c r="E150" s="1108"/>
      <c r="F150" s="1108"/>
      <c r="G150" s="1108"/>
      <c r="I150"/>
      <c r="J150"/>
      <c r="K150"/>
      <c r="L150"/>
      <c r="M150"/>
      <c r="N150"/>
      <c r="O150"/>
      <c r="P150"/>
      <c r="Q150"/>
      <c r="R150"/>
      <c r="S150"/>
      <c r="T150"/>
    </row>
    <row r="151" spans="1:20" s="5" customFormat="1" ht="28.15" customHeight="1" x14ac:dyDescent="0.25">
      <c r="A151" s="859" t="s">
        <v>95</v>
      </c>
      <c r="B151" s="1108" t="s">
        <v>1149</v>
      </c>
      <c r="C151" s="1108"/>
      <c r="D151" s="1108"/>
      <c r="E151" s="1108"/>
      <c r="F151" s="1108"/>
      <c r="G151" s="1108"/>
      <c r="I151"/>
      <c r="J151"/>
      <c r="K151"/>
      <c r="L151"/>
      <c r="M151"/>
      <c r="N151"/>
      <c r="O151"/>
      <c r="P151"/>
      <c r="Q151"/>
      <c r="R151"/>
      <c r="S151"/>
      <c r="T151"/>
    </row>
    <row r="152" spans="1:20" ht="18.600000000000001" customHeight="1" x14ac:dyDescent="0.25">
      <c r="A152" s="1096" t="s">
        <v>1150</v>
      </c>
      <c r="B152" s="1096"/>
      <c r="C152" s="1096"/>
      <c r="D152" s="1096"/>
      <c r="E152" s="1096"/>
      <c r="F152" s="1096"/>
      <c r="G152" s="1096"/>
    </row>
    <row r="153" spans="1:20" ht="30" x14ac:dyDescent="0.25">
      <c r="A153" s="1058" t="s">
        <v>1151</v>
      </c>
      <c r="B153" s="702">
        <v>1.6093440000000001</v>
      </c>
    </row>
    <row r="154" spans="1:20" x14ac:dyDescent="0.25">
      <c r="A154" s="1058" t="s">
        <v>1152</v>
      </c>
      <c r="B154" s="927">
        <v>0.75</v>
      </c>
    </row>
    <row r="155" spans="1:20" x14ac:dyDescent="0.25">
      <c r="A155" s="1058" t="s">
        <v>1153</v>
      </c>
      <c r="B155" s="927">
        <v>0.25</v>
      </c>
    </row>
    <row r="156" spans="1:20" ht="30" x14ac:dyDescent="0.25">
      <c r="A156" s="1058" t="s">
        <v>1154</v>
      </c>
      <c r="B156" s="927">
        <v>0.95</v>
      </c>
    </row>
    <row r="157" spans="1:20" ht="30" x14ac:dyDescent="0.25">
      <c r="A157" s="1058" t="s">
        <v>1155</v>
      </c>
      <c r="B157" s="927">
        <v>0.05</v>
      </c>
    </row>
    <row r="158" spans="1:20" x14ac:dyDescent="0.25">
      <c r="A158" s="858"/>
    </row>
    <row r="159" spans="1:20" x14ac:dyDescent="0.25">
      <c r="A159" s="1198" t="s">
        <v>314</v>
      </c>
      <c r="B159" s="1198"/>
      <c r="C159" s="1198"/>
      <c r="D159" s="1198"/>
      <c r="E159" s="1198"/>
      <c r="F159" s="1198"/>
      <c r="G159" s="1198"/>
    </row>
    <row r="160" spans="1:20" ht="32.25" customHeight="1" x14ac:dyDescent="0.25">
      <c r="A160" s="1059" t="s">
        <v>1156</v>
      </c>
      <c r="B160" s="1189" t="s">
        <v>1157</v>
      </c>
      <c r="C160" s="1190"/>
      <c r="D160" s="1190"/>
      <c r="E160" s="1190"/>
      <c r="F160" s="1190"/>
      <c r="G160" s="1190"/>
    </row>
    <row r="161" spans="1:7" ht="45" x14ac:dyDescent="0.25">
      <c r="A161" s="1059" t="s">
        <v>1158</v>
      </c>
      <c r="B161" s="1220" t="s">
        <v>1159</v>
      </c>
      <c r="C161" s="1187"/>
      <c r="D161" s="1187"/>
      <c r="E161" s="1187"/>
      <c r="F161" s="1187"/>
      <c r="G161" s="1187"/>
    </row>
  </sheetData>
  <mergeCells count="52">
    <mergeCell ref="B2:G2"/>
    <mergeCell ref="A130:G130"/>
    <mergeCell ref="A132:G132"/>
    <mergeCell ref="A131:G131"/>
    <mergeCell ref="B151:G151"/>
    <mergeCell ref="B147:G147"/>
    <mergeCell ref="B148:G148"/>
    <mergeCell ref="A144:G144"/>
    <mergeCell ref="A140:G140"/>
    <mergeCell ref="A141:G141"/>
    <mergeCell ref="A133:G133"/>
    <mergeCell ref="B149:G149"/>
    <mergeCell ref="B150:G150"/>
    <mergeCell ref="A137:G137"/>
    <mergeCell ref="A138:G138"/>
    <mergeCell ref="A4:A8"/>
    <mergeCell ref="J3:K3"/>
    <mergeCell ref="A122:A125"/>
    <mergeCell ref="A129:G129"/>
    <mergeCell ref="A145:G145"/>
    <mergeCell ref="A146:G146"/>
    <mergeCell ref="A94:A96"/>
    <mergeCell ref="A97:A100"/>
    <mergeCell ref="A102:A104"/>
    <mergeCell ref="A106:A109"/>
    <mergeCell ref="A111:A115"/>
    <mergeCell ref="A116:A120"/>
    <mergeCell ref="A91:A93"/>
    <mergeCell ref="A34:A38"/>
    <mergeCell ref="A41:A43"/>
    <mergeCell ref="A45:A48"/>
    <mergeCell ref="A51:A53"/>
    <mergeCell ref="A9:A14"/>
    <mergeCell ref="A15:A17"/>
    <mergeCell ref="A19:A25"/>
    <mergeCell ref="A27:A30"/>
    <mergeCell ref="B160:G160"/>
    <mergeCell ref="B161:G161"/>
    <mergeCell ref="A159:G159"/>
    <mergeCell ref="A86:A89"/>
    <mergeCell ref="A31:A32"/>
    <mergeCell ref="A64:A69"/>
    <mergeCell ref="A70:A72"/>
    <mergeCell ref="A73:A75"/>
    <mergeCell ref="A78:A81"/>
    <mergeCell ref="A82:A84"/>
    <mergeCell ref="A139:G139"/>
    <mergeCell ref="A142:G142"/>
    <mergeCell ref="A143:G143"/>
    <mergeCell ref="A152:G152"/>
    <mergeCell ref="A134:G134"/>
    <mergeCell ref="A135:G135"/>
  </mergeCells>
  <pageMargins left="0.7" right="0.7" top="0.75" bottom="0.75" header="0.3" footer="0.3"/>
  <pageSetup orientation="portrait" horizontalDpi="4294967293" verticalDpi="4294967293"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E8FB8-163E-4565-A38F-D299FE158377}">
  <sheetPr>
    <tabColor rgb="FFC00000"/>
  </sheetPr>
  <dimension ref="A1:AM529"/>
  <sheetViews>
    <sheetView workbookViewId="0">
      <selection activeCell="C8" sqref="C8"/>
    </sheetView>
  </sheetViews>
  <sheetFormatPr defaultRowHeight="15" x14ac:dyDescent="0.25"/>
  <cols>
    <col min="1" max="2" width="16.42578125" customWidth="1"/>
    <col min="3" max="3" width="10.85546875" customWidth="1"/>
    <col min="4" max="4" width="15.85546875" customWidth="1"/>
    <col min="5" max="6" width="16.140625" customWidth="1"/>
    <col min="7" max="7" width="28.7109375" customWidth="1"/>
    <col min="8" max="8" width="18" customWidth="1"/>
    <col min="9" max="9" width="13.85546875" customWidth="1"/>
    <col min="10" max="11" width="15.28515625" customWidth="1"/>
    <col min="12" max="12" width="14.5703125" customWidth="1"/>
    <col min="13" max="13" width="14.7109375" customWidth="1"/>
    <col min="14" max="14" width="14.85546875" customWidth="1"/>
    <col min="15" max="15" width="10.85546875" customWidth="1"/>
    <col min="16" max="17" width="14.7109375" customWidth="1"/>
    <col min="18" max="18" width="13" customWidth="1"/>
    <col min="19" max="19" width="18.140625" customWidth="1"/>
    <col min="20" max="20" width="14.140625" customWidth="1"/>
    <col min="21" max="21" width="24.5703125" customWidth="1"/>
    <col min="22" max="22" width="14.42578125" customWidth="1"/>
    <col min="23" max="23" width="12.5703125" customWidth="1"/>
    <col min="24" max="24" width="11.5703125" customWidth="1"/>
  </cols>
  <sheetData>
    <row r="1" spans="1:39" x14ac:dyDescent="0.25">
      <c r="A1" s="49" t="s">
        <v>1160</v>
      </c>
      <c r="B1" s="37"/>
      <c r="C1" s="7"/>
      <c r="D1" s="7"/>
      <c r="E1" s="7"/>
      <c r="F1" s="7"/>
      <c r="G1" s="7"/>
      <c r="H1" s="7"/>
    </row>
    <row r="2" spans="1:39" x14ac:dyDescent="0.25">
      <c r="M2" s="1251" t="s">
        <v>1161</v>
      </c>
      <c r="N2" s="1251"/>
      <c r="O2" s="1251"/>
      <c r="P2" s="1251"/>
      <c r="Q2" t="s">
        <v>1162</v>
      </c>
      <c r="R2" t="s">
        <v>1163</v>
      </c>
    </row>
    <row r="3" spans="1:39" ht="29.25" customHeight="1" x14ac:dyDescent="0.25">
      <c r="A3" s="50" t="s">
        <v>1164</v>
      </c>
      <c r="B3" s="51" t="s">
        <v>1165</v>
      </c>
      <c r="C3" s="51" t="s">
        <v>1166</v>
      </c>
      <c r="D3" s="51" t="s">
        <v>1167</v>
      </c>
      <c r="E3" s="51" t="s">
        <v>1168</v>
      </c>
      <c r="F3" s="51" t="s">
        <v>1169</v>
      </c>
      <c r="G3" s="51" t="s">
        <v>1170</v>
      </c>
      <c r="H3" s="51" t="s">
        <v>1171</v>
      </c>
      <c r="I3" s="52" t="s">
        <v>1172</v>
      </c>
      <c r="J3" s="53" t="s">
        <v>1173</v>
      </c>
      <c r="K3" s="7"/>
      <c r="L3" s="55" t="s">
        <v>1164</v>
      </c>
      <c r="M3" s="70" t="s">
        <v>1174</v>
      </c>
      <c r="N3" s="70" t="s">
        <v>1175</v>
      </c>
      <c r="O3" s="70" t="s">
        <v>1176</v>
      </c>
      <c r="P3" s="80" t="s">
        <v>1177</v>
      </c>
      <c r="Q3" s="77" t="s">
        <v>1178</v>
      </c>
      <c r="R3" s="81" t="s">
        <v>1179</v>
      </c>
      <c r="S3" s="56" t="s">
        <v>1180</v>
      </c>
      <c r="V3" s="1249"/>
      <c r="W3" s="1249"/>
      <c r="X3" s="1249"/>
      <c r="Y3" s="1249"/>
      <c r="Z3" s="1249"/>
      <c r="AA3" s="1249"/>
      <c r="AB3" s="1249"/>
      <c r="AC3" s="1249"/>
      <c r="AD3" s="1249"/>
      <c r="AE3" s="1249"/>
      <c r="AF3" s="1249"/>
      <c r="AG3" s="1249"/>
      <c r="AH3" s="1249"/>
      <c r="AI3" s="1249"/>
      <c r="AJ3" s="1249"/>
      <c r="AK3" s="1249"/>
      <c r="AL3" s="1249"/>
      <c r="AM3" s="1249"/>
    </row>
    <row r="4" spans="1:39" x14ac:dyDescent="0.25">
      <c r="A4" s="44" t="s">
        <v>128</v>
      </c>
      <c r="B4" s="38" t="s">
        <v>1181</v>
      </c>
      <c r="C4" s="38">
        <v>60</v>
      </c>
      <c r="D4" s="38">
        <f>C4/107639</f>
        <v>5.5741877943867924E-4</v>
      </c>
      <c r="E4" s="38">
        <v>16</v>
      </c>
      <c r="F4" s="38">
        <f>E4/2.20462</f>
        <v>7.2574865509702358</v>
      </c>
      <c r="G4" s="38" t="s">
        <v>1182</v>
      </c>
      <c r="H4">
        <v>2016</v>
      </c>
      <c r="I4">
        <f>E4/C4</f>
        <v>0.26666666666666666</v>
      </c>
      <c r="J4" s="40">
        <f>F4/D4</f>
        <v>13019.809914331421</v>
      </c>
      <c r="L4" s="39" t="s">
        <v>1183</v>
      </c>
      <c r="M4">
        <f>AVERAGE(I4:I61)</f>
        <v>0.20952102265482672</v>
      </c>
      <c r="N4">
        <f>AVERAGE(J4:J61)</f>
        <v>10229.714580083146</v>
      </c>
      <c r="O4">
        <v>2</v>
      </c>
      <c r="P4" s="21">
        <f>O4*N4</f>
        <v>20459.429160166292</v>
      </c>
      <c r="Q4" s="78"/>
      <c r="R4" s="21">
        <v>16607.406999999999</v>
      </c>
      <c r="S4" s="58">
        <f t="shared" ref="S4:S20" si="0">(P4-R4)/((P4+R4)/2)</f>
        <v>0.20784197191913836</v>
      </c>
    </row>
    <row r="5" spans="1:39" x14ac:dyDescent="0.25">
      <c r="A5" s="44" t="s">
        <v>128</v>
      </c>
      <c r="B5" s="38" t="s">
        <v>1181</v>
      </c>
      <c r="C5" s="38">
        <v>600</v>
      </c>
      <c r="D5" s="38">
        <f t="shared" ref="D5:D68" si="1">C5/107639</f>
        <v>5.5741877943867929E-3</v>
      </c>
      <c r="E5" s="38">
        <v>135</v>
      </c>
      <c r="F5" s="38">
        <f t="shared" ref="F5:F68" si="2">E5/2.20462</f>
        <v>61.235042773811365</v>
      </c>
      <c r="G5" s="38" t="s">
        <v>1182</v>
      </c>
      <c r="I5">
        <f>E5/C5</f>
        <v>0.22500000000000001</v>
      </c>
      <c r="J5" s="40">
        <f>F5/D5</f>
        <v>10985.464615217135</v>
      </c>
      <c r="L5" s="39" t="s">
        <v>1184</v>
      </c>
      <c r="M5">
        <f>AVERAGE(I62:I89)</f>
        <v>0.52104538671381795</v>
      </c>
      <c r="N5">
        <f>AVERAGE(J62:J89)</f>
        <v>25439.669594074563</v>
      </c>
      <c r="O5">
        <v>1</v>
      </c>
      <c r="P5" s="21">
        <f>O5*N5</f>
        <v>25439.669594074563</v>
      </c>
      <c r="Q5" s="84">
        <v>29142.1</v>
      </c>
      <c r="R5" s="87">
        <v>3740.3330000000001</v>
      </c>
      <c r="S5" s="61">
        <f t="shared" si="0"/>
        <v>1.4872744801250251</v>
      </c>
      <c r="U5" s="66" t="s">
        <v>1185</v>
      </c>
      <c r="V5" s="67" t="s">
        <v>789</v>
      </c>
      <c r="W5" s="67" t="s">
        <v>790</v>
      </c>
      <c r="X5" s="68" t="s">
        <v>791</v>
      </c>
    </row>
    <row r="6" spans="1:39" x14ac:dyDescent="0.25">
      <c r="A6" s="44" t="s">
        <v>128</v>
      </c>
      <c r="B6" s="38" t="s">
        <v>1181</v>
      </c>
      <c r="C6" s="38">
        <v>240</v>
      </c>
      <c r="D6" s="38">
        <f>C6/107639</f>
        <v>2.229675117754717E-3</v>
      </c>
      <c r="E6" s="38">
        <v>17</v>
      </c>
      <c r="F6" s="38">
        <f t="shared" si="2"/>
        <v>7.7110794604058759</v>
      </c>
      <c r="G6" s="38" t="s">
        <v>1182</v>
      </c>
      <c r="H6">
        <v>2016</v>
      </c>
      <c r="I6">
        <f t="shared" ref="I6:I68" si="3">E6/C6</f>
        <v>7.0833333333333331E-2</v>
      </c>
      <c r="J6" s="40">
        <f t="shared" ref="J6:J69" si="4">F6/D6</f>
        <v>3458.3870084942841</v>
      </c>
      <c r="L6" s="39" t="s">
        <v>1186</v>
      </c>
      <c r="M6">
        <f>AVERAGE(I90:I120)</f>
        <v>0.45291791553245336</v>
      </c>
      <c r="N6">
        <f>AVERAGE(J90:J120)</f>
        <v>22113.394376354088</v>
      </c>
      <c r="O6">
        <v>2</v>
      </c>
      <c r="P6" s="21">
        <f t="shared" ref="P6:P20" si="5">O6*N6</f>
        <v>44226.788752708177</v>
      </c>
      <c r="Q6" s="78"/>
      <c r="R6" s="21">
        <v>35682.535000000003</v>
      </c>
      <c r="S6" s="58">
        <f t="shared" si="0"/>
        <v>0.21384873132326071</v>
      </c>
      <c r="U6" s="64" t="s">
        <v>792</v>
      </c>
      <c r="V6">
        <v>661</v>
      </c>
      <c r="W6">
        <f>V6/V11</f>
        <v>0.35234541577825162</v>
      </c>
      <c r="X6" s="69">
        <f>W6*100</f>
        <v>35.234541577825162</v>
      </c>
    </row>
    <row r="7" spans="1:39" x14ac:dyDescent="0.25">
      <c r="A7" s="44" t="s">
        <v>128</v>
      </c>
      <c r="B7" s="38" t="s">
        <v>1181</v>
      </c>
      <c r="C7" s="38">
        <v>600</v>
      </c>
      <c r="D7" s="38">
        <f t="shared" si="1"/>
        <v>5.5741877943867929E-3</v>
      </c>
      <c r="E7" s="38">
        <v>128</v>
      </c>
      <c r="F7" s="38">
        <f t="shared" si="2"/>
        <v>58.059892407761886</v>
      </c>
      <c r="G7" s="38" t="s">
        <v>1182</v>
      </c>
      <c r="I7">
        <f t="shared" si="3"/>
        <v>0.21333333333333335</v>
      </c>
      <c r="J7" s="40">
        <f t="shared" si="4"/>
        <v>10415.847931465136</v>
      </c>
      <c r="L7" s="39" t="s">
        <v>1187</v>
      </c>
      <c r="M7">
        <f>AVERAGE(I121:I122)</f>
        <v>0.10275857396464236</v>
      </c>
      <c r="N7">
        <f>AVERAGE(J121:J122)</f>
        <v>5017.1141253277838</v>
      </c>
      <c r="O7">
        <v>1</v>
      </c>
      <c r="P7" s="21">
        <f t="shared" si="5"/>
        <v>5017.1141253277838</v>
      </c>
      <c r="Q7" s="78"/>
      <c r="R7" s="21">
        <v>13188.235000000001</v>
      </c>
      <c r="S7" s="60">
        <f t="shared" si="0"/>
        <v>-0.89766154094835005</v>
      </c>
      <c r="U7" s="64" t="s">
        <v>1188</v>
      </c>
      <c r="V7">
        <v>583</v>
      </c>
      <c r="W7">
        <f>V7/V11</f>
        <v>0.31076759061833686</v>
      </c>
      <c r="X7" s="69">
        <f>W7*100</f>
        <v>31.076759061833688</v>
      </c>
    </row>
    <row r="8" spans="1:39" x14ac:dyDescent="0.25">
      <c r="A8" s="44" t="s">
        <v>128</v>
      </c>
      <c r="B8" s="38" t="s">
        <v>1181</v>
      </c>
      <c r="C8" s="38">
        <v>188</v>
      </c>
      <c r="D8" s="38">
        <f t="shared" si="1"/>
        <v>1.7465788422411951E-3</v>
      </c>
      <c r="E8" s="38">
        <v>9</v>
      </c>
      <c r="F8" s="38">
        <f t="shared" si="2"/>
        <v>4.0823361849207576</v>
      </c>
      <c r="G8" s="38" t="s">
        <v>1182</v>
      </c>
      <c r="H8">
        <v>2016</v>
      </c>
      <c r="I8">
        <f t="shared" si="3"/>
        <v>4.7872340425531915E-2</v>
      </c>
      <c r="J8" s="40">
        <f t="shared" si="4"/>
        <v>2337.3328968547098</v>
      </c>
      <c r="L8" s="39" t="s">
        <v>1189</v>
      </c>
      <c r="M8">
        <f>AVERAGE(I123:I149)</f>
        <v>0.85984351723883212</v>
      </c>
      <c r="N8">
        <f>AVERAGE(J123:J149)</f>
        <v>41981.246814449049</v>
      </c>
      <c r="O8">
        <v>1</v>
      </c>
      <c r="P8" s="21">
        <f t="shared" si="5"/>
        <v>41981.246814449049</v>
      </c>
      <c r="Q8" s="78"/>
      <c r="R8" s="21">
        <v>20551.667000000001</v>
      </c>
      <c r="S8" s="58">
        <f t="shared" si="0"/>
        <v>0.68538561558273214</v>
      </c>
      <c r="U8" s="64" t="s">
        <v>794</v>
      </c>
      <c r="V8">
        <v>292</v>
      </c>
      <c r="W8">
        <f>V8/V11</f>
        <v>0.15565031982942432</v>
      </c>
      <c r="X8" s="69">
        <f>W8*100</f>
        <v>15.565031982942431</v>
      </c>
    </row>
    <row r="9" spans="1:39" x14ac:dyDescent="0.25">
      <c r="A9" s="44" t="s">
        <v>128</v>
      </c>
      <c r="B9" s="38" t="s">
        <v>1181</v>
      </c>
      <c r="C9" s="38">
        <v>180</v>
      </c>
      <c r="D9" s="38">
        <f t="shared" si="1"/>
        <v>1.6722563383160379E-3</v>
      </c>
      <c r="E9" s="38">
        <v>24</v>
      </c>
      <c r="F9" s="38">
        <f t="shared" si="2"/>
        <v>10.886229826455354</v>
      </c>
      <c r="G9" s="38" t="s">
        <v>1182</v>
      </c>
      <c r="H9">
        <v>2016</v>
      </c>
      <c r="I9">
        <f t="shared" si="3"/>
        <v>0.13333333333333333</v>
      </c>
      <c r="J9" s="40">
        <f t="shared" si="4"/>
        <v>6509.9049571657097</v>
      </c>
      <c r="L9" s="39" t="s">
        <v>1190</v>
      </c>
      <c r="M9">
        <f>AVERAGE(I150:I165)</f>
        <v>0.8192451344215077</v>
      </c>
      <c r="N9">
        <f>AVERAGE(J150:J165)</f>
        <v>39999.059712783463</v>
      </c>
      <c r="O9" s="35">
        <v>2</v>
      </c>
      <c r="P9" s="21">
        <f t="shared" si="5"/>
        <v>79998.119425566925</v>
      </c>
      <c r="Q9" s="78"/>
      <c r="R9" s="59">
        <v>28025</v>
      </c>
      <c r="S9" s="58">
        <f t="shared" si="0"/>
        <v>0.96225918492159224</v>
      </c>
      <c r="U9" s="64" t="s">
        <v>795</v>
      </c>
      <c r="V9">
        <v>267</v>
      </c>
      <c r="W9">
        <f>V9/V11</f>
        <v>0.14232409381663114</v>
      </c>
      <c r="X9" s="69">
        <f>W9*100</f>
        <v>14.232409381663114</v>
      </c>
    </row>
    <row r="10" spans="1:39" x14ac:dyDescent="0.25">
      <c r="A10" s="44" t="s">
        <v>128</v>
      </c>
      <c r="B10" s="38" t="s">
        <v>1181</v>
      </c>
      <c r="C10" s="38">
        <v>1200</v>
      </c>
      <c r="D10" s="38">
        <f t="shared" si="1"/>
        <v>1.1148375588773586E-2</v>
      </c>
      <c r="E10" s="38">
        <v>126</v>
      </c>
      <c r="F10" s="38">
        <f t="shared" si="2"/>
        <v>57.152706588890609</v>
      </c>
      <c r="G10" s="38" t="s">
        <v>1182</v>
      </c>
      <c r="H10">
        <v>2013</v>
      </c>
      <c r="I10">
        <f t="shared" si="3"/>
        <v>0.105</v>
      </c>
      <c r="J10" s="40">
        <f t="shared" si="4"/>
        <v>5126.5501537679966</v>
      </c>
      <c r="L10" s="74" t="s">
        <v>1191</v>
      </c>
      <c r="M10">
        <f>AVERAGE(I166:I245)</f>
        <v>0.47812525952775997</v>
      </c>
      <c r="N10">
        <f>AVERAGE(J166:J245)</f>
        <v>23344.124978594307</v>
      </c>
      <c r="O10">
        <v>4</v>
      </c>
      <c r="P10" s="21">
        <f t="shared" si="5"/>
        <v>93376.499914377229</v>
      </c>
      <c r="Q10" s="78"/>
      <c r="R10" s="21">
        <v>30903.242999999999</v>
      </c>
      <c r="S10" s="61">
        <f t="shared" si="0"/>
        <v>1.0053650812171102</v>
      </c>
      <c r="U10" s="64" t="s">
        <v>796</v>
      </c>
      <c r="V10">
        <v>73</v>
      </c>
      <c r="W10">
        <f>V10/V11</f>
        <v>3.8912579957356079E-2</v>
      </c>
      <c r="X10" s="69">
        <f>W10*100</f>
        <v>3.8912579957356077</v>
      </c>
    </row>
    <row r="11" spans="1:39" x14ac:dyDescent="0.25">
      <c r="A11" s="44" t="s">
        <v>128</v>
      </c>
      <c r="B11" s="38" t="s">
        <v>1181</v>
      </c>
      <c r="C11" s="38">
        <v>480</v>
      </c>
      <c r="D11" s="38">
        <f t="shared" si="1"/>
        <v>4.4593502355094339E-3</v>
      </c>
      <c r="E11" s="38">
        <v>28</v>
      </c>
      <c r="F11" s="38">
        <f t="shared" si="2"/>
        <v>12.700601464197913</v>
      </c>
      <c r="G11" s="38" t="s">
        <v>1182</v>
      </c>
      <c r="H11">
        <v>2016</v>
      </c>
      <c r="I11">
        <f t="shared" si="3"/>
        <v>5.8333333333333334E-2</v>
      </c>
      <c r="J11" s="40">
        <f t="shared" si="4"/>
        <v>2848.0834187599985</v>
      </c>
      <c r="L11" s="39" t="s">
        <v>1192</v>
      </c>
      <c r="M11">
        <f>AVERAGE(I246:I293)</f>
        <v>0.56864859369598497</v>
      </c>
      <c r="N11">
        <f>AVERAGE(J246:J293)</f>
        <v>27763.862242401025</v>
      </c>
      <c r="O11">
        <v>1</v>
      </c>
      <c r="P11" s="21">
        <f t="shared" si="5"/>
        <v>27763.862242401025</v>
      </c>
      <c r="Q11" s="85">
        <v>29142.1</v>
      </c>
      <c r="R11" s="86">
        <v>52242.83</v>
      </c>
      <c r="S11" s="60">
        <f t="shared" si="0"/>
        <v>-0.61192300472649452</v>
      </c>
      <c r="U11" s="65" t="s">
        <v>797</v>
      </c>
      <c r="V11" s="43">
        <v>1876</v>
      </c>
      <c r="W11" s="43"/>
      <c r="X11" s="42"/>
    </row>
    <row r="12" spans="1:39" x14ac:dyDescent="0.25">
      <c r="A12" s="44" t="s">
        <v>128</v>
      </c>
      <c r="B12" s="38" t="s">
        <v>1181</v>
      </c>
      <c r="C12" s="38">
        <v>60</v>
      </c>
      <c r="D12" s="38">
        <f t="shared" si="1"/>
        <v>5.5741877943867924E-4</v>
      </c>
      <c r="E12" s="38">
        <v>18</v>
      </c>
      <c r="F12" s="38">
        <f t="shared" si="2"/>
        <v>8.1646723698415151</v>
      </c>
      <c r="G12" s="38" t="s">
        <v>1182</v>
      </c>
      <c r="H12">
        <v>2016</v>
      </c>
      <c r="I12">
        <f t="shared" si="3"/>
        <v>0.3</v>
      </c>
      <c r="J12" s="40">
        <f t="shared" si="4"/>
        <v>14647.286153622848</v>
      </c>
      <c r="L12" s="39" t="s">
        <v>1193</v>
      </c>
      <c r="M12">
        <f>AVERAGE(I294:I299)</f>
        <v>0.12799924633936263</v>
      </c>
      <c r="N12">
        <f>AVERAGE(J294:J299)</f>
        <v>6249.4719619356874</v>
      </c>
      <c r="O12" s="35">
        <v>1</v>
      </c>
      <c r="P12" s="21">
        <f t="shared" si="5"/>
        <v>6249.4719619356874</v>
      </c>
      <c r="Q12" s="78"/>
      <c r="R12" s="21">
        <v>4704.0739999999996</v>
      </c>
      <c r="S12" s="58">
        <f t="shared" si="0"/>
        <v>0.28217309121741035</v>
      </c>
    </row>
    <row r="13" spans="1:39" x14ac:dyDescent="0.25">
      <c r="A13" s="44" t="s">
        <v>128</v>
      </c>
      <c r="B13" s="38" t="s">
        <v>1181</v>
      </c>
      <c r="C13" s="38">
        <v>300</v>
      </c>
      <c r="D13" s="38">
        <f t="shared" si="1"/>
        <v>2.7870938971933964E-3</v>
      </c>
      <c r="E13" s="38">
        <v>41</v>
      </c>
      <c r="F13" s="38">
        <f t="shared" si="2"/>
        <v>18.597309286861229</v>
      </c>
      <c r="G13" s="38" t="s">
        <v>1182</v>
      </c>
      <c r="H13">
        <v>2016</v>
      </c>
      <c r="I13">
        <f t="shared" si="3"/>
        <v>0.13666666666666666</v>
      </c>
      <c r="J13" s="40">
        <f t="shared" si="4"/>
        <v>6672.6525810948524</v>
      </c>
      <c r="L13" s="39" t="s">
        <v>1194</v>
      </c>
      <c r="M13">
        <f>AVERAGE(I300:I410)</f>
        <v>0.33080242469869109</v>
      </c>
      <c r="N13">
        <f>AVERAGE(J300:J410)</f>
        <v>16151.192582913345</v>
      </c>
      <c r="O13">
        <v>2</v>
      </c>
      <c r="P13" s="21">
        <f t="shared" si="5"/>
        <v>32302.38516582669</v>
      </c>
      <c r="Q13" s="78">
        <f>22417*O13</f>
        <v>44834</v>
      </c>
      <c r="R13" s="21">
        <v>43205.207999999999</v>
      </c>
      <c r="S13" s="60">
        <f t="shared" si="0"/>
        <v>-0.28878745506373044</v>
      </c>
      <c r="U13" s="43" t="s">
        <v>1195</v>
      </c>
      <c r="V13" s="43"/>
      <c r="W13" s="43"/>
      <c r="X13" s="43"/>
      <c r="Y13" s="43"/>
      <c r="Z13" s="43"/>
      <c r="AA13" s="43"/>
      <c r="AB13" s="43"/>
      <c r="AC13" s="43"/>
      <c r="AD13" s="43"/>
      <c r="AE13" s="43"/>
      <c r="AF13" s="43"/>
    </row>
    <row r="14" spans="1:39" x14ac:dyDescent="0.25">
      <c r="A14" s="44" t="s">
        <v>128</v>
      </c>
      <c r="B14" s="38" t="s">
        <v>1181</v>
      </c>
      <c r="C14" s="38">
        <v>640</v>
      </c>
      <c r="D14" s="38">
        <f t="shared" si="1"/>
        <v>5.9458003140125792E-3</v>
      </c>
      <c r="E14" s="38">
        <v>216</v>
      </c>
      <c r="F14" s="38">
        <f t="shared" si="2"/>
        <v>97.976068438098181</v>
      </c>
      <c r="G14" s="38" t="s">
        <v>1182</v>
      </c>
      <c r="H14">
        <v>2014</v>
      </c>
      <c r="I14">
        <f t="shared" si="3"/>
        <v>0.33750000000000002</v>
      </c>
      <c r="J14" s="40">
        <f t="shared" si="4"/>
        <v>16478.196922825704</v>
      </c>
      <c r="L14" s="39" t="s">
        <v>1196</v>
      </c>
      <c r="M14">
        <f>AVERAGE(I411)</f>
        <v>0.82358078602620088</v>
      </c>
      <c r="N14">
        <f>AVERAGE(J411)</f>
        <v>40210.744811837976</v>
      </c>
      <c r="O14">
        <v>1</v>
      </c>
      <c r="P14" s="21">
        <f t="shared" si="5"/>
        <v>40210.744811837976</v>
      </c>
      <c r="Q14" s="82">
        <v>22417</v>
      </c>
      <c r="R14" s="21">
        <v>25869.231</v>
      </c>
      <c r="S14" s="58">
        <f t="shared" si="0"/>
        <v>0.43406534689647241</v>
      </c>
      <c r="U14" s="1250" t="s">
        <v>1197</v>
      </c>
      <c r="V14" s="1250"/>
      <c r="W14" s="1250"/>
      <c r="X14" s="1250"/>
      <c r="Y14" s="1250"/>
      <c r="Z14" s="1250"/>
      <c r="AA14" s="1250"/>
      <c r="AB14" s="1250"/>
      <c r="AC14" s="1250"/>
      <c r="AD14" s="1250"/>
      <c r="AE14" s="1250"/>
      <c r="AF14" s="1250"/>
      <c r="AG14" s="1250"/>
    </row>
    <row r="15" spans="1:39" ht="15.75" x14ac:dyDescent="0.25">
      <c r="A15" s="44" t="s">
        <v>128</v>
      </c>
      <c r="B15" s="38" t="s">
        <v>1181</v>
      </c>
      <c r="C15" s="38">
        <v>150</v>
      </c>
      <c r="D15" s="38">
        <f t="shared" si="1"/>
        <v>1.3935469485966982E-3</v>
      </c>
      <c r="E15" s="38">
        <v>62</v>
      </c>
      <c r="F15" s="38">
        <f t="shared" si="2"/>
        <v>28.122760385009663</v>
      </c>
      <c r="G15" s="38" t="s">
        <v>1182</v>
      </c>
      <c r="H15">
        <v>2016</v>
      </c>
      <c r="I15">
        <f t="shared" si="3"/>
        <v>0.41333333333333333</v>
      </c>
      <c r="J15" s="40">
        <f t="shared" si="4"/>
        <v>20180.705367213701</v>
      </c>
      <c r="L15" s="74" t="s">
        <v>1198</v>
      </c>
      <c r="M15">
        <f>AVERAGE(I412:I413)</f>
        <v>0.34305555555555556</v>
      </c>
      <c r="N15">
        <f>AVERAGE(J412:J413)</f>
        <v>16749.44296270761</v>
      </c>
      <c r="O15">
        <v>2</v>
      </c>
      <c r="P15" s="21">
        <f t="shared" si="5"/>
        <v>33498.885925415219</v>
      </c>
      <c r="Q15" s="78">
        <f>13450*O15</f>
        <v>26900</v>
      </c>
      <c r="R15" s="21">
        <v>17437.777999999998</v>
      </c>
      <c r="S15" s="61">
        <f t="shared" si="0"/>
        <v>0.63063053948460157</v>
      </c>
      <c r="U15" s="8" t="s">
        <v>1199</v>
      </c>
    </row>
    <row r="16" spans="1:39" x14ac:dyDescent="0.25">
      <c r="A16" s="44" t="s">
        <v>128</v>
      </c>
      <c r="B16" s="38" t="s">
        <v>1181</v>
      </c>
      <c r="C16" s="38">
        <v>200</v>
      </c>
      <c r="D16" s="38">
        <f t="shared" si="1"/>
        <v>1.8580625981289309E-3</v>
      </c>
      <c r="E16" s="38">
        <v>59</v>
      </c>
      <c r="F16" s="38">
        <f t="shared" si="2"/>
        <v>26.761981656702744</v>
      </c>
      <c r="G16" s="38" t="s">
        <v>1182</v>
      </c>
      <c r="H16">
        <v>2016</v>
      </c>
      <c r="I16">
        <f t="shared" si="3"/>
        <v>0.29499999999999998</v>
      </c>
      <c r="J16" s="40">
        <f t="shared" si="4"/>
        <v>14403.164717729134</v>
      </c>
      <c r="L16" s="39" t="s">
        <v>1200</v>
      </c>
      <c r="M16">
        <f>AVERAGE(I414:I460)</f>
        <v>0.38624964087294267</v>
      </c>
      <c r="N16">
        <f>AVERAGE(J414:J460)</f>
        <v>18858.363388666832</v>
      </c>
      <c r="O16">
        <v>1</v>
      </c>
      <c r="P16" s="21">
        <f t="shared" si="5"/>
        <v>18858.363388666832</v>
      </c>
      <c r="Q16" s="83">
        <v>22417</v>
      </c>
      <c r="R16" s="21">
        <v>17375.5</v>
      </c>
      <c r="S16" s="58">
        <f t="shared" si="0"/>
        <v>8.184958765013392E-2</v>
      </c>
    </row>
    <row r="17" spans="1:19" x14ac:dyDescent="0.25">
      <c r="A17" s="44" t="s">
        <v>128</v>
      </c>
      <c r="B17" s="38" t="s">
        <v>1181</v>
      </c>
      <c r="C17" s="38">
        <v>200</v>
      </c>
      <c r="D17" s="38">
        <f t="shared" si="1"/>
        <v>1.8580625981289309E-3</v>
      </c>
      <c r="E17" s="38">
        <v>43</v>
      </c>
      <c r="F17" s="38">
        <f t="shared" si="2"/>
        <v>19.504495105732509</v>
      </c>
      <c r="G17" s="38" t="s">
        <v>1182</v>
      </c>
      <c r="H17">
        <v>2016</v>
      </c>
      <c r="I17">
        <f t="shared" si="3"/>
        <v>0.215</v>
      </c>
      <c r="J17" s="40">
        <f t="shared" si="4"/>
        <v>10497.221743429709</v>
      </c>
      <c r="L17" s="39" t="s">
        <v>1201</v>
      </c>
      <c r="M17">
        <f>AVERAGE(I461:I475)</f>
        <v>0.49814636822185254</v>
      </c>
      <c r="N17">
        <f>AVERAGE(J461:J475)</f>
        <v>24321.641339111498</v>
      </c>
      <c r="O17">
        <v>1</v>
      </c>
      <c r="P17" s="21">
        <f t="shared" si="5"/>
        <v>24321.641339111498</v>
      </c>
      <c r="Q17" s="82">
        <v>15691.9</v>
      </c>
      <c r="R17" s="21">
        <v>18941.034</v>
      </c>
      <c r="S17" s="58">
        <f t="shared" si="0"/>
        <v>0.24874131324223381</v>
      </c>
    </row>
    <row r="18" spans="1:19" x14ac:dyDescent="0.25">
      <c r="A18" s="44" t="s">
        <v>128</v>
      </c>
      <c r="B18" s="38" t="s">
        <v>1181</v>
      </c>
      <c r="C18" s="38">
        <v>117</v>
      </c>
      <c r="D18" s="38">
        <f t="shared" si="1"/>
        <v>1.0869666199054247E-3</v>
      </c>
      <c r="E18" s="38">
        <v>17</v>
      </c>
      <c r="F18" s="38">
        <f t="shared" si="2"/>
        <v>7.7110794604058759</v>
      </c>
      <c r="G18" s="38" t="s">
        <v>1182</v>
      </c>
      <c r="H18">
        <v>2016</v>
      </c>
      <c r="I18">
        <f t="shared" si="3"/>
        <v>0.14529914529914531</v>
      </c>
      <c r="J18" s="40">
        <f t="shared" si="4"/>
        <v>7094.1271969113504</v>
      </c>
      <c r="L18" s="41" t="s">
        <v>1202</v>
      </c>
      <c r="M18">
        <f>AVERAGE(I503:I512)</f>
        <v>0.49325782550782549</v>
      </c>
      <c r="N18">
        <f>AVERAGE(J503:J512)</f>
        <v>24082.96172575629</v>
      </c>
      <c r="O18">
        <v>1</v>
      </c>
      <c r="P18" s="21">
        <f t="shared" si="5"/>
        <v>24082.96172575629</v>
      </c>
      <c r="Q18" s="78">
        <v>28021.279999999999</v>
      </c>
      <c r="R18" s="21">
        <v>27674.687999999998</v>
      </c>
      <c r="S18" s="60">
        <f t="shared" si="0"/>
        <v>-0.13879016119452384</v>
      </c>
    </row>
    <row r="19" spans="1:19" x14ac:dyDescent="0.25">
      <c r="A19" s="44" t="s">
        <v>128</v>
      </c>
      <c r="B19" s="38" t="s">
        <v>1181</v>
      </c>
      <c r="C19" s="38">
        <v>500</v>
      </c>
      <c r="D19" s="38">
        <f t="shared" si="1"/>
        <v>4.6451564953223275E-3</v>
      </c>
      <c r="E19" s="38">
        <v>59</v>
      </c>
      <c r="F19" s="38">
        <f t="shared" si="2"/>
        <v>26.761981656702744</v>
      </c>
      <c r="G19" s="38" t="s">
        <v>1182</v>
      </c>
      <c r="H19" s="38">
        <v>2014</v>
      </c>
      <c r="I19">
        <f t="shared" si="3"/>
        <v>0.11799999999999999</v>
      </c>
      <c r="J19" s="40">
        <f t="shared" si="4"/>
        <v>5761.265887091653</v>
      </c>
      <c r="L19" s="41" t="s">
        <v>1203</v>
      </c>
      <c r="M19">
        <f>AVERAGE(I513:I520)</f>
        <v>0.12864583333333332</v>
      </c>
      <c r="N19">
        <f>AVERAGE(J513:J520)</f>
        <v>6281.0411110153527</v>
      </c>
      <c r="O19">
        <v>1</v>
      </c>
      <c r="P19" s="21">
        <f t="shared" si="5"/>
        <v>6281.0411110153527</v>
      </c>
      <c r="Q19" s="78"/>
      <c r="R19" s="21">
        <v>51245.714</v>
      </c>
      <c r="S19" s="60">
        <f t="shared" si="0"/>
        <v>-1.5632612269616686</v>
      </c>
    </row>
    <row r="20" spans="1:19" x14ac:dyDescent="0.25">
      <c r="A20" s="44" t="s">
        <v>128</v>
      </c>
      <c r="B20" s="38" t="s">
        <v>1181</v>
      </c>
      <c r="C20" s="38">
        <v>108</v>
      </c>
      <c r="D20" s="38">
        <f t="shared" si="1"/>
        <v>1.0033538029896227E-3</v>
      </c>
      <c r="E20" s="38">
        <v>20</v>
      </c>
      <c r="F20" s="38">
        <f t="shared" si="2"/>
        <v>9.0718581887127954</v>
      </c>
      <c r="G20" s="38" t="s">
        <v>1204</v>
      </c>
      <c r="H20">
        <v>2016</v>
      </c>
      <c r="I20">
        <f t="shared" si="3"/>
        <v>0.18518518518518517</v>
      </c>
      <c r="J20" s="40">
        <f t="shared" si="4"/>
        <v>9041.5346627301533</v>
      </c>
      <c r="L20" s="71" t="s">
        <v>1205</v>
      </c>
      <c r="M20" s="43">
        <f>AVERAGE(I476:I502)</f>
        <v>1.610532792748651</v>
      </c>
      <c r="N20" s="43">
        <f>AVERAGE(J476:J502)</f>
        <v>78633.115583942825</v>
      </c>
      <c r="O20" s="43">
        <v>1</v>
      </c>
      <c r="P20" s="72">
        <f t="shared" si="5"/>
        <v>78633.115583942825</v>
      </c>
      <c r="Q20" s="79">
        <f>40350.6*O20</f>
        <v>40350.6</v>
      </c>
      <c r="R20" s="72">
        <v>33630</v>
      </c>
      <c r="S20" s="73">
        <f t="shared" si="0"/>
        <v>0.80174357089337178</v>
      </c>
    </row>
    <row r="21" spans="1:19" x14ac:dyDescent="0.25">
      <c r="A21" s="44" t="s">
        <v>128</v>
      </c>
      <c r="B21" s="38" t="s">
        <v>1181</v>
      </c>
      <c r="C21" s="38">
        <v>150</v>
      </c>
      <c r="D21" s="38">
        <f t="shared" si="1"/>
        <v>1.3935469485966982E-3</v>
      </c>
      <c r="E21" s="38">
        <v>10</v>
      </c>
      <c r="F21" s="38">
        <f t="shared" si="2"/>
        <v>4.5359290943563977</v>
      </c>
      <c r="G21" s="38" t="s">
        <v>1182</v>
      </c>
      <c r="H21" s="38">
        <v>2016</v>
      </c>
      <c r="I21">
        <f t="shared" si="3"/>
        <v>6.6666666666666666E-2</v>
      </c>
      <c r="J21" s="40">
        <f t="shared" si="4"/>
        <v>3254.9524785828553</v>
      </c>
      <c r="P21" t="s">
        <v>1206</v>
      </c>
      <c r="Q21" t="s">
        <v>1207</v>
      </c>
      <c r="R21" t="s">
        <v>1208</v>
      </c>
      <c r="S21" t="s">
        <v>1209</v>
      </c>
    </row>
    <row r="22" spans="1:19" x14ac:dyDescent="0.25">
      <c r="A22" s="44" t="s">
        <v>128</v>
      </c>
      <c r="B22" s="38" t="s">
        <v>1181</v>
      </c>
      <c r="C22" s="38">
        <v>375</v>
      </c>
      <c r="D22" s="38">
        <f t="shared" si="1"/>
        <v>3.4838673714917457E-3</v>
      </c>
      <c r="E22" s="38">
        <v>92</v>
      </c>
      <c r="F22" s="38">
        <f t="shared" si="2"/>
        <v>41.730547668078856</v>
      </c>
      <c r="G22" s="38" t="s">
        <v>1182</v>
      </c>
      <c r="H22" s="38">
        <v>2015</v>
      </c>
      <c r="I22">
        <f t="shared" si="3"/>
        <v>0.24533333333333332</v>
      </c>
      <c r="J22" s="40">
        <f t="shared" si="4"/>
        <v>11978.225121184907</v>
      </c>
      <c r="P22" s="21">
        <f>SUM(P4:P20)</f>
        <v>602701.34104257938</v>
      </c>
      <c r="Q22" s="21">
        <f>AVERAGE(Q11, Q13:Q18,Q20)</f>
        <v>28721.735000000001</v>
      </c>
      <c r="R22" s="21">
        <f>AVERAGE(R11, R13:R18,R20)</f>
        <v>29547.033625</v>
      </c>
      <c r="S22" s="21">
        <f>SUM(R4:R20)</f>
        <v>441024.47700000001</v>
      </c>
    </row>
    <row r="23" spans="1:19" x14ac:dyDescent="0.25">
      <c r="A23" s="44" t="s">
        <v>128</v>
      </c>
      <c r="B23" s="38" t="s">
        <v>1181</v>
      </c>
      <c r="C23" s="38">
        <v>720</v>
      </c>
      <c r="D23" s="38">
        <f t="shared" si="1"/>
        <v>6.6890253532641518E-3</v>
      </c>
      <c r="E23" s="38">
        <v>157</v>
      </c>
      <c r="F23" s="38">
        <f t="shared" si="2"/>
        <v>71.214086781395437</v>
      </c>
      <c r="G23" s="38" t="s">
        <v>1182</v>
      </c>
      <c r="H23" s="38">
        <v>2018</v>
      </c>
      <c r="I23">
        <f t="shared" si="3"/>
        <v>0.21805555555555556</v>
      </c>
      <c r="J23" s="40">
        <f t="shared" si="4"/>
        <v>10646.407065364754</v>
      </c>
      <c r="P23" s="7" t="s">
        <v>1210</v>
      </c>
      <c r="Q23" s="22">
        <f>P22/S22</f>
        <v>1.3665938569722047</v>
      </c>
      <c r="R23" s="62">
        <f>Q22/R22</f>
        <v>0.97206830859996363</v>
      </c>
    </row>
    <row r="24" spans="1:19" x14ac:dyDescent="0.25">
      <c r="A24" s="44" t="s">
        <v>128</v>
      </c>
      <c r="B24" s="38" t="s">
        <v>1181</v>
      </c>
      <c r="C24" s="38">
        <v>720</v>
      </c>
      <c r="D24" s="38">
        <f t="shared" si="1"/>
        <v>6.6890253532641518E-3</v>
      </c>
      <c r="E24" s="38">
        <v>152</v>
      </c>
      <c r="F24" s="38">
        <f t="shared" si="2"/>
        <v>68.946122234217242</v>
      </c>
      <c r="G24" s="38" t="s">
        <v>1182</v>
      </c>
      <c r="H24" s="38">
        <v>2018</v>
      </c>
      <c r="I24">
        <f t="shared" si="3"/>
        <v>0.21111111111111111</v>
      </c>
      <c r="J24" s="40">
        <f t="shared" si="4"/>
        <v>10307.349515512375</v>
      </c>
    </row>
    <row r="25" spans="1:19" x14ac:dyDescent="0.25">
      <c r="A25" s="44" t="s">
        <v>128</v>
      </c>
      <c r="B25" s="38" t="s">
        <v>1211</v>
      </c>
      <c r="C25" s="38">
        <v>320</v>
      </c>
      <c r="D25" s="38">
        <f t="shared" si="1"/>
        <v>2.9729001570062896E-3</v>
      </c>
      <c r="E25" s="38">
        <v>35</v>
      </c>
      <c r="F25" s="38">
        <f t="shared" si="2"/>
        <v>15.87575183024739</v>
      </c>
      <c r="G25" s="38" t="s">
        <v>1182</v>
      </c>
      <c r="H25" s="38">
        <v>2018</v>
      </c>
      <c r="I25">
        <f t="shared" si="3"/>
        <v>0.109375</v>
      </c>
      <c r="J25" s="40">
        <f t="shared" si="4"/>
        <v>5340.1564101749964</v>
      </c>
    </row>
    <row r="26" spans="1:19" x14ac:dyDescent="0.25">
      <c r="A26" s="44" t="s">
        <v>128</v>
      </c>
      <c r="B26" s="38" t="s">
        <v>1211</v>
      </c>
      <c r="C26" s="38">
        <v>200</v>
      </c>
      <c r="D26" s="38">
        <f t="shared" si="1"/>
        <v>1.8580625981289309E-3</v>
      </c>
      <c r="E26" s="38">
        <v>51</v>
      </c>
      <c r="F26" s="38">
        <f t="shared" si="2"/>
        <v>23.133238381217627</v>
      </c>
      <c r="G26" s="38" t="s">
        <v>1182</v>
      </c>
      <c r="H26" s="38">
        <v>2016</v>
      </c>
      <c r="I26">
        <f t="shared" si="3"/>
        <v>0.255</v>
      </c>
      <c r="J26" s="40">
        <f t="shared" si="4"/>
        <v>12450.193230579422</v>
      </c>
    </row>
    <row r="27" spans="1:19" x14ac:dyDescent="0.25">
      <c r="A27" s="44" t="s">
        <v>128</v>
      </c>
      <c r="B27" s="38" t="s">
        <v>1211</v>
      </c>
      <c r="C27" s="38">
        <v>720</v>
      </c>
      <c r="D27" s="38">
        <f t="shared" si="1"/>
        <v>6.6890253532641518E-3</v>
      </c>
      <c r="E27" s="38">
        <v>252</v>
      </c>
      <c r="F27" s="38">
        <f t="shared" si="2"/>
        <v>114.30541317778122</v>
      </c>
      <c r="G27" s="38" t="s">
        <v>1182</v>
      </c>
      <c r="H27" s="38">
        <v>2018</v>
      </c>
      <c r="I27">
        <f t="shared" si="3"/>
        <v>0.35</v>
      </c>
      <c r="J27" s="40">
        <f t="shared" si="4"/>
        <v>17088.500512559989</v>
      </c>
    </row>
    <row r="28" spans="1:19" x14ac:dyDescent="0.25">
      <c r="A28" s="44" t="s">
        <v>128</v>
      </c>
      <c r="B28" s="38" t="s">
        <v>1211</v>
      </c>
      <c r="C28" s="38">
        <v>720</v>
      </c>
      <c r="D28" s="38">
        <f t="shared" si="1"/>
        <v>6.6890253532641518E-3</v>
      </c>
      <c r="E28" s="38">
        <v>191</v>
      </c>
      <c r="F28" s="38">
        <f t="shared" si="2"/>
        <v>86.636245702207191</v>
      </c>
      <c r="G28" s="38" t="s">
        <v>1182</v>
      </c>
      <c r="H28" s="38">
        <v>2018</v>
      </c>
      <c r="I28">
        <f t="shared" si="3"/>
        <v>0.26527777777777778</v>
      </c>
      <c r="J28" s="40">
        <f t="shared" si="4"/>
        <v>12951.998404360944</v>
      </c>
      <c r="L28" s="63" t="s">
        <v>1212</v>
      </c>
      <c r="S28" s="62">
        <f>AVERAGE(S4:S20)</f>
        <v>0.20827971326931263</v>
      </c>
    </row>
    <row r="29" spans="1:19" x14ac:dyDescent="0.25">
      <c r="A29" s="44" t="s">
        <v>128</v>
      </c>
      <c r="B29" s="38" t="s">
        <v>1211</v>
      </c>
      <c r="C29" s="38">
        <v>240</v>
      </c>
      <c r="D29" s="38">
        <f t="shared" si="1"/>
        <v>2.229675117754717E-3</v>
      </c>
      <c r="E29" s="38">
        <v>14</v>
      </c>
      <c r="F29" s="38">
        <f t="shared" si="2"/>
        <v>6.3503007320989564</v>
      </c>
      <c r="G29" s="38" t="s">
        <v>1182</v>
      </c>
      <c r="H29" s="38">
        <v>2016</v>
      </c>
      <c r="I29">
        <f t="shared" si="3"/>
        <v>5.8333333333333334E-2</v>
      </c>
      <c r="J29" s="40">
        <f t="shared" si="4"/>
        <v>2848.0834187599985</v>
      </c>
      <c r="L29" s="43"/>
      <c r="M29" s="43"/>
      <c r="N29" s="43"/>
      <c r="O29" s="43"/>
      <c r="P29" s="43"/>
      <c r="Q29" s="43"/>
      <c r="R29" s="43"/>
      <c r="S29" s="43"/>
    </row>
    <row r="30" spans="1:19" x14ac:dyDescent="0.25">
      <c r="A30" s="44" t="s">
        <v>128</v>
      </c>
      <c r="B30" s="38" t="s">
        <v>1211</v>
      </c>
      <c r="C30" s="38">
        <v>60</v>
      </c>
      <c r="D30" s="38">
        <f t="shared" si="1"/>
        <v>5.5741877943867924E-4</v>
      </c>
      <c r="E30" s="38">
        <v>20</v>
      </c>
      <c r="F30" s="38">
        <f t="shared" si="2"/>
        <v>9.0718581887127954</v>
      </c>
      <c r="G30" s="38" t="s">
        <v>1182</v>
      </c>
      <c r="H30" s="38">
        <v>2016</v>
      </c>
      <c r="I30">
        <f t="shared" si="3"/>
        <v>0.33333333333333331</v>
      </c>
      <c r="J30" s="40">
        <f t="shared" si="4"/>
        <v>16274.762392914277</v>
      </c>
      <c r="L30" t="s">
        <v>1213</v>
      </c>
    </row>
    <row r="31" spans="1:19" ht="27.75" customHeight="1" x14ac:dyDescent="0.25">
      <c r="A31" s="44" t="s">
        <v>128</v>
      </c>
      <c r="B31" s="38" t="s">
        <v>1211</v>
      </c>
      <c r="C31" s="38">
        <v>60</v>
      </c>
      <c r="D31" s="38">
        <f t="shared" si="1"/>
        <v>5.5741877943867924E-4</v>
      </c>
      <c r="E31" s="38">
        <v>32</v>
      </c>
      <c r="F31" s="38">
        <f t="shared" si="2"/>
        <v>14.514973101940472</v>
      </c>
      <c r="G31" s="38" t="s">
        <v>1182</v>
      </c>
      <c r="H31" s="38">
        <v>2016</v>
      </c>
      <c r="I31">
        <f t="shared" si="3"/>
        <v>0.53333333333333333</v>
      </c>
      <c r="J31" s="40">
        <f t="shared" si="4"/>
        <v>26039.619828662842</v>
      </c>
      <c r="L31" t="s">
        <v>1214</v>
      </c>
    </row>
    <row r="32" spans="1:19" x14ac:dyDescent="0.25">
      <c r="A32" s="44" t="s">
        <v>128</v>
      </c>
      <c r="B32" s="38" t="s">
        <v>1211</v>
      </c>
      <c r="C32" s="38">
        <v>200</v>
      </c>
      <c r="D32" s="38">
        <f t="shared" si="1"/>
        <v>1.8580625981289309E-3</v>
      </c>
      <c r="E32" s="38">
        <v>55</v>
      </c>
      <c r="F32" s="38">
        <f t="shared" si="2"/>
        <v>24.947610018960187</v>
      </c>
      <c r="G32" s="38" t="s">
        <v>1182</v>
      </c>
      <c r="H32" s="38">
        <v>2016</v>
      </c>
      <c r="I32">
        <f t="shared" si="3"/>
        <v>0.27500000000000002</v>
      </c>
      <c r="J32" s="40">
        <f t="shared" si="4"/>
        <v>13426.678974154278</v>
      </c>
      <c r="L32" t="s">
        <v>1215</v>
      </c>
    </row>
    <row r="33" spans="1:12" x14ac:dyDescent="0.25">
      <c r="A33" s="44" t="s">
        <v>128</v>
      </c>
      <c r="B33" s="38" t="s">
        <v>1211</v>
      </c>
      <c r="C33" s="38">
        <v>188</v>
      </c>
      <c r="D33" s="38">
        <f t="shared" si="1"/>
        <v>1.7465788422411951E-3</v>
      </c>
      <c r="E33" s="38">
        <v>10</v>
      </c>
      <c r="F33" s="38">
        <f t="shared" si="2"/>
        <v>4.5359290943563977</v>
      </c>
      <c r="G33" s="38" t="s">
        <v>1182</v>
      </c>
      <c r="H33" s="38">
        <v>2016</v>
      </c>
      <c r="I33">
        <f t="shared" si="3"/>
        <v>5.3191489361702128E-2</v>
      </c>
      <c r="J33" s="40">
        <f t="shared" si="4"/>
        <v>2597.0365520607888</v>
      </c>
      <c r="L33" t="s">
        <v>1216</v>
      </c>
    </row>
    <row r="34" spans="1:12" x14ac:dyDescent="0.25">
      <c r="A34" s="44" t="s">
        <v>128</v>
      </c>
      <c r="B34" s="38" t="s">
        <v>1211</v>
      </c>
      <c r="C34" s="38">
        <v>188</v>
      </c>
      <c r="D34" s="38">
        <f t="shared" si="1"/>
        <v>1.7465788422411951E-3</v>
      </c>
      <c r="E34" s="38">
        <v>11</v>
      </c>
      <c r="F34" s="38">
        <f t="shared" si="2"/>
        <v>4.9895220037920369</v>
      </c>
      <c r="G34" s="38" t="s">
        <v>1182</v>
      </c>
      <c r="H34" s="38">
        <v>2016</v>
      </c>
      <c r="I34">
        <f t="shared" si="3"/>
        <v>5.8510638297872342E-2</v>
      </c>
      <c r="J34" s="40">
        <f t="shared" si="4"/>
        <v>2856.7402072668674</v>
      </c>
    </row>
    <row r="35" spans="1:12" x14ac:dyDescent="0.25">
      <c r="A35" s="44" t="s">
        <v>128</v>
      </c>
      <c r="B35" s="38" t="s">
        <v>1211</v>
      </c>
      <c r="C35" s="38">
        <v>1600</v>
      </c>
      <c r="D35" s="38">
        <f t="shared" si="1"/>
        <v>1.4864500785031447E-2</v>
      </c>
      <c r="E35" s="38">
        <v>388</v>
      </c>
      <c r="F35" s="38">
        <f t="shared" si="2"/>
        <v>175.99404886102823</v>
      </c>
      <c r="G35" s="38" t="s">
        <v>1182</v>
      </c>
      <c r="H35" s="38">
        <v>2013</v>
      </c>
      <c r="I35">
        <f t="shared" si="3"/>
        <v>0.24249999999999999</v>
      </c>
      <c r="J35" s="40">
        <f t="shared" si="4"/>
        <v>11839.889640845136</v>
      </c>
    </row>
    <row r="36" spans="1:12" x14ac:dyDescent="0.25">
      <c r="A36" s="44" t="s">
        <v>128</v>
      </c>
      <c r="B36" s="38" t="s">
        <v>1211</v>
      </c>
      <c r="C36" s="38">
        <v>440</v>
      </c>
      <c r="D36" s="38">
        <f t="shared" si="1"/>
        <v>4.0877377158836485E-3</v>
      </c>
      <c r="E36" s="38">
        <v>138</v>
      </c>
      <c r="F36" s="38">
        <f t="shared" si="2"/>
        <v>62.595821502118284</v>
      </c>
      <c r="G36" s="38" t="s">
        <v>1182</v>
      </c>
      <c r="H36" s="38">
        <v>2014</v>
      </c>
      <c r="I36">
        <f t="shared" si="3"/>
        <v>0.31363636363636366</v>
      </c>
      <c r="J36" s="40">
        <f t="shared" si="4"/>
        <v>15313.07188787843</v>
      </c>
    </row>
    <row r="37" spans="1:12" x14ac:dyDescent="0.25">
      <c r="A37" s="44" t="s">
        <v>128</v>
      </c>
      <c r="B37" s="38" t="s">
        <v>1211</v>
      </c>
      <c r="C37" s="38">
        <v>720</v>
      </c>
      <c r="D37" s="38">
        <f t="shared" si="1"/>
        <v>6.6890253532641518E-3</v>
      </c>
      <c r="E37" s="38">
        <v>261</v>
      </c>
      <c r="F37" s="38">
        <f t="shared" si="2"/>
        <v>118.38774936270197</v>
      </c>
      <c r="G37" s="38" t="s">
        <v>1182</v>
      </c>
      <c r="H37" s="38">
        <v>2014</v>
      </c>
      <c r="I37">
        <f t="shared" si="3"/>
        <v>0.36249999999999999</v>
      </c>
      <c r="J37" s="40">
        <f t="shared" si="4"/>
        <v>17698.804102294274</v>
      </c>
    </row>
    <row r="38" spans="1:12" x14ac:dyDescent="0.25">
      <c r="A38" s="44" t="s">
        <v>128</v>
      </c>
      <c r="B38" s="38" t="s">
        <v>1211</v>
      </c>
      <c r="C38" s="38">
        <v>500</v>
      </c>
      <c r="D38" s="38">
        <f t="shared" si="1"/>
        <v>4.6451564953223275E-3</v>
      </c>
      <c r="E38" s="38">
        <v>98</v>
      </c>
      <c r="F38" s="38">
        <f t="shared" si="2"/>
        <v>44.452105124692693</v>
      </c>
      <c r="G38" s="38" t="s">
        <v>1182</v>
      </c>
      <c r="H38" s="38">
        <v>2015</v>
      </c>
      <c r="I38">
        <f t="shared" si="3"/>
        <v>0.19600000000000001</v>
      </c>
      <c r="J38" s="40">
        <f t="shared" si="4"/>
        <v>9569.5602870335933</v>
      </c>
    </row>
    <row r="39" spans="1:12" x14ac:dyDescent="0.25">
      <c r="A39" s="44" t="s">
        <v>128</v>
      </c>
      <c r="B39" s="38" t="s">
        <v>1211</v>
      </c>
      <c r="C39" s="38">
        <v>750</v>
      </c>
      <c r="D39" s="38">
        <f t="shared" si="1"/>
        <v>6.9677347429834913E-3</v>
      </c>
      <c r="E39" s="38">
        <v>129</v>
      </c>
      <c r="F39" s="38">
        <f t="shared" si="2"/>
        <v>58.513485317197528</v>
      </c>
      <c r="G39" s="38" t="s">
        <v>1182</v>
      </c>
      <c r="H39" s="38">
        <v>2015</v>
      </c>
      <c r="I39">
        <f t="shared" si="3"/>
        <v>0.17199999999999999</v>
      </c>
      <c r="J39" s="40">
        <f t="shared" si="4"/>
        <v>8397.7773947437654</v>
      </c>
    </row>
    <row r="40" spans="1:12" x14ac:dyDescent="0.25">
      <c r="A40" s="44" t="s">
        <v>128</v>
      </c>
      <c r="B40" s="38" t="s">
        <v>1211</v>
      </c>
      <c r="C40" s="38">
        <v>220</v>
      </c>
      <c r="D40" s="38">
        <f t="shared" si="1"/>
        <v>2.0438688579418243E-3</v>
      </c>
      <c r="E40" s="38">
        <v>9</v>
      </c>
      <c r="F40" s="38">
        <f t="shared" si="2"/>
        <v>4.0823361849207576</v>
      </c>
      <c r="G40" s="38" t="s">
        <v>1182</v>
      </c>
      <c r="H40" s="38">
        <v>2016</v>
      </c>
      <c r="I40">
        <f t="shared" si="3"/>
        <v>4.0909090909090909E-2</v>
      </c>
      <c r="J40" s="40">
        <f t="shared" si="4"/>
        <v>1997.3572027667517</v>
      </c>
    </row>
    <row r="41" spans="1:12" x14ac:dyDescent="0.25">
      <c r="A41" s="44" t="s">
        <v>128</v>
      </c>
      <c r="B41" s="38" t="s">
        <v>1211</v>
      </c>
      <c r="C41" s="38">
        <v>480</v>
      </c>
      <c r="D41" s="38">
        <f t="shared" si="1"/>
        <v>4.4593502355094339E-3</v>
      </c>
      <c r="E41" s="38">
        <v>31</v>
      </c>
      <c r="F41" s="38">
        <f t="shared" si="2"/>
        <v>14.061380192504831</v>
      </c>
      <c r="G41" s="38" t="s">
        <v>1182</v>
      </c>
      <c r="H41" s="38">
        <v>2016</v>
      </c>
      <c r="I41">
        <f t="shared" si="3"/>
        <v>6.458333333333334E-2</v>
      </c>
      <c r="J41" s="40">
        <f t="shared" si="4"/>
        <v>3153.2352136271411</v>
      </c>
    </row>
    <row r="42" spans="1:12" x14ac:dyDescent="0.25">
      <c r="A42" s="44" t="s">
        <v>128</v>
      </c>
      <c r="B42" s="38" t="s">
        <v>1211</v>
      </c>
      <c r="C42" s="38">
        <v>300</v>
      </c>
      <c r="D42" s="38">
        <f t="shared" si="1"/>
        <v>2.7870938971933964E-3</v>
      </c>
      <c r="E42" s="38">
        <v>43</v>
      </c>
      <c r="F42" s="38">
        <f t="shared" si="2"/>
        <v>19.504495105732509</v>
      </c>
      <c r="G42" s="38" t="s">
        <v>1182</v>
      </c>
      <c r="H42" s="38">
        <v>2016</v>
      </c>
      <c r="I42">
        <f t="shared" si="3"/>
        <v>0.14333333333333334</v>
      </c>
      <c r="J42" s="40">
        <f t="shared" si="4"/>
        <v>6998.1478289531387</v>
      </c>
    </row>
    <row r="43" spans="1:12" x14ac:dyDescent="0.25">
      <c r="A43" s="44" t="s">
        <v>128</v>
      </c>
      <c r="B43" s="38" t="s">
        <v>1211</v>
      </c>
      <c r="C43" s="38">
        <v>108</v>
      </c>
      <c r="D43" s="38">
        <f t="shared" si="1"/>
        <v>1.0033538029896227E-3</v>
      </c>
      <c r="E43" s="38">
        <v>26</v>
      </c>
      <c r="F43" s="38">
        <f t="shared" si="2"/>
        <v>11.793415645326633</v>
      </c>
      <c r="G43" s="38" t="s">
        <v>1204</v>
      </c>
      <c r="H43">
        <v>2016</v>
      </c>
      <c r="I43">
        <f t="shared" si="3"/>
        <v>0.24074074074074073</v>
      </c>
      <c r="J43" s="40">
        <f t="shared" si="4"/>
        <v>11753.995061549198</v>
      </c>
    </row>
    <row r="44" spans="1:12" x14ac:dyDescent="0.25">
      <c r="A44" s="44" t="s">
        <v>128</v>
      </c>
      <c r="B44" s="38" t="s">
        <v>1211</v>
      </c>
      <c r="C44" s="38">
        <v>117</v>
      </c>
      <c r="D44" s="38">
        <f t="shared" si="1"/>
        <v>1.0869666199054247E-3</v>
      </c>
      <c r="E44" s="38">
        <v>15</v>
      </c>
      <c r="F44" s="38">
        <f t="shared" si="2"/>
        <v>6.8038936415345965</v>
      </c>
      <c r="G44" s="38" t="s">
        <v>1182</v>
      </c>
      <c r="H44" s="38">
        <v>2016</v>
      </c>
      <c r="I44">
        <f t="shared" si="3"/>
        <v>0.12820512820512819</v>
      </c>
      <c r="J44" s="40">
        <f t="shared" si="4"/>
        <v>6259.5239972747213</v>
      </c>
    </row>
    <row r="45" spans="1:12" x14ac:dyDescent="0.25">
      <c r="A45" s="44" t="s">
        <v>128</v>
      </c>
      <c r="B45" s="38" t="s">
        <v>1211</v>
      </c>
      <c r="C45" s="38">
        <v>600</v>
      </c>
      <c r="D45" s="38">
        <f t="shared" si="1"/>
        <v>5.5741877943867929E-3</v>
      </c>
      <c r="E45" s="38">
        <v>150</v>
      </c>
      <c r="F45" s="38">
        <f t="shared" si="2"/>
        <v>68.038936415345958</v>
      </c>
      <c r="G45" s="38" t="s">
        <v>1182</v>
      </c>
      <c r="H45" s="38"/>
      <c r="I45">
        <f t="shared" si="3"/>
        <v>0.25</v>
      </c>
      <c r="J45" s="40">
        <f t="shared" si="4"/>
        <v>12206.071794685706</v>
      </c>
    </row>
    <row r="46" spans="1:12" x14ac:dyDescent="0.25">
      <c r="A46" s="44" t="s">
        <v>128</v>
      </c>
      <c r="B46" s="38" t="s">
        <v>1211</v>
      </c>
      <c r="C46" s="38">
        <v>600</v>
      </c>
      <c r="D46" s="38">
        <f t="shared" si="1"/>
        <v>5.5741877943867929E-3</v>
      </c>
      <c r="E46" s="38">
        <v>173</v>
      </c>
      <c r="F46" s="38">
        <f t="shared" si="2"/>
        <v>78.471573332365679</v>
      </c>
      <c r="G46" s="38" t="s">
        <v>1182</v>
      </c>
      <c r="H46" s="38"/>
      <c r="I46">
        <f t="shared" si="3"/>
        <v>0.28833333333333333</v>
      </c>
      <c r="J46" s="40">
        <f t="shared" si="4"/>
        <v>14077.669469870849</v>
      </c>
    </row>
    <row r="47" spans="1:12" x14ac:dyDescent="0.25">
      <c r="A47" s="44" t="s">
        <v>128</v>
      </c>
      <c r="B47" s="38" t="s">
        <v>1211</v>
      </c>
      <c r="C47" s="38">
        <v>450</v>
      </c>
      <c r="D47" s="38">
        <f t="shared" si="1"/>
        <v>4.1806408457900944E-3</v>
      </c>
      <c r="E47" s="38">
        <v>72</v>
      </c>
      <c r="F47" s="38">
        <f t="shared" si="2"/>
        <v>32.65868947936606</v>
      </c>
      <c r="G47" s="38" t="s">
        <v>1182</v>
      </c>
      <c r="H47" s="38">
        <v>2017</v>
      </c>
      <c r="I47">
        <f t="shared" si="3"/>
        <v>0.16</v>
      </c>
      <c r="J47" s="40">
        <f t="shared" si="4"/>
        <v>7811.8859485988523</v>
      </c>
    </row>
    <row r="48" spans="1:12" x14ac:dyDescent="0.25">
      <c r="A48" s="44" t="s">
        <v>128</v>
      </c>
      <c r="B48" s="38" t="s">
        <v>1211</v>
      </c>
      <c r="C48" s="38">
        <v>450</v>
      </c>
      <c r="D48" s="38">
        <f t="shared" si="1"/>
        <v>4.1806408457900944E-3</v>
      </c>
      <c r="E48" s="38">
        <v>45</v>
      </c>
      <c r="F48" s="38">
        <f t="shared" si="2"/>
        <v>20.41168092460379</v>
      </c>
      <c r="G48" s="38" t="s">
        <v>1182</v>
      </c>
      <c r="H48" s="38">
        <v>2017</v>
      </c>
      <c r="I48">
        <f t="shared" si="3"/>
        <v>0.1</v>
      </c>
      <c r="J48" s="40">
        <f t="shared" si="4"/>
        <v>4882.4287178742834</v>
      </c>
    </row>
    <row r="49" spans="1:10" x14ac:dyDescent="0.25">
      <c r="A49" s="44" t="s">
        <v>128</v>
      </c>
      <c r="B49" s="38" t="s">
        <v>1211</v>
      </c>
      <c r="C49" s="38">
        <v>320</v>
      </c>
      <c r="D49" s="38">
        <f t="shared" si="1"/>
        <v>2.9729001570062896E-3</v>
      </c>
      <c r="E49" s="38">
        <v>45</v>
      </c>
      <c r="F49" s="38">
        <f t="shared" si="2"/>
        <v>20.41168092460379</v>
      </c>
      <c r="G49" s="38" t="s">
        <v>1182</v>
      </c>
      <c r="H49" s="38">
        <v>2018</v>
      </c>
      <c r="I49">
        <f t="shared" si="3"/>
        <v>0.140625</v>
      </c>
      <c r="J49" s="40">
        <f t="shared" si="4"/>
        <v>6865.9153845107103</v>
      </c>
    </row>
    <row r="50" spans="1:10" x14ac:dyDescent="0.25">
      <c r="A50" s="44" t="s">
        <v>128</v>
      </c>
      <c r="B50" s="38" t="s">
        <v>1217</v>
      </c>
      <c r="C50" s="38">
        <v>108</v>
      </c>
      <c r="D50" s="38">
        <f t="shared" si="1"/>
        <v>1.0033538029896227E-3</v>
      </c>
      <c r="E50" s="38">
        <v>30</v>
      </c>
      <c r="F50" s="38">
        <f t="shared" si="2"/>
        <v>13.607787283069193</v>
      </c>
      <c r="G50" s="38" t="s">
        <v>1204</v>
      </c>
      <c r="H50">
        <v>2016</v>
      </c>
      <c r="I50">
        <f t="shared" si="3"/>
        <v>0.27777777777777779</v>
      </c>
      <c r="J50" s="40">
        <f t="shared" si="4"/>
        <v>13562.301994095231</v>
      </c>
    </row>
    <row r="51" spans="1:10" x14ac:dyDescent="0.25">
      <c r="A51" s="44" t="s">
        <v>128</v>
      </c>
      <c r="B51" s="38" t="s">
        <v>1217</v>
      </c>
      <c r="C51" s="38">
        <v>180</v>
      </c>
      <c r="D51" s="38">
        <f t="shared" si="1"/>
        <v>1.6722563383160379E-3</v>
      </c>
      <c r="E51" s="38">
        <v>39</v>
      </c>
      <c r="F51" s="38">
        <f t="shared" si="2"/>
        <v>17.690123467989949</v>
      </c>
      <c r="G51" s="38" t="s">
        <v>1182</v>
      </c>
      <c r="H51" s="38">
        <v>2016</v>
      </c>
      <c r="I51">
        <f t="shared" si="3"/>
        <v>0.21666666666666667</v>
      </c>
      <c r="J51" s="40">
        <f t="shared" si="4"/>
        <v>10578.595555394279</v>
      </c>
    </row>
    <row r="52" spans="1:10" x14ac:dyDescent="0.25">
      <c r="A52" s="44" t="s">
        <v>128</v>
      </c>
      <c r="B52" s="38" t="s">
        <v>1217</v>
      </c>
      <c r="C52" s="38">
        <v>480</v>
      </c>
      <c r="D52" s="38">
        <f t="shared" si="1"/>
        <v>4.4593502355094339E-3</v>
      </c>
      <c r="E52" s="38">
        <v>36</v>
      </c>
      <c r="F52" s="38">
        <f t="shared" si="2"/>
        <v>16.32934473968303</v>
      </c>
      <c r="G52" s="38" t="s">
        <v>1182</v>
      </c>
      <c r="H52" s="38">
        <v>2016</v>
      </c>
      <c r="I52">
        <f t="shared" si="3"/>
        <v>7.4999999999999997E-2</v>
      </c>
      <c r="J52" s="40">
        <f t="shared" si="4"/>
        <v>3661.8215384057121</v>
      </c>
    </row>
    <row r="53" spans="1:10" x14ac:dyDescent="0.25">
      <c r="A53" s="44" t="s">
        <v>128</v>
      </c>
      <c r="B53" s="38" t="s">
        <v>1217</v>
      </c>
      <c r="C53" s="38">
        <v>150</v>
      </c>
      <c r="D53" s="38">
        <f t="shared" si="1"/>
        <v>1.3935469485966982E-3</v>
      </c>
      <c r="E53" s="38">
        <v>6</v>
      </c>
      <c r="F53" s="38">
        <f t="shared" si="2"/>
        <v>2.7215574566138385</v>
      </c>
      <c r="G53" s="38" t="s">
        <v>1182</v>
      </c>
      <c r="H53" s="38">
        <v>2016</v>
      </c>
      <c r="I53">
        <f t="shared" si="3"/>
        <v>0.04</v>
      </c>
      <c r="J53" s="40">
        <f t="shared" si="4"/>
        <v>1952.9714871497131</v>
      </c>
    </row>
    <row r="54" spans="1:10" x14ac:dyDescent="0.25">
      <c r="A54" s="44" t="s">
        <v>128</v>
      </c>
      <c r="B54" s="38" t="s">
        <v>1217</v>
      </c>
      <c r="C54" s="38">
        <v>60</v>
      </c>
      <c r="D54" s="38">
        <f t="shared" si="1"/>
        <v>5.5741877943867924E-4</v>
      </c>
      <c r="E54" s="38">
        <v>28</v>
      </c>
      <c r="F54" s="38">
        <f t="shared" si="2"/>
        <v>12.700601464197913</v>
      </c>
      <c r="G54" s="38" t="s">
        <v>1182</v>
      </c>
      <c r="H54" s="38">
        <v>2016</v>
      </c>
      <c r="I54">
        <f t="shared" si="3"/>
        <v>0.46666666666666667</v>
      </c>
      <c r="J54" s="40">
        <f t="shared" si="4"/>
        <v>22784.667350079988</v>
      </c>
    </row>
    <row r="55" spans="1:10" x14ac:dyDescent="0.25">
      <c r="A55" s="44" t="s">
        <v>128</v>
      </c>
      <c r="B55" s="38" t="s">
        <v>1217</v>
      </c>
      <c r="C55" s="38">
        <v>240</v>
      </c>
      <c r="D55" s="38">
        <f t="shared" si="1"/>
        <v>2.229675117754717E-3</v>
      </c>
      <c r="E55" s="38">
        <v>21</v>
      </c>
      <c r="F55" s="38">
        <f t="shared" si="2"/>
        <v>9.5254510981484337</v>
      </c>
      <c r="G55" s="38" t="s">
        <v>1182</v>
      </c>
      <c r="H55" s="38">
        <v>2016</v>
      </c>
      <c r="I55">
        <f t="shared" si="3"/>
        <v>8.7499999999999994E-2</v>
      </c>
      <c r="J55" s="40">
        <f t="shared" si="4"/>
        <v>4272.1251281399973</v>
      </c>
    </row>
    <row r="56" spans="1:10" x14ac:dyDescent="0.25">
      <c r="A56" s="44" t="s">
        <v>128</v>
      </c>
      <c r="B56" s="38" t="s">
        <v>1217</v>
      </c>
      <c r="C56" s="38">
        <v>200</v>
      </c>
      <c r="D56" s="38">
        <f t="shared" si="1"/>
        <v>1.8580625981289309E-3</v>
      </c>
      <c r="E56" s="38">
        <v>80</v>
      </c>
      <c r="F56" s="38">
        <f t="shared" si="2"/>
        <v>36.287432754851181</v>
      </c>
      <c r="G56" s="38" t="s">
        <v>1182</v>
      </c>
      <c r="H56" s="38">
        <v>2016</v>
      </c>
      <c r="I56">
        <f t="shared" si="3"/>
        <v>0.4</v>
      </c>
      <c r="J56" s="40">
        <f t="shared" si="4"/>
        <v>19529.714871497134</v>
      </c>
    </row>
    <row r="57" spans="1:10" x14ac:dyDescent="0.25">
      <c r="A57" s="44" t="s">
        <v>128</v>
      </c>
      <c r="B57" s="38" t="s">
        <v>1217</v>
      </c>
      <c r="C57" s="38">
        <v>220</v>
      </c>
      <c r="D57" s="38">
        <f t="shared" si="1"/>
        <v>2.0438688579418243E-3</v>
      </c>
      <c r="E57" s="38">
        <v>17</v>
      </c>
      <c r="F57" s="38">
        <f t="shared" si="2"/>
        <v>7.7110794604058759</v>
      </c>
      <c r="G57" s="38" t="s">
        <v>1182</v>
      </c>
      <c r="H57" s="38">
        <v>2016</v>
      </c>
      <c r="I57">
        <f t="shared" si="3"/>
        <v>7.7272727272727271E-2</v>
      </c>
      <c r="J57" s="40">
        <f t="shared" si="4"/>
        <v>3772.7858274483092</v>
      </c>
    </row>
    <row r="58" spans="1:10" x14ac:dyDescent="0.25">
      <c r="A58" s="44" t="s">
        <v>128</v>
      </c>
      <c r="B58" s="38" t="s">
        <v>1217</v>
      </c>
      <c r="C58" s="38">
        <v>220</v>
      </c>
      <c r="D58" s="38">
        <f t="shared" si="1"/>
        <v>2.0438688579418243E-3</v>
      </c>
      <c r="E58" s="38">
        <v>13</v>
      </c>
      <c r="F58" s="38">
        <f t="shared" si="2"/>
        <v>5.8967078226633163</v>
      </c>
      <c r="G58" s="38" t="s">
        <v>1182</v>
      </c>
      <c r="H58" s="38">
        <v>2016</v>
      </c>
      <c r="I58">
        <f t="shared" si="3"/>
        <v>5.909090909090909E-2</v>
      </c>
      <c r="J58" s="40">
        <f t="shared" si="4"/>
        <v>2885.0715151075301</v>
      </c>
    </row>
    <row r="59" spans="1:10" x14ac:dyDescent="0.25">
      <c r="A59" s="44" t="s">
        <v>128</v>
      </c>
      <c r="B59" s="38" t="s">
        <v>1217</v>
      </c>
      <c r="C59" s="38">
        <v>150</v>
      </c>
      <c r="D59" s="38">
        <f t="shared" si="1"/>
        <v>1.3935469485966982E-3</v>
      </c>
      <c r="E59" s="38">
        <v>37</v>
      </c>
      <c r="F59" s="38">
        <f t="shared" si="2"/>
        <v>16.782937649118672</v>
      </c>
      <c r="G59" s="38" t="s">
        <v>1182</v>
      </c>
      <c r="H59" s="38">
        <v>2016</v>
      </c>
      <c r="I59">
        <f t="shared" si="3"/>
        <v>0.24666666666666667</v>
      </c>
      <c r="J59" s="40">
        <f t="shared" si="4"/>
        <v>12043.324170756565</v>
      </c>
    </row>
    <row r="60" spans="1:10" x14ac:dyDescent="0.25">
      <c r="A60" s="44" t="s">
        <v>128</v>
      </c>
      <c r="B60" s="38" t="s">
        <v>1217</v>
      </c>
      <c r="C60" s="38">
        <v>60</v>
      </c>
      <c r="D60" s="38">
        <f t="shared" si="1"/>
        <v>5.5741877943867924E-4</v>
      </c>
      <c r="E60" s="38">
        <v>47</v>
      </c>
      <c r="F60" s="38">
        <f t="shared" si="2"/>
        <v>21.318866743475066</v>
      </c>
      <c r="G60" s="38" t="s">
        <v>1182</v>
      </c>
      <c r="H60" s="38">
        <v>2016</v>
      </c>
      <c r="I60">
        <f t="shared" si="3"/>
        <v>0.78333333333333333</v>
      </c>
      <c r="J60" s="40">
        <f t="shared" si="4"/>
        <v>38245.691623348546</v>
      </c>
    </row>
    <row r="61" spans="1:10" x14ac:dyDescent="0.25">
      <c r="A61" s="44" t="s">
        <v>128</v>
      </c>
      <c r="B61" s="38" t="s">
        <v>1217</v>
      </c>
      <c r="C61" s="38">
        <v>200</v>
      </c>
      <c r="D61" s="38">
        <f t="shared" si="1"/>
        <v>1.8580625981289309E-3</v>
      </c>
      <c r="E61" s="38">
        <v>56</v>
      </c>
      <c r="F61" s="38">
        <f t="shared" si="2"/>
        <v>25.401202928395826</v>
      </c>
      <c r="G61" s="38" t="s">
        <v>1182</v>
      </c>
      <c r="H61" s="38">
        <v>2016</v>
      </c>
      <c r="I61">
        <f t="shared" si="3"/>
        <v>0.28000000000000003</v>
      </c>
      <c r="J61" s="40">
        <f t="shared" si="4"/>
        <v>13670.800410047992</v>
      </c>
    </row>
    <row r="62" spans="1:10" x14ac:dyDescent="0.25">
      <c r="A62" s="44" t="s">
        <v>178</v>
      </c>
      <c r="B62" s="38" t="s">
        <v>1218</v>
      </c>
      <c r="C62" s="38">
        <v>65</v>
      </c>
      <c r="D62" s="38">
        <f t="shared" si="1"/>
        <v>6.0387034439190253E-4</v>
      </c>
      <c r="E62" s="38">
        <v>27</v>
      </c>
      <c r="F62" s="38">
        <f t="shared" si="2"/>
        <v>12.247008554762273</v>
      </c>
      <c r="G62" s="38" t="s">
        <v>1182</v>
      </c>
      <c r="H62" s="38">
        <v>2014</v>
      </c>
      <c r="I62">
        <f t="shared" si="3"/>
        <v>0.41538461538461541</v>
      </c>
      <c r="J62" s="40">
        <f t="shared" si="4"/>
        <v>20280.857751170097</v>
      </c>
    </row>
    <row r="63" spans="1:10" x14ac:dyDescent="0.25">
      <c r="A63" s="44" t="s">
        <v>178</v>
      </c>
      <c r="B63" s="38" t="s">
        <v>1219</v>
      </c>
      <c r="C63" s="38">
        <v>2500</v>
      </c>
      <c r="D63" s="38">
        <f t="shared" si="1"/>
        <v>2.3225782476611636E-2</v>
      </c>
      <c r="E63" s="38">
        <v>2443</v>
      </c>
      <c r="F63" s="38">
        <f t="shared" si="2"/>
        <v>1108.1274777512679</v>
      </c>
      <c r="G63" s="38" t="s">
        <v>1182</v>
      </c>
      <c r="H63" s="38">
        <v>2020</v>
      </c>
      <c r="I63">
        <f t="shared" si="3"/>
        <v>0.97719999999999996</v>
      </c>
      <c r="J63" s="40">
        <f t="shared" si="4"/>
        <v>47711.093431067493</v>
      </c>
    </row>
    <row r="64" spans="1:10" x14ac:dyDescent="0.25">
      <c r="A64" s="44" t="s">
        <v>178</v>
      </c>
      <c r="B64" s="38" t="s">
        <v>1220</v>
      </c>
      <c r="C64" s="38">
        <v>150</v>
      </c>
      <c r="D64" s="38">
        <f t="shared" si="1"/>
        <v>1.3935469485966982E-3</v>
      </c>
      <c r="E64" s="38">
        <v>78</v>
      </c>
      <c r="F64" s="38">
        <f t="shared" si="2"/>
        <v>35.380246935979898</v>
      </c>
      <c r="G64" s="38" t="s">
        <v>1182</v>
      </c>
      <c r="H64" s="38">
        <v>2019</v>
      </c>
      <c r="I64">
        <f t="shared" si="3"/>
        <v>0.52</v>
      </c>
      <c r="J64" s="40">
        <f t="shared" si="4"/>
        <v>25388.629332946268</v>
      </c>
    </row>
    <row r="65" spans="1:10" x14ac:dyDescent="0.25">
      <c r="A65" s="44" t="s">
        <v>178</v>
      </c>
      <c r="B65" s="38" t="s">
        <v>1220</v>
      </c>
      <c r="C65" s="38">
        <v>150</v>
      </c>
      <c r="D65" s="38">
        <f t="shared" si="1"/>
        <v>1.3935469485966982E-3</v>
      </c>
      <c r="E65" s="38">
        <v>52</v>
      </c>
      <c r="F65" s="38">
        <f t="shared" si="2"/>
        <v>23.586831290653265</v>
      </c>
      <c r="G65" s="38" t="s">
        <v>1182</v>
      </c>
      <c r="H65" s="38">
        <v>2019</v>
      </c>
      <c r="I65">
        <f t="shared" si="3"/>
        <v>0.34666666666666668</v>
      </c>
      <c r="J65" s="40">
        <f t="shared" si="4"/>
        <v>16925.752888630846</v>
      </c>
    </row>
    <row r="66" spans="1:10" x14ac:dyDescent="0.25">
      <c r="A66" s="44" t="s">
        <v>178</v>
      </c>
      <c r="B66" s="38" t="s">
        <v>1221</v>
      </c>
      <c r="C66" s="38">
        <v>250</v>
      </c>
      <c r="D66" s="38">
        <f t="shared" si="1"/>
        <v>2.3225782476611638E-3</v>
      </c>
      <c r="E66" s="38">
        <v>143</v>
      </c>
      <c r="F66" s="38">
        <f t="shared" si="2"/>
        <v>64.863786049296479</v>
      </c>
      <c r="G66" s="38" t="s">
        <v>1182</v>
      </c>
      <c r="H66" s="38">
        <v>2015</v>
      </c>
      <c r="I66">
        <f t="shared" si="3"/>
        <v>0.57199999999999995</v>
      </c>
      <c r="J66" s="40">
        <f t="shared" si="4"/>
        <v>27927.492266240894</v>
      </c>
    </row>
    <row r="67" spans="1:10" x14ac:dyDescent="0.25">
      <c r="A67" s="44" t="s">
        <v>178</v>
      </c>
      <c r="B67" s="38" t="s">
        <v>1222</v>
      </c>
      <c r="C67" s="38">
        <v>250</v>
      </c>
      <c r="D67" s="38">
        <f t="shared" si="1"/>
        <v>2.3225782476611638E-3</v>
      </c>
      <c r="E67" s="38">
        <v>175</v>
      </c>
      <c r="F67" s="38">
        <f t="shared" si="2"/>
        <v>79.378759151236949</v>
      </c>
      <c r="G67" s="38" t="s">
        <v>1182</v>
      </c>
      <c r="H67" s="38">
        <v>2014</v>
      </c>
      <c r="I67">
        <f t="shared" si="3"/>
        <v>0.7</v>
      </c>
      <c r="J67" s="40">
        <f t="shared" si="4"/>
        <v>34177.001025119978</v>
      </c>
    </row>
    <row r="68" spans="1:10" x14ac:dyDescent="0.25">
      <c r="A68" s="44" t="s">
        <v>178</v>
      </c>
      <c r="B68" s="38" t="s">
        <v>1222</v>
      </c>
      <c r="C68" s="38">
        <v>99</v>
      </c>
      <c r="D68" s="38">
        <f t="shared" si="1"/>
        <v>9.1974098607382085E-4</v>
      </c>
      <c r="E68" s="38">
        <v>49</v>
      </c>
      <c r="F68" s="38">
        <f t="shared" si="2"/>
        <v>22.226052562346347</v>
      </c>
      <c r="G68" s="38" t="s">
        <v>1182</v>
      </c>
      <c r="H68" s="38">
        <v>2014</v>
      </c>
      <c r="I68">
        <f t="shared" si="3"/>
        <v>0.49494949494949497</v>
      </c>
      <c r="J68" s="40">
        <f t="shared" si="4"/>
        <v>24165.55628038786</v>
      </c>
    </row>
    <row r="69" spans="1:10" x14ac:dyDescent="0.25">
      <c r="A69" s="44" t="s">
        <v>178</v>
      </c>
      <c r="B69" s="38" t="s">
        <v>1222</v>
      </c>
      <c r="C69" s="38">
        <v>250</v>
      </c>
      <c r="D69" s="38">
        <f t="shared" ref="D69:D132" si="6">C69/107639</f>
        <v>2.3225782476611638E-3</v>
      </c>
      <c r="E69" s="38">
        <v>63</v>
      </c>
      <c r="F69" s="38">
        <f t="shared" ref="F69:F132" si="7">E69/2.20462</f>
        <v>28.576353294445305</v>
      </c>
      <c r="G69" s="38" t="s">
        <v>1182</v>
      </c>
      <c r="H69" s="38">
        <v>2015</v>
      </c>
      <c r="I69">
        <f t="shared" ref="I69:I132" si="8">E69/C69</f>
        <v>0.252</v>
      </c>
      <c r="J69" s="40">
        <f t="shared" si="4"/>
        <v>12303.720369043192</v>
      </c>
    </row>
    <row r="70" spans="1:10" x14ac:dyDescent="0.25">
      <c r="A70" s="44" t="s">
        <v>178</v>
      </c>
      <c r="B70" s="38" t="s">
        <v>1223</v>
      </c>
      <c r="C70" s="38">
        <v>10500</v>
      </c>
      <c r="D70" s="38">
        <f t="shared" si="6"/>
        <v>9.754828640176888E-2</v>
      </c>
      <c r="E70" s="38">
        <v>1750</v>
      </c>
      <c r="F70" s="38">
        <f t="shared" si="7"/>
        <v>793.78759151236954</v>
      </c>
      <c r="G70" s="38" t="s">
        <v>1182</v>
      </c>
      <c r="H70" s="38">
        <v>2013</v>
      </c>
      <c r="I70">
        <f t="shared" si="8"/>
        <v>0.16666666666666666</v>
      </c>
      <c r="J70" s="40">
        <f t="shared" ref="J70:J133" si="9">F70/D70</f>
        <v>8137.3811964571369</v>
      </c>
    </row>
    <row r="71" spans="1:10" x14ac:dyDescent="0.25">
      <c r="A71" s="44" t="s">
        <v>178</v>
      </c>
      <c r="B71" s="38" t="s">
        <v>1224</v>
      </c>
      <c r="C71" s="38">
        <v>224</v>
      </c>
      <c r="D71" s="38">
        <f t="shared" si="6"/>
        <v>2.0810301099044026E-3</v>
      </c>
      <c r="E71" s="38">
        <v>157</v>
      </c>
      <c r="F71" s="38">
        <f t="shared" si="7"/>
        <v>71.214086781395437</v>
      </c>
      <c r="G71" s="38" t="s">
        <v>1182</v>
      </c>
      <c r="H71" s="38">
        <v>2015</v>
      </c>
      <c r="I71">
        <f t="shared" si="8"/>
        <v>0.7008928571428571</v>
      </c>
      <c r="J71" s="40">
        <f t="shared" si="9"/>
        <v>34220.59413867243</v>
      </c>
    </row>
    <row r="72" spans="1:10" x14ac:dyDescent="0.25">
      <c r="A72" s="44" t="s">
        <v>178</v>
      </c>
      <c r="B72" s="38" t="s">
        <v>1224</v>
      </c>
      <c r="C72" s="38">
        <v>150</v>
      </c>
      <c r="D72" s="38">
        <f t="shared" si="6"/>
        <v>1.3935469485966982E-3</v>
      </c>
      <c r="E72" s="38">
        <v>65</v>
      </c>
      <c r="F72" s="38">
        <f t="shared" si="7"/>
        <v>29.483539113316585</v>
      </c>
      <c r="G72" s="38" t="s">
        <v>1182</v>
      </c>
      <c r="H72" s="38">
        <v>2019</v>
      </c>
      <c r="I72">
        <f t="shared" si="8"/>
        <v>0.43333333333333335</v>
      </c>
      <c r="J72" s="40">
        <f t="shared" si="9"/>
        <v>21157.191110788561</v>
      </c>
    </row>
    <row r="73" spans="1:10" x14ac:dyDescent="0.25">
      <c r="A73" s="44" t="s">
        <v>178</v>
      </c>
      <c r="B73" s="38" t="s">
        <v>1224</v>
      </c>
      <c r="C73" s="38">
        <v>150</v>
      </c>
      <c r="D73" s="38">
        <f t="shared" si="6"/>
        <v>1.3935469485966982E-3</v>
      </c>
      <c r="E73" s="38">
        <v>66</v>
      </c>
      <c r="F73" s="38">
        <f t="shared" si="7"/>
        <v>29.937132022752223</v>
      </c>
      <c r="G73" s="38" t="s">
        <v>1182</v>
      </c>
      <c r="H73" s="38">
        <v>2019</v>
      </c>
      <c r="I73">
        <f t="shared" si="8"/>
        <v>0.44</v>
      </c>
      <c r="J73" s="40">
        <f t="shared" si="9"/>
        <v>21482.686358646843</v>
      </c>
    </row>
    <row r="74" spans="1:10" x14ac:dyDescent="0.25">
      <c r="A74" s="44" t="s">
        <v>178</v>
      </c>
      <c r="B74" s="38" t="s">
        <v>1224</v>
      </c>
      <c r="C74" s="38">
        <v>2500</v>
      </c>
      <c r="D74" s="38">
        <f t="shared" si="6"/>
        <v>2.3225782476611636E-2</v>
      </c>
      <c r="E74" s="38">
        <v>3000</v>
      </c>
      <c r="F74" s="38">
        <f t="shared" si="7"/>
        <v>1360.7787283069192</v>
      </c>
      <c r="G74" s="38" t="s">
        <v>1182</v>
      </c>
      <c r="H74" s="38">
        <v>2014</v>
      </c>
      <c r="I74">
        <f t="shared" si="8"/>
        <v>1.2</v>
      </c>
      <c r="J74" s="40">
        <f t="shared" si="9"/>
        <v>58589.144614491393</v>
      </c>
    </row>
    <row r="75" spans="1:10" x14ac:dyDescent="0.25">
      <c r="A75" s="44" t="s">
        <v>178</v>
      </c>
      <c r="B75" s="38" t="s">
        <v>1224</v>
      </c>
      <c r="C75" s="38">
        <v>61</v>
      </c>
      <c r="D75" s="38">
        <f t="shared" si="6"/>
        <v>5.6670909242932394E-4</v>
      </c>
      <c r="E75" s="38">
        <v>72</v>
      </c>
      <c r="F75" s="38">
        <f t="shared" si="7"/>
        <v>32.65868947936606</v>
      </c>
      <c r="G75" s="38" t="s">
        <v>1182</v>
      </c>
      <c r="H75" s="38">
        <v>2014</v>
      </c>
      <c r="I75">
        <f t="shared" si="8"/>
        <v>1.180327868852459</v>
      </c>
      <c r="J75" s="40">
        <f t="shared" si="9"/>
        <v>57628.666833925956</v>
      </c>
    </row>
    <row r="76" spans="1:10" x14ac:dyDescent="0.25">
      <c r="A76" s="44" t="s">
        <v>178</v>
      </c>
      <c r="B76" s="38" t="s">
        <v>1225</v>
      </c>
      <c r="C76" s="38">
        <v>76</v>
      </c>
      <c r="D76" s="38">
        <f t="shared" si="6"/>
        <v>7.0606378728899381E-4</v>
      </c>
      <c r="E76" s="38">
        <v>41</v>
      </c>
      <c r="F76" s="38">
        <f t="shared" si="7"/>
        <v>18.597309286861229</v>
      </c>
      <c r="G76" s="38" t="s">
        <v>1182</v>
      </c>
      <c r="H76">
        <v>2014</v>
      </c>
      <c r="I76">
        <f t="shared" si="8"/>
        <v>0.53947368421052633</v>
      </c>
      <c r="J76" s="40">
        <f t="shared" si="9"/>
        <v>26339.418083269153</v>
      </c>
    </row>
    <row r="77" spans="1:10" x14ac:dyDescent="0.25">
      <c r="A77" s="44" t="s">
        <v>178</v>
      </c>
      <c r="B77" s="38" t="s">
        <v>1225</v>
      </c>
      <c r="C77" s="38">
        <v>104</v>
      </c>
      <c r="D77" s="38">
        <f t="shared" si="6"/>
        <v>9.6619255102704414E-4</v>
      </c>
      <c r="E77" s="38">
        <v>50</v>
      </c>
      <c r="F77" s="38">
        <f t="shared" si="7"/>
        <v>22.679645471781988</v>
      </c>
      <c r="G77" s="38" t="s">
        <v>1204</v>
      </c>
      <c r="H77">
        <v>2015</v>
      </c>
      <c r="I77">
        <f t="shared" si="8"/>
        <v>0.48076923076923078</v>
      </c>
      <c r="J77" s="40">
        <f t="shared" si="9"/>
        <v>23473.214989780205</v>
      </c>
    </row>
    <row r="78" spans="1:10" x14ac:dyDescent="0.25">
      <c r="A78" s="44" t="s">
        <v>178</v>
      </c>
      <c r="B78" s="38" t="s">
        <v>1226</v>
      </c>
      <c r="C78" s="38">
        <v>300</v>
      </c>
      <c r="D78" s="38">
        <f t="shared" si="6"/>
        <v>2.7870938971933964E-3</v>
      </c>
      <c r="E78" s="38">
        <v>99</v>
      </c>
      <c r="F78" s="38">
        <f t="shared" si="7"/>
        <v>44.905698034128335</v>
      </c>
      <c r="G78" s="38" t="s">
        <v>1182</v>
      </c>
      <c r="H78" s="38">
        <v>2015</v>
      </c>
      <c r="I78">
        <f t="shared" si="8"/>
        <v>0.33</v>
      </c>
      <c r="J78" s="40">
        <f t="shared" si="9"/>
        <v>16112.014768985133</v>
      </c>
    </row>
    <row r="79" spans="1:10" x14ac:dyDescent="0.25">
      <c r="A79" s="44" t="s">
        <v>178</v>
      </c>
      <c r="B79" s="38" t="s">
        <v>1226</v>
      </c>
      <c r="C79" s="38">
        <v>400</v>
      </c>
      <c r="D79" s="38">
        <f t="shared" si="6"/>
        <v>3.7161251962578618E-3</v>
      </c>
      <c r="E79" s="38">
        <v>125</v>
      </c>
      <c r="F79" s="38">
        <f t="shared" si="7"/>
        <v>56.699113679454967</v>
      </c>
      <c r="G79" s="38" t="s">
        <v>1182</v>
      </c>
      <c r="H79" s="38">
        <v>2014</v>
      </c>
      <c r="I79">
        <f t="shared" si="8"/>
        <v>0.3125</v>
      </c>
      <c r="J79" s="40">
        <f t="shared" si="9"/>
        <v>15257.589743357134</v>
      </c>
    </row>
    <row r="80" spans="1:10" x14ac:dyDescent="0.25">
      <c r="A80" s="44" t="s">
        <v>178</v>
      </c>
      <c r="B80" s="38" t="s">
        <v>1227</v>
      </c>
      <c r="C80" s="38">
        <v>150</v>
      </c>
      <c r="D80" s="38">
        <f t="shared" si="6"/>
        <v>1.3935469485966982E-3</v>
      </c>
      <c r="E80" s="38">
        <v>73</v>
      </c>
      <c r="F80" s="38">
        <f t="shared" si="7"/>
        <v>33.112282388801702</v>
      </c>
      <c r="G80" s="38" t="s">
        <v>1182</v>
      </c>
      <c r="H80" s="38">
        <v>2019</v>
      </c>
      <c r="I80">
        <f t="shared" si="8"/>
        <v>0.48666666666666669</v>
      </c>
      <c r="J80" s="40">
        <f t="shared" si="9"/>
        <v>23761.153093654844</v>
      </c>
    </row>
    <row r="81" spans="1:10" x14ac:dyDescent="0.25">
      <c r="A81" s="44" t="s">
        <v>178</v>
      </c>
      <c r="B81" s="38" t="s">
        <v>1227</v>
      </c>
      <c r="C81" s="38">
        <v>150</v>
      </c>
      <c r="D81" s="38">
        <f t="shared" si="6"/>
        <v>1.3935469485966982E-3</v>
      </c>
      <c r="E81" s="38">
        <v>69</v>
      </c>
      <c r="F81" s="38">
        <f t="shared" si="7"/>
        <v>31.297910751059142</v>
      </c>
      <c r="G81" s="38" t="s">
        <v>1182</v>
      </c>
      <c r="H81" s="38">
        <v>2019</v>
      </c>
      <c r="I81">
        <f t="shared" si="8"/>
        <v>0.46</v>
      </c>
      <c r="J81" s="40">
        <f t="shared" si="9"/>
        <v>22459.172102221699</v>
      </c>
    </row>
    <row r="82" spans="1:10" x14ac:dyDescent="0.25">
      <c r="A82" s="44" t="s">
        <v>178</v>
      </c>
      <c r="B82" s="38" t="s">
        <v>1228</v>
      </c>
      <c r="C82" s="38">
        <v>23000</v>
      </c>
      <c r="D82" s="38">
        <f t="shared" si="6"/>
        <v>0.21367719878482705</v>
      </c>
      <c r="E82" s="38">
        <v>800</v>
      </c>
      <c r="F82" s="38">
        <f t="shared" si="7"/>
        <v>362.87432754851181</v>
      </c>
      <c r="G82" s="38" t="s">
        <v>1182</v>
      </c>
      <c r="H82" s="38">
        <v>2013</v>
      </c>
      <c r="I82">
        <f t="shared" si="8"/>
        <v>3.4782608695652174E-2</v>
      </c>
      <c r="J82" s="40">
        <f t="shared" si="9"/>
        <v>1698.2360757823594</v>
      </c>
    </row>
    <row r="83" spans="1:10" x14ac:dyDescent="0.25">
      <c r="A83" s="44" t="s">
        <v>178</v>
      </c>
      <c r="B83" s="38" t="s">
        <v>1228</v>
      </c>
      <c r="C83" s="38">
        <v>112</v>
      </c>
      <c r="D83" s="38">
        <f t="shared" si="6"/>
        <v>1.0405150549522013E-3</v>
      </c>
      <c r="E83" s="38">
        <v>47</v>
      </c>
      <c r="F83" s="38">
        <f t="shared" si="7"/>
        <v>21.318866743475066</v>
      </c>
      <c r="G83" s="38" t="s">
        <v>1182</v>
      </c>
      <c r="H83" s="38">
        <v>2015</v>
      </c>
      <c r="I83">
        <f t="shared" si="8"/>
        <v>0.41964285714285715</v>
      </c>
      <c r="J83" s="40">
        <f t="shared" si="9"/>
        <v>20488.763369651006</v>
      </c>
    </row>
    <row r="84" spans="1:10" x14ac:dyDescent="0.25">
      <c r="A84" s="44" t="s">
        <v>178</v>
      </c>
      <c r="B84" s="38" t="s">
        <v>1229</v>
      </c>
      <c r="C84" s="38">
        <v>169</v>
      </c>
      <c r="D84" s="38">
        <f t="shared" si="6"/>
        <v>1.5700628954189466E-3</v>
      </c>
      <c r="E84" s="38">
        <v>65</v>
      </c>
      <c r="F84" s="38">
        <f t="shared" si="7"/>
        <v>29.483539113316585</v>
      </c>
      <c r="G84" s="38" t="s">
        <v>1182</v>
      </c>
      <c r="H84" s="38">
        <v>2014</v>
      </c>
      <c r="I84">
        <f t="shared" si="8"/>
        <v>0.38461538461538464</v>
      </c>
      <c r="J84" s="40">
        <f t="shared" si="9"/>
        <v>18778.571991824167</v>
      </c>
    </row>
    <row r="85" spans="1:10" x14ac:dyDescent="0.25">
      <c r="A85" s="44" t="s">
        <v>178</v>
      </c>
      <c r="B85" s="38" t="s">
        <v>1229</v>
      </c>
      <c r="C85" s="38">
        <v>68</v>
      </c>
      <c r="D85" s="38">
        <f t="shared" si="6"/>
        <v>6.3174128336383653E-4</v>
      </c>
      <c r="E85" s="38">
        <v>34</v>
      </c>
      <c r="F85" s="38">
        <f t="shared" si="7"/>
        <v>15.422158920811752</v>
      </c>
      <c r="G85" s="38" t="s">
        <v>1204</v>
      </c>
      <c r="H85">
        <v>2015</v>
      </c>
      <c r="I85">
        <f t="shared" si="8"/>
        <v>0.5</v>
      </c>
      <c r="J85" s="40">
        <f t="shared" si="9"/>
        <v>24412.143589371415</v>
      </c>
    </row>
    <row r="86" spans="1:10" x14ac:dyDescent="0.25">
      <c r="A86" s="44" t="s">
        <v>178</v>
      </c>
      <c r="B86" s="38" t="s">
        <v>1230</v>
      </c>
      <c r="C86" s="38">
        <v>98</v>
      </c>
      <c r="D86" s="38">
        <f t="shared" si="6"/>
        <v>9.1045067308317615E-4</v>
      </c>
      <c r="E86" s="38">
        <v>61</v>
      </c>
      <c r="F86" s="38">
        <f t="shared" si="7"/>
        <v>27.669167475574024</v>
      </c>
      <c r="G86" s="38" t="s">
        <v>1182</v>
      </c>
      <c r="H86" s="38">
        <v>2015</v>
      </c>
      <c r="I86">
        <f t="shared" si="8"/>
        <v>0.62244897959183676</v>
      </c>
      <c r="J86" s="40">
        <f t="shared" si="9"/>
        <v>30390.627733707272</v>
      </c>
    </row>
    <row r="87" spans="1:10" x14ac:dyDescent="0.25">
      <c r="A87" s="44" t="s">
        <v>178</v>
      </c>
      <c r="B87" s="38" t="s">
        <v>1230</v>
      </c>
      <c r="C87" s="38">
        <v>98</v>
      </c>
      <c r="D87" s="38">
        <f t="shared" si="6"/>
        <v>9.1045067308317615E-4</v>
      </c>
      <c r="E87" s="38">
        <v>61</v>
      </c>
      <c r="F87" s="38">
        <f t="shared" si="7"/>
        <v>27.669167475574024</v>
      </c>
      <c r="G87" s="38" t="s">
        <v>1182</v>
      </c>
      <c r="H87" s="38">
        <v>2015</v>
      </c>
      <c r="I87">
        <f t="shared" si="8"/>
        <v>0.62244897959183676</v>
      </c>
      <c r="J87" s="40">
        <f t="shared" si="9"/>
        <v>30390.627733707272</v>
      </c>
    </row>
    <row r="88" spans="1:10" x14ac:dyDescent="0.25">
      <c r="A88" s="44" t="s">
        <v>178</v>
      </c>
      <c r="B88" s="38" t="s">
        <v>1230</v>
      </c>
      <c r="C88" s="38">
        <v>119</v>
      </c>
      <c r="D88" s="38">
        <f t="shared" si="6"/>
        <v>1.1055472458867139E-3</v>
      </c>
      <c r="E88" s="38">
        <v>73</v>
      </c>
      <c r="F88" s="38">
        <f t="shared" si="7"/>
        <v>33.112282388801702</v>
      </c>
      <c r="G88" s="38" t="s">
        <v>1182</v>
      </c>
      <c r="H88" s="38">
        <v>2014</v>
      </c>
      <c r="I88">
        <f t="shared" si="8"/>
        <v>0.61344537815126055</v>
      </c>
      <c r="J88" s="40">
        <f t="shared" si="9"/>
        <v>29951.033311329636</v>
      </c>
    </row>
    <row r="89" spans="1:10" x14ac:dyDescent="0.25">
      <c r="A89" s="44" t="s">
        <v>178</v>
      </c>
      <c r="B89" s="38" t="s">
        <v>1231</v>
      </c>
      <c r="C89" s="38">
        <v>3600</v>
      </c>
      <c r="D89" s="38">
        <f t="shared" si="6"/>
        <v>3.3445126766320755E-2</v>
      </c>
      <c r="E89" s="38">
        <v>1379</v>
      </c>
      <c r="F89" s="38">
        <f t="shared" si="7"/>
        <v>625.50462211174715</v>
      </c>
      <c r="G89" s="38" t="s">
        <v>1182</v>
      </c>
      <c r="H89" s="38">
        <v>2020</v>
      </c>
      <c r="I89">
        <f t="shared" si="8"/>
        <v>0.38305555555555554</v>
      </c>
      <c r="J89" s="40">
        <f t="shared" si="9"/>
        <v>18702.414449857322</v>
      </c>
    </row>
    <row r="90" spans="1:10" x14ac:dyDescent="0.25">
      <c r="A90" s="44" t="s">
        <v>1232</v>
      </c>
      <c r="B90" s="38" t="s">
        <v>1233</v>
      </c>
      <c r="C90" s="38">
        <v>193</v>
      </c>
      <c r="D90" s="38">
        <f t="shared" si="6"/>
        <v>1.7930304071944183E-3</v>
      </c>
      <c r="E90" s="38">
        <v>105</v>
      </c>
      <c r="F90" s="38">
        <f t="shared" si="7"/>
        <v>47.627255490742172</v>
      </c>
      <c r="G90" s="38" t="s">
        <v>1204</v>
      </c>
      <c r="H90">
        <v>2014</v>
      </c>
      <c r="I90">
        <f t="shared" si="8"/>
        <v>0.54404145077720212</v>
      </c>
      <c r="J90" s="40">
        <f t="shared" si="9"/>
        <v>26562.436029885994</v>
      </c>
    </row>
    <row r="91" spans="1:10" x14ac:dyDescent="0.25">
      <c r="A91" s="44" t="s">
        <v>1232</v>
      </c>
      <c r="B91" s="38" t="s">
        <v>1234</v>
      </c>
      <c r="C91" s="38">
        <v>300</v>
      </c>
      <c r="D91" s="38">
        <f t="shared" si="6"/>
        <v>2.7870938971933964E-3</v>
      </c>
      <c r="E91" s="38">
        <v>110</v>
      </c>
      <c r="F91" s="38">
        <f t="shared" si="7"/>
        <v>49.895220037920375</v>
      </c>
      <c r="G91" s="38" t="s">
        <v>1204</v>
      </c>
      <c r="I91">
        <f t="shared" si="8"/>
        <v>0.36666666666666664</v>
      </c>
      <c r="J91" s="40">
        <f t="shared" si="9"/>
        <v>17902.238632205703</v>
      </c>
    </row>
    <row r="92" spans="1:10" x14ac:dyDescent="0.25">
      <c r="A92" s="44" t="s">
        <v>1232</v>
      </c>
      <c r="B92" s="38" t="s">
        <v>1234</v>
      </c>
      <c r="C92" s="38">
        <v>800</v>
      </c>
      <c r="D92" s="38">
        <f t="shared" si="6"/>
        <v>7.4322503925157235E-3</v>
      </c>
      <c r="E92" s="38">
        <v>223</v>
      </c>
      <c r="F92" s="38">
        <f t="shared" si="7"/>
        <v>101.15121880414766</v>
      </c>
      <c r="G92" s="38" t="s">
        <v>1204</v>
      </c>
      <c r="I92">
        <f t="shared" si="8"/>
        <v>0.27875</v>
      </c>
      <c r="J92" s="40">
        <f t="shared" si="9"/>
        <v>13609.770051074564</v>
      </c>
    </row>
    <row r="93" spans="1:10" x14ac:dyDescent="0.25">
      <c r="A93" s="44" t="s">
        <v>1232</v>
      </c>
      <c r="B93" s="38" t="s">
        <v>1234</v>
      </c>
      <c r="C93" s="38">
        <v>301</v>
      </c>
      <c r="D93" s="38">
        <f t="shared" si="6"/>
        <v>2.796384210184041E-3</v>
      </c>
      <c r="E93" s="38">
        <v>212</v>
      </c>
      <c r="F93" s="38">
        <f t="shared" si="7"/>
        <v>96.161696800355628</v>
      </c>
      <c r="G93" s="38" t="s">
        <v>1204</v>
      </c>
      <c r="H93">
        <v>2013</v>
      </c>
      <c r="I93">
        <f t="shared" si="8"/>
        <v>0.70431893687707636</v>
      </c>
      <c r="J93" s="40">
        <f t="shared" si="9"/>
        <v>34387.870039513218</v>
      </c>
    </row>
    <row r="94" spans="1:10" x14ac:dyDescent="0.25">
      <c r="A94" s="44" t="s">
        <v>1232</v>
      </c>
      <c r="B94" s="38" t="s">
        <v>1234</v>
      </c>
      <c r="C94" s="38">
        <v>1032</v>
      </c>
      <c r="D94" s="38">
        <f t="shared" si="6"/>
        <v>9.5876030063452838E-3</v>
      </c>
      <c r="E94" s="38">
        <v>573</v>
      </c>
      <c r="F94" s="38">
        <f t="shared" si="7"/>
        <v>259.90873710662157</v>
      </c>
      <c r="G94" s="38" t="s">
        <v>1204</v>
      </c>
      <c r="H94">
        <v>2014</v>
      </c>
      <c r="I94">
        <f t="shared" si="8"/>
        <v>0.55523255813953487</v>
      </c>
      <c r="J94" s="40">
        <f t="shared" si="9"/>
        <v>27108.833869592672</v>
      </c>
    </row>
    <row r="95" spans="1:10" x14ac:dyDescent="0.25">
      <c r="A95" s="44" t="s">
        <v>1232</v>
      </c>
      <c r="B95" s="38" t="s">
        <v>1235</v>
      </c>
      <c r="C95" s="38">
        <v>400</v>
      </c>
      <c r="D95" s="38">
        <f t="shared" si="6"/>
        <v>3.7161251962578618E-3</v>
      </c>
      <c r="E95" s="38">
        <v>72</v>
      </c>
      <c r="F95" s="38">
        <f t="shared" si="7"/>
        <v>32.65868947936606</v>
      </c>
      <c r="G95" s="38" t="s">
        <v>1204</v>
      </c>
      <c r="H95">
        <v>2017</v>
      </c>
      <c r="I95">
        <f t="shared" si="8"/>
        <v>0.18</v>
      </c>
      <c r="J95" s="40">
        <f t="shared" si="9"/>
        <v>8788.3716921737087</v>
      </c>
    </row>
    <row r="96" spans="1:10" x14ac:dyDescent="0.25">
      <c r="A96" s="44" t="s">
        <v>1232</v>
      </c>
      <c r="B96" s="38" t="s">
        <v>1235</v>
      </c>
      <c r="C96" s="38">
        <v>6250</v>
      </c>
      <c r="D96" s="38">
        <f t="shared" si="6"/>
        <v>5.8064456191529092E-2</v>
      </c>
      <c r="E96" s="38">
        <v>4800</v>
      </c>
      <c r="F96" s="38">
        <f t="shared" si="7"/>
        <v>2177.2459652910707</v>
      </c>
      <c r="G96" s="38" t="s">
        <v>1204</v>
      </c>
      <c r="H96">
        <v>2013</v>
      </c>
      <c r="I96">
        <f t="shared" si="8"/>
        <v>0.76800000000000002</v>
      </c>
      <c r="J96" s="40">
        <f t="shared" si="9"/>
        <v>37497.052553274487</v>
      </c>
    </row>
    <row r="97" spans="1:10" x14ac:dyDescent="0.25">
      <c r="A97" s="44" t="s">
        <v>1232</v>
      </c>
      <c r="B97" s="38" t="s">
        <v>1235</v>
      </c>
      <c r="C97" s="38">
        <v>301</v>
      </c>
      <c r="D97" s="38">
        <f t="shared" si="6"/>
        <v>2.796384210184041E-3</v>
      </c>
      <c r="E97" s="38">
        <v>275</v>
      </c>
      <c r="F97" s="38">
        <f t="shared" si="7"/>
        <v>124.73805009480093</v>
      </c>
      <c r="G97" s="38" t="s">
        <v>1204</v>
      </c>
      <c r="H97">
        <v>2013</v>
      </c>
      <c r="I97">
        <f t="shared" si="8"/>
        <v>0.91362126245847175</v>
      </c>
      <c r="J97" s="40">
        <f t="shared" si="9"/>
        <v>44606.906890877995</v>
      </c>
    </row>
    <row r="98" spans="1:10" x14ac:dyDescent="0.25">
      <c r="A98" s="44" t="s">
        <v>1232</v>
      </c>
      <c r="B98" s="38" t="s">
        <v>1235</v>
      </c>
      <c r="C98" s="38">
        <v>400</v>
      </c>
      <c r="D98" s="38">
        <f t="shared" si="6"/>
        <v>3.7161251962578618E-3</v>
      </c>
      <c r="E98" s="38">
        <v>196</v>
      </c>
      <c r="F98" s="38">
        <f t="shared" si="7"/>
        <v>88.904210249385386</v>
      </c>
      <c r="G98" s="38" t="s">
        <v>1204</v>
      </c>
      <c r="H98">
        <v>2017</v>
      </c>
      <c r="I98">
        <f t="shared" si="8"/>
        <v>0.49</v>
      </c>
      <c r="J98" s="40">
        <f t="shared" si="9"/>
        <v>23923.900717583983</v>
      </c>
    </row>
    <row r="99" spans="1:10" x14ac:dyDescent="0.25">
      <c r="A99" s="44" t="s">
        <v>1232</v>
      </c>
      <c r="B99" s="38" t="s">
        <v>1235</v>
      </c>
      <c r="C99" s="38">
        <v>387</v>
      </c>
      <c r="D99" s="38">
        <f t="shared" si="6"/>
        <v>3.5953511273794816E-3</v>
      </c>
      <c r="E99" s="38">
        <v>196</v>
      </c>
      <c r="F99" s="38">
        <f t="shared" si="7"/>
        <v>88.904210249385386</v>
      </c>
      <c r="G99" s="38" t="s">
        <v>1204</v>
      </c>
      <c r="H99">
        <v>2014</v>
      </c>
      <c r="I99">
        <f t="shared" si="8"/>
        <v>0.50645994832041341</v>
      </c>
      <c r="J99" s="40">
        <f t="shared" si="9"/>
        <v>24727.545961327112</v>
      </c>
    </row>
    <row r="100" spans="1:10" x14ac:dyDescent="0.25">
      <c r="A100" s="44" t="s">
        <v>1232</v>
      </c>
      <c r="B100" s="38" t="s">
        <v>1236</v>
      </c>
      <c r="C100" s="38">
        <v>480</v>
      </c>
      <c r="D100" s="38">
        <f t="shared" si="6"/>
        <v>4.4593502355094339E-3</v>
      </c>
      <c r="E100" s="38">
        <v>295</v>
      </c>
      <c r="F100" s="38">
        <f t="shared" si="7"/>
        <v>133.80990828351372</v>
      </c>
      <c r="G100" s="38" t="s">
        <v>1204</v>
      </c>
      <c r="H100">
        <v>2015</v>
      </c>
      <c r="I100">
        <f t="shared" si="8"/>
        <v>0.61458333333333337</v>
      </c>
      <c r="J100" s="40">
        <f t="shared" si="9"/>
        <v>30006.593161935696</v>
      </c>
    </row>
    <row r="101" spans="1:10" x14ac:dyDescent="0.25">
      <c r="A101" s="44" t="s">
        <v>1232</v>
      </c>
      <c r="B101" s="38" t="s">
        <v>1236</v>
      </c>
      <c r="C101" s="38">
        <v>2325</v>
      </c>
      <c r="D101" s="38">
        <f t="shared" si="6"/>
        <v>2.1599977703248823E-2</v>
      </c>
      <c r="E101" s="38">
        <v>2303</v>
      </c>
      <c r="F101" s="38">
        <f t="shared" si="7"/>
        <v>1044.6244704302783</v>
      </c>
      <c r="G101" s="38" t="s">
        <v>1204</v>
      </c>
      <c r="H101">
        <v>2013</v>
      </c>
      <c r="I101">
        <f t="shared" si="8"/>
        <v>0.9905376344086021</v>
      </c>
      <c r="J101" s="40">
        <f t="shared" si="9"/>
        <v>48362.293923718156</v>
      </c>
    </row>
    <row r="102" spans="1:10" x14ac:dyDescent="0.25">
      <c r="A102" s="44" t="s">
        <v>1232</v>
      </c>
      <c r="B102" s="38" t="s">
        <v>1236</v>
      </c>
      <c r="C102" s="38">
        <v>9300</v>
      </c>
      <c r="D102" s="38">
        <f t="shared" si="6"/>
        <v>8.6399910812995293E-2</v>
      </c>
      <c r="E102" s="38">
        <v>8640</v>
      </c>
      <c r="F102" s="38">
        <f t="shared" si="7"/>
        <v>3919.0427375239274</v>
      </c>
      <c r="G102" s="38" t="s">
        <v>1204</v>
      </c>
      <c r="H102">
        <v>2014</v>
      </c>
      <c r="I102">
        <f t="shared" si="8"/>
        <v>0.92903225806451617</v>
      </c>
      <c r="J102" s="40">
        <f t="shared" si="9"/>
        <v>45359.337766057848</v>
      </c>
    </row>
    <row r="103" spans="1:10" x14ac:dyDescent="0.25">
      <c r="A103" s="44" t="s">
        <v>1232</v>
      </c>
      <c r="B103" s="38" t="s">
        <v>1236</v>
      </c>
      <c r="C103" s="38">
        <v>301</v>
      </c>
      <c r="D103" s="38">
        <f t="shared" si="6"/>
        <v>2.796384210184041E-3</v>
      </c>
      <c r="E103" s="38">
        <v>326</v>
      </c>
      <c r="F103" s="38">
        <f t="shared" si="7"/>
        <v>147.87128847601855</v>
      </c>
      <c r="G103" s="38" t="s">
        <v>1204</v>
      </c>
      <c r="H103">
        <v>2013</v>
      </c>
      <c r="I103">
        <f t="shared" si="8"/>
        <v>1.0830564784053156</v>
      </c>
      <c r="J103" s="40">
        <f t="shared" si="9"/>
        <v>52879.460532459008</v>
      </c>
    </row>
    <row r="104" spans="1:10" x14ac:dyDescent="0.25">
      <c r="A104" s="44" t="s">
        <v>1232</v>
      </c>
      <c r="B104" s="38" t="s">
        <v>1236</v>
      </c>
      <c r="C104" s="38">
        <v>1925</v>
      </c>
      <c r="D104" s="38">
        <f t="shared" si="6"/>
        <v>1.7883852506990962E-2</v>
      </c>
      <c r="E104" s="38">
        <v>836</v>
      </c>
      <c r="F104" s="38">
        <f t="shared" si="7"/>
        <v>379.20367228819481</v>
      </c>
      <c r="G104" s="38" t="s">
        <v>1204</v>
      </c>
      <c r="H104">
        <v>2014</v>
      </c>
      <c r="I104">
        <f t="shared" si="8"/>
        <v>0.43428571428571427</v>
      </c>
      <c r="J104" s="40">
        <f t="shared" si="9"/>
        <v>21203.690431911167</v>
      </c>
    </row>
    <row r="105" spans="1:10" x14ac:dyDescent="0.25">
      <c r="A105" s="44" t="s">
        <v>1232</v>
      </c>
      <c r="B105" s="38" t="s">
        <v>1236</v>
      </c>
      <c r="C105" s="38">
        <v>3550</v>
      </c>
      <c r="D105" s="38">
        <f t="shared" si="6"/>
        <v>3.2980611116788523E-2</v>
      </c>
      <c r="E105" s="38">
        <v>1193</v>
      </c>
      <c r="F105" s="38">
        <f t="shared" si="7"/>
        <v>541.13634095671819</v>
      </c>
      <c r="G105" s="38" t="s">
        <v>1204</v>
      </c>
      <c r="H105">
        <v>2013</v>
      </c>
      <c r="I105">
        <f t="shared" si="8"/>
        <v>0.33605633802816903</v>
      </c>
      <c r="J105" s="40">
        <f t="shared" si="9"/>
        <v>16407.711156123998</v>
      </c>
    </row>
    <row r="106" spans="1:10" x14ac:dyDescent="0.25">
      <c r="A106" s="44" t="s">
        <v>1232</v>
      </c>
      <c r="B106" s="38" t="s">
        <v>1236</v>
      </c>
      <c r="C106" s="38">
        <v>1250</v>
      </c>
      <c r="D106" s="38">
        <f t="shared" si="6"/>
        <v>1.1612891238305818E-2</v>
      </c>
      <c r="E106" s="38">
        <v>415</v>
      </c>
      <c r="F106" s="38">
        <f t="shared" si="7"/>
        <v>188.24105741579049</v>
      </c>
      <c r="G106" s="38" t="s">
        <v>1204</v>
      </c>
      <c r="H106">
        <v>2014</v>
      </c>
      <c r="I106">
        <f t="shared" si="8"/>
        <v>0.33200000000000002</v>
      </c>
      <c r="J106" s="40">
        <f t="shared" si="9"/>
        <v>16209.66334334262</v>
      </c>
    </row>
    <row r="107" spans="1:10" x14ac:dyDescent="0.25">
      <c r="A107" s="44" t="s">
        <v>1232</v>
      </c>
      <c r="B107" s="38" t="s">
        <v>1236</v>
      </c>
      <c r="C107" s="38">
        <v>306</v>
      </c>
      <c r="D107" s="38">
        <f t="shared" si="6"/>
        <v>2.8428357751372644E-3</v>
      </c>
      <c r="E107" s="38">
        <v>132</v>
      </c>
      <c r="F107" s="38">
        <f t="shared" si="7"/>
        <v>59.874264045504447</v>
      </c>
      <c r="G107" s="38" t="s">
        <v>1204</v>
      </c>
      <c r="H107">
        <v>2014</v>
      </c>
      <c r="I107">
        <f t="shared" si="8"/>
        <v>0.43137254901960786</v>
      </c>
      <c r="J107" s="40">
        <f t="shared" si="9"/>
        <v>21061.457214359649</v>
      </c>
    </row>
    <row r="108" spans="1:10" x14ac:dyDescent="0.25">
      <c r="A108" s="44" t="s">
        <v>1232</v>
      </c>
      <c r="B108" s="38" t="s">
        <v>1237</v>
      </c>
      <c r="C108" s="38">
        <v>200</v>
      </c>
      <c r="D108" s="38">
        <f t="shared" si="6"/>
        <v>1.8580625981289309E-3</v>
      </c>
      <c r="E108" s="38">
        <v>90</v>
      </c>
      <c r="F108" s="38">
        <f t="shared" si="7"/>
        <v>40.823361849207579</v>
      </c>
      <c r="G108" s="38" t="s">
        <v>1204</v>
      </c>
      <c r="H108">
        <v>2013</v>
      </c>
      <c r="I108">
        <f t="shared" si="8"/>
        <v>0.45</v>
      </c>
      <c r="J108" s="40">
        <f t="shared" si="9"/>
        <v>21970.929230434274</v>
      </c>
    </row>
    <row r="109" spans="1:10" x14ac:dyDescent="0.25">
      <c r="A109" s="44" t="s">
        <v>1232</v>
      </c>
      <c r="B109" s="38" t="s">
        <v>1238</v>
      </c>
      <c r="C109" s="38">
        <v>675</v>
      </c>
      <c r="D109" s="38">
        <f t="shared" si="6"/>
        <v>6.2709612686851421E-3</v>
      </c>
      <c r="E109" s="38">
        <v>411</v>
      </c>
      <c r="F109" s="38">
        <f t="shared" si="7"/>
        <v>186.42668577804793</v>
      </c>
      <c r="G109" s="38" t="s">
        <v>1204</v>
      </c>
      <c r="H109">
        <v>2020</v>
      </c>
      <c r="I109">
        <f t="shared" si="8"/>
        <v>0.60888888888888892</v>
      </c>
      <c r="J109" s="40">
        <f t="shared" si="9"/>
        <v>29728.565971056742</v>
      </c>
    </row>
    <row r="110" spans="1:10" x14ac:dyDescent="0.25">
      <c r="A110" s="44" t="s">
        <v>1232</v>
      </c>
      <c r="B110" s="38" t="s">
        <v>1239</v>
      </c>
      <c r="C110" s="38">
        <v>452</v>
      </c>
      <c r="D110" s="38">
        <f t="shared" si="6"/>
        <v>4.1992214717713836E-3</v>
      </c>
      <c r="E110" s="38">
        <v>80</v>
      </c>
      <c r="F110" s="38">
        <f t="shared" si="7"/>
        <v>36.287432754851181</v>
      </c>
      <c r="G110" s="38" t="s">
        <v>1204</v>
      </c>
      <c r="H110">
        <v>2014</v>
      </c>
      <c r="I110">
        <f t="shared" si="8"/>
        <v>0.17699115044247787</v>
      </c>
      <c r="J110" s="40">
        <f t="shared" si="9"/>
        <v>8641.4667572996168</v>
      </c>
    </row>
    <row r="111" spans="1:10" x14ac:dyDescent="0.25">
      <c r="A111" s="44" t="s">
        <v>1232</v>
      </c>
      <c r="B111" s="38" t="s">
        <v>1240</v>
      </c>
      <c r="C111" s="38">
        <v>383</v>
      </c>
      <c r="D111" s="38">
        <f t="shared" si="6"/>
        <v>3.5581898754169028E-3</v>
      </c>
      <c r="E111" s="38">
        <v>16</v>
      </c>
      <c r="F111" s="38">
        <f t="shared" si="7"/>
        <v>7.2574865509702358</v>
      </c>
      <c r="G111" s="38" t="s">
        <v>1204</v>
      </c>
      <c r="H111">
        <v>2014</v>
      </c>
      <c r="I111">
        <f t="shared" si="8"/>
        <v>4.1775456919060053E-2</v>
      </c>
      <c r="J111" s="40">
        <f t="shared" si="9"/>
        <v>2039.6569056393869</v>
      </c>
    </row>
    <row r="112" spans="1:10" x14ac:dyDescent="0.25">
      <c r="A112" s="44" t="s">
        <v>1232</v>
      </c>
      <c r="B112" s="38" t="s">
        <v>1240</v>
      </c>
      <c r="C112" s="38">
        <v>383</v>
      </c>
      <c r="D112" s="38">
        <f t="shared" si="6"/>
        <v>3.5581898754169028E-3</v>
      </c>
      <c r="E112" s="38">
        <v>37</v>
      </c>
      <c r="F112" s="38">
        <f t="shared" si="7"/>
        <v>16.782937649118672</v>
      </c>
      <c r="G112" s="38" t="s">
        <v>1204</v>
      </c>
      <c r="H112">
        <v>2014</v>
      </c>
      <c r="I112">
        <f t="shared" si="8"/>
        <v>9.6605744125326368E-2</v>
      </c>
      <c r="J112" s="40">
        <f t="shared" si="9"/>
        <v>4716.7065942910831</v>
      </c>
    </row>
    <row r="113" spans="1:10" x14ac:dyDescent="0.25">
      <c r="A113" s="44" t="s">
        <v>1232</v>
      </c>
      <c r="B113" s="38" t="s">
        <v>1241</v>
      </c>
      <c r="C113" s="38">
        <v>400</v>
      </c>
      <c r="D113" s="38">
        <f t="shared" si="6"/>
        <v>3.7161251962578618E-3</v>
      </c>
      <c r="E113" s="38">
        <v>136</v>
      </c>
      <c r="F113" s="38">
        <f t="shared" si="7"/>
        <v>61.688635683247007</v>
      </c>
      <c r="G113" s="38" t="s">
        <v>1204</v>
      </c>
      <c r="H113">
        <v>2017</v>
      </c>
      <c r="I113">
        <f t="shared" si="8"/>
        <v>0.34</v>
      </c>
      <c r="J113" s="40">
        <f t="shared" si="9"/>
        <v>16600.257640772561</v>
      </c>
    </row>
    <row r="114" spans="1:10" x14ac:dyDescent="0.25">
      <c r="A114" s="44" t="s">
        <v>1232</v>
      </c>
      <c r="B114" s="38" t="s">
        <v>1241</v>
      </c>
      <c r="C114" s="38">
        <v>1620</v>
      </c>
      <c r="D114" s="38">
        <f t="shared" si="6"/>
        <v>1.5050307044844341E-2</v>
      </c>
      <c r="E114" s="38">
        <v>450</v>
      </c>
      <c r="F114" s="38">
        <f t="shared" si="7"/>
        <v>204.11680924603789</v>
      </c>
      <c r="G114" s="38" t="s">
        <v>1204</v>
      </c>
      <c r="I114">
        <f t="shared" si="8"/>
        <v>0.27777777777777779</v>
      </c>
      <c r="J114" s="40">
        <f t="shared" si="9"/>
        <v>13562.301994095231</v>
      </c>
    </row>
    <row r="115" spans="1:10" x14ac:dyDescent="0.25">
      <c r="A115" s="44" t="s">
        <v>1232</v>
      </c>
      <c r="B115" s="38" t="s">
        <v>1241</v>
      </c>
      <c r="C115" s="38">
        <v>1620</v>
      </c>
      <c r="D115" s="38">
        <f t="shared" si="6"/>
        <v>1.5050307044844341E-2</v>
      </c>
      <c r="E115" s="38">
        <v>318</v>
      </c>
      <c r="F115" s="38">
        <f t="shared" si="7"/>
        <v>144.24254520053344</v>
      </c>
      <c r="G115" s="38" t="s">
        <v>1204</v>
      </c>
      <c r="I115">
        <f t="shared" si="8"/>
        <v>0.1962962962962963</v>
      </c>
      <c r="J115" s="40">
        <f t="shared" si="9"/>
        <v>9584.026742493963</v>
      </c>
    </row>
    <row r="116" spans="1:10" x14ac:dyDescent="0.25">
      <c r="A116" s="44" t="s">
        <v>1232</v>
      </c>
      <c r="B116" s="38" t="s">
        <v>1241</v>
      </c>
      <c r="C116" s="38">
        <v>1200</v>
      </c>
      <c r="D116" s="38">
        <f t="shared" si="6"/>
        <v>1.1148375588773586E-2</v>
      </c>
      <c r="E116" s="38">
        <v>280</v>
      </c>
      <c r="F116" s="38">
        <f t="shared" si="7"/>
        <v>127.00601464197912</v>
      </c>
      <c r="G116" s="38" t="s">
        <v>1204</v>
      </c>
      <c r="H116">
        <v>2017</v>
      </c>
      <c r="I116">
        <f t="shared" si="8"/>
        <v>0.23333333333333334</v>
      </c>
      <c r="J116" s="40">
        <f t="shared" si="9"/>
        <v>11392.333675039992</v>
      </c>
    </row>
    <row r="117" spans="1:10" x14ac:dyDescent="0.25">
      <c r="A117" s="44" t="s">
        <v>1232</v>
      </c>
      <c r="B117" s="38" t="s">
        <v>1241</v>
      </c>
      <c r="C117" s="38">
        <v>1620</v>
      </c>
      <c r="D117" s="38">
        <f t="shared" si="6"/>
        <v>1.5050307044844341E-2</v>
      </c>
      <c r="E117" s="38">
        <v>428</v>
      </c>
      <c r="F117" s="38">
        <f t="shared" si="7"/>
        <v>194.13776523845382</v>
      </c>
      <c r="G117" s="38" t="s">
        <v>1204</v>
      </c>
      <c r="I117">
        <f t="shared" si="8"/>
        <v>0.26419753086419751</v>
      </c>
      <c r="J117" s="40">
        <f t="shared" si="9"/>
        <v>12899.256118828353</v>
      </c>
    </row>
    <row r="118" spans="1:10" x14ac:dyDescent="0.25">
      <c r="A118" s="44" t="s">
        <v>1232</v>
      </c>
      <c r="B118" s="38" t="s">
        <v>1241</v>
      </c>
      <c r="C118" s="38">
        <v>1620</v>
      </c>
      <c r="D118" s="38">
        <f t="shared" si="6"/>
        <v>1.5050307044844341E-2</v>
      </c>
      <c r="E118" s="38">
        <v>444</v>
      </c>
      <c r="F118" s="38">
        <f t="shared" si="7"/>
        <v>201.39525178942404</v>
      </c>
      <c r="G118" s="38" t="s">
        <v>1204</v>
      </c>
      <c r="I118">
        <f t="shared" si="8"/>
        <v>0.27407407407407408</v>
      </c>
      <c r="J118" s="40">
        <f t="shared" si="9"/>
        <v>13381.471300840625</v>
      </c>
    </row>
    <row r="119" spans="1:10" x14ac:dyDescent="0.25">
      <c r="A119" s="44" t="s">
        <v>1232</v>
      </c>
      <c r="B119" s="38" t="s">
        <v>1241</v>
      </c>
      <c r="C119" s="38">
        <v>400</v>
      </c>
      <c r="D119" s="38">
        <f t="shared" si="6"/>
        <v>3.7161251962578618E-3</v>
      </c>
      <c r="E119" s="38">
        <v>190</v>
      </c>
      <c r="F119" s="38">
        <f t="shared" si="7"/>
        <v>86.182652792771549</v>
      </c>
      <c r="G119" s="38" t="s">
        <v>1204</v>
      </c>
      <c r="H119">
        <v>2017</v>
      </c>
      <c r="I119">
        <f t="shared" si="8"/>
        <v>0.47499999999999998</v>
      </c>
      <c r="J119" s="40">
        <f t="shared" si="9"/>
        <v>23191.536409902841</v>
      </c>
    </row>
    <row r="120" spans="1:10" x14ac:dyDescent="0.25">
      <c r="A120" s="44" t="s">
        <v>1232</v>
      </c>
      <c r="B120" s="38" t="s">
        <v>1241</v>
      </c>
      <c r="C120" s="38">
        <v>400</v>
      </c>
      <c r="D120" s="38">
        <f t="shared" si="6"/>
        <v>3.7161251962578618E-3</v>
      </c>
      <c r="E120" s="38">
        <v>59</v>
      </c>
      <c r="F120" s="38">
        <f t="shared" si="7"/>
        <v>26.761981656702744</v>
      </c>
      <c r="G120" s="38" t="s">
        <v>1204</v>
      </c>
      <c r="H120">
        <v>2017</v>
      </c>
      <c r="I120">
        <f t="shared" si="8"/>
        <v>0.14749999999999999</v>
      </c>
      <c r="J120" s="40">
        <f t="shared" si="9"/>
        <v>7201.5823588645671</v>
      </c>
    </row>
    <row r="121" spans="1:10" x14ac:dyDescent="0.25">
      <c r="A121" s="44" t="s">
        <v>1242</v>
      </c>
      <c r="B121" s="38" t="s">
        <v>1243</v>
      </c>
      <c r="C121" s="38">
        <v>43561</v>
      </c>
      <c r="D121" s="38">
        <f t="shared" si="6"/>
        <v>0.40469532418547183</v>
      </c>
      <c r="E121" s="38">
        <v>2164</v>
      </c>
      <c r="F121" s="38">
        <f t="shared" si="7"/>
        <v>981.57505601872435</v>
      </c>
      <c r="G121" s="38" t="s">
        <v>1204</v>
      </c>
      <c r="H121">
        <v>2015</v>
      </c>
      <c r="I121">
        <f t="shared" si="8"/>
        <v>4.9677463786414452E-2</v>
      </c>
      <c r="J121" s="40">
        <f t="shared" si="9"/>
        <v>2425.4667582194961</v>
      </c>
    </row>
    <row r="122" spans="1:10" x14ac:dyDescent="0.25">
      <c r="A122" s="44" t="s">
        <v>1242</v>
      </c>
      <c r="B122" s="38" t="s">
        <v>1244</v>
      </c>
      <c r="C122" s="38">
        <v>43564</v>
      </c>
      <c r="D122" s="38">
        <f t="shared" si="6"/>
        <v>0.40472319512444377</v>
      </c>
      <c r="E122" s="38">
        <v>6789</v>
      </c>
      <c r="F122" s="38">
        <f t="shared" si="7"/>
        <v>3079.4422621585582</v>
      </c>
      <c r="G122" s="38" t="s">
        <v>1204</v>
      </c>
      <c r="H122">
        <v>2013</v>
      </c>
      <c r="I122">
        <f t="shared" si="8"/>
        <v>0.15583968414287025</v>
      </c>
      <c r="J122" s="40">
        <f t="shared" si="9"/>
        <v>7608.7614924360714</v>
      </c>
    </row>
    <row r="123" spans="1:10" x14ac:dyDescent="0.25">
      <c r="A123" s="44" t="s">
        <v>181</v>
      </c>
      <c r="B123" s="38" t="s">
        <v>1245</v>
      </c>
      <c r="C123" s="38">
        <v>450</v>
      </c>
      <c r="D123" s="38">
        <f t="shared" si="6"/>
        <v>4.1806408457900944E-3</v>
      </c>
      <c r="E123" s="38">
        <v>149</v>
      </c>
      <c r="F123" s="38">
        <f t="shared" si="7"/>
        <v>67.585343505910316</v>
      </c>
      <c r="G123" s="38" t="s">
        <v>1182</v>
      </c>
      <c r="H123">
        <v>2014</v>
      </c>
      <c r="I123">
        <f t="shared" si="8"/>
        <v>0.33111111111111113</v>
      </c>
      <c r="J123" s="40">
        <f t="shared" si="9"/>
        <v>16166.263976961513</v>
      </c>
    </row>
    <row r="124" spans="1:10" x14ac:dyDescent="0.25">
      <c r="A124" s="44" t="s">
        <v>181</v>
      </c>
      <c r="B124" s="38" t="s">
        <v>1245</v>
      </c>
      <c r="C124" s="38">
        <v>300</v>
      </c>
      <c r="D124" s="38">
        <f t="shared" si="6"/>
        <v>2.7870938971933964E-3</v>
      </c>
      <c r="E124" s="38">
        <v>400</v>
      </c>
      <c r="F124" s="38">
        <f t="shared" si="7"/>
        <v>181.43716377425591</v>
      </c>
      <c r="G124" s="38" t="s">
        <v>1182</v>
      </c>
      <c r="H124">
        <v>2013</v>
      </c>
      <c r="I124">
        <f t="shared" si="8"/>
        <v>1.3333333333333333</v>
      </c>
      <c r="J124" s="40">
        <f t="shared" si="9"/>
        <v>65099.049571657102</v>
      </c>
    </row>
    <row r="125" spans="1:10" x14ac:dyDescent="0.25">
      <c r="A125" s="44" t="s">
        <v>181</v>
      </c>
      <c r="B125" s="38" t="s">
        <v>1245</v>
      </c>
      <c r="C125" s="38">
        <v>720</v>
      </c>
      <c r="D125" s="38">
        <f t="shared" si="6"/>
        <v>6.6890253532641518E-3</v>
      </c>
      <c r="E125" s="38">
        <v>626</v>
      </c>
      <c r="F125" s="38">
        <f t="shared" si="7"/>
        <v>283.94916130671049</v>
      </c>
      <c r="G125" s="38" t="s">
        <v>1182</v>
      </c>
      <c r="H125">
        <v>2015</v>
      </c>
      <c r="I125">
        <f t="shared" si="8"/>
        <v>0.86944444444444446</v>
      </c>
      <c r="J125" s="40">
        <f t="shared" si="9"/>
        <v>42450.005241518069</v>
      </c>
    </row>
    <row r="126" spans="1:10" x14ac:dyDescent="0.25">
      <c r="A126" s="44" t="s">
        <v>181</v>
      </c>
      <c r="B126" s="38" t="s">
        <v>1245</v>
      </c>
      <c r="C126" s="38">
        <v>450</v>
      </c>
      <c r="D126" s="38">
        <f t="shared" si="6"/>
        <v>4.1806408457900944E-3</v>
      </c>
      <c r="E126" s="38">
        <v>35</v>
      </c>
      <c r="F126" s="38">
        <f t="shared" si="7"/>
        <v>15.87575183024739</v>
      </c>
      <c r="G126" s="38" t="s">
        <v>1182</v>
      </c>
      <c r="H126">
        <v>2014</v>
      </c>
      <c r="I126">
        <f t="shared" si="8"/>
        <v>7.7777777777777779E-2</v>
      </c>
      <c r="J126" s="40">
        <f t="shared" si="9"/>
        <v>3797.4445583466641</v>
      </c>
    </row>
    <row r="127" spans="1:10" x14ac:dyDescent="0.25">
      <c r="A127" s="44" t="s">
        <v>181</v>
      </c>
      <c r="B127" s="38" t="s">
        <v>1246</v>
      </c>
      <c r="C127" s="38">
        <v>450</v>
      </c>
      <c r="D127" s="38">
        <f t="shared" si="6"/>
        <v>4.1806408457900944E-3</v>
      </c>
      <c r="E127" s="38">
        <v>30</v>
      </c>
      <c r="F127" s="38">
        <f t="shared" si="7"/>
        <v>13.607787283069193</v>
      </c>
      <c r="G127" s="38" t="s">
        <v>1182</v>
      </c>
      <c r="H127">
        <v>2014</v>
      </c>
      <c r="I127">
        <f t="shared" si="8"/>
        <v>6.6666666666666666E-2</v>
      </c>
      <c r="J127" s="40">
        <f t="shared" si="9"/>
        <v>3254.9524785828553</v>
      </c>
    </row>
    <row r="128" spans="1:10" x14ac:dyDescent="0.25">
      <c r="A128" s="44" t="s">
        <v>181</v>
      </c>
      <c r="B128" s="38" t="s">
        <v>1246</v>
      </c>
      <c r="C128" s="38">
        <v>720</v>
      </c>
      <c r="D128" s="38">
        <f t="shared" si="6"/>
        <v>6.6890253532641518E-3</v>
      </c>
      <c r="E128" s="38">
        <v>168</v>
      </c>
      <c r="F128" s="38">
        <f t="shared" si="7"/>
        <v>76.20360878518747</v>
      </c>
      <c r="G128" s="38" t="s">
        <v>1182</v>
      </c>
      <c r="H128">
        <v>2015</v>
      </c>
      <c r="I128">
        <f t="shared" si="8"/>
        <v>0.23333333333333334</v>
      </c>
      <c r="J128" s="40">
        <f t="shared" si="9"/>
        <v>11392.33367503999</v>
      </c>
    </row>
    <row r="129" spans="1:10" x14ac:dyDescent="0.25">
      <c r="A129" s="44" t="s">
        <v>181</v>
      </c>
      <c r="B129" s="38" t="s">
        <v>1246</v>
      </c>
      <c r="C129" s="38">
        <v>1000</v>
      </c>
      <c r="D129" s="38">
        <f t="shared" si="6"/>
        <v>9.2903129906446551E-3</v>
      </c>
      <c r="E129" s="38">
        <v>561</v>
      </c>
      <c r="F129" s="38">
        <f t="shared" si="7"/>
        <v>254.4656221933939</v>
      </c>
      <c r="G129" s="38" t="s">
        <v>1182</v>
      </c>
      <c r="H129">
        <v>2013</v>
      </c>
      <c r="I129">
        <f t="shared" si="8"/>
        <v>0.56100000000000005</v>
      </c>
      <c r="J129" s="40">
        <f t="shared" si="9"/>
        <v>27390.425107274725</v>
      </c>
    </row>
    <row r="130" spans="1:10" x14ac:dyDescent="0.25">
      <c r="A130" s="44" t="s">
        <v>181</v>
      </c>
      <c r="B130" s="38" t="s">
        <v>1246</v>
      </c>
      <c r="C130" s="38">
        <v>450</v>
      </c>
      <c r="D130" s="38">
        <f t="shared" si="6"/>
        <v>4.1806408457900944E-3</v>
      </c>
      <c r="E130" s="38">
        <v>95</v>
      </c>
      <c r="F130" s="38">
        <f t="shared" si="7"/>
        <v>43.091326396385774</v>
      </c>
      <c r="G130" s="38" t="s">
        <v>1182</v>
      </c>
      <c r="H130">
        <v>2014</v>
      </c>
      <c r="I130">
        <f t="shared" si="8"/>
        <v>0.21111111111111111</v>
      </c>
      <c r="J130" s="40">
        <f t="shared" si="9"/>
        <v>10307.349515512375</v>
      </c>
    </row>
    <row r="131" spans="1:10" x14ac:dyDescent="0.25">
      <c r="A131" s="44" t="s">
        <v>181</v>
      </c>
      <c r="B131" s="38" t="s">
        <v>1247</v>
      </c>
      <c r="C131" s="38">
        <v>450</v>
      </c>
      <c r="D131" s="38">
        <f t="shared" si="6"/>
        <v>4.1806408457900944E-3</v>
      </c>
      <c r="E131" s="38">
        <v>14</v>
      </c>
      <c r="F131" s="38">
        <f t="shared" si="7"/>
        <v>6.3503007320989564</v>
      </c>
      <c r="G131" s="38" t="s">
        <v>1182</v>
      </c>
      <c r="H131">
        <v>2014</v>
      </c>
      <c r="I131">
        <f t="shared" si="8"/>
        <v>3.111111111111111E-2</v>
      </c>
      <c r="J131" s="40">
        <f t="shared" si="9"/>
        <v>1518.9778233386658</v>
      </c>
    </row>
    <row r="132" spans="1:10" x14ac:dyDescent="0.25">
      <c r="A132" s="44" t="s">
        <v>181</v>
      </c>
      <c r="B132" s="38" t="s">
        <v>1247</v>
      </c>
      <c r="C132" s="38">
        <v>450</v>
      </c>
      <c r="D132" s="38">
        <f t="shared" si="6"/>
        <v>4.1806408457900944E-3</v>
      </c>
      <c r="E132" s="38">
        <v>239</v>
      </c>
      <c r="F132" s="38">
        <f t="shared" si="7"/>
        <v>108.4087053551179</v>
      </c>
      <c r="G132" s="38" t="s">
        <v>1182</v>
      </c>
      <c r="H132">
        <v>2014</v>
      </c>
      <c r="I132">
        <f t="shared" si="8"/>
        <v>0.53111111111111109</v>
      </c>
      <c r="J132" s="40">
        <f t="shared" si="9"/>
        <v>25931.121412710083</v>
      </c>
    </row>
    <row r="133" spans="1:10" x14ac:dyDescent="0.25">
      <c r="A133" s="44" t="s">
        <v>181</v>
      </c>
      <c r="B133" s="38" t="s">
        <v>1247</v>
      </c>
      <c r="C133" s="38">
        <v>960</v>
      </c>
      <c r="D133" s="38">
        <f t="shared" ref="D133:D196" si="10">C133/107639</f>
        <v>8.9187004710188679E-3</v>
      </c>
      <c r="E133" s="38">
        <v>723</v>
      </c>
      <c r="F133" s="38">
        <f t="shared" ref="F133:F196" si="11">E133/2.20462</f>
        <v>327.94767352196754</v>
      </c>
      <c r="G133" s="38" t="s">
        <v>1182</v>
      </c>
      <c r="H133">
        <v>2013</v>
      </c>
      <c r="I133">
        <f t="shared" ref="I133:I196" si="12">E133/C133</f>
        <v>0.75312500000000004</v>
      </c>
      <c r="J133" s="40">
        <f t="shared" si="9"/>
        <v>36770.791281490696</v>
      </c>
    </row>
    <row r="134" spans="1:10" x14ac:dyDescent="0.25">
      <c r="A134" s="44" t="s">
        <v>181</v>
      </c>
      <c r="B134" s="38" t="s">
        <v>1247</v>
      </c>
      <c r="C134" s="38">
        <v>720</v>
      </c>
      <c r="D134" s="38">
        <f t="shared" si="10"/>
        <v>6.6890253532641518E-3</v>
      </c>
      <c r="E134" s="38">
        <v>322</v>
      </c>
      <c r="F134" s="38">
        <f t="shared" si="11"/>
        <v>146.05691683827601</v>
      </c>
      <c r="G134" s="38" t="s">
        <v>1182</v>
      </c>
      <c r="H134">
        <v>2015</v>
      </c>
      <c r="I134">
        <f t="shared" si="12"/>
        <v>0.44722222222222224</v>
      </c>
      <c r="J134" s="40">
        <f t="shared" ref="J134:J197" si="13">F134/D134</f>
        <v>21835.30621049332</v>
      </c>
    </row>
    <row r="135" spans="1:10" x14ac:dyDescent="0.25">
      <c r="A135" s="44" t="s">
        <v>181</v>
      </c>
      <c r="B135" s="38" t="s">
        <v>1248</v>
      </c>
      <c r="C135" s="38">
        <v>600</v>
      </c>
      <c r="D135" s="38">
        <f t="shared" si="10"/>
        <v>5.5741877943867929E-3</v>
      </c>
      <c r="E135" s="38">
        <v>84</v>
      </c>
      <c r="F135" s="38">
        <f t="shared" si="11"/>
        <v>38.101804392593735</v>
      </c>
      <c r="G135" s="38" t="s">
        <v>1182</v>
      </c>
      <c r="H135">
        <v>2014</v>
      </c>
      <c r="I135">
        <f t="shared" si="12"/>
        <v>0.14000000000000001</v>
      </c>
      <c r="J135" s="40">
        <f t="shared" si="13"/>
        <v>6835.4002050239951</v>
      </c>
    </row>
    <row r="136" spans="1:10" x14ac:dyDescent="0.25">
      <c r="A136" s="44" t="s">
        <v>181</v>
      </c>
      <c r="B136" s="38" t="s">
        <v>1248</v>
      </c>
      <c r="C136" s="38">
        <v>600</v>
      </c>
      <c r="D136" s="38">
        <f t="shared" si="10"/>
        <v>5.5741877943867929E-3</v>
      </c>
      <c r="E136" s="38">
        <v>6</v>
      </c>
      <c r="F136" s="38">
        <f t="shared" si="11"/>
        <v>2.7215574566138385</v>
      </c>
      <c r="G136" s="38" t="s">
        <v>1182</v>
      </c>
      <c r="H136">
        <v>2014</v>
      </c>
      <c r="I136">
        <f t="shared" si="12"/>
        <v>0.01</v>
      </c>
      <c r="J136" s="40">
        <f t="shared" si="13"/>
        <v>488.24287178742827</v>
      </c>
    </row>
    <row r="137" spans="1:10" x14ac:dyDescent="0.25">
      <c r="A137" s="44" t="s">
        <v>181</v>
      </c>
      <c r="B137" s="38" t="s">
        <v>1249</v>
      </c>
      <c r="C137" s="38">
        <v>450</v>
      </c>
      <c r="D137" s="38">
        <f t="shared" si="10"/>
        <v>4.1806408457900944E-3</v>
      </c>
      <c r="E137" s="38">
        <v>148</v>
      </c>
      <c r="F137" s="38">
        <f t="shared" si="11"/>
        <v>67.131750596474689</v>
      </c>
      <c r="G137" s="38" t="s">
        <v>1182</v>
      </c>
      <c r="H137">
        <v>2014</v>
      </c>
      <c r="I137">
        <f t="shared" si="12"/>
        <v>0.3288888888888889</v>
      </c>
      <c r="J137" s="40">
        <f t="shared" si="13"/>
        <v>16057.765561008755</v>
      </c>
    </row>
    <row r="138" spans="1:10" x14ac:dyDescent="0.25">
      <c r="A138" s="44" t="s">
        <v>181</v>
      </c>
      <c r="B138" s="38" t="s">
        <v>1249</v>
      </c>
      <c r="C138" s="38">
        <v>720</v>
      </c>
      <c r="D138" s="38">
        <f t="shared" si="10"/>
        <v>6.6890253532641518E-3</v>
      </c>
      <c r="E138" s="38">
        <v>740</v>
      </c>
      <c r="F138" s="38">
        <f t="shared" si="11"/>
        <v>335.65875298237341</v>
      </c>
      <c r="G138" s="38" t="s">
        <v>1182</v>
      </c>
      <c r="H138">
        <v>2015</v>
      </c>
      <c r="I138">
        <f t="shared" si="12"/>
        <v>1.0277777777777777</v>
      </c>
      <c r="J138" s="40">
        <f t="shared" si="13"/>
        <v>50180.517378152348</v>
      </c>
    </row>
    <row r="139" spans="1:10" x14ac:dyDescent="0.25">
      <c r="A139" s="44" t="s">
        <v>181</v>
      </c>
      <c r="B139" s="38" t="s">
        <v>1249</v>
      </c>
      <c r="C139" s="38">
        <v>300</v>
      </c>
      <c r="D139" s="38">
        <f t="shared" si="10"/>
        <v>2.7870938971933964E-3</v>
      </c>
      <c r="E139" s="38">
        <v>372</v>
      </c>
      <c r="F139" s="38">
        <f t="shared" si="11"/>
        <v>168.73656231005799</v>
      </c>
      <c r="G139" s="38" t="s">
        <v>1204</v>
      </c>
      <c r="H139">
        <v>2015</v>
      </c>
      <c r="I139">
        <f t="shared" si="12"/>
        <v>1.24</v>
      </c>
      <c r="J139" s="40">
        <f t="shared" si="13"/>
        <v>60542.116101641106</v>
      </c>
    </row>
    <row r="140" spans="1:10" x14ac:dyDescent="0.25">
      <c r="A140" s="44" t="s">
        <v>181</v>
      </c>
      <c r="B140" s="38" t="s">
        <v>1249</v>
      </c>
      <c r="C140" s="38">
        <v>720</v>
      </c>
      <c r="D140" s="38">
        <f t="shared" si="10"/>
        <v>6.6890253532641518E-3</v>
      </c>
      <c r="E140" s="38">
        <v>485</v>
      </c>
      <c r="F140" s="38">
        <f t="shared" si="11"/>
        <v>219.99256107628528</v>
      </c>
      <c r="G140" s="38" t="s">
        <v>1182</v>
      </c>
      <c r="H140">
        <v>2013</v>
      </c>
      <c r="I140">
        <f t="shared" si="12"/>
        <v>0.67361111111111116</v>
      </c>
      <c r="J140" s="40">
        <f t="shared" si="13"/>
        <v>32888.582335680934</v>
      </c>
    </row>
    <row r="141" spans="1:10" x14ac:dyDescent="0.25">
      <c r="A141" s="44" t="s">
        <v>181</v>
      </c>
      <c r="B141" s="38" t="s">
        <v>1249</v>
      </c>
      <c r="C141" s="38">
        <v>550</v>
      </c>
      <c r="D141" s="38">
        <f t="shared" si="10"/>
        <v>5.1096721448545598E-3</v>
      </c>
      <c r="E141" s="38">
        <v>386</v>
      </c>
      <c r="F141" s="38">
        <f t="shared" si="11"/>
        <v>175.08686304215695</v>
      </c>
      <c r="G141" s="38" t="s">
        <v>1204</v>
      </c>
      <c r="H141">
        <v>2016</v>
      </c>
      <c r="I141">
        <f t="shared" si="12"/>
        <v>0.70181818181818179</v>
      </c>
      <c r="J141" s="40">
        <f t="shared" si="13"/>
        <v>34265.772456354061</v>
      </c>
    </row>
    <row r="142" spans="1:10" x14ac:dyDescent="0.25">
      <c r="A142" s="44" t="s">
        <v>181</v>
      </c>
      <c r="B142" s="38" t="s">
        <v>1249</v>
      </c>
      <c r="C142" s="38">
        <v>450</v>
      </c>
      <c r="D142" s="38">
        <f t="shared" si="10"/>
        <v>4.1806408457900944E-3</v>
      </c>
      <c r="E142" s="38">
        <v>66</v>
      </c>
      <c r="F142" s="38">
        <f t="shared" si="11"/>
        <v>29.937132022752223</v>
      </c>
      <c r="G142" s="38" t="s">
        <v>1182</v>
      </c>
      <c r="H142">
        <v>2014</v>
      </c>
      <c r="I142">
        <f t="shared" si="12"/>
        <v>0.14666666666666667</v>
      </c>
      <c r="J142" s="40">
        <f t="shared" si="13"/>
        <v>7160.8954528822815</v>
      </c>
    </row>
    <row r="143" spans="1:10" x14ac:dyDescent="0.25">
      <c r="A143" s="44" t="s">
        <v>181</v>
      </c>
      <c r="B143" s="38" t="s">
        <v>1250</v>
      </c>
      <c r="C143" s="38">
        <v>450</v>
      </c>
      <c r="D143" s="38">
        <f t="shared" si="10"/>
        <v>4.1806408457900944E-3</v>
      </c>
      <c r="E143" s="38">
        <v>43</v>
      </c>
      <c r="F143" s="38">
        <f t="shared" si="11"/>
        <v>19.504495105732509</v>
      </c>
      <c r="G143" s="38" t="s">
        <v>1182</v>
      </c>
      <c r="H143">
        <v>2014</v>
      </c>
      <c r="I143">
        <f t="shared" si="12"/>
        <v>9.555555555555556E-2</v>
      </c>
      <c r="J143" s="40">
        <f t="shared" si="13"/>
        <v>4665.4318859687592</v>
      </c>
    </row>
    <row r="144" spans="1:10" x14ac:dyDescent="0.25">
      <c r="A144" s="44" t="s">
        <v>181</v>
      </c>
      <c r="B144" s="38" t="s">
        <v>1250</v>
      </c>
      <c r="C144" s="38">
        <v>450</v>
      </c>
      <c r="D144" s="38">
        <f t="shared" si="10"/>
        <v>4.1806408457900944E-3</v>
      </c>
      <c r="E144" s="38">
        <v>152</v>
      </c>
      <c r="F144" s="38">
        <f t="shared" si="11"/>
        <v>68.946122234217242</v>
      </c>
      <c r="G144" s="38" t="s">
        <v>1182</v>
      </c>
      <c r="H144">
        <v>2014</v>
      </c>
      <c r="I144">
        <f t="shared" si="12"/>
        <v>0.33777777777777779</v>
      </c>
      <c r="J144" s="40">
        <f t="shared" si="13"/>
        <v>16491.759224819802</v>
      </c>
    </row>
    <row r="145" spans="1:10" x14ac:dyDescent="0.25">
      <c r="A145" s="44" t="s">
        <v>181</v>
      </c>
      <c r="B145" s="38" t="s">
        <v>1250</v>
      </c>
      <c r="C145" s="38">
        <v>720</v>
      </c>
      <c r="D145" s="38">
        <f t="shared" si="10"/>
        <v>6.6890253532641518E-3</v>
      </c>
      <c r="E145" s="38">
        <v>175</v>
      </c>
      <c r="F145" s="38">
        <f t="shared" si="11"/>
        <v>79.378759151236949</v>
      </c>
      <c r="G145" s="38" t="s">
        <v>1182</v>
      </c>
      <c r="H145">
        <v>2015</v>
      </c>
      <c r="I145">
        <f t="shared" si="12"/>
        <v>0.24305555555555555</v>
      </c>
      <c r="J145" s="40">
        <f t="shared" si="13"/>
        <v>11867.014244833324</v>
      </c>
    </row>
    <row r="146" spans="1:10" x14ac:dyDescent="0.25">
      <c r="A146" s="44" t="s">
        <v>181</v>
      </c>
      <c r="B146" s="38" t="s">
        <v>1251</v>
      </c>
      <c r="C146" s="38">
        <v>1800</v>
      </c>
      <c r="D146" s="38">
        <f t="shared" si="10"/>
        <v>1.6722563383160378E-2</v>
      </c>
      <c r="E146" s="38">
        <v>3755</v>
      </c>
      <c r="F146" s="38">
        <f t="shared" si="11"/>
        <v>1703.2413749308273</v>
      </c>
      <c r="G146" s="38" t="s">
        <v>1182</v>
      </c>
      <c r="H146">
        <v>2015</v>
      </c>
      <c r="I146">
        <f t="shared" si="12"/>
        <v>2.0861111111111112</v>
      </c>
      <c r="J146" s="40">
        <f t="shared" si="13"/>
        <v>101852.88797565519</v>
      </c>
    </row>
    <row r="147" spans="1:10" x14ac:dyDescent="0.25">
      <c r="A147" s="44" t="s">
        <v>181</v>
      </c>
      <c r="B147" s="38" t="s">
        <v>1251</v>
      </c>
      <c r="C147" s="38">
        <v>1200</v>
      </c>
      <c r="D147" s="38">
        <f t="shared" si="10"/>
        <v>1.1148375588773586E-2</v>
      </c>
      <c r="E147" s="38">
        <v>2380</v>
      </c>
      <c r="F147" s="38">
        <f t="shared" si="11"/>
        <v>1079.5511244568227</v>
      </c>
      <c r="G147" s="38" t="s">
        <v>1182</v>
      </c>
      <c r="H147">
        <v>2016</v>
      </c>
      <c r="I147">
        <f t="shared" si="12"/>
        <v>1.9833333333333334</v>
      </c>
      <c r="J147" s="40">
        <f t="shared" si="13"/>
        <v>96834.836237839947</v>
      </c>
    </row>
    <row r="148" spans="1:10" x14ac:dyDescent="0.25">
      <c r="A148" s="44" t="s">
        <v>181</v>
      </c>
      <c r="B148" s="38" t="s">
        <v>1252</v>
      </c>
      <c r="C148" s="38">
        <v>713</v>
      </c>
      <c r="D148" s="38">
        <f t="shared" si="10"/>
        <v>6.6239931623296392E-3</v>
      </c>
      <c r="E148" s="38">
        <v>3693</v>
      </c>
      <c r="F148" s="38">
        <f t="shared" si="11"/>
        <v>1675.1186145458175</v>
      </c>
      <c r="G148" s="38" t="s">
        <v>1182</v>
      </c>
      <c r="H148">
        <v>2015</v>
      </c>
      <c r="I148">
        <f t="shared" si="12"/>
        <v>5.179523141654979</v>
      </c>
      <c r="J148" s="40">
        <f t="shared" si="13"/>
        <v>252886.52531710695</v>
      </c>
    </row>
    <row r="149" spans="1:10" x14ac:dyDescent="0.25">
      <c r="A149" s="44" t="s">
        <v>181</v>
      </c>
      <c r="B149" s="38" t="s">
        <v>1252</v>
      </c>
      <c r="C149" s="38">
        <v>405</v>
      </c>
      <c r="D149" s="38">
        <f t="shared" si="10"/>
        <v>3.7625767612110852E-3</v>
      </c>
      <c r="E149" s="38">
        <v>1448</v>
      </c>
      <c r="F149" s="38">
        <f t="shared" si="11"/>
        <v>656.8025328628064</v>
      </c>
      <c r="G149" s="38" t="s">
        <v>1182</v>
      </c>
      <c r="H149">
        <v>2016</v>
      </c>
      <c r="I149">
        <f t="shared" si="12"/>
        <v>3.5753086419753086</v>
      </c>
      <c r="J149" s="40">
        <f t="shared" si="13"/>
        <v>174561.89588844351</v>
      </c>
    </row>
    <row r="150" spans="1:10" x14ac:dyDescent="0.25">
      <c r="A150" s="44" t="s">
        <v>134</v>
      </c>
      <c r="B150" s="38" t="s">
        <v>1253</v>
      </c>
      <c r="C150" s="38">
        <v>600</v>
      </c>
      <c r="D150" s="38">
        <f t="shared" si="10"/>
        <v>5.5741877943867929E-3</v>
      </c>
      <c r="E150" s="38">
        <v>92</v>
      </c>
      <c r="F150" s="38">
        <f t="shared" si="11"/>
        <v>41.730547668078856</v>
      </c>
      <c r="G150" s="38" t="s">
        <v>1182</v>
      </c>
      <c r="H150">
        <v>2020</v>
      </c>
      <c r="I150">
        <f t="shared" si="12"/>
        <v>0.15333333333333332</v>
      </c>
      <c r="J150" s="40">
        <f t="shared" si="13"/>
        <v>7486.3907007405669</v>
      </c>
    </row>
    <row r="151" spans="1:10" x14ac:dyDescent="0.25">
      <c r="A151" s="44" t="s">
        <v>134</v>
      </c>
      <c r="B151" s="38" t="s">
        <v>1254</v>
      </c>
      <c r="C151" s="38">
        <v>1416</v>
      </c>
      <c r="D151" s="38">
        <f t="shared" si="10"/>
        <v>1.3155083194752832E-2</v>
      </c>
      <c r="E151" s="38">
        <v>534</v>
      </c>
      <c r="F151" s="38">
        <f t="shared" si="11"/>
        <v>242.21861363863161</v>
      </c>
      <c r="G151" s="38" t="s">
        <v>1182</v>
      </c>
      <c r="H151">
        <v>2013</v>
      </c>
      <c r="I151">
        <f t="shared" si="12"/>
        <v>0.3771186440677966</v>
      </c>
      <c r="J151" s="40">
        <f t="shared" si="13"/>
        <v>18412.548978424198</v>
      </c>
    </row>
    <row r="152" spans="1:10" x14ac:dyDescent="0.25">
      <c r="A152" s="44" t="s">
        <v>134</v>
      </c>
      <c r="B152" s="38" t="s">
        <v>1254</v>
      </c>
      <c r="C152" s="38">
        <v>708</v>
      </c>
      <c r="D152" s="38">
        <f t="shared" si="10"/>
        <v>6.5775415973764158E-3</v>
      </c>
      <c r="E152" s="38">
        <v>213</v>
      </c>
      <c r="F152" s="38">
        <f t="shared" si="11"/>
        <v>96.61528970979127</v>
      </c>
      <c r="G152" s="38" t="s">
        <v>1182</v>
      </c>
      <c r="H152">
        <v>2014</v>
      </c>
      <c r="I152">
        <f t="shared" si="12"/>
        <v>0.30084745762711862</v>
      </c>
      <c r="J152" s="40">
        <f t="shared" si="13"/>
        <v>14688.662668181105</v>
      </c>
    </row>
    <row r="153" spans="1:10" x14ac:dyDescent="0.25">
      <c r="A153" s="44" t="s">
        <v>134</v>
      </c>
      <c r="B153" s="38" t="s">
        <v>1254</v>
      </c>
      <c r="C153" s="38">
        <v>387</v>
      </c>
      <c r="D153" s="38">
        <f t="shared" si="10"/>
        <v>3.5953511273794816E-3</v>
      </c>
      <c r="E153" s="38">
        <v>343</v>
      </c>
      <c r="F153" s="38">
        <f t="shared" si="11"/>
        <v>155.58236793642442</v>
      </c>
      <c r="G153" s="38" t="s">
        <v>1182</v>
      </c>
      <c r="H153">
        <v>2015</v>
      </c>
      <c r="I153">
        <f t="shared" si="12"/>
        <v>0.8863049095607235</v>
      </c>
      <c r="J153" s="40">
        <f t="shared" si="13"/>
        <v>43273.205432322444</v>
      </c>
    </row>
    <row r="154" spans="1:10" x14ac:dyDescent="0.25">
      <c r="A154" s="44" t="s">
        <v>134</v>
      </c>
      <c r="B154" s="38" t="s">
        <v>1255</v>
      </c>
      <c r="C154" s="38">
        <v>696</v>
      </c>
      <c r="D154" s="38">
        <f t="shared" si="10"/>
        <v>6.4660578414886798E-3</v>
      </c>
      <c r="E154" s="38">
        <v>178</v>
      </c>
      <c r="F154" s="38">
        <f t="shared" si="11"/>
        <v>80.739537879543875</v>
      </c>
      <c r="G154" s="38" t="s">
        <v>1182</v>
      </c>
      <c r="H154">
        <v>2015</v>
      </c>
      <c r="I154">
        <f t="shared" si="12"/>
        <v>0.2557471264367816</v>
      </c>
      <c r="J154" s="40">
        <f t="shared" si="13"/>
        <v>12486.671146287677</v>
      </c>
    </row>
    <row r="155" spans="1:10" x14ac:dyDescent="0.25">
      <c r="A155" s="44" t="s">
        <v>134</v>
      </c>
      <c r="B155" s="38" t="s">
        <v>1255</v>
      </c>
      <c r="C155" s="38">
        <v>133</v>
      </c>
      <c r="D155" s="38">
        <f t="shared" si="10"/>
        <v>1.2356116277557391E-3</v>
      </c>
      <c r="E155" s="38">
        <v>140</v>
      </c>
      <c r="F155" s="38">
        <f t="shared" si="11"/>
        <v>63.50300732098956</v>
      </c>
      <c r="G155" s="38" t="s">
        <v>1182</v>
      </c>
      <c r="H155">
        <v>2015</v>
      </c>
      <c r="I155">
        <f t="shared" si="12"/>
        <v>1.0526315789473684</v>
      </c>
      <c r="J155" s="40">
        <f t="shared" si="13"/>
        <v>51393.986503939814</v>
      </c>
    </row>
    <row r="156" spans="1:10" x14ac:dyDescent="0.25">
      <c r="A156" s="44" t="s">
        <v>134</v>
      </c>
      <c r="B156" s="38" t="s">
        <v>1255</v>
      </c>
      <c r="C156" s="38">
        <v>133</v>
      </c>
      <c r="D156" s="38">
        <f t="shared" si="10"/>
        <v>1.2356116277557391E-3</v>
      </c>
      <c r="E156" s="38">
        <v>140</v>
      </c>
      <c r="F156" s="38">
        <f t="shared" si="11"/>
        <v>63.50300732098956</v>
      </c>
      <c r="G156" s="38" t="s">
        <v>1182</v>
      </c>
      <c r="H156">
        <v>2015</v>
      </c>
      <c r="I156">
        <f t="shared" si="12"/>
        <v>1.0526315789473684</v>
      </c>
      <c r="J156" s="40">
        <f t="shared" si="13"/>
        <v>51393.986503939814</v>
      </c>
    </row>
    <row r="157" spans="1:10" x14ac:dyDescent="0.25">
      <c r="A157" s="44" t="s">
        <v>134</v>
      </c>
      <c r="B157" s="38" t="s">
        <v>1256</v>
      </c>
      <c r="C157" s="38">
        <v>700</v>
      </c>
      <c r="D157" s="38">
        <f t="shared" si="10"/>
        <v>6.5032190934512582E-3</v>
      </c>
      <c r="E157" s="38">
        <v>395</v>
      </c>
      <c r="F157" s="38">
        <f t="shared" si="11"/>
        <v>179.16919922707771</v>
      </c>
      <c r="G157" s="38" t="s">
        <v>1182</v>
      </c>
      <c r="H157">
        <v>2015</v>
      </c>
      <c r="I157">
        <f t="shared" si="12"/>
        <v>0.56428571428571428</v>
      </c>
      <c r="J157" s="40">
        <f t="shared" si="13"/>
        <v>27550.847765147741</v>
      </c>
    </row>
    <row r="158" spans="1:10" x14ac:dyDescent="0.25">
      <c r="A158" s="44" t="s">
        <v>134</v>
      </c>
      <c r="B158" s="38" t="s">
        <v>1257</v>
      </c>
      <c r="C158" s="38">
        <v>600</v>
      </c>
      <c r="D158" s="38">
        <f t="shared" si="10"/>
        <v>5.5741877943867929E-3</v>
      </c>
      <c r="E158" s="38">
        <v>297</v>
      </c>
      <c r="F158" s="38">
        <f t="shared" si="11"/>
        <v>134.717094102385</v>
      </c>
      <c r="G158" s="38" t="s">
        <v>1182</v>
      </c>
      <c r="H158">
        <v>2020</v>
      </c>
      <c r="I158">
        <f t="shared" si="12"/>
        <v>0.495</v>
      </c>
      <c r="J158" s="40">
        <f t="shared" si="13"/>
        <v>24168.022153477701</v>
      </c>
    </row>
    <row r="159" spans="1:10" x14ac:dyDescent="0.25">
      <c r="A159" s="44" t="s">
        <v>134</v>
      </c>
      <c r="B159" s="38" t="s">
        <v>1258</v>
      </c>
      <c r="C159" s="38">
        <v>393</v>
      </c>
      <c r="D159" s="38">
        <f t="shared" si="10"/>
        <v>3.6510930053233492E-3</v>
      </c>
      <c r="E159" s="38">
        <v>495</v>
      </c>
      <c r="F159" s="38">
        <f t="shared" si="11"/>
        <v>224.52849017064167</v>
      </c>
      <c r="G159" s="38" t="s">
        <v>1182</v>
      </c>
      <c r="H159">
        <v>2015</v>
      </c>
      <c r="I159">
        <f t="shared" si="12"/>
        <v>1.2595419847328244</v>
      </c>
      <c r="J159" s="40">
        <f t="shared" si="13"/>
        <v>61496.239576279135</v>
      </c>
    </row>
    <row r="160" spans="1:10" x14ac:dyDescent="0.25">
      <c r="A160" s="44" t="s">
        <v>134</v>
      </c>
      <c r="B160" s="38" t="s">
        <v>1258</v>
      </c>
      <c r="C160" s="38">
        <v>89</v>
      </c>
      <c r="D160" s="38">
        <f t="shared" si="10"/>
        <v>8.2683785616737427E-4</v>
      </c>
      <c r="E160" s="38">
        <v>120</v>
      </c>
      <c r="F160" s="38">
        <f t="shared" si="11"/>
        <v>54.431149132276772</v>
      </c>
      <c r="G160" s="38" t="s">
        <v>1182</v>
      </c>
      <c r="H160">
        <v>2015</v>
      </c>
      <c r="I160">
        <f t="shared" si="12"/>
        <v>1.348314606741573</v>
      </c>
      <c r="J160" s="40">
        <f t="shared" si="13"/>
        <v>65830.499566844272</v>
      </c>
    </row>
    <row r="161" spans="1:10" x14ac:dyDescent="0.25">
      <c r="A161" s="44" t="s">
        <v>134</v>
      </c>
      <c r="B161" s="38" t="s">
        <v>1258</v>
      </c>
      <c r="C161" s="38">
        <v>1416</v>
      </c>
      <c r="D161" s="38">
        <f t="shared" si="10"/>
        <v>1.3155083194752832E-2</v>
      </c>
      <c r="E161" s="38">
        <v>1442</v>
      </c>
      <c r="F161" s="38">
        <f t="shared" si="11"/>
        <v>654.08097540619247</v>
      </c>
      <c r="G161" s="38" t="s">
        <v>1182</v>
      </c>
      <c r="H161">
        <v>2013</v>
      </c>
      <c r="I161">
        <f t="shared" si="12"/>
        <v>1.018361581920904</v>
      </c>
      <c r="J161" s="40">
        <f t="shared" si="13"/>
        <v>49720.778327505046</v>
      </c>
    </row>
    <row r="162" spans="1:10" x14ac:dyDescent="0.25">
      <c r="A162" s="44" t="s">
        <v>134</v>
      </c>
      <c r="B162" s="38" t="s">
        <v>1258</v>
      </c>
      <c r="C162" s="38">
        <v>708</v>
      </c>
      <c r="D162" s="38">
        <f t="shared" si="10"/>
        <v>6.5775415973764158E-3</v>
      </c>
      <c r="E162" s="38">
        <v>77</v>
      </c>
      <c r="F162" s="38">
        <f t="shared" si="11"/>
        <v>34.926654026544263</v>
      </c>
      <c r="G162" s="38" t="s">
        <v>1182</v>
      </c>
      <c r="H162">
        <v>2014</v>
      </c>
      <c r="I162">
        <f t="shared" si="12"/>
        <v>0.10875706214689265</v>
      </c>
      <c r="J162" s="40">
        <f t="shared" si="13"/>
        <v>5309.9860349762685</v>
      </c>
    </row>
    <row r="163" spans="1:10" x14ac:dyDescent="0.25">
      <c r="A163" s="44" t="s">
        <v>134</v>
      </c>
      <c r="B163" s="38" t="s">
        <v>1258</v>
      </c>
      <c r="C163" s="38">
        <v>708</v>
      </c>
      <c r="D163" s="38">
        <f t="shared" si="10"/>
        <v>6.5775415973764158E-3</v>
      </c>
      <c r="E163" s="38">
        <v>90</v>
      </c>
      <c r="F163" s="38">
        <f t="shared" si="11"/>
        <v>40.823361849207579</v>
      </c>
      <c r="G163" s="38" t="s">
        <v>1182</v>
      </c>
      <c r="H163">
        <v>2014</v>
      </c>
      <c r="I163">
        <f t="shared" si="12"/>
        <v>0.1271186440677966</v>
      </c>
      <c r="J163" s="40">
        <f t="shared" si="13"/>
        <v>6206.4771837384951</v>
      </c>
    </row>
    <row r="164" spans="1:10" x14ac:dyDescent="0.25">
      <c r="A164" s="44" t="s">
        <v>134</v>
      </c>
      <c r="B164" s="38" t="s">
        <v>1258</v>
      </c>
      <c r="C164" s="38">
        <v>75</v>
      </c>
      <c r="D164" s="38">
        <f t="shared" si="10"/>
        <v>6.9677347429834911E-4</v>
      </c>
      <c r="E164" s="38">
        <v>151</v>
      </c>
      <c r="F164" s="38">
        <f t="shared" si="11"/>
        <v>68.4925293247816</v>
      </c>
      <c r="G164" s="38" t="s">
        <v>1182</v>
      </c>
      <c r="H164">
        <v>2014</v>
      </c>
      <c r="I164">
        <f t="shared" si="12"/>
        <v>2.0133333333333332</v>
      </c>
      <c r="J164" s="40">
        <f t="shared" si="13"/>
        <v>98299.564853202217</v>
      </c>
    </row>
    <row r="165" spans="1:10" x14ac:dyDescent="0.25">
      <c r="A165" s="44" t="s">
        <v>134</v>
      </c>
      <c r="B165" s="38" t="s">
        <v>1258</v>
      </c>
      <c r="C165" s="38">
        <v>74</v>
      </c>
      <c r="D165" s="38">
        <f t="shared" si="10"/>
        <v>6.8748316130770441E-4</v>
      </c>
      <c r="E165" s="38">
        <v>155</v>
      </c>
      <c r="F165" s="38">
        <f t="shared" si="11"/>
        <v>70.306900962524153</v>
      </c>
      <c r="G165" s="38" t="s">
        <v>1182</v>
      </c>
      <c r="H165">
        <v>2013</v>
      </c>
      <c r="I165">
        <f t="shared" si="12"/>
        <v>2.0945945945945947</v>
      </c>
      <c r="J165" s="40">
        <f t="shared" si="13"/>
        <v>102267.08800952889</v>
      </c>
    </row>
    <row r="166" spans="1:10" x14ac:dyDescent="0.25">
      <c r="A166" s="44" t="s">
        <v>1259</v>
      </c>
      <c r="B166" s="38" t="s">
        <v>1260</v>
      </c>
      <c r="C166" s="38">
        <v>99</v>
      </c>
      <c r="D166" s="38">
        <f t="shared" si="10"/>
        <v>9.1974098607382085E-4</v>
      </c>
      <c r="E166" s="38">
        <v>13</v>
      </c>
      <c r="F166" s="38">
        <f t="shared" si="11"/>
        <v>5.8967078226633163</v>
      </c>
      <c r="G166" s="38" t="s">
        <v>1182</v>
      </c>
      <c r="H166">
        <v>2018</v>
      </c>
      <c r="I166">
        <f t="shared" si="12"/>
        <v>0.13131313131313133</v>
      </c>
      <c r="J166" s="40">
        <f t="shared" si="13"/>
        <v>6411.2700335722893</v>
      </c>
    </row>
    <row r="167" spans="1:10" x14ac:dyDescent="0.25">
      <c r="A167" s="44" t="s">
        <v>1259</v>
      </c>
      <c r="B167" s="38" t="s">
        <v>1260</v>
      </c>
      <c r="C167" s="38">
        <v>72</v>
      </c>
      <c r="D167" s="38">
        <f t="shared" si="10"/>
        <v>6.6890253532641511E-4</v>
      </c>
      <c r="E167" s="38">
        <v>13</v>
      </c>
      <c r="F167" s="38">
        <f t="shared" si="11"/>
        <v>5.8967078226633163</v>
      </c>
      <c r="G167" s="38" t="s">
        <v>1182</v>
      </c>
      <c r="H167">
        <v>2018</v>
      </c>
      <c r="I167">
        <f t="shared" si="12"/>
        <v>0.18055555555555555</v>
      </c>
      <c r="J167" s="40">
        <f t="shared" si="13"/>
        <v>8815.4962961618985</v>
      </c>
    </row>
    <row r="168" spans="1:10" x14ac:dyDescent="0.25">
      <c r="A168" s="44" t="s">
        <v>1259</v>
      </c>
      <c r="B168" s="38" t="s">
        <v>1260</v>
      </c>
      <c r="C168" s="38">
        <v>60</v>
      </c>
      <c r="D168" s="38">
        <f t="shared" si="10"/>
        <v>5.5741877943867924E-4</v>
      </c>
      <c r="E168" s="38">
        <v>16</v>
      </c>
      <c r="F168" s="38">
        <f t="shared" si="11"/>
        <v>7.2574865509702358</v>
      </c>
      <c r="G168" s="38" t="s">
        <v>1182</v>
      </c>
      <c r="H168">
        <v>2018</v>
      </c>
      <c r="I168">
        <f t="shared" si="12"/>
        <v>0.26666666666666666</v>
      </c>
      <c r="J168" s="40">
        <f t="shared" si="13"/>
        <v>13019.809914331421</v>
      </c>
    </row>
    <row r="169" spans="1:10" x14ac:dyDescent="0.25">
      <c r="A169" s="44" t="s">
        <v>1259</v>
      </c>
      <c r="B169" s="38" t="s">
        <v>1261</v>
      </c>
      <c r="C169" s="38">
        <v>35</v>
      </c>
      <c r="D169" s="38">
        <f t="shared" si="10"/>
        <v>3.2516095467256291E-4</v>
      </c>
      <c r="E169" s="38">
        <v>16</v>
      </c>
      <c r="F169" s="38">
        <f t="shared" si="11"/>
        <v>7.2574865509702358</v>
      </c>
      <c r="G169" s="38" t="s">
        <v>1182</v>
      </c>
      <c r="H169">
        <v>2018</v>
      </c>
      <c r="I169">
        <f t="shared" si="12"/>
        <v>0.45714285714285713</v>
      </c>
      <c r="J169" s="40">
        <f t="shared" si="13"/>
        <v>22319.674138853865</v>
      </c>
    </row>
    <row r="170" spans="1:10" x14ac:dyDescent="0.25">
      <c r="A170" s="44" t="s">
        <v>1259</v>
      </c>
      <c r="B170" s="38" t="s">
        <v>1261</v>
      </c>
      <c r="C170" s="38">
        <v>45</v>
      </c>
      <c r="D170" s="38">
        <f t="shared" si="10"/>
        <v>4.1806408457900949E-4</v>
      </c>
      <c r="E170" s="38">
        <v>14</v>
      </c>
      <c r="F170" s="38">
        <f t="shared" si="11"/>
        <v>6.3503007320989564</v>
      </c>
      <c r="G170" s="38" t="s">
        <v>1182</v>
      </c>
      <c r="H170">
        <v>2019</v>
      </c>
      <c r="I170">
        <f t="shared" si="12"/>
        <v>0.31111111111111112</v>
      </c>
      <c r="J170" s="40">
        <f t="shared" si="13"/>
        <v>15189.778233386656</v>
      </c>
    </row>
    <row r="171" spans="1:10" x14ac:dyDescent="0.25">
      <c r="A171" s="44" t="s">
        <v>1259</v>
      </c>
      <c r="B171" s="38" t="s">
        <v>1261</v>
      </c>
      <c r="C171" s="38">
        <v>45</v>
      </c>
      <c r="D171" s="38">
        <f t="shared" si="10"/>
        <v>4.1806408457900949E-4</v>
      </c>
      <c r="E171" s="38">
        <v>14</v>
      </c>
      <c r="F171" s="38">
        <f t="shared" si="11"/>
        <v>6.3503007320989564</v>
      </c>
      <c r="G171" s="38" t="s">
        <v>1182</v>
      </c>
      <c r="H171">
        <v>2018</v>
      </c>
      <c r="I171">
        <f t="shared" si="12"/>
        <v>0.31111111111111112</v>
      </c>
      <c r="J171" s="40">
        <f t="shared" si="13"/>
        <v>15189.778233386656</v>
      </c>
    </row>
    <row r="172" spans="1:10" x14ac:dyDescent="0.25">
      <c r="A172" s="44" t="s">
        <v>1259</v>
      </c>
      <c r="B172" s="38" t="s">
        <v>1261</v>
      </c>
      <c r="C172" s="38">
        <v>25</v>
      </c>
      <c r="D172" s="38">
        <f t="shared" si="10"/>
        <v>2.3225782476611636E-4</v>
      </c>
      <c r="E172" s="38">
        <v>33</v>
      </c>
      <c r="F172" s="38">
        <f t="shared" si="11"/>
        <v>14.968566011376112</v>
      </c>
      <c r="G172" s="38" t="s">
        <v>1182</v>
      </c>
      <c r="H172">
        <v>2019</v>
      </c>
      <c r="I172">
        <f t="shared" si="12"/>
        <v>1.32</v>
      </c>
      <c r="J172" s="40">
        <f t="shared" si="13"/>
        <v>64448.059075940531</v>
      </c>
    </row>
    <row r="173" spans="1:10" x14ac:dyDescent="0.25">
      <c r="A173" s="44" t="s">
        <v>1259</v>
      </c>
      <c r="B173" s="38" t="s">
        <v>1261</v>
      </c>
      <c r="C173" s="38">
        <v>35</v>
      </c>
      <c r="D173" s="38">
        <f t="shared" si="10"/>
        <v>3.2516095467256291E-4</v>
      </c>
      <c r="E173" s="38">
        <v>10</v>
      </c>
      <c r="F173" s="38">
        <f t="shared" si="11"/>
        <v>4.5359290943563977</v>
      </c>
      <c r="G173" s="38" t="s">
        <v>1182</v>
      </c>
      <c r="H173">
        <v>2018</v>
      </c>
      <c r="I173">
        <f t="shared" si="12"/>
        <v>0.2857142857142857</v>
      </c>
      <c r="J173" s="40">
        <f t="shared" si="13"/>
        <v>13949.796336783666</v>
      </c>
    </row>
    <row r="174" spans="1:10" x14ac:dyDescent="0.25">
      <c r="A174" s="44" t="s">
        <v>1259</v>
      </c>
      <c r="B174" s="38" t="s">
        <v>1261</v>
      </c>
      <c r="C174" s="38">
        <v>88</v>
      </c>
      <c r="D174" s="38">
        <f t="shared" si="10"/>
        <v>8.1754754317672957E-4</v>
      </c>
      <c r="E174" s="38">
        <v>17</v>
      </c>
      <c r="F174" s="38">
        <f t="shared" si="11"/>
        <v>7.7110794604058759</v>
      </c>
      <c r="G174" s="38" t="s">
        <v>1182</v>
      </c>
      <c r="H174">
        <v>2018</v>
      </c>
      <c r="I174">
        <f t="shared" si="12"/>
        <v>0.19318181818181818</v>
      </c>
      <c r="J174" s="40">
        <f t="shared" si="13"/>
        <v>9431.964568620775</v>
      </c>
    </row>
    <row r="175" spans="1:10" x14ac:dyDescent="0.25">
      <c r="A175" s="44" t="s">
        <v>1259</v>
      </c>
      <c r="B175" s="38" t="s">
        <v>1261</v>
      </c>
      <c r="C175" s="38">
        <v>72</v>
      </c>
      <c r="D175" s="38">
        <f t="shared" si="10"/>
        <v>6.6890253532641511E-4</v>
      </c>
      <c r="E175" s="38">
        <v>9</v>
      </c>
      <c r="F175" s="38">
        <f t="shared" si="11"/>
        <v>4.0823361849207576</v>
      </c>
      <c r="G175" s="38" t="s">
        <v>1182</v>
      </c>
      <c r="H175">
        <v>2018</v>
      </c>
      <c r="I175">
        <f t="shared" si="12"/>
        <v>0.125</v>
      </c>
      <c r="J175" s="40">
        <f t="shared" si="13"/>
        <v>6103.0358973428538</v>
      </c>
    </row>
    <row r="176" spans="1:10" x14ac:dyDescent="0.25">
      <c r="A176" s="44" t="s">
        <v>1259</v>
      </c>
      <c r="B176" s="38" t="s">
        <v>1261</v>
      </c>
      <c r="C176" s="38">
        <v>75</v>
      </c>
      <c r="D176" s="38">
        <f t="shared" si="10"/>
        <v>6.9677347429834911E-4</v>
      </c>
      <c r="E176" s="38">
        <v>1</v>
      </c>
      <c r="F176" s="38">
        <f t="shared" si="11"/>
        <v>0.45359290943563974</v>
      </c>
      <c r="G176" s="38" t="s">
        <v>1182</v>
      </c>
      <c r="H176">
        <v>2018</v>
      </c>
      <c r="I176">
        <f t="shared" si="12"/>
        <v>1.3333333333333334E-2</v>
      </c>
      <c r="J176" s="40">
        <f t="shared" si="13"/>
        <v>650.99049571657099</v>
      </c>
    </row>
    <row r="177" spans="1:10" x14ac:dyDescent="0.25">
      <c r="A177" s="44" t="s">
        <v>1259</v>
      </c>
      <c r="B177" s="38" t="s">
        <v>1261</v>
      </c>
      <c r="C177" s="38">
        <v>75</v>
      </c>
      <c r="D177" s="38">
        <f t="shared" si="10"/>
        <v>6.9677347429834911E-4</v>
      </c>
      <c r="E177" s="38">
        <v>11</v>
      </c>
      <c r="F177" s="38">
        <f t="shared" si="11"/>
        <v>4.9895220037920369</v>
      </c>
      <c r="G177" s="38" t="s">
        <v>1182</v>
      </c>
      <c r="H177">
        <v>2018</v>
      </c>
      <c r="I177">
        <f t="shared" si="12"/>
        <v>0.14666666666666667</v>
      </c>
      <c r="J177" s="40">
        <f t="shared" si="13"/>
        <v>7160.8954528822806</v>
      </c>
    </row>
    <row r="178" spans="1:10" x14ac:dyDescent="0.25">
      <c r="A178" s="44" t="s">
        <v>1259</v>
      </c>
      <c r="B178" s="38" t="s">
        <v>1261</v>
      </c>
      <c r="C178" s="38">
        <v>25</v>
      </c>
      <c r="D178" s="38">
        <f t="shared" si="10"/>
        <v>2.3225782476611636E-4</v>
      </c>
      <c r="E178" s="38">
        <v>31</v>
      </c>
      <c r="F178" s="38">
        <f t="shared" si="11"/>
        <v>14.061380192504831</v>
      </c>
      <c r="G178" s="38" t="s">
        <v>1182</v>
      </c>
      <c r="H178">
        <v>2018</v>
      </c>
      <c r="I178">
        <f t="shared" si="12"/>
        <v>1.24</v>
      </c>
      <c r="J178" s="40">
        <f t="shared" si="13"/>
        <v>60542.116101641106</v>
      </c>
    </row>
    <row r="179" spans="1:10" x14ac:dyDescent="0.25">
      <c r="A179" s="44" t="s">
        <v>1259</v>
      </c>
      <c r="B179" s="38" t="s">
        <v>1262</v>
      </c>
      <c r="C179" s="38">
        <v>150</v>
      </c>
      <c r="D179" s="38">
        <f t="shared" si="10"/>
        <v>1.3935469485966982E-3</v>
      </c>
      <c r="E179" s="38">
        <v>26</v>
      </c>
      <c r="F179" s="38">
        <f t="shared" si="11"/>
        <v>11.793415645326633</v>
      </c>
      <c r="G179" s="38" t="s">
        <v>1182</v>
      </c>
      <c r="H179">
        <v>2017</v>
      </c>
      <c r="I179">
        <f t="shared" si="12"/>
        <v>0.17333333333333334</v>
      </c>
      <c r="J179" s="40">
        <f t="shared" si="13"/>
        <v>8462.8764443154232</v>
      </c>
    </row>
    <row r="180" spans="1:10" x14ac:dyDescent="0.25">
      <c r="A180" s="44" t="s">
        <v>1259</v>
      </c>
      <c r="B180" s="38" t="s">
        <v>1262</v>
      </c>
      <c r="C180" s="38">
        <v>70</v>
      </c>
      <c r="D180" s="38">
        <f t="shared" si="10"/>
        <v>6.5032190934512582E-4</v>
      </c>
      <c r="E180" s="38">
        <v>46</v>
      </c>
      <c r="F180" s="38">
        <f t="shared" si="11"/>
        <v>20.865273834039428</v>
      </c>
      <c r="G180" s="38" t="s">
        <v>1182</v>
      </c>
      <c r="H180">
        <v>2017</v>
      </c>
      <c r="I180">
        <f t="shared" si="12"/>
        <v>0.65714285714285714</v>
      </c>
      <c r="J180" s="40">
        <f t="shared" si="13"/>
        <v>32084.531574602428</v>
      </c>
    </row>
    <row r="181" spans="1:10" x14ac:dyDescent="0.25">
      <c r="A181" s="44" t="s">
        <v>1259</v>
      </c>
      <c r="B181" s="38" t="s">
        <v>1262</v>
      </c>
      <c r="C181" s="38">
        <v>68</v>
      </c>
      <c r="D181" s="38">
        <f t="shared" si="10"/>
        <v>6.3174128336383653E-4</v>
      </c>
      <c r="E181" s="38">
        <v>24</v>
      </c>
      <c r="F181" s="38">
        <f t="shared" si="11"/>
        <v>10.886229826455354</v>
      </c>
      <c r="G181" s="38" t="s">
        <v>1182</v>
      </c>
      <c r="H181">
        <v>2017</v>
      </c>
      <c r="I181">
        <f t="shared" si="12"/>
        <v>0.35294117647058826</v>
      </c>
      <c r="J181" s="40">
        <f t="shared" si="13"/>
        <v>17232.101357203352</v>
      </c>
    </row>
    <row r="182" spans="1:10" x14ac:dyDescent="0.25">
      <c r="A182" s="44" t="s">
        <v>1259</v>
      </c>
      <c r="B182" s="38" t="s">
        <v>1262</v>
      </c>
      <c r="C182" s="38">
        <v>39</v>
      </c>
      <c r="D182" s="38">
        <f t="shared" si="10"/>
        <v>3.6232220663514155E-4</v>
      </c>
      <c r="E182" s="38">
        <v>33</v>
      </c>
      <c r="F182" s="38">
        <f t="shared" si="11"/>
        <v>14.968566011376112</v>
      </c>
      <c r="G182" s="38" t="s">
        <v>1182</v>
      </c>
      <c r="H182">
        <v>2017</v>
      </c>
      <c r="I182">
        <f t="shared" si="12"/>
        <v>0.84615384615384615</v>
      </c>
      <c r="J182" s="40">
        <f t="shared" si="13"/>
        <v>41312.858382013161</v>
      </c>
    </row>
    <row r="183" spans="1:10" x14ac:dyDescent="0.25">
      <c r="A183" s="44" t="s">
        <v>1259</v>
      </c>
      <c r="B183" s="38" t="s">
        <v>1262</v>
      </c>
      <c r="C183" s="38">
        <v>400</v>
      </c>
      <c r="D183" s="38">
        <f t="shared" si="10"/>
        <v>3.7161251962578618E-3</v>
      </c>
      <c r="E183" s="38">
        <v>108</v>
      </c>
      <c r="F183" s="38">
        <f t="shared" si="11"/>
        <v>48.988034219049091</v>
      </c>
      <c r="G183" s="38" t="s">
        <v>1182</v>
      </c>
      <c r="H183">
        <v>2017</v>
      </c>
      <c r="I183">
        <f t="shared" si="12"/>
        <v>0.27</v>
      </c>
      <c r="J183" s="40">
        <f t="shared" si="13"/>
        <v>13182.557538260564</v>
      </c>
    </row>
    <row r="184" spans="1:10" x14ac:dyDescent="0.25">
      <c r="A184" s="44" t="s">
        <v>1259</v>
      </c>
      <c r="B184" s="38" t="s">
        <v>1263</v>
      </c>
      <c r="C184" s="38">
        <v>35</v>
      </c>
      <c r="D184" s="38">
        <f t="shared" si="10"/>
        <v>3.2516095467256291E-4</v>
      </c>
      <c r="E184" s="38">
        <v>14</v>
      </c>
      <c r="F184" s="38">
        <f t="shared" si="11"/>
        <v>6.3503007320989564</v>
      </c>
      <c r="G184" s="38" t="s">
        <v>1182</v>
      </c>
      <c r="H184">
        <v>2018</v>
      </c>
      <c r="I184">
        <f t="shared" si="12"/>
        <v>0.4</v>
      </c>
      <c r="J184" s="40">
        <f t="shared" si="13"/>
        <v>19529.71487149713</v>
      </c>
    </row>
    <row r="185" spans="1:10" x14ac:dyDescent="0.25">
      <c r="A185" s="44" t="s">
        <v>1259</v>
      </c>
      <c r="B185" s="38" t="s">
        <v>1263</v>
      </c>
      <c r="C185" s="38">
        <v>25</v>
      </c>
      <c r="D185" s="38">
        <f t="shared" si="10"/>
        <v>2.3225782476611636E-4</v>
      </c>
      <c r="E185" s="38">
        <v>27</v>
      </c>
      <c r="F185" s="38">
        <f t="shared" si="11"/>
        <v>12.247008554762273</v>
      </c>
      <c r="G185" s="38" t="s">
        <v>1182</v>
      </c>
      <c r="H185">
        <v>2018</v>
      </c>
      <c r="I185">
        <f t="shared" si="12"/>
        <v>1.08</v>
      </c>
      <c r="J185" s="40">
        <f t="shared" si="13"/>
        <v>52730.230153042256</v>
      </c>
    </row>
    <row r="186" spans="1:10" x14ac:dyDescent="0.25">
      <c r="A186" s="44" t="s">
        <v>1259</v>
      </c>
      <c r="B186" s="38" t="s">
        <v>1263</v>
      </c>
      <c r="C186" s="38">
        <v>25</v>
      </c>
      <c r="D186" s="38">
        <f t="shared" si="10"/>
        <v>2.3225782476611636E-4</v>
      </c>
      <c r="E186" s="38">
        <v>32</v>
      </c>
      <c r="F186" s="38">
        <f t="shared" si="11"/>
        <v>14.514973101940472</v>
      </c>
      <c r="G186" s="38" t="s">
        <v>1182</v>
      </c>
      <c r="H186">
        <v>2019</v>
      </c>
      <c r="I186">
        <f t="shared" si="12"/>
        <v>1.28</v>
      </c>
      <c r="J186" s="40">
        <f t="shared" si="13"/>
        <v>62495.087588790819</v>
      </c>
    </row>
    <row r="187" spans="1:10" x14ac:dyDescent="0.25">
      <c r="A187" s="44" t="s">
        <v>1259</v>
      </c>
      <c r="B187" s="38" t="s">
        <v>1263</v>
      </c>
      <c r="C187" s="38">
        <v>78</v>
      </c>
      <c r="D187" s="38">
        <f t="shared" si="10"/>
        <v>7.246444132702831E-4</v>
      </c>
      <c r="E187" s="38">
        <v>27</v>
      </c>
      <c r="F187" s="38">
        <f t="shared" si="11"/>
        <v>12.247008554762273</v>
      </c>
      <c r="G187" s="38" t="s">
        <v>1182</v>
      </c>
      <c r="H187">
        <v>2018</v>
      </c>
      <c r="I187">
        <f t="shared" si="12"/>
        <v>0.34615384615384615</v>
      </c>
      <c r="J187" s="40">
        <f t="shared" si="13"/>
        <v>16900.714792641746</v>
      </c>
    </row>
    <row r="188" spans="1:10" x14ac:dyDescent="0.25">
      <c r="A188" s="44" t="s">
        <v>1259</v>
      </c>
      <c r="B188" s="38" t="s">
        <v>1263</v>
      </c>
      <c r="C188" s="38">
        <v>72</v>
      </c>
      <c r="D188" s="38">
        <f t="shared" si="10"/>
        <v>6.6890253532641511E-4</v>
      </c>
      <c r="E188" s="38">
        <v>3</v>
      </c>
      <c r="F188" s="38">
        <f t="shared" si="11"/>
        <v>1.3607787283069193</v>
      </c>
      <c r="G188" s="38" t="s">
        <v>1182</v>
      </c>
      <c r="H188">
        <v>2018</v>
      </c>
      <c r="I188">
        <f t="shared" si="12"/>
        <v>4.1666666666666664E-2</v>
      </c>
      <c r="J188" s="40">
        <f t="shared" si="13"/>
        <v>2034.3452991142847</v>
      </c>
    </row>
    <row r="189" spans="1:10" x14ac:dyDescent="0.25">
      <c r="A189" s="44" t="s">
        <v>1259</v>
      </c>
      <c r="B189" s="38" t="s">
        <v>1263</v>
      </c>
      <c r="C189" s="38">
        <v>88</v>
      </c>
      <c r="D189" s="38">
        <f t="shared" si="10"/>
        <v>8.1754754317672957E-4</v>
      </c>
      <c r="E189" s="38">
        <v>14</v>
      </c>
      <c r="F189" s="38">
        <f t="shared" si="11"/>
        <v>6.3503007320989564</v>
      </c>
      <c r="G189" s="38" t="s">
        <v>1182</v>
      </c>
      <c r="H189">
        <v>2018</v>
      </c>
      <c r="I189">
        <f t="shared" si="12"/>
        <v>0.15909090909090909</v>
      </c>
      <c r="J189" s="40">
        <f t="shared" si="13"/>
        <v>7767.5002329818135</v>
      </c>
    </row>
    <row r="190" spans="1:10" x14ac:dyDescent="0.25">
      <c r="A190" s="44" t="s">
        <v>1259</v>
      </c>
      <c r="B190" s="38" t="s">
        <v>1263</v>
      </c>
      <c r="C190" s="38">
        <v>45</v>
      </c>
      <c r="D190" s="38">
        <f t="shared" si="10"/>
        <v>4.1806408457900949E-4</v>
      </c>
      <c r="E190" s="38">
        <v>15</v>
      </c>
      <c r="F190" s="38">
        <f t="shared" si="11"/>
        <v>6.8038936415345965</v>
      </c>
      <c r="G190" s="38" t="s">
        <v>1182</v>
      </c>
      <c r="H190">
        <v>2018</v>
      </c>
      <c r="I190">
        <f t="shared" si="12"/>
        <v>0.33333333333333331</v>
      </c>
      <c r="J190" s="40">
        <f t="shared" si="13"/>
        <v>16274.762392914276</v>
      </c>
    </row>
    <row r="191" spans="1:10" x14ac:dyDescent="0.25">
      <c r="A191" s="44" t="s">
        <v>1259</v>
      </c>
      <c r="B191" s="38" t="s">
        <v>1263</v>
      </c>
      <c r="C191" s="38">
        <v>45</v>
      </c>
      <c r="D191" s="38">
        <f t="shared" si="10"/>
        <v>4.1806408457900949E-4</v>
      </c>
      <c r="E191" s="38">
        <v>15</v>
      </c>
      <c r="F191" s="38">
        <f t="shared" si="11"/>
        <v>6.8038936415345965</v>
      </c>
      <c r="G191" s="38" t="s">
        <v>1182</v>
      </c>
      <c r="H191">
        <v>2018</v>
      </c>
      <c r="I191">
        <f t="shared" si="12"/>
        <v>0.33333333333333331</v>
      </c>
      <c r="J191" s="40">
        <f t="shared" si="13"/>
        <v>16274.762392914276</v>
      </c>
    </row>
    <row r="192" spans="1:10" x14ac:dyDescent="0.25">
      <c r="A192" s="44" t="s">
        <v>1259</v>
      </c>
      <c r="B192" s="38" t="s">
        <v>1263</v>
      </c>
      <c r="C192" s="38">
        <v>35</v>
      </c>
      <c r="D192" s="38">
        <f t="shared" si="10"/>
        <v>3.2516095467256291E-4</v>
      </c>
      <c r="E192" s="38">
        <v>15</v>
      </c>
      <c r="F192" s="38">
        <f t="shared" si="11"/>
        <v>6.8038936415345965</v>
      </c>
      <c r="G192" s="38" t="s">
        <v>1182</v>
      </c>
      <c r="H192">
        <v>2018</v>
      </c>
      <c r="I192">
        <f t="shared" si="12"/>
        <v>0.42857142857142855</v>
      </c>
      <c r="J192" s="40">
        <f t="shared" si="13"/>
        <v>20924.694505175499</v>
      </c>
    </row>
    <row r="193" spans="1:10" x14ac:dyDescent="0.25">
      <c r="A193" s="44" t="s">
        <v>1259</v>
      </c>
      <c r="B193" s="38" t="s">
        <v>1263</v>
      </c>
      <c r="C193" s="38">
        <v>75</v>
      </c>
      <c r="D193" s="38">
        <f t="shared" si="10"/>
        <v>6.9677347429834911E-4</v>
      </c>
      <c r="E193" s="38">
        <v>8</v>
      </c>
      <c r="F193" s="38">
        <f t="shared" si="11"/>
        <v>3.6287432754851179</v>
      </c>
      <c r="G193" s="38" t="s">
        <v>1182</v>
      </c>
      <c r="H193">
        <v>2018</v>
      </c>
      <c r="I193">
        <f t="shared" si="12"/>
        <v>0.10666666666666667</v>
      </c>
      <c r="J193" s="40">
        <f t="shared" si="13"/>
        <v>5207.9239657325679</v>
      </c>
    </row>
    <row r="194" spans="1:10" x14ac:dyDescent="0.25">
      <c r="A194" s="44" t="s">
        <v>1259</v>
      </c>
      <c r="B194" s="38" t="s">
        <v>1263</v>
      </c>
      <c r="C194" s="38">
        <v>140</v>
      </c>
      <c r="D194" s="38">
        <f t="shared" si="10"/>
        <v>1.3006438186902516E-3</v>
      </c>
      <c r="E194" s="38">
        <v>9</v>
      </c>
      <c r="F194" s="38">
        <f t="shared" si="11"/>
        <v>4.0823361849207576</v>
      </c>
      <c r="G194" s="38" t="s">
        <v>1182</v>
      </c>
      <c r="H194">
        <v>2018</v>
      </c>
      <c r="I194">
        <f t="shared" si="12"/>
        <v>6.4285714285714279E-2</v>
      </c>
      <c r="J194" s="40">
        <f t="shared" si="13"/>
        <v>3138.7041757763245</v>
      </c>
    </row>
    <row r="195" spans="1:10" x14ac:dyDescent="0.25">
      <c r="A195" s="44" t="s">
        <v>1259</v>
      </c>
      <c r="B195" s="38" t="s">
        <v>1263</v>
      </c>
      <c r="C195" s="38">
        <v>75</v>
      </c>
      <c r="D195" s="38">
        <f t="shared" si="10"/>
        <v>6.9677347429834911E-4</v>
      </c>
      <c r="E195" s="38">
        <v>28</v>
      </c>
      <c r="F195" s="38">
        <f t="shared" si="11"/>
        <v>12.700601464197913</v>
      </c>
      <c r="G195" s="38" t="s">
        <v>1182</v>
      </c>
      <c r="H195">
        <v>2018</v>
      </c>
      <c r="I195">
        <f t="shared" si="12"/>
        <v>0.37333333333333335</v>
      </c>
      <c r="J195" s="40">
        <f t="shared" si="13"/>
        <v>18227.733880063988</v>
      </c>
    </row>
    <row r="196" spans="1:10" x14ac:dyDescent="0.25">
      <c r="A196" s="44" t="s">
        <v>1259</v>
      </c>
      <c r="B196" s="38" t="s">
        <v>1264</v>
      </c>
      <c r="C196" s="38">
        <v>75</v>
      </c>
      <c r="D196" s="38">
        <f t="shared" si="10"/>
        <v>6.9677347429834911E-4</v>
      </c>
      <c r="E196" s="38">
        <v>15</v>
      </c>
      <c r="F196" s="38">
        <f t="shared" si="11"/>
        <v>6.8038936415345965</v>
      </c>
      <c r="G196" s="38" t="s">
        <v>1204</v>
      </c>
      <c r="I196">
        <f t="shared" si="12"/>
        <v>0.2</v>
      </c>
      <c r="J196" s="40">
        <f t="shared" si="13"/>
        <v>9764.857435748565</v>
      </c>
    </row>
    <row r="197" spans="1:10" x14ac:dyDescent="0.25">
      <c r="A197" s="44" t="s">
        <v>1259</v>
      </c>
      <c r="B197" s="38" t="s">
        <v>1265</v>
      </c>
      <c r="C197" s="38">
        <v>75</v>
      </c>
      <c r="D197" s="38">
        <f t="shared" ref="D197:D260" si="14">C197/107639</f>
        <v>6.9677347429834911E-4</v>
      </c>
      <c r="E197" s="38">
        <v>15</v>
      </c>
      <c r="F197" s="38">
        <f t="shared" ref="F197:F260" si="15">E197/2.20462</f>
        <v>6.8038936415345965</v>
      </c>
      <c r="G197" s="38" t="s">
        <v>1204</v>
      </c>
      <c r="I197">
        <f t="shared" ref="I197:I260" si="16">E197/C197</f>
        <v>0.2</v>
      </c>
      <c r="J197" s="40">
        <f t="shared" si="13"/>
        <v>9764.857435748565</v>
      </c>
    </row>
    <row r="198" spans="1:10" x14ac:dyDescent="0.25">
      <c r="A198" s="44" t="s">
        <v>1259</v>
      </c>
      <c r="B198" s="38" t="s">
        <v>1266</v>
      </c>
      <c r="C198" s="38">
        <v>40</v>
      </c>
      <c r="D198" s="38">
        <f t="shared" si="14"/>
        <v>3.716125196257862E-4</v>
      </c>
      <c r="E198" s="38">
        <v>6</v>
      </c>
      <c r="F198" s="38">
        <f t="shared" si="15"/>
        <v>2.7215574566138385</v>
      </c>
      <c r="G198" s="38" t="s">
        <v>1182</v>
      </c>
      <c r="H198">
        <v>2017</v>
      </c>
      <c r="I198">
        <f t="shared" si="16"/>
        <v>0.15</v>
      </c>
      <c r="J198" s="40">
        <f t="shared" ref="J198:J261" si="17">F198/D198</f>
        <v>7323.6430768114242</v>
      </c>
    </row>
    <row r="199" spans="1:10" x14ac:dyDescent="0.25">
      <c r="A199" s="44" t="s">
        <v>1259</v>
      </c>
      <c r="B199" s="38" t="s">
        <v>1267</v>
      </c>
      <c r="C199" s="38">
        <v>55</v>
      </c>
      <c r="D199" s="38">
        <f t="shared" si="14"/>
        <v>5.1096721448545606E-4</v>
      </c>
      <c r="E199" s="38">
        <v>36</v>
      </c>
      <c r="F199" s="38">
        <f t="shared" si="15"/>
        <v>16.32934473968303</v>
      </c>
      <c r="G199" s="38" t="s">
        <v>1182</v>
      </c>
      <c r="H199">
        <v>2018</v>
      </c>
      <c r="I199">
        <f t="shared" si="16"/>
        <v>0.65454545454545454</v>
      </c>
      <c r="J199" s="40">
        <f t="shared" si="17"/>
        <v>31957.715244268027</v>
      </c>
    </row>
    <row r="200" spans="1:10" x14ac:dyDescent="0.25">
      <c r="A200" s="44" t="s">
        <v>1259</v>
      </c>
      <c r="B200" s="38" t="s">
        <v>1267</v>
      </c>
      <c r="C200" s="38">
        <v>35</v>
      </c>
      <c r="D200" s="38">
        <f t="shared" si="14"/>
        <v>3.2516095467256291E-4</v>
      </c>
      <c r="E200" s="38">
        <v>11</v>
      </c>
      <c r="F200" s="38">
        <f t="shared" si="15"/>
        <v>4.9895220037920369</v>
      </c>
      <c r="G200" s="38" t="s">
        <v>1182</v>
      </c>
      <c r="H200">
        <v>2018</v>
      </c>
      <c r="I200">
        <f t="shared" si="16"/>
        <v>0.31428571428571428</v>
      </c>
      <c r="J200" s="40">
        <f t="shared" si="17"/>
        <v>15344.775970462031</v>
      </c>
    </row>
    <row r="201" spans="1:10" x14ac:dyDescent="0.25">
      <c r="A201" s="44" t="s">
        <v>1259</v>
      </c>
      <c r="B201" s="38" t="s">
        <v>1267</v>
      </c>
      <c r="C201" s="38">
        <v>25</v>
      </c>
      <c r="D201" s="38">
        <f t="shared" si="14"/>
        <v>2.3225782476611636E-4</v>
      </c>
      <c r="E201" s="38">
        <v>32</v>
      </c>
      <c r="F201" s="38">
        <f t="shared" si="15"/>
        <v>14.514973101940472</v>
      </c>
      <c r="G201" s="38" t="s">
        <v>1182</v>
      </c>
      <c r="H201">
        <v>2018</v>
      </c>
      <c r="I201">
        <f t="shared" si="16"/>
        <v>1.28</v>
      </c>
      <c r="J201" s="40">
        <f t="shared" si="17"/>
        <v>62495.087588790819</v>
      </c>
    </row>
    <row r="202" spans="1:10" x14ac:dyDescent="0.25">
      <c r="A202" s="44" t="s">
        <v>1259</v>
      </c>
      <c r="B202" s="38" t="s">
        <v>1267</v>
      </c>
      <c r="C202" s="38">
        <v>25</v>
      </c>
      <c r="D202" s="38">
        <f t="shared" si="14"/>
        <v>2.3225782476611636E-4</v>
      </c>
      <c r="E202" s="38">
        <v>31</v>
      </c>
      <c r="F202" s="38">
        <f t="shared" si="15"/>
        <v>14.061380192504831</v>
      </c>
      <c r="G202" s="38" t="s">
        <v>1182</v>
      </c>
      <c r="H202">
        <v>2019</v>
      </c>
      <c r="I202">
        <f t="shared" si="16"/>
        <v>1.24</v>
      </c>
      <c r="J202" s="40">
        <f t="shared" si="17"/>
        <v>60542.116101641106</v>
      </c>
    </row>
    <row r="203" spans="1:10" x14ac:dyDescent="0.25">
      <c r="A203" s="44" t="s">
        <v>1259</v>
      </c>
      <c r="B203" s="38" t="s">
        <v>1267</v>
      </c>
      <c r="C203" s="38">
        <v>68</v>
      </c>
      <c r="D203" s="38">
        <f t="shared" si="14"/>
        <v>6.3174128336383653E-4</v>
      </c>
      <c r="E203" s="38">
        <v>14</v>
      </c>
      <c r="F203" s="38">
        <f t="shared" si="15"/>
        <v>6.3503007320989564</v>
      </c>
      <c r="G203" s="38" t="s">
        <v>1182</v>
      </c>
      <c r="H203">
        <v>2017</v>
      </c>
      <c r="I203">
        <f t="shared" si="16"/>
        <v>0.20588235294117646</v>
      </c>
      <c r="J203" s="40">
        <f t="shared" si="17"/>
        <v>10052.059125035288</v>
      </c>
    </row>
    <row r="204" spans="1:10" x14ac:dyDescent="0.25">
      <c r="A204" s="44" t="s">
        <v>1259</v>
      </c>
      <c r="B204" s="38" t="s">
        <v>1267</v>
      </c>
      <c r="C204" s="38">
        <v>72</v>
      </c>
      <c r="D204" s="38">
        <f t="shared" si="14"/>
        <v>6.6890253532641511E-4</v>
      </c>
      <c r="E204" s="38">
        <v>12</v>
      </c>
      <c r="F204" s="38">
        <f t="shared" si="15"/>
        <v>5.443114913227677</v>
      </c>
      <c r="G204" s="38" t="s">
        <v>1182</v>
      </c>
      <c r="H204">
        <v>2018</v>
      </c>
      <c r="I204">
        <f t="shared" si="16"/>
        <v>0.16666666666666666</v>
      </c>
      <c r="J204" s="40">
        <f t="shared" si="17"/>
        <v>8137.3811964571387</v>
      </c>
    </row>
    <row r="205" spans="1:10" x14ac:dyDescent="0.25">
      <c r="A205" s="44" t="s">
        <v>1259</v>
      </c>
      <c r="B205" s="38" t="s">
        <v>1267</v>
      </c>
      <c r="C205" s="38">
        <v>70</v>
      </c>
      <c r="D205" s="38">
        <f t="shared" si="14"/>
        <v>6.5032190934512582E-4</v>
      </c>
      <c r="E205" s="38">
        <v>60</v>
      </c>
      <c r="F205" s="38">
        <f t="shared" si="15"/>
        <v>27.215574566138386</v>
      </c>
      <c r="G205" s="38" t="s">
        <v>1182</v>
      </c>
      <c r="H205">
        <v>2017</v>
      </c>
      <c r="I205">
        <f t="shared" si="16"/>
        <v>0.8571428571428571</v>
      </c>
      <c r="J205" s="40">
        <f t="shared" si="17"/>
        <v>41849.389010350998</v>
      </c>
    </row>
    <row r="206" spans="1:10" x14ac:dyDescent="0.25">
      <c r="A206" s="44" t="s">
        <v>1259</v>
      </c>
      <c r="B206" s="38" t="s">
        <v>1267</v>
      </c>
      <c r="C206" s="38">
        <v>39</v>
      </c>
      <c r="D206" s="38">
        <f t="shared" si="14"/>
        <v>3.6232220663514155E-4</v>
      </c>
      <c r="E206" s="38">
        <v>25</v>
      </c>
      <c r="F206" s="38">
        <f t="shared" si="15"/>
        <v>11.339822735890994</v>
      </c>
      <c r="G206" s="38" t="s">
        <v>1182</v>
      </c>
      <c r="H206">
        <v>2017</v>
      </c>
      <c r="I206">
        <f t="shared" si="16"/>
        <v>0.64102564102564108</v>
      </c>
      <c r="J206" s="40">
        <f t="shared" si="17"/>
        <v>31297.619986373607</v>
      </c>
    </row>
    <row r="207" spans="1:10" x14ac:dyDescent="0.25">
      <c r="A207" s="44" t="s">
        <v>1259</v>
      </c>
      <c r="B207" s="38" t="s">
        <v>1267</v>
      </c>
      <c r="C207" s="38">
        <v>100</v>
      </c>
      <c r="D207" s="38">
        <f t="shared" si="14"/>
        <v>9.2903129906446544E-4</v>
      </c>
      <c r="E207" s="38">
        <v>51</v>
      </c>
      <c r="F207" s="38">
        <f t="shared" si="15"/>
        <v>23.133238381217627</v>
      </c>
      <c r="G207" s="38" t="s">
        <v>1182</v>
      </c>
      <c r="H207">
        <v>2017</v>
      </c>
      <c r="I207">
        <f t="shared" si="16"/>
        <v>0.51</v>
      </c>
      <c r="J207" s="40">
        <f t="shared" si="17"/>
        <v>24900.386461158843</v>
      </c>
    </row>
    <row r="208" spans="1:10" x14ac:dyDescent="0.25">
      <c r="A208" s="44" t="s">
        <v>1259</v>
      </c>
      <c r="B208" s="38" t="s">
        <v>1267</v>
      </c>
      <c r="C208" s="38">
        <v>400</v>
      </c>
      <c r="D208" s="38">
        <f t="shared" si="14"/>
        <v>3.7161251962578618E-3</v>
      </c>
      <c r="E208" s="38">
        <v>160</v>
      </c>
      <c r="F208" s="38">
        <f t="shared" si="15"/>
        <v>72.574865509702363</v>
      </c>
      <c r="G208" s="38" t="s">
        <v>1182</v>
      </c>
      <c r="H208">
        <v>2017</v>
      </c>
      <c r="I208">
        <f t="shared" si="16"/>
        <v>0.4</v>
      </c>
      <c r="J208" s="40">
        <f t="shared" si="17"/>
        <v>19529.714871497134</v>
      </c>
    </row>
    <row r="209" spans="1:10" x14ac:dyDescent="0.25">
      <c r="A209" s="44" t="s">
        <v>1259</v>
      </c>
      <c r="B209" s="38" t="s">
        <v>1267</v>
      </c>
      <c r="C209" s="38">
        <v>45</v>
      </c>
      <c r="D209" s="38">
        <f t="shared" si="14"/>
        <v>4.1806408457900949E-4</v>
      </c>
      <c r="E209" s="38">
        <v>11</v>
      </c>
      <c r="F209" s="38">
        <f t="shared" si="15"/>
        <v>4.9895220037920369</v>
      </c>
      <c r="G209" s="38" t="s">
        <v>1182</v>
      </c>
      <c r="H209">
        <v>2018</v>
      </c>
      <c r="I209">
        <f t="shared" si="16"/>
        <v>0.24444444444444444</v>
      </c>
      <c r="J209" s="40">
        <f t="shared" si="17"/>
        <v>11934.8257548038</v>
      </c>
    </row>
    <row r="210" spans="1:10" x14ac:dyDescent="0.25">
      <c r="A210" s="44" t="s">
        <v>1259</v>
      </c>
      <c r="B210" s="38" t="s">
        <v>1267</v>
      </c>
      <c r="C210" s="38">
        <v>45</v>
      </c>
      <c r="D210" s="38">
        <f t="shared" si="14"/>
        <v>4.1806408457900949E-4</v>
      </c>
      <c r="E210" s="38">
        <v>13</v>
      </c>
      <c r="F210" s="38">
        <f t="shared" si="15"/>
        <v>5.8967078226633163</v>
      </c>
      <c r="G210" s="38" t="s">
        <v>1182</v>
      </c>
      <c r="H210">
        <v>2018</v>
      </c>
      <c r="I210">
        <f t="shared" si="16"/>
        <v>0.28888888888888886</v>
      </c>
      <c r="J210" s="40">
        <f t="shared" si="17"/>
        <v>14104.794073859037</v>
      </c>
    </row>
    <row r="211" spans="1:10" x14ac:dyDescent="0.25">
      <c r="A211" s="44" t="s">
        <v>1259</v>
      </c>
      <c r="B211" s="38" t="s">
        <v>1267</v>
      </c>
      <c r="C211" s="38">
        <v>72</v>
      </c>
      <c r="D211" s="38">
        <f t="shared" si="14"/>
        <v>6.6890253532641511E-4</v>
      </c>
      <c r="E211" s="38">
        <v>22</v>
      </c>
      <c r="F211" s="38">
        <f t="shared" si="15"/>
        <v>9.9790440075840738</v>
      </c>
      <c r="G211" s="38" t="s">
        <v>1182</v>
      </c>
      <c r="H211">
        <v>2018</v>
      </c>
      <c r="I211">
        <f t="shared" si="16"/>
        <v>0.30555555555555558</v>
      </c>
      <c r="J211" s="40">
        <f t="shared" si="17"/>
        <v>14918.532193504752</v>
      </c>
    </row>
    <row r="212" spans="1:10" x14ac:dyDescent="0.25">
      <c r="A212" s="44" t="s">
        <v>1259</v>
      </c>
      <c r="B212" s="38" t="s">
        <v>1267</v>
      </c>
      <c r="C212" s="38">
        <v>35</v>
      </c>
      <c r="D212" s="38">
        <f t="shared" si="14"/>
        <v>3.2516095467256291E-4</v>
      </c>
      <c r="E212" s="38">
        <v>119</v>
      </c>
      <c r="F212" s="38">
        <f t="shared" si="15"/>
        <v>53.97755622284113</v>
      </c>
      <c r="G212" s="38" t="s">
        <v>1182</v>
      </c>
      <c r="H212">
        <v>2013</v>
      </c>
      <c r="I212">
        <f t="shared" si="16"/>
        <v>3.4</v>
      </c>
      <c r="J212" s="40">
        <f t="shared" si="17"/>
        <v>166002.5764077256</v>
      </c>
    </row>
    <row r="213" spans="1:10" x14ac:dyDescent="0.25">
      <c r="A213" s="44" t="s">
        <v>1259</v>
      </c>
      <c r="B213" s="38" t="s">
        <v>1267</v>
      </c>
      <c r="C213" s="38">
        <v>35</v>
      </c>
      <c r="D213" s="38">
        <f t="shared" si="14"/>
        <v>3.2516095467256291E-4</v>
      </c>
      <c r="E213" s="38">
        <v>17</v>
      </c>
      <c r="F213" s="38">
        <f t="shared" si="15"/>
        <v>7.7110794604058759</v>
      </c>
      <c r="G213" s="38" t="s">
        <v>1182</v>
      </c>
      <c r="H213">
        <v>2018</v>
      </c>
      <c r="I213">
        <f t="shared" si="16"/>
        <v>0.48571428571428571</v>
      </c>
      <c r="J213" s="40">
        <f t="shared" si="17"/>
        <v>23714.653772532231</v>
      </c>
    </row>
    <row r="214" spans="1:10" x14ac:dyDescent="0.25">
      <c r="A214" s="44" t="s">
        <v>1259</v>
      </c>
      <c r="B214" s="38" t="s">
        <v>1267</v>
      </c>
      <c r="C214" s="38">
        <v>39</v>
      </c>
      <c r="D214" s="38">
        <f t="shared" si="14"/>
        <v>3.6232220663514155E-4</v>
      </c>
      <c r="E214" s="38">
        <v>13</v>
      </c>
      <c r="F214" s="38">
        <f t="shared" si="15"/>
        <v>5.8967078226633163</v>
      </c>
      <c r="G214" s="38" t="s">
        <v>1182</v>
      </c>
      <c r="H214">
        <v>2018</v>
      </c>
      <c r="I214">
        <f t="shared" si="16"/>
        <v>0.33333333333333331</v>
      </c>
      <c r="J214" s="40">
        <f t="shared" si="17"/>
        <v>16274.762392914274</v>
      </c>
    </row>
    <row r="215" spans="1:10" x14ac:dyDescent="0.25">
      <c r="A215" s="44" t="s">
        <v>1259</v>
      </c>
      <c r="B215" s="38" t="s">
        <v>1267</v>
      </c>
      <c r="C215" s="38">
        <v>75</v>
      </c>
      <c r="D215" s="38">
        <f t="shared" si="14"/>
        <v>6.9677347429834911E-4</v>
      </c>
      <c r="E215" s="38">
        <v>10</v>
      </c>
      <c r="F215" s="38">
        <f t="shared" si="15"/>
        <v>4.5359290943563977</v>
      </c>
      <c r="G215" s="38" t="s">
        <v>1182</v>
      </c>
      <c r="H215">
        <v>2018</v>
      </c>
      <c r="I215">
        <f t="shared" si="16"/>
        <v>0.13333333333333333</v>
      </c>
      <c r="J215" s="40">
        <f t="shared" si="17"/>
        <v>6509.9049571657106</v>
      </c>
    </row>
    <row r="216" spans="1:10" x14ac:dyDescent="0.25">
      <c r="A216" s="44" t="s">
        <v>1259</v>
      </c>
      <c r="B216" s="38" t="s">
        <v>1267</v>
      </c>
      <c r="C216" s="38">
        <v>39</v>
      </c>
      <c r="D216" s="38">
        <f t="shared" si="14"/>
        <v>3.6232220663514155E-4</v>
      </c>
      <c r="E216" s="38">
        <v>14</v>
      </c>
      <c r="F216" s="38">
        <f t="shared" si="15"/>
        <v>6.3503007320989564</v>
      </c>
      <c r="G216" s="38" t="s">
        <v>1182</v>
      </c>
      <c r="H216">
        <v>2018</v>
      </c>
      <c r="I216">
        <f t="shared" si="16"/>
        <v>0.35897435897435898</v>
      </c>
      <c r="J216" s="40">
        <f t="shared" si="17"/>
        <v>17526.667192369219</v>
      </c>
    </row>
    <row r="217" spans="1:10" x14ac:dyDescent="0.25">
      <c r="A217" s="44" t="s">
        <v>1259</v>
      </c>
      <c r="B217" s="38" t="s">
        <v>1267</v>
      </c>
      <c r="C217" s="38">
        <v>40</v>
      </c>
      <c r="D217" s="38">
        <f t="shared" si="14"/>
        <v>3.716125196257862E-4</v>
      </c>
      <c r="E217" s="38">
        <v>30</v>
      </c>
      <c r="F217" s="38">
        <f t="shared" si="15"/>
        <v>13.607787283069193</v>
      </c>
      <c r="G217" s="38" t="s">
        <v>1182</v>
      </c>
      <c r="H217">
        <v>2017</v>
      </c>
      <c r="I217">
        <f t="shared" si="16"/>
        <v>0.75</v>
      </c>
      <c r="J217" s="40">
        <f t="shared" si="17"/>
        <v>36618.215384057119</v>
      </c>
    </row>
    <row r="218" spans="1:10" x14ac:dyDescent="0.25">
      <c r="A218" s="44" t="s">
        <v>1259</v>
      </c>
      <c r="B218" s="38" t="s">
        <v>1268</v>
      </c>
      <c r="C218" s="38">
        <v>70</v>
      </c>
      <c r="D218" s="38">
        <f t="shared" si="14"/>
        <v>6.5032190934512582E-4</v>
      </c>
      <c r="E218" s="38">
        <v>47</v>
      </c>
      <c r="F218" s="38">
        <f t="shared" si="15"/>
        <v>21.318866743475066</v>
      </c>
      <c r="G218" s="38" t="s">
        <v>1182</v>
      </c>
      <c r="H218">
        <v>2017</v>
      </c>
      <c r="I218">
        <f t="shared" si="16"/>
        <v>0.67142857142857137</v>
      </c>
      <c r="J218" s="40">
        <f t="shared" si="17"/>
        <v>32782.021391441609</v>
      </c>
    </row>
    <row r="219" spans="1:10" x14ac:dyDescent="0.25">
      <c r="A219" s="44" t="s">
        <v>1259</v>
      </c>
      <c r="B219" s="38" t="s">
        <v>1268</v>
      </c>
      <c r="C219" s="38">
        <v>68</v>
      </c>
      <c r="D219" s="38">
        <f t="shared" si="14"/>
        <v>6.3174128336383653E-4</v>
      </c>
      <c r="E219" s="38">
        <v>17</v>
      </c>
      <c r="F219" s="38">
        <f t="shared" si="15"/>
        <v>7.7110794604058759</v>
      </c>
      <c r="G219" s="38" t="s">
        <v>1182</v>
      </c>
      <c r="H219">
        <v>2017</v>
      </c>
      <c r="I219">
        <f t="shared" si="16"/>
        <v>0.25</v>
      </c>
      <c r="J219" s="40">
        <f t="shared" si="17"/>
        <v>12206.071794685708</v>
      </c>
    </row>
    <row r="220" spans="1:10" x14ac:dyDescent="0.25">
      <c r="A220" s="44" t="s">
        <v>1259</v>
      </c>
      <c r="B220" s="38" t="s">
        <v>1268</v>
      </c>
      <c r="C220" s="38">
        <v>400</v>
      </c>
      <c r="D220" s="38">
        <f t="shared" si="14"/>
        <v>3.7161251962578618E-3</v>
      </c>
      <c r="E220" s="38">
        <v>131</v>
      </c>
      <c r="F220" s="38">
        <f t="shared" si="15"/>
        <v>59.420671136068805</v>
      </c>
      <c r="G220" s="38" t="s">
        <v>1182</v>
      </c>
      <c r="H220">
        <v>2017</v>
      </c>
      <c r="I220">
        <f t="shared" si="16"/>
        <v>0.32750000000000001</v>
      </c>
      <c r="J220" s="40">
        <f t="shared" si="17"/>
        <v>15989.954051038276</v>
      </c>
    </row>
    <row r="221" spans="1:10" x14ac:dyDescent="0.25">
      <c r="A221" s="44" t="s">
        <v>1259</v>
      </c>
      <c r="B221" s="38" t="s">
        <v>1268</v>
      </c>
      <c r="C221" s="38">
        <v>39</v>
      </c>
      <c r="D221" s="38">
        <f t="shared" si="14"/>
        <v>3.6232220663514155E-4</v>
      </c>
      <c r="E221" s="38">
        <v>20</v>
      </c>
      <c r="F221" s="38">
        <f t="shared" si="15"/>
        <v>9.0718581887127954</v>
      </c>
      <c r="G221" s="38" t="s">
        <v>1182</v>
      </c>
      <c r="H221">
        <v>2017</v>
      </c>
      <c r="I221">
        <f t="shared" si="16"/>
        <v>0.51282051282051277</v>
      </c>
      <c r="J221" s="40">
        <f t="shared" si="17"/>
        <v>25038.095989098885</v>
      </c>
    </row>
    <row r="222" spans="1:10" x14ac:dyDescent="0.25">
      <c r="A222" s="44" t="s">
        <v>1259</v>
      </c>
      <c r="B222" s="38" t="s">
        <v>1268</v>
      </c>
      <c r="C222" s="38">
        <v>40</v>
      </c>
      <c r="D222" s="38">
        <f t="shared" si="14"/>
        <v>3.716125196257862E-4</v>
      </c>
      <c r="E222" s="38">
        <v>29</v>
      </c>
      <c r="F222" s="38">
        <f t="shared" si="15"/>
        <v>13.154194373633553</v>
      </c>
      <c r="G222" s="38" t="s">
        <v>1182</v>
      </c>
      <c r="H222">
        <v>2017</v>
      </c>
      <c r="I222">
        <f t="shared" si="16"/>
        <v>0.72499999999999998</v>
      </c>
      <c r="J222" s="40">
        <f t="shared" si="17"/>
        <v>35397.608204588549</v>
      </c>
    </row>
    <row r="223" spans="1:10" x14ac:dyDescent="0.25">
      <c r="A223" s="44" t="s">
        <v>1259</v>
      </c>
      <c r="B223" s="38" t="s">
        <v>1268</v>
      </c>
      <c r="C223" s="38">
        <v>140</v>
      </c>
      <c r="D223" s="38">
        <f t="shared" si="14"/>
        <v>1.3006438186902516E-3</v>
      </c>
      <c r="E223" s="38">
        <v>33</v>
      </c>
      <c r="F223" s="38">
        <f t="shared" si="15"/>
        <v>14.968566011376112</v>
      </c>
      <c r="G223" s="38" t="s">
        <v>1182</v>
      </c>
      <c r="H223">
        <v>2017</v>
      </c>
      <c r="I223">
        <f t="shared" si="16"/>
        <v>0.23571428571428571</v>
      </c>
      <c r="J223" s="40">
        <f t="shared" si="17"/>
        <v>11508.581977846523</v>
      </c>
    </row>
    <row r="224" spans="1:10" x14ac:dyDescent="0.25">
      <c r="A224" s="44" t="s">
        <v>1259</v>
      </c>
      <c r="B224" s="38" t="s">
        <v>1268</v>
      </c>
      <c r="C224" s="38">
        <v>435</v>
      </c>
      <c r="D224" s="38">
        <f t="shared" si="14"/>
        <v>4.0412861509304251E-3</v>
      </c>
      <c r="E224" s="38">
        <v>280</v>
      </c>
      <c r="F224" s="38">
        <f t="shared" si="15"/>
        <v>127.00601464197912</v>
      </c>
      <c r="G224" s="38" t="s">
        <v>1182</v>
      </c>
      <c r="I224">
        <f t="shared" si="16"/>
        <v>0.64367816091954022</v>
      </c>
      <c r="J224" s="40">
        <f t="shared" si="17"/>
        <v>31427.127379420665</v>
      </c>
    </row>
    <row r="225" spans="1:10" x14ac:dyDescent="0.25">
      <c r="A225" s="44" t="s">
        <v>1259</v>
      </c>
      <c r="B225" s="38" t="s">
        <v>1269</v>
      </c>
      <c r="C225" s="38">
        <v>35</v>
      </c>
      <c r="D225" s="38">
        <f t="shared" si="14"/>
        <v>3.2516095467256291E-4</v>
      </c>
      <c r="E225" s="38">
        <v>16</v>
      </c>
      <c r="F225" s="38">
        <f t="shared" si="15"/>
        <v>7.2574865509702358</v>
      </c>
      <c r="G225" s="38" t="s">
        <v>1182</v>
      </c>
      <c r="H225">
        <v>2018</v>
      </c>
      <c r="I225">
        <f t="shared" si="16"/>
        <v>0.45714285714285713</v>
      </c>
      <c r="J225" s="40">
        <f t="shared" si="17"/>
        <v>22319.674138853865</v>
      </c>
    </row>
    <row r="226" spans="1:10" x14ac:dyDescent="0.25">
      <c r="A226" s="44" t="s">
        <v>1259</v>
      </c>
      <c r="B226" s="38" t="s">
        <v>1269</v>
      </c>
      <c r="C226" s="38">
        <v>97</v>
      </c>
      <c r="D226" s="38">
        <f t="shared" si="14"/>
        <v>9.0116036009253156E-4</v>
      </c>
      <c r="E226" s="38">
        <v>15</v>
      </c>
      <c r="F226" s="38">
        <f t="shared" si="15"/>
        <v>6.8038936415345965</v>
      </c>
      <c r="G226" s="38" t="s">
        <v>1182</v>
      </c>
      <c r="H226">
        <v>2018</v>
      </c>
      <c r="I226">
        <f t="shared" si="16"/>
        <v>0.15463917525773196</v>
      </c>
      <c r="J226" s="40">
        <f t="shared" si="17"/>
        <v>7550.1475018674473</v>
      </c>
    </row>
    <row r="227" spans="1:10" x14ac:dyDescent="0.25">
      <c r="A227" s="44" t="s">
        <v>1259</v>
      </c>
      <c r="B227" s="38" t="s">
        <v>1269</v>
      </c>
      <c r="C227" s="38">
        <v>72</v>
      </c>
      <c r="D227" s="38">
        <f t="shared" si="14"/>
        <v>6.6890253532641511E-4</v>
      </c>
      <c r="E227" s="38">
        <v>9</v>
      </c>
      <c r="F227" s="38">
        <f t="shared" si="15"/>
        <v>4.0823361849207576</v>
      </c>
      <c r="G227" s="38" t="s">
        <v>1182</v>
      </c>
      <c r="H227">
        <v>2018</v>
      </c>
      <c r="I227">
        <f t="shared" si="16"/>
        <v>0.125</v>
      </c>
      <c r="J227" s="40">
        <f t="shared" si="17"/>
        <v>6103.0358973428538</v>
      </c>
    </row>
    <row r="228" spans="1:10" x14ac:dyDescent="0.25">
      <c r="A228" s="44" t="s">
        <v>1259</v>
      </c>
      <c r="B228" s="38" t="s">
        <v>1269</v>
      </c>
      <c r="C228" s="38">
        <v>25</v>
      </c>
      <c r="D228" s="38">
        <f t="shared" si="14"/>
        <v>2.3225782476611636E-4</v>
      </c>
      <c r="E228" s="38">
        <v>31</v>
      </c>
      <c r="F228" s="38">
        <f t="shared" si="15"/>
        <v>14.061380192504831</v>
      </c>
      <c r="G228" s="38" t="s">
        <v>1182</v>
      </c>
      <c r="H228">
        <v>2018</v>
      </c>
      <c r="I228">
        <f t="shared" si="16"/>
        <v>1.24</v>
      </c>
      <c r="J228" s="40">
        <f t="shared" si="17"/>
        <v>60542.116101641106</v>
      </c>
    </row>
    <row r="229" spans="1:10" x14ac:dyDescent="0.25">
      <c r="A229" s="44" t="s">
        <v>1259</v>
      </c>
      <c r="B229" s="38" t="s">
        <v>1269</v>
      </c>
      <c r="C229" s="38">
        <v>45</v>
      </c>
      <c r="D229" s="38">
        <f t="shared" si="14"/>
        <v>4.1806408457900949E-4</v>
      </c>
      <c r="E229" s="38">
        <v>11</v>
      </c>
      <c r="F229" s="38">
        <f t="shared" si="15"/>
        <v>4.9895220037920369</v>
      </c>
      <c r="G229" s="38" t="s">
        <v>1182</v>
      </c>
      <c r="H229">
        <v>2018</v>
      </c>
      <c r="I229">
        <f t="shared" si="16"/>
        <v>0.24444444444444444</v>
      </c>
      <c r="J229" s="40">
        <f t="shared" si="17"/>
        <v>11934.8257548038</v>
      </c>
    </row>
    <row r="230" spans="1:10" x14ac:dyDescent="0.25">
      <c r="A230" s="44" t="s">
        <v>1259</v>
      </c>
      <c r="B230" s="38" t="s">
        <v>1269</v>
      </c>
      <c r="C230" s="38">
        <v>72</v>
      </c>
      <c r="D230" s="38">
        <f t="shared" si="14"/>
        <v>6.6890253532641511E-4</v>
      </c>
      <c r="E230" s="38">
        <v>25</v>
      </c>
      <c r="F230" s="38">
        <f t="shared" si="15"/>
        <v>11.339822735890994</v>
      </c>
      <c r="G230" s="38" t="s">
        <v>1182</v>
      </c>
      <c r="H230">
        <v>2018</v>
      </c>
      <c r="I230">
        <f t="shared" si="16"/>
        <v>0.34722222222222221</v>
      </c>
      <c r="J230" s="40">
        <f t="shared" si="17"/>
        <v>16952.877492619038</v>
      </c>
    </row>
    <row r="231" spans="1:10" x14ac:dyDescent="0.25">
      <c r="A231" s="44" t="s">
        <v>1259</v>
      </c>
      <c r="B231" s="38" t="s">
        <v>1269</v>
      </c>
      <c r="C231" s="38">
        <v>75</v>
      </c>
      <c r="D231" s="38">
        <f t="shared" si="14"/>
        <v>6.9677347429834911E-4</v>
      </c>
      <c r="E231" s="38">
        <v>31</v>
      </c>
      <c r="F231" s="38">
        <f t="shared" si="15"/>
        <v>14.061380192504831</v>
      </c>
      <c r="G231" s="38" t="s">
        <v>1182</v>
      </c>
      <c r="H231">
        <v>2018</v>
      </c>
      <c r="I231">
        <f t="shared" si="16"/>
        <v>0.41333333333333333</v>
      </c>
      <c r="J231" s="40">
        <f t="shared" si="17"/>
        <v>20180.705367213701</v>
      </c>
    </row>
    <row r="232" spans="1:10" x14ac:dyDescent="0.25">
      <c r="A232" s="44" t="s">
        <v>1259</v>
      </c>
      <c r="B232" s="38" t="s">
        <v>1269</v>
      </c>
      <c r="C232" s="38">
        <v>435</v>
      </c>
      <c r="D232" s="38">
        <f t="shared" si="14"/>
        <v>4.0412861509304251E-3</v>
      </c>
      <c r="E232" s="38">
        <v>300</v>
      </c>
      <c r="F232" s="38">
        <f t="shared" si="15"/>
        <v>136.07787283069192</v>
      </c>
      <c r="G232" s="38" t="s">
        <v>1182</v>
      </c>
      <c r="I232">
        <f t="shared" si="16"/>
        <v>0.68965517241379315</v>
      </c>
      <c r="J232" s="40">
        <f t="shared" si="17"/>
        <v>33671.92219223643</v>
      </c>
    </row>
    <row r="233" spans="1:10" x14ac:dyDescent="0.25">
      <c r="A233" s="44" t="s">
        <v>1259</v>
      </c>
      <c r="B233" s="38" t="s">
        <v>1269</v>
      </c>
      <c r="C233" s="38">
        <v>90</v>
      </c>
      <c r="D233" s="38">
        <f t="shared" si="14"/>
        <v>8.3612816915801897E-4</v>
      </c>
      <c r="E233" s="38">
        <v>34</v>
      </c>
      <c r="F233" s="38">
        <f t="shared" si="15"/>
        <v>15.422158920811752</v>
      </c>
      <c r="G233" s="38" t="s">
        <v>1182</v>
      </c>
      <c r="H233">
        <v>2018</v>
      </c>
      <c r="I233">
        <f t="shared" si="16"/>
        <v>0.37777777777777777</v>
      </c>
      <c r="J233" s="40">
        <f t="shared" si="17"/>
        <v>18444.730711969511</v>
      </c>
    </row>
    <row r="234" spans="1:10" x14ac:dyDescent="0.25">
      <c r="A234" s="44" t="s">
        <v>1259</v>
      </c>
      <c r="B234" s="38" t="s">
        <v>1269</v>
      </c>
      <c r="C234" s="38">
        <v>45</v>
      </c>
      <c r="D234" s="38">
        <f t="shared" si="14"/>
        <v>4.1806408457900949E-4</v>
      </c>
      <c r="E234" s="38">
        <v>14</v>
      </c>
      <c r="F234" s="38">
        <f t="shared" si="15"/>
        <v>6.3503007320989564</v>
      </c>
      <c r="G234" s="38" t="s">
        <v>1182</v>
      </c>
      <c r="H234">
        <v>2018</v>
      </c>
      <c r="I234">
        <f t="shared" si="16"/>
        <v>0.31111111111111112</v>
      </c>
      <c r="J234" s="40">
        <f t="shared" si="17"/>
        <v>15189.778233386656</v>
      </c>
    </row>
    <row r="235" spans="1:10" x14ac:dyDescent="0.25">
      <c r="A235" s="44" t="s">
        <v>1259</v>
      </c>
      <c r="B235" s="38" t="s">
        <v>1269</v>
      </c>
      <c r="C235" s="38">
        <v>35</v>
      </c>
      <c r="D235" s="38">
        <f t="shared" si="14"/>
        <v>3.2516095467256291E-4</v>
      </c>
      <c r="E235" s="38">
        <v>9</v>
      </c>
      <c r="F235" s="38">
        <f t="shared" si="15"/>
        <v>4.0823361849207576</v>
      </c>
      <c r="G235" s="38" t="s">
        <v>1182</v>
      </c>
      <c r="H235">
        <v>2018</v>
      </c>
      <c r="I235">
        <f t="shared" si="16"/>
        <v>0.25714285714285712</v>
      </c>
      <c r="J235" s="40">
        <f t="shared" si="17"/>
        <v>12554.816703105298</v>
      </c>
    </row>
    <row r="236" spans="1:10" x14ac:dyDescent="0.25">
      <c r="A236" s="44" t="s">
        <v>1259</v>
      </c>
      <c r="B236" s="38" t="s">
        <v>1269</v>
      </c>
      <c r="C236" s="38">
        <v>25</v>
      </c>
      <c r="D236" s="38">
        <f t="shared" si="14"/>
        <v>2.3225782476611636E-4</v>
      </c>
      <c r="E236" s="38">
        <v>32</v>
      </c>
      <c r="F236" s="38">
        <f t="shared" si="15"/>
        <v>14.514973101940472</v>
      </c>
      <c r="G236" s="38" t="s">
        <v>1182</v>
      </c>
      <c r="H236">
        <v>2019</v>
      </c>
      <c r="I236">
        <f t="shared" si="16"/>
        <v>1.28</v>
      </c>
      <c r="J236" s="40">
        <f t="shared" si="17"/>
        <v>62495.087588790819</v>
      </c>
    </row>
    <row r="237" spans="1:10" x14ac:dyDescent="0.25">
      <c r="A237" s="44" t="s">
        <v>1259</v>
      </c>
      <c r="B237" s="38" t="s">
        <v>1269</v>
      </c>
      <c r="C237" s="38">
        <v>75</v>
      </c>
      <c r="D237" s="38">
        <f t="shared" si="14"/>
        <v>6.9677347429834911E-4</v>
      </c>
      <c r="E237" s="38">
        <v>27</v>
      </c>
      <c r="F237" s="38">
        <f t="shared" si="15"/>
        <v>12.247008554762273</v>
      </c>
      <c r="G237" s="38" t="s">
        <v>1182</v>
      </c>
      <c r="H237">
        <v>2018</v>
      </c>
      <c r="I237">
        <f t="shared" si="16"/>
        <v>0.36</v>
      </c>
      <c r="J237" s="40">
        <f t="shared" si="17"/>
        <v>17576.743384347417</v>
      </c>
    </row>
    <row r="238" spans="1:10" x14ac:dyDescent="0.25">
      <c r="A238" s="44" t="s">
        <v>1259</v>
      </c>
      <c r="B238" s="38" t="s">
        <v>1270</v>
      </c>
      <c r="C238" s="38">
        <v>75</v>
      </c>
      <c r="D238" s="38">
        <f t="shared" si="14"/>
        <v>6.9677347429834911E-4</v>
      </c>
      <c r="E238" s="38">
        <v>15</v>
      </c>
      <c r="F238" s="38">
        <f t="shared" si="15"/>
        <v>6.8038936415345965</v>
      </c>
      <c r="G238" s="38" t="s">
        <v>1204</v>
      </c>
      <c r="I238">
        <f t="shared" si="16"/>
        <v>0.2</v>
      </c>
      <c r="J238" s="40">
        <f t="shared" si="17"/>
        <v>9764.857435748565</v>
      </c>
    </row>
    <row r="239" spans="1:10" x14ac:dyDescent="0.25">
      <c r="A239" s="44" t="s">
        <v>1259</v>
      </c>
      <c r="B239" s="38" t="s">
        <v>1271</v>
      </c>
      <c r="C239" s="38">
        <v>435</v>
      </c>
      <c r="D239" s="38">
        <f t="shared" si="14"/>
        <v>4.0412861509304251E-3</v>
      </c>
      <c r="E239" s="38">
        <v>320</v>
      </c>
      <c r="F239" s="38">
        <f t="shared" si="15"/>
        <v>145.14973101940473</v>
      </c>
      <c r="G239" s="38" t="s">
        <v>1182</v>
      </c>
      <c r="I239">
        <f t="shared" si="16"/>
        <v>0.73563218390804597</v>
      </c>
      <c r="J239" s="40">
        <f t="shared" si="17"/>
        <v>35916.717005052196</v>
      </c>
    </row>
    <row r="240" spans="1:10" x14ac:dyDescent="0.25">
      <c r="A240" s="44" t="s">
        <v>1259</v>
      </c>
      <c r="B240" s="38" t="s">
        <v>1272</v>
      </c>
      <c r="C240" s="38">
        <v>300</v>
      </c>
      <c r="D240" s="38">
        <f t="shared" si="14"/>
        <v>2.7870938971933964E-3</v>
      </c>
      <c r="E240" s="38">
        <v>140</v>
      </c>
      <c r="F240" s="38">
        <f t="shared" si="15"/>
        <v>63.50300732098956</v>
      </c>
      <c r="G240" s="38" t="s">
        <v>1182</v>
      </c>
      <c r="I240">
        <f t="shared" si="16"/>
        <v>0.46666666666666667</v>
      </c>
      <c r="J240" s="40">
        <f t="shared" si="17"/>
        <v>22784.667350079984</v>
      </c>
    </row>
    <row r="241" spans="1:10" x14ac:dyDescent="0.25">
      <c r="A241" s="44" t="s">
        <v>1259</v>
      </c>
      <c r="B241" s="38" t="s">
        <v>1273</v>
      </c>
      <c r="C241" s="38">
        <v>450</v>
      </c>
      <c r="D241" s="38">
        <f t="shared" si="14"/>
        <v>4.1806408457900944E-3</v>
      </c>
      <c r="E241" s="38">
        <v>153</v>
      </c>
      <c r="F241" s="38">
        <f t="shared" si="15"/>
        <v>69.399715143652884</v>
      </c>
      <c r="G241" s="38" t="s">
        <v>1204</v>
      </c>
      <c r="I241">
        <f t="shared" si="16"/>
        <v>0.34</v>
      </c>
      <c r="J241" s="40">
        <f t="shared" si="17"/>
        <v>16600.257640772561</v>
      </c>
    </row>
    <row r="242" spans="1:10" x14ac:dyDescent="0.25">
      <c r="A242" s="44" t="s">
        <v>1259</v>
      </c>
      <c r="B242" s="38" t="s">
        <v>1240</v>
      </c>
      <c r="C242" s="38">
        <v>506</v>
      </c>
      <c r="D242" s="38">
        <f t="shared" si="14"/>
        <v>4.7008983732661951E-3</v>
      </c>
      <c r="E242" s="38">
        <v>94</v>
      </c>
      <c r="F242" s="38">
        <f t="shared" si="15"/>
        <v>42.637733486950133</v>
      </c>
      <c r="G242" s="38" t="s">
        <v>1204</v>
      </c>
      <c r="H242">
        <v>2013</v>
      </c>
      <c r="I242">
        <f t="shared" si="16"/>
        <v>0.1857707509881423</v>
      </c>
      <c r="J242" s="40">
        <f t="shared" si="17"/>
        <v>9070.1244956557821</v>
      </c>
    </row>
    <row r="243" spans="1:10" x14ac:dyDescent="0.25">
      <c r="A243" s="44" t="s">
        <v>1259</v>
      </c>
      <c r="B243" s="38" t="s">
        <v>1240</v>
      </c>
      <c r="C243" s="38">
        <v>910</v>
      </c>
      <c r="D243" s="38">
        <f t="shared" si="14"/>
        <v>8.4541848214866357E-3</v>
      </c>
      <c r="E243" s="38">
        <v>212</v>
      </c>
      <c r="F243" s="38">
        <f t="shared" si="15"/>
        <v>96.161696800355628</v>
      </c>
      <c r="G243" s="38" t="s">
        <v>1204</v>
      </c>
      <c r="H243">
        <v>2013</v>
      </c>
      <c r="I243">
        <f t="shared" si="16"/>
        <v>0.23296703296703297</v>
      </c>
      <c r="J243" s="40">
        <f t="shared" si="17"/>
        <v>11374.449320762065</v>
      </c>
    </row>
    <row r="244" spans="1:10" x14ac:dyDescent="0.25">
      <c r="A244" s="44" t="s">
        <v>1259</v>
      </c>
      <c r="B244" s="38" t="s">
        <v>1240</v>
      </c>
      <c r="C244" s="38">
        <v>450</v>
      </c>
      <c r="D244" s="38">
        <f t="shared" si="14"/>
        <v>4.1806408457900944E-3</v>
      </c>
      <c r="E244" s="38">
        <v>278</v>
      </c>
      <c r="F244" s="38">
        <f t="shared" si="15"/>
        <v>126.09882882310785</v>
      </c>
      <c r="G244" s="38" t="s">
        <v>1204</v>
      </c>
      <c r="I244">
        <f t="shared" si="16"/>
        <v>0.61777777777777776</v>
      </c>
      <c r="J244" s="40">
        <f t="shared" si="17"/>
        <v>30162.559634867794</v>
      </c>
    </row>
    <row r="245" spans="1:10" ht="22.5" customHeight="1" x14ac:dyDescent="0.25">
      <c r="A245" s="44" t="s">
        <v>1259</v>
      </c>
      <c r="B245" s="38" t="s">
        <v>1240</v>
      </c>
      <c r="C245" s="38">
        <v>192</v>
      </c>
      <c r="D245" s="38">
        <f t="shared" si="14"/>
        <v>1.7837400942037737E-3</v>
      </c>
      <c r="E245" s="38">
        <v>96</v>
      </c>
      <c r="F245" s="38">
        <f t="shared" si="15"/>
        <v>43.544919305821416</v>
      </c>
      <c r="G245" s="38" t="s">
        <v>1182</v>
      </c>
      <c r="H245">
        <v>2019</v>
      </c>
      <c r="I245">
        <f t="shared" si="16"/>
        <v>0.5</v>
      </c>
      <c r="J245" s="40">
        <f t="shared" si="17"/>
        <v>24412.143589371415</v>
      </c>
    </row>
    <row r="246" spans="1:10" x14ac:dyDescent="0.25">
      <c r="A246" s="44" t="s">
        <v>1274</v>
      </c>
      <c r="B246" s="38" t="s">
        <v>1275</v>
      </c>
      <c r="C246" s="38">
        <v>270</v>
      </c>
      <c r="D246" s="38">
        <f t="shared" si="14"/>
        <v>2.5083845074740569E-3</v>
      </c>
      <c r="E246" s="38">
        <v>135</v>
      </c>
      <c r="F246" s="38">
        <f t="shared" si="15"/>
        <v>61.235042773811365</v>
      </c>
      <c r="G246" s="38" t="s">
        <v>1182</v>
      </c>
      <c r="H246">
        <v>2016</v>
      </c>
      <c r="I246">
        <f t="shared" si="16"/>
        <v>0.5</v>
      </c>
      <c r="J246" s="40">
        <f t="shared" si="17"/>
        <v>24412.143589371412</v>
      </c>
    </row>
    <row r="247" spans="1:10" x14ac:dyDescent="0.25">
      <c r="A247" s="44" t="s">
        <v>1274</v>
      </c>
      <c r="B247" s="38" t="s">
        <v>1275</v>
      </c>
      <c r="C247" s="38">
        <v>270</v>
      </c>
      <c r="D247" s="38">
        <f t="shared" si="14"/>
        <v>2.5083845074740569E-3</v>
      </c>
      <c r="E247" s="38">
        <v>197</v>
      </c>
      <c r="F247" s="38">
        <f t="shared" si="15"/>
        <v>89.357803158821028</v>
      </c>
      <c r="G247" s="38" t="s">
        <v>1182</v>
      </c>
      <c r="H247">
        <v>2015</v>
      </c>
      <c r="I247">
        <f t="shared" si="16"/>
        <v>0.72962962962962963</v>
      </c>
      <c r="J247" s="40">
        <f t="shared" si="17"/>
        <v>35623.646571156802</v>
      </c>
    </row>
    <row r="248" spans="1:10" x14ac:dyDescent="0.25">
      <c r="A248" s="44" t="s">
        <v>1274</v>
      </c>
      <c r="B248" s="38" t="s">
        <v>1276</v>
      </c>
      <c r="C248" s="38">
        <v>1944</v>
      </c>
      <c r="D248" s="38">
        <f t="shared" si="14"/>
        <v>1.8060368453813209E-2</v>
      </c>
      <c r="E248" s="38">
        <v>748</v>
      </c>
      <c r="F248" s="38">
        <f t="shared" si="15"/>
        <v>339.28749625785855</v>
      </c>
      <c r="G248" s="38" t="s">
        <v>1182</v>
      </c>
      <c r="H248">
        <v>2014</v>
      </c>
      <c r="I248">
        <f t="shared" si="16"/>
        <v>0.38477366255144035</v>
      </c>
      <c r="J248" s="40">
        <f t="shared" si="17"/>
        <v>18786.299799228207</v>
      </c>
    </row>
    <row r="249" spans="1:10" x14ac:dyDescent="0.25">
      <c r="A249" s="44" t="s">
        <v>1274</v>
      </c>
      <c r="B249" s="38" t="s">
        <v>1276</v>
      </c>
      <c r="C249" s="38">
        <v>1296</v>
      </c>
      <c r="D249" s="38">
        <f t="shared" si="14"/>
        <v>1.2040245635875472E-2</v>
      </c>
      <c r="E249" s="38">
        <v>960</v>
      </c>
      <c r="F249" s="38">
        <f t="shared" si="15"/>
        <v>435.44919305821418</v>
      </c>
      <c r="G249" s="38" t="s">
        <v>1182</v>
      </c>
      <c r="H249">
        <v>2013</v>
      </c>
      <c r="I249">
        <f t="shared" si="16"/>
        <v>0.7407407407407407</v>
      </c>
      <c r="J249" s="40">
        <f t="shared" si="17"/>
        <v>36166.138650920613</v>
      </c>
    </row>
    <row r="250" spans="1:10" x14ac:dyDescent="0.25">
      <c r="A250" s="44" t="s">
        <v>1274</v>
      </c>
      <c r="B250" s="38" t="s">
        <v>1277</v>
      </c>
      <c r="C250" s="38">
        <v>37</v>
      </c>
      <c r="D250" s="38">
        <f t="shared" si="14"/>
        <v>3.437415806538522E-4</v>
      </c>
      <c r="E250" s="38">
        <v>33</v>
      </c>
      <c r="F250" s="38">
        <f t="shared" si="15"/>
        <v>14.968566011376112</v>
      </c>
      <c r="G250" s="38" t="s">
        <v>1182</v>
      </c>
      <c r="H250">
        <v>2013</v>
      </c>
      <c r="I250">
        <f t="shared" si="16"/>
        <v>0.89189189189189189</v>
      </c>
      <c r="J250" s="40">
        <f t="shared" si="17"/>
        <v>43545.985862121983</v>
      </c>
    </row>
    <row r="251" spans="1:10" x14ac:dyDescent="0.25">
      <c r="A251" s="44" t="s">
        <v>1274</v>
      </c>
      <c r="B251" s="38" t="s">
        <v>1277</v>
      </c>
      <c r="C251" s="38">
        <v>208</v>
      </c>
      <c r="D251" s="38">
        <f t="shared" si="14"/>
        <v>1.9323851020540883E-3</v>
      </c>
      <c r="E251" s="38">
        <v>110</v>
      </c>
      <c r="F251" s="38">
        <f t="shared" si="15"/>
        <v>49.895220037920375</v>
      </c>
      <c r="G251" s="38" t="s">
        <v>1182</v>
      </c>
      <c r="H251">
        <v>2014</v>
      </c>
      <c r="I251">
        <f t="shared" si="16"/>
        <v>0.52884615384615385</v>
      </c>
      <c r="J251" s="40">
        <f t="shared" si="17"/>
        <v>25820.536488758225</v>
      </c>
    </row>
    <row r="252" spans="1:10" x14ac:dyDescent="0.25">
      <c r="A252" s="44" t="s">
        <v>1274</v>
      </c>
      <c r="B252" s="38" t="s">
        <v>1278</v>
      </c>
      <c r="C252" s="38">
        <v>405</v>
      </c>
      <c r="D252" s="38">
        <f t="shared" si="14"/>
        <v>3.7625767612110852E-3</v>
      </c>
      <c r="E252" s="38">
        <v>167</v>
      </c>
      <c r="F252" s="38">
        <f t="shared" si="15"/>
        <v>75.750015875751842</v>
      </c>
      <c r="G252" s="38" t="s">
        <v>1182</v>
      </c>
      <c r="H252">
        <v>2014</v>
      </c>
      <c r="I252">
        <f t="shared" si="16"/>
        <v>0.4123456790123457</v>
      </c>
      <c r="J252" s="40">
        <f t="shared" si="17"/>
        <v>20132.483849012475</v>
      </c>
    </row>
    <row r="253" spans="1:10" x14ac:dyDescent="0.25">
      <c r="A253" s="44" t="s">
        <v>1274</v>
      </c>
      <c r="B253" s="38" t="s">
        <v>1278</v>
      </c>
      <c r="C253" s="38">
        <v>255</v>
      </c>
      <c r="D253" s="38">
        <f t="shared" si="14"/>
        <v>2.3690298126143872E-3</v>
      </c>
      <c r="E253" s="38">
        <v>192</v>
      </c>
      <c r="F253" s="38">
        <f t="shared" si="15"/>
        <v>87.089838611642833</v>
      </c>
      <c r="G253" s="38" t="s">
        <v>1182</v>
      </c>
      <c r="H253">
        <v>2014</v>
      </c>
      <c r="I253">
        <f t="shared" si="16"/>
        <v>0.75294117647058822</v>
      </c>
      <c r="J253" s="40">
        <f t="shared" si="17"/>
        <v>36761.816228700482</v>
      </c>
    </row>
    <row r="254" spans="1:10" x14ac:dyDescent="0.25">
      <c r="A254" s="44" t="s">
        <v>1274</v>
      </c>
      <c r="B254" s="38" t="s">
        <v>1278</v>
      </c>
      <c r="C254" s="38">
        <v>312</v>
      </c>
      <c r="D254" s="38">
        <f t="shared" si="14"/>
        <v>2.8985776530811324E-3</v>
      </c>
      <c r="E254" s="38">
        <v>225</v>
      </c>
      <c r="F254" s="38">
        <f t="shared" si="15"/>
        <v>102.05840462301894</v>
      </c>
      <c r="G254" s="38" t="s">
        <v>1182</v>
      </c>
      <c r="H254">
        <v>2015</v>
      </c>
      <c r="I254">
        <f t="shared" si="16"/>
        <v>0.72115384615384615</v>
      </c>
      <c r="J254" s="40">
        <f t="shared" si="17"/>
        <v>35209.822484670309</v>
      </c>
    </row>
    <row r="255" spans="1:10" x14ac:dyDescent="0.25">
      <c r="A255" s="44" t="s">
        <v>1274</v>
      </c>
      <c r="B255" s="38" t="s">
        <v>1278</v>
      </c>
      <c r="C255" s="38">
        <v>124</v>
      </c>
      <c r="D255" s="38">
        <f t="shared" si="14"/>
        <v>1.1519988108399373E-3</v>
      </c>
      <c r="E255" s="38">
        <v>40</v>
      </c>
      <c r="F255" s="38">
        <f t="shared" si="15"/>
        <v>18.143716377425591</v>
      </c>
      <c r="G255" s="38" t="s">
        <v>1182</v>
      </c>
      <c r="H255">
        <v>2014</v>
      </c>
      <c r="I255">
        <f t="shared" si="16"/>
        <v>0.32258064516129031</v>
      </c>
      <c r="J255" s="40">
        <f t="shared" si="17"/>
        <v>15749.770057658976</v>
      </c>
    </row>
    <row r="256" spans="1:10" x14ac:dyDescent="0.25">
      <c r="A256" s="44" t="s">
        <v>1274</v>
      </c>
      <c r="B256" s="38" t="s">
        <v>1278</v>
      </c>
      <c r="C256" s="38">
        <v>1296</v>
      </c>
      <c r="D256" s="38">
        <f t="shared" si="14"/>
        <v>1.2040245635875472E-2</v>
      </c>
      <c r="E256" s="38">
        <v>648</v>
      </c>
      <c r="F256" s="38">
        <f t="shared" si="15"/>
        <v>293.92820531429453</v>
      </c>
      <c r="G256" s="38" t="s">
        <v>1182</v>
      </c>
      <c r="H256">
        <v>2013</v>
      </c>
      <c r="I256">
        <f t="shared" si="16"/>
        <v>0.5</v>
      </c>
      <c r="J256" s="40">
        <f t="shared" si="17"/>
        <v>24412.143589371412</v>
      </c>
    </row>
    <row r="257" spans="1:10" x14ac:dyDescent="0.25">
      <c r="A257" s="44" t="s">
        <v>1274</v>
      </c>
      <c r="B257" s="38" t="s">
        <v>1278</v>
      </c>
      <c r="C257" s="38">
        <v>1263</v>
      </c>
      <c r="D257" s="38">
        <f t="shared" si="14"/>
        <v>1.1733665307184199E-2</v>
      </c>
      <c r="E257" s="38">
        <v>762</v>
      </c>
      <c r="F257" s="38">
        <f t="shared" si="15"/>
        <v>345.63779698995751</v>
      </c>
      <c r="G257" s="38" t="s">
        <v>1182</v>
      </c>
      <c r="H257">
        <v>2015</v>
      </c>
      <c r="I257">
        <f t="shared" si="16"/>
        <v>0.60332541567695963</v>
      </c>
      <c r="J257" s="40">
        <f t="shared" si="17"/>
        <v>29456.933357246267</v>
      </c>
    </row>
    <row r="258" spans="1:10" x14ac:dyDescent="0.25">
      <c r="A258" s="44" t="s">
        <v>1274</v>
      </c>
      <c r="B258" s="38" t="s">
        <v>1278</v>
      </c>
      <c r="C258" s="38">
        <v>1296</v>
      </c>
      <c r="D258" s="38">
        <f t="shared" si="14"/>
        <v>1.2040245635875472E-2</v>
      </c>
      <c r="E258" s="38">
        <v>659</v>
      </c>
      <c r="F258" s="38">
        <f t="shared" si="15"/>
        <v>298.91772731808658</v>
      </c>
      <c r="G258" s="38" t="s">
        <v>1182</v>
      </c>
      <c r="H258">
        <v>2014</v>
      </c>
      <c r="I258">
        <f t="shared" si="16"/>
        <v>0.50848765432098764</v>
      </c>
      <c r="J258" s="40">
        <f t="shared" si="17"/>
        <v>24826.547261413212</v>
      </c>
    </row>
    <row r="259" spans="1:10" x14ac:dyDescent="0.25">
      <c r="A259" s="44" t="s">
        <v>1274</v>
      </c>
      <c r="B259" s="38" t="s">
        <v>1278</v>
      </c>
      <c r="C259" s="38">
        <v>88</v>
      </c>
      <c r="D259" s="38">
        <f t="shared" si="14"/>
        <v>8.1754754317672957E-4</v>
      </c>
      <c r="E259" s="38">
        <v>86</v>
      </c>
      <c r="F259" s="38">
        <f t="shared" si="15"/>
        <v>39.008990211465019</v>
      </c>
      <c r="G259" s="38" t="s">
        <v>1182</v>
      </c>
      <c r="H259">
        <v>2013</v>
      </c>
      <c r="I259">
        <f t="shared" si="16"/>
        <v>0.97727272727272729</v>
      </c>
      <c r="J259" s="40">
        <f t="shared" si="17"/>
        <v>47714.644288316857</v>
      </c>
    </row>
    <row r="260" spans="1:10" x14ac:dyDescent="0.25">
      <c r="A260" s="44" t="s">
        <v>1274</v>
      </c>
      <c r="B260" s="38" t="s">
        <v>1279</v>
      </c>
      <c r="C260" s="38">
        <v>270</v>
      </c>
      <c r="D260" s="38">
        <f t="shared" si="14"/>
        <v>2.5083845074740569E-3</v>
      </c>
      <c r="E260" s="38">
        <v>159</v>
      </c>
      <c r="F260" s="38">
        <f t="shared" si="15"/>
        <v>72.121272600266721</v>
      </c>
      <c r="G260" s="38" t="s">
        <v>1182</v>
      </c>
      <c r="H260">
        <v>2018</v>
      </c>
      <c r="I260">
        <f t="shared" si="16"/>
        <v>0.58888888888888891</v>
      </c>
      <c r="J260" s="40">
        <f t="shared" si="17"/>
        <v>28752.080227481885</v>
      </c>
    </row>
    <row r="261" spans="1:10" x14ac:dyDescent="0.25">
      <c r="A261" s="44" t="s">
        <v>1274</v>
      </c>
      <c r="B261" s="38" t="s">
        <v>1280</v>
      </c>
      <c r="C261" s="38">
        <v>450</v>
      </c>
      <c r="D261" s="38">
        <f t="shared" ref="D261:D324" si="18">C261/107639</f>
        <v>4.1806408457900944E-3</v>
      </c>
      <c r="E261" s="38">
        <v>184</v>
      </c>
      <c r="F261" s="38">
        <f t="shared" ref="F261:F324" si="19">E261/2.20462</f>
        <v>83.461095336157712</v>
      </c>
      <c r="G261" s="38" t="s">
        <v>1182</v>
      </c>
      <c r="H261">
        <v>2015</v>
      </c>
      <c r="I261">
        <f t="shared" ref="I261:I324" si="20">E261/C261</f>
        <v>0.40888888888888891</v>
      </c>
      <c r="J261" s="40">
        <f t="shared" si="17"/>
        <v>19963.708535308178</v>
      </c>
    </row>
    <row r="262" spans="1:10" x14ac:dyDescent="0.25">
      <c r="A262" s="44" t="s">
        <v>1274</v>
      </c>
      <c r="B262" s="38" t="s">
        <v>1281</v>
      </c>
      <c r="C262" s="38">
        <v>209</v>
      </c>
      <c r="D262" s="38">
        <f t="shared" si="18"/>
        <v>1.9416754150447329E-3</v>
      </c>
      <c r="E262" s="38">
        <v>99</v>
      </c>
      <c r="F262" s="38">
        <f t="shared" si="19"/>
        <v>44.905698034128335</v>
      </c>
      <c r="G262" s="38" t="s">
        <v>1182</v>
      </c>
      <c r="H262">
        <v>2015</v>
      </c>
      <c r="I262">
        <f t="shared" si="20"/>
        <v>0.47368421052631576</v>
      </c>
      <c r="J262" s="40">
        <f t="shared" ref="J262:J325" si="21">F262/D262</f>
        <v>23127.293926772916</v>
      </c>
    </row>
    <row r="263" spans="1:10" x14ac:dyDescent="0.25">
      <c r="A263" s="44" t="s">
        <v>1274</v>
      </c>
      <c r="B263" s="38" t="s">
        <v>1281</v>
      </c>
      <c r="C263" s="38">
        <v>192</v>
      </c>
      <c r="D263" s="38">
        <f t="shared" si="18"/>
        <v>1.7837400942037737E-3</v>
      </c>
      <c r="E263" s="38">
        <v>93</v>
      </c>
      <c r="F263" s="38">
        <f t="shared" si="19"/>
        <v>42.184140577514498</v>
      </c>
      <c r="G263" s="38" t="s">
        <v>1182</v>
      </c>
      <c r="H263">
        <v>2014</v>
      </c>
      <c r="I263">
        <f t="shared" si="20"/>
        <v>0.484375</v>
      </c>
      <c r="J263" s="40">
        <f t="shared" si="21"/>
        <v>23649.264102203557</v>
      </c>
    </row>
    <row r="264" spans="1:10" x14ac:dyDescent="0.25">
      <c r="A264" s="44" t="s">
        <v>1274</v>
      </c>
      <c r="B264" s="38" t="s">
        <v>1281</v>
      </c>
      <c r="C264" s="38">
        <v>28</v>
      </c>
      <c r="D264" s="38">
        <f t="shared" si="18"/>
        <v>2.6012876373805033E-4</v>
      </c>
      <c r="E264" s="38">
        <v>16</v>
      </c>
      <c r="F264" s="38">
        <f t="shared" si="19"/>
        <v>7.2574865509702358</v>
      </c>
      <c r="G264" s="38" t="s">
        <v>1182</v>
      </c>
      <c r="H264">
        <v>2013</v>
      </c>
      <c r="I264">
        <f t="shared" si="20"/>
        <v>0.5714285714285714</v>
      </c>
      <c r="J264" s="40">
        <f t="shared" si="21"/>
        <v>27899.592673567331</v>
      </c>
    </row>
    <row r="265" spans="1:10" x14ac:dyDescent="0.25">
      <c r="A265" s="44" t="s">
        <v>1274</v>
      </c>
      <c r="B265" s="38" t="s">
        <v>1282</v>
      </c>
      <c r="C265" s="38">
        <v>125</v>
      </c>
      <c r="D265" s="38">
        <f t="shared" si="18"/>
        <v>1.1612891238305819E-3</v>
      </c>
      <c r="E265" s="38">
        <v>86</v>
      </c>
      <c r="F265" s="38">
        <f t="shared" si="19"/>
        <v>39.008990211465019</v>
      </c>
      <c r="G265" s="38" t="s">
        <v>1182</v>
      </c>
      <c r="H265">
        <v>2015</v>
      </c>
      <c r="I265">
        <f t="shared" si="20"/>
        <v>0.68799999999999994</v>
      </c>
      <c r="J265" s="40">
        <f t="shared" si="21"/>
        <v>33591.109578975062</v>
      </c>
    </row>
    <row r="266" spans="1:10" x14ac:dyDescent="0.25">
      <c r="A266" s="44" t="s">
        <v>1274</v>
      </c>
      <c r="B266" s="38" t="s">
        <v>1283</v>
      </c>
      <c r="C266" s="38">
        <v>540</v>
      </c>
      <c r="D266" s="38">
        <f t="shared" si="18"/>
        <v>5.0167690149481138E-3</v>
      </c>
      <c r="E266" s="38">
        <v>562</v>
      </c>
      <c r="F266" s="38">
        <f t="shared" si="19"/>
        <v>254.91921510282953</v>
      </c>
      <c r="G266" s="38" t="s">
        <v>1182</v>
      </c>
      <c r="H266">
        <v>2018</v>
      </c>
      <c r="I266">
        <f t="shared" si="20"/>
        <v>1.0407407407407407</v>
      </c>
      <c r="J266" s="40">
        <f t="shared" si="21"/>
        <v>50813.424804543458</v>
      </c>
    </row>
    <row r="267" spans="1:10" x14ac:dyDescent="0.25">
      <c r="A267" s="44" t="s">
        <v>1274</v>
      </c>
      <c r="B267" s="38" t="s">
        <v>1283</v>
      </c>
      <c r="C267" s="38">
        <v>270</v>
      </c>
      <c r="D267" s="38">
        <f t="shared" si="18"/>
        <v>2.5083845074740569E-3</v>
      </c>
      <c r="E267" s="38">
        <v>156</v>
      </c>
      <c r="F267" s="38">
        <f t="shared" si="19"/>
        <v>70.760493871959795</v>
      </c>
      <c r="G267" s="38" t="s">
        <v>1182</v>
      </c>
      <c r="H267">
        <v>2015</v>
      </c>
      <c r="I267">
        <f t="shared" si="20"/>
        <v>0.57777777777777772</v>
      </c>
      <c r="J267" s="40">
        <f t="shared" si="21"/>
        <v>28209.588147718074</v>
      </c>
    </row>
    <row r="268" spans="1:10" x14ac:dyDescent="0.25">
      <c r="A268" s="44" t="s">
        <v>1274</v>
      </c>
      <c r="B268" s="38" t="s">
        <v>1283</v>
      </c>
      <c r="C268" s="38">
        <v>270</v>
      </c>
      <c r="D268" s="38">
        <f t="shared" si="18"/>
        <v>2.5083845074740569E-3</v>
      </c>
      <c r="E268" s="38">
        <v>122</v>
      </c>
      <c r="F268" s="38">
        <f t="shared" si="19"/>
        <v>55.338334951148049</v>
      </c>
      <c r="G268" s="38" t="s">
        <v>1182</v>
      </c>
      <c r="H268">
        <v>2016</v>
      </c>
      <c r="I268">
        <f t="shared" si="20"/>
        <v>0.45185185185185184</v>
      </c>
      <c r="J268" s="40">
        <f t="shared" si="21"/>
        <v>22061.344577061573</v>
      </c>
    </row>
    <row r="269" spans="1:10" x14ac:dyDescent="0.25">
      <c r="A269" s="44" t="s">
        <v>1274</v>
      </c>
      <c r="B269" s="38" t="s">
        <v>1284</v>
      </c>
      <c r="C269" s="38">
        <v>1296</v>
      </c>
      <c r="D269" s="38">
        <f t="shared" si="18"/>
        <v>1.2040245635875472E-2</v>
      </c>
      <c r="E269" s="38">
        <v>701</v>
      </c>
      <c r="F269" s="38">
        <f t="shared" si="19"/>
        <v>317.96862951438345</v>
      </c>
      <c r="G269" s="38" t="s">
        <v>1182</v>
      </c>
      <c r="H269">
        <v>2013</v>
      </c>
      <c r="I269">
        <f t="shared" si="20"/>
        <v>0.54089506172839508</v>
      </c>
      <c r="J269" s="40">
        <f t="shared" si="21"/>
        <v>26408.81582739099</v>
      </c>
    </row>
    <row r="270" spans="1:10" x14ac:dyDescent="0.25">
      <c r="A270" s="44" t="s">
        <v>1274</v>
      </c>
      <c r="B270" s="38" t="s">
        <v>1284</v>
      </c>
      <c r="C270" s="38">
        <v>92</v>
      </c>
      <c r="D270" s="38">
        <f t="shared" si="18"/>
        <v>8.5470879513930827E-4</v>
      </c>
      <c r="E270" s="38">
        <v>16</v>
      </c>
      <c r="F270" s="38">
        <f t="shared" si="19"/>
        <v>7.2574865509702358</v>
      </c>
      <c r="G270" s="38" t="s">
        <v>1182</v>
      </c>
      <c r="H270">
        <v>2015</v>
      </c>
      <c r="I270">
        <f t="shared" si="20"/>
        <v>0.17391304347826086</v>
      </c>
      <c r="J270" s="40">
        <f t="shared" si="21"/>
        <v>8491.1803789117948</v>
      </c>
    </row>
    <row r="271" spans="1:10" x14ac:dyDescent="0.25">
      <c r="A271" s="44" t="s">
        <v>1274</v>
      </c>
      <c r="B271" s="38" t="s">
        <v>1285</v>
      </c>
      <c r="C271" s="38">
        <v>12</v>
      </c>
      <c r="D271" s="38">
        <f t="shared" si="18"/>
        <v>1.1148375588773586E-4</v>
      </c>
      <c r="E271" s="38">
        <v>7</v>
      </c>
      <c r="F271" s="38">
        <f t="shared" si="19"/>
        <v>3.1751503660494782</v>
      </c>
      <c r="G271" s="38" t="s">
        <v>1182</v>
      </c>
      <c r="H271">
        <v>2013</v>
      </c>
      <c r="I271">
        <f t="shared" si="20"/>
        <v>0.58333333333333337</v>
      </c>
      <c r="J271" s="40">
        <f t="shared" si="21"/>
        <v>28480.834187599983</v>
      </c>
    </row>
    <row r="272" spans="1:10" x14ac:dyDescent="0.25">
      <c r="A272" s="44" t="s">
        <v>1274</v>
      </c>
      <c r="B272" s="38" t="s">
        <v>1285</v>
      </c>
      <c r="C272" s="38">
        <v>1569</v>
      </c>
      <c r="D272" s="38">
        <f t="shared" si="18"/>
        <v>1.4576501082321464E-2</v>
      </c>
      <c r="E272" s="38">
        <v>663</v>
      </c>
      <c r="F272" s="38">
        <f t="shared" si="19"/>
        <v>300.73209895582914</v>
      </c>
      <c r="G272" s="38" t="s">
        <v>1182</v>
      </c>
      <c r="H272">
        <v>2015</v>
      </c>
      <c r="I272">
        <f t="shared" si="20"/>
        <v>0.42256214149139582</v>
      </c>
      <c r="J272" s="40">
        <f t="shared" si="21"/>
        <v>20631.295347040465</v>
      </c>
    </row>
    <row r="273" spans="1:10" x14ac:dyDescent="0.25">
      <c r="A273" s="44" t="s">
        <v>1274</v>
      </c>
      <c r="B273" s="38" t="s">
        <v>1285</v>
      </c>
      <c r="C273" s="38">
        <v>149</v>
      </c>
      <c r="D273" s="38">
        <f t="shared" si="18"/>
        <v>1.3842566356060536E-3</v>
      </c>
      <c r="E273" s="38">
        <v>98</v>
      </c>
      <c r="F273" s="38">
        <f t="shared" si="19"/>
        <v>44.452105124692693</v>
      </c>
      <c r="G273" s="38" t="s">
        <v>1182</v>
      </c>
      <c r="H273">
        <v>2015</v>
      </c>
      <c r="I273">
        <f t="shared" si="20"/>
        <v>0.65771812080536918</v>
      </c>
      <c r="J273" s="40">
        <f t="shared" si="21"/>
        <v>32112.618412864405</v>
      </c>
    </row>
    <row r="274" spans="1:10" x14ac:dyDescent="0.25">
      <c r="A274" s="44" t="s">
        <v>1274</v>
      </c>
      <c r="B274" s="38" t="s">
        <v>1285</v>
      </c>
      <c r="C274" s="38">
        <v>200</v>
      </c>
      <c r="D274" s="38">
        <f t="shared" si="18"/>
        <v>1.8580625981289309E-3</v>
      </c>
      <c r="E274" s="38">
        <v>62</v>
      </c>
      <c r="F274" s="38">
        <f t="shared" si="19"/>
        <v>28.122760385009663</v>
      </c>
      <c r="G274" s="38" t="s">
        <v>1182</v>
      </c>
      <c r="H274">
        <v>2014</v>
      </c>
      <c r="I274">
        <f t="shared" si="20"/>
        <v>0.31</v>
      </c>
      <c r="J274" s="40">
        <f t="shared" si="21"/>
        <v>15135.529025410277</v>
      </c>
    </row>
    <row r="275" spans="1:10" x14ac:dyDescent="0.25">
      <c r="A275" s="44" t="s">
        <v>1274</v>
      </c>
      <c r="B275" s="38" t="s">
        <v>1285</v>
      </c>
      <c r="C275" s="38">
        <v>1296</v>
      </c>
      <c r="D275" s="38">
        <f t="shared" si="18"/>
        <v>1.2040245635875472E-2</v>
      </c>
      <c r="E275" s="38">
        <v>684</v>
      </c>
      <c r="F275" s="38">
        <f t="shared" si="19"/>
        <v>310.25755005397758</v>
      </c>
      <c r="G275" s="38" t="s">
        <v>1182</v>
      </c>
      <c r="H275">
        <v>2014</v>
      </c>
      <c r="I275">
        <f t="shared" si="20"/>
        <v>0.52777777777777779</v>
      </c>
      <c r="J275" s="40">
        <f t="shared" si="21"/>
        <v>25768.373788780937</v>
      </c>
    </row>
    <row r="276" spans="1:10" x14ac:dyDescent="0.25">
      <c r="A276" s="44" t="s">
        <v>1274</v>
      </c>
      <c r="B276" s="38" t="s">
        <v>1286</v>
      </c>
      <c r="C276" s="38">
        <v>200</v>
      </c>
      <c r="D276" s="38">
        <f t="shared" si="18"/>
        <v>1.8580625981289309E-3</v>
      </c>
      <c r="E276" s="38">
        <v>388</v>
      </c>
      <c r="F276" s="38">
        <f t="shared" si="19"/>
        <v>175.99404886102823</v>
      </c>
      <c r="G276" s="38" t="s">
        <v>1182</v>
      </c>
      <c r="H276">
        <v>2014</v>
      </c>
      <c r="I276">
        <f t="shared" si="20"/>
        <v>1.94</v>
      </c>
      <c r="J276" s="40">
        <f t="shared" si="21"/>
        <v>94719.117126761092</v>
      </c>
    </row>
    <row r="277" spans="1:10" x14ac:dyDescent="0.25">
      <c r="A277" s="44" t="s">
        <v>1274</v>
      </c>
      <c r="B277" s="38" t="s">
        <v>1286</v>
      </c>
      <c r="C277" s="38">
        <v>117</v>
      </c>
      <c r="D277" s="38">
        <f t="shared" si="18"/>
        <v>1.0869666199054247E-3</v>
      </c>
      <c r="E277" s="38">
        <v>11</v>
      </c>
      <c r="F277" s="38">
        <f t="shared" si="19"/>
        <v>4.9895220037920369</v>
      </c>
      <c r="G277" s="38" t="s">
        <v>1182</v>
      </c>
      <c r="H277">
        <v>2015</v>
      </c>
      <c r="I277">
        <f t="shared" si="20"/>
        <v>9.4017094017094016E-2</v>
      </c>
      <c r="J277" s="40">
        <f t="shared" si="21"/>
        <v>4590.3175980014621</v>
      </c>
    </row>
    <row r="278" spans="1:10" x14ac:dyDescent="0.25">
      <c r="A278" s="44" t="s">
        <v>1274</v>
      </c>
      <c r="B278" s="38" t="s">
        <v>1287</v>
      </c>
      <c r="C278" s="38">
        <v>24</v>
      </c>
      <c r="D278" s="38">
        <f t="shared" si="18"/>
        <v>2.2296751177547171E-4</v>
      </c>
      <c r="E278" s="38">
        <v>3</v>
      </c>
      <c r="F278" s="38">
        <f t="shared" si="19"/>
        <v>1.3607787283069193</v>
      </c>
      <c r="G278" s="38" t="s">
        <v>1182</v>
      </c>
      <c r="H278">
        <v>2014</v>
      </c>
      <c r="I278">
        <f t="shared" si="20"/>
        <v>0.125</v>
      </c>
      <c r="J278" s="40">
        <f t="shared" si="21"/>
        <v>6103.0358973428538</v>
      </c>
    </row>
    <row r="279" spans="1:10" x14ac:dyDescent="0.25">
      <c r="A279" s="44" t="s">
        <v>1274</v>
      </c>
      <c r="B279" s="38" t="s">
        <v>1288</v>
      </c>
      <c r="C279" s="38">
        <v>540</v>
      </c>
      <c r="D279" s="38">
        <f t="shared" si="18"/>
        <v>5.0167690149481138E-3</v>
      </c>
      <c r="E279" s="38">
        <v>320</v>
      </c>
      <c r="F279" s="38">
        <f t="shared" si="19"/>
        <v>145.14973101940473</v>
      </c>
      <c r="G279" s="38" t="s">
        <v>1182</v>
      </c>
      <c r="H279">
        <v>2016</v>
      </c>
      <c r="I279">
        <f t="shared" si="20"/>
        <v>0.59259259259259256</v>
      </c>
      <c r="J279" s="40">
        <f t="shared" si="21"/>
        <v>28932.910920736489</v>
      </c>
    </row>
    <row r="280" spans="1:10" x14ac:dyDescent="0.25">
      <c r="A280" s="44" t="s">
        <v>1274</v>
      </c>
      <c r="B280" s="38" t="s">
        <v>1288</v>
      </c>
      <c r="C280" s="38">
        <v>270</v>
      </c>
      <c r="D280" s="38">
        <f t="shared" si="18"/>
        <v>2.5083845074740569E-3</v>
      </c>
      <c r="E280" s="38">
        <v>178</v>
      </c>
      <c r="F280" s="38">
        <f t="shared" si="19"/>
        <v>80.739537879543875</v>
      </c>
      <c r="G280" s="38" t="s">
        <v>1182</v>
      </c>
      <c r="H280">
        <v>2015</v>
      </c>
      <c r="I280">
        <f t="shared" si="20"/>
        <v>0.65925925925925921</v>
      </c>
      <c r="J280" s="40">
        <f t="shared" si="21"/>
        <v>32187.863399319343</v>
      </c>
    </row>
    <row r="281" spans="1:10" x14ac:dyDescent="0.25">
      <c r="A281" s="44" t="s">
        <v>1274</v>
      </c>
      <c r="B281" s="38" t="s">
        <v>1289</v>
      </c>
      <c r="C281" s="38">
        <v>800</v>
      </c>
      <c r="D281" s="38">
        <f t="shared" si="18"/>
        <v>7.4322503925157235E-3</v>
      </c>
      <c r="E281" s="38">
        <v>417</v>
      </c>
      <c r="F281" s="38">
        <f t="shared" si="19"/>
        <v>189.14824323466178</v>
      </c>
      <c r="G281" s="38" t="s">
        <v>1182</v>
      </c>
      <c r="H281">
        <v>2018</v>
      </c>
      <c r="I281">
        <f t="shared" si="20"/>
        <v>0.52124999999999999</v>
      </c>
      <c r="J281" s="40">
        <f t="shared" si="21"/>
        <v>25449.6596919197</v>
      </c>
    </row>
    <row r="282" spans="1:10" x14ac:dyDescent="0.25">
      <c r="A282" s="44" t="s">
        <v>1274</v>
      </c>
      <c r="B282" s="38" t="s">
        <v>1290</v>
      </c>
      <c r="C282" s="38">
        <v>180</v>
      </c>
      <c r="D282" s="38">
        <f t="shared" si="18"/>
        <v>1.6722563383160379E-3</v>
      </c>
      <c r="E282" s="38">
        <v>100</v>
      </c>
      <c r="F282" s="38">
        <f t="shared" si="19"/>
        <v>45.359290943563977</v>
      </c>
      <c r="G282" s="38" t="s">
        <v>1182</v>
      </c>
      <c r="H282">
        <v>2014</v>
      </c>
      <c r="I282">
        <f t="shared" si="20"/>
        <v>0.55555555555555558</v>
      </c>
      <c r="J282" s="40">
        <f t="shared" si="21"/>
        <v>27124.603988190458</v>
      </c>
    </row>
    <row r="283" spans="1:10" x14ac:dyDescent="0.25">
      <c r="A283" s="44" t="s">
        <v>1274</v>
      </c>
      <c r="B283" s="38" t="s">
        <v>1290</v>
      </c>
      <c r="C283" s="38">
        <v>210</v>
      </c>
      <c r="D283" s="38">
        <f t="shared" si="18"/>
        <v>1.9509657280353775E-3</v>
      </c>
      <c r="E283" s="38">
        <v>33</v>
      </c>
      <c r="F283" s="38">
        <f t="shared" si="19"/>
        <v>14.968566011376112</v>
      </c>
      <c r="G283" s="38" t="s">
        <v>1182</v>
      </c>
      <c r="H283">
        <v>2015</v>
      </c>
      <c r="I283">
        <f t="shared" si="20"/>
        <v>0.15714285714285714</v>
      </c>
      <c r="J283" s="40">
        <f t="shared" si="21"/>
        <v>7672.3879852310156</v>
      </c>
    </row>
    <row r="284" spans="1:10" x14ac:dyDescent="0.25">
      <c r="A284" s="44" t="s">
        <v>1274</v>
      </c>
      <c r="B284" s="38" t="s">
        <v>1290</v>
      </c>
      <c r="C284" s="38">
        <v>18</v>
      </c>
      <c r="D284" s="38">
        <f t="shared" si="18"/>
        <v>1.6722563383160378E-4</v>
      </c>
      <c r="E284" s="38">
        <v>13</v>
      </c>
      <c r="F284" s="38">
        <f t="shared" si="19"/>
        <v>5.8967078226633163</v>
      </c>
      <c r="G284" s="38" t="s">
        <v>1182</v>
      </c>
      <c r="H284">
        <v>2013</v>
      </c>
      <c r="I284">
        <f t="shared" si="20"/>
        <v>0.72222222222222221</v>
      </c>
      <c r="J284" s="40">
        <f t="shared" si="21"/>
        <v>35261.985184647594</v>
      </c>
    </row>
    <row r="285" spans="1:10" x14ac:dyDescent="0.25">
      <c r="A285" s="44" t="s">
        <v>1274</v>
      </c>
      <c r="B285" s="38" t="s">
        <v>1240</v>
      </c>
      <c r="C285" s="38">
        <v>200</v>
      </c>
      <c r="D285" s="38">
        <f t="shared" si="18"/>
        <v>1.8580625981289309E-3</v>
      </c>
      <c r="E285" s="38">
        <v>72</v>
      </c>
      <c r="F285" s="38">
        <f t="shared" si="19"/>
        <v>32.65868947936606</v>
      </c>
      <c r="G285" s="38" t="s">
        <v>1182</v>
      </c>
      <c r="H285">
        <v>2013</v>
      </c>
      <c r="I285">
        <f t="shared" si="20"/>
        <v>0.36</v>
      </c>
      <c r="J285" s="40">
        <f t="shared" si="21"/>
        <v>17576.743384347417</v>
      </c>
    </row>
    <row r="286" spans="1:10" x14ac:dyDescent="0.25">
      <c r="A286" s="44" t="s">
        <v>1274</v>
      </c>
      <c r="B286" s="38" t="s">
        <v>1291</v>
      </c>
      <c r="C286" s="38">
        <v>196</v>
      </c>
      <c r="D286" s="38">
        <f t="shared" si="18"/>
        <v>1.8209013461663523E-3</v>
      </c>
      <c r="E286" s="38">
        <v>107</v>
      </c>
      <c r="F286" s="38">
        <f t="shared" si="19"/>
        <v>48.534441309613456</v>
      </c>
      <c r="G286" s="38" t="s">
        <v>1182</v>
      </c>
      <c r="H286">
        <v>2014</v>
      </c>
      <c r="I286">
        <f t="shared" si="20"/>
        <v>0.54591836734693877</v>
      </c>
      <c r="J286" s="40">
        <f t="shared" si="21"/>
        <v>26654.075143497361</v>
      </c>
    </row>
    <row r="287" spans="1:10" x14ac:dyDescent="0.25">
      <c r="A287" s="44" t="s">
        <v>1274</v>
      </c>
      <c r="B287" s="38" t="s">
        <v>1291</v>
      </c>
      <c r="C287" s="38">
        <v>25</v>
      </c>
      <c r="D287" s="38">
        <f t="shared" si="18"/>
        <v>2.3225782476611636E-4</v>
      </c>
      <c r="E287" s="38">
        <v>21</v>
      </c>
      <c r="F287" s="38">
        <f t="shared" si="19"/>
        <v>9.5254510981484337</v>
      </c>
      <c r="G287" s="38" t="s">
        <v>1182</v>
      </c>
      <c r="H287">
        <v>2013</v>
      </c>
      <c r="I287">
        <f t="shared" si="20"/>
        <v>0.84</v>
      </c>
      <c r="J287" s="40">
        <f t="shared" si="21"/>
        <v>41012.401230143972</v>
      </c>
    </row>
    <row r="288" spans="1:10" x14ac:dyDescent="0.25">
      <c r="A288" s="44" t="s">
        <v>1274</v>
      </c>
      <c r="B288" s="38" t="s">
        <v>1292</v>
      </c>
      <c r="C288" s="38">
        <v>23</v>
      </c>
      <c r="D288" s="38">
        <f t="shared" si="18"/>
        <v>2.1367719878482707E-4</v>
      </c>
      <c r="E288" s="38">
        <v>22</v>
      </c>
      <c r="F288" s="38">
        <f t="shared" si="19"/>
        <v>9.9790440075840738</v>
      </c>
      <c r="G288" s="38" t="s">
        <v>1182</v>
      </c>
      <c r="H288">
        <v>2013</v>
      </c>
      <c r="I288">
        <f t="shared" si="20"/>
        <v>0.95652173913043481</v>
      </c>
      <c r="J288" s="40">
        <f t="shared" si="21"/>
        <v>46701.492084014877</v>
      </c>
    </row>
    <row r="289" spans="1:10" x14ac:dyDescent="0.25">
      <c r="A289" s="44" t="s">
        <v>1274</v>
      </c>
      <c r="B289" s="38" t="s">
        <v>1293</v>
      </c>
      <c r="C289" s="38">
        <v>97</v>
      </c>
      <c r="D289" s="38">
        <f t="shared" si="18"/>
        <v>9.0116036009253156E-4</v>
      </c>
      <c r="E289" s="38">
        <v>21</v>
      </c>
      <c r="F289" s="38">
        <f t="shared" si="19"/>
        <v>9.5254510981484337</v>
      </c>
      <c r="G289" s="38" t="s">
        <v>1182</v>
      </c>
      <c r="H289">
        <v>2015</v>
      </c>
      <c r="I289">
        <f t="shared" si="20"/>
        <v>0.21649484536082475</v>
      </c>
      <c r="J289" s="40">
        <f t="shared" si="21"/>
        <v>10570.206502614425</v>
      </c>
    </row>
    <row r="290" spans="1:10" x14ac:dyDescent="0.25">
      <c r="A290" s="44" t="s">
        <v>1274</v>
      </c>
      <c r="B290" s="38" t="s">
        <v>1293</v>
      </c>
      <c r="C290" s="38">
        <v>540</v>
      </c>
      <c r="D290" s="38">
        <f t="shared" si="18"/>
        <v>5.0167690149481138E-3</v>
      </c>
      <c r="E290" s="38">
        <v>288</v>
      </c>
      <c r="F290" s="38">
        <f t="shared" si="19"/>
        <v>130.63475791746424</v>
      </c>
      <c r="G290" s="38" t="s">
        <v>1182</v>
      </c>
      <c r="H290">
        <v>2015</v>
      </c>
      <c r="I290">
        <f t="shared" si="20"/>
        <v>0.53333333333333333</v>
      </c>
      <c r="J290" s="40">
        <f t="shared" si="21"/>
        <v>26039.619828662839</v>
      </c>
    </row>
    <row r="291" spans="1:10" x14ac:dyDescent="0.25">
      <c r="A291" s="44" t="s">
        <v>1274</v>
      </c>
      <c r="B291" s="38" t="s">
        <v>1293</v>
      </c>
      <c r="C291" s="38">
        <v>540</v>
      </c>
      <c r="D291" s="38">
        <f t="shared" si="18"/>
        <v>5.0167690149481138E-3</v>
      </c>
      <c r="E291" s="38">
        <v>240</v>
      </c>
      <c r="F291" s="38">
        <f t="shared" si="19"/>
        <v>108.86229826455354</v>
      </c>
      <c r="G291" s="38" t="s">
        <v>1182</v>
      </c>
      <c r="H291">
        <v>2017</v>
      </c>
      <c r="I291">
        <f t="shared" si="20"/>
        <v>0.44444444444444442</v>
      </c>
      <c r="J291" s="40">
        <f t="shared" si="21"/>
        <v>21699.683190552369</v>
      </c>
    </row>
    <row r="292" spans="1:10" x14ac:dyDescent="0.25">
      <c r="A292" s="44" t="s">
        <v>1274</v>
      </c>
      <c r="B292" s="38" t="s">
        <v>1293</v>
      </c>
      <c r="C292" s="38">
        <v>540</v>
      </c>
      <c r="D292" s="38">
        <f t="shared" si="18"/>
        <v>5.0167690149481138E-3</v>
      </c>
      <c r="E292" s="38">
        <v>268</v>
      </c>
      <c r="F292" s="38">
        <f t="shared" si="19"/>
        <v>121.56289972875145</v>
      </c>
      <c r="G292" s="38" t="s">
        <v>1182</v>
      </c>
      <c r="H292">
        <v>2016</v>
      </c>
      <c r="I292">
        <f t="shared" si="20"/>
        <v>0.49629629629629629</v>
      </c>
      <c r="J292" s="40">
        <f t="shared" si="21"/>
        <v>24231.312896116808</v>
      </c>
    </row>
    <row r="293" spans="1:10" x14ac:dyDescent="0.25">
      <c r="A293" s="44" t="s">
        <v>1274</v>
      </c>
      <c r="B293" s="38" t="s">
        <v>1293</v>
      </c>
      <c r="C293" s="38">
        <v>540</v>
      </c>
      <c r="D293" s="38">
        <f t="shared" si="18"/>
        <v>5.0167690149481138E-3</v>
      </c>
      <c r="E293" s="38">
        <v>248</v>
      </c>
      <c r="F293" s="38">
        <f t="shared" si="19"/>
        <v>112.49104154003865</v>
      </c>
      <c r="G293" s="38" t="s">
        <v>1182</v>
      </c>
      <c r="H293">
        <v>2015</v>
      </c>
      <c r="I293">
        <f t="shared" si="20"/>
        <v>0.45925925925925926</v>
      </c>
      <c r="J293" s="40">
        <f t="shared" si="21"/>
        <v>22423.005963570777</v>
      </c>
    </row>
    <row r="294" spans="1:10" x14ac:dyDescent="0.25">
      <c r="A294" s="44" t="s">
        <v>1294</v>
      </c>
      <c r="B294" s="38" t="s">
        <v>1295</v>
      </c>
      <c r="C294" s="38">
        <v>2250</v>
      </c>
      <c r="D294" s="38">
        <f t="shared" si="18"/>
        <v>2.0903204228950475E-2</v>
      </c>
      <c r="E294" s="38">
        <v>141</v>
      </c>
      <c r="F294" s="38">
        <f t="shared" si="19"/>
        <v>63.956600230425202</v>
      </c>
      <c r="G294" s="38" t="s">
        <v>1204</v>
      </c>
      <c r="H294">
        <v>2013</v>
      </c>
      <c r="I294">
        <f t="shared" si="20"/>
        <v>6.2666666666666662E-2</v>
      </c>
      <c r="J294" s="40">
        <f t="shared" si="21"/>
        <v>3059.6553298678837</v>
      </c>
    </row>
    <row r="295" spans="1:10" x14ac:dyDescent="0.25">
      <c r="A295" s="44" t="s">
        <v>1294</v>
      </c>
      <c r="B295" s="38" t="s">
        <v>1296</v>
      </c>
      <c r="C295" s="38">
        <v>360</v>
      </c>
      <c r="D295" s="38">
        <f t="shared" si="18"/>
        <v>3.3445126766320759E-3</v>
      </c>
      <c r="E295" s="38">
        <v>24</v>
      </c>
      <c r="F295" s="38">
        <f t="shared" si="19"/>
        <v>10.886229826455354</v>
      </c>
      <c r="G295" s="38" t="s">
        <v>1204</v>
      </c>
      <c r="H295">
        <v>2014</v>
      </c>
      <c r="I295">
        <f t="shared" si="20"/>
        <v>6.6666666666666666E-2</v>
      </c>
      <c r="J295" s="40">
        <f t="shared" si="21"/>
        <v>3254.9524785828548</v>
      </c>
    </row>
    <row r="296" spans="1:10" x14ac:dyDescent="0.25">
      <c r="A296" s="44" t="s">
        <v>1294</v>
      </c>
      <c r="B296" s="38" t="s">
        <v>1296</v>
      </c>
      <c r="C296" s="38">
        <v>80</v>
      </c>
      <c r="D296" s="38">
        <f t="shared" si="18"/>
        <v>7.432250392515724E-4</v>
      </c>
      <c r="E296" s="38">
        <v>12</v>
      </c>
      <c r="F296" s="38">
        <f t="shared" si="19"/>
        <v>5.443114913227677</v>
      </c>
      <c r="G296" s="38" t="s">
        <v>1204</v>
      </c>
      <c r="H296">
        <v>2013</v>
      </c>
      <c r="I296">
        <f t="shared" si="20"/>
        <v>0.15</v>
      </c>
      <c r="J296" s="40">
        <f t="shared" si="21"/>
        <v>7323.6430768114242</v>
      </c>
    </row>
    <row r="297" spans="1:10" x14ac:dyDescent="0.25">
      <c r="A297" s="44" t="s">
        <v>1294</v>
      </c>
      <c r="B297" s="38" t="s">
        <v>1296</v>
      </c>
      <c r="C297" s="38">
        <v>387</v>
      </c>
      <c r="D297" s="38">
        <f t="shared" si="18"/>
        <v>3.5953511273794816E-3</v>
      </c>
      <c r="E297" s="38">
        <v>36</v>
      </c>
      <c r="F297" s="38">
        <f t="shared" si="19"/>
        <v>16.32934473968303</v>
      </c>
      <c r="G297" s="38" t="s">
        <v>1204</v>
      </c>
      <c r="H297">
        <v>2014</v>
      </c>
      <c r="I297">
        <f t="shared" si="20"/>
        <v>9.3023255813953487E-2</v>
      </c>
      <c r="J297" s="40">
        <f t="shared" si="21"/>
        <v>4541.7941561621228</v>
      </c>
    </row>
    <row r="298" spans="1:10" x14ac:dyDescent="0.25">
      <c r="A298" s="44" t="s">
        <v>1294</v>
      </c>
      <c r="B298" s="38" t="s">
        <v>1297</v>
      </c>
      <c r="C298" s="38">
        <v>2250</v>
      </c>
      <c r="D298" s="38">
        <f t="shared" si="18"/>
        <v>2.0903204228950475E-2</v>
      </c>
      <c r="E298" s="38">
        <v>263</v>
      </c>
      <c r="F298" s="38">
        <f t="shared" si="19"/>
        <v>119.29493518157325</v>
      </c>
      <c r="G298" s="38" t="s">
        <v>1204</v>
      </c>
      <c r="H298">
        <v>2013</v>
      </c>
      <c r="I298">
        <f t="shared" si="20"/>
        <v>0.11688888888888889</v>
      </c>
      <c r="J298" s="40">
        <f t="shared" si="21"/>
        <v>5707.0166791152724</v>
      </c>
    </row>
    <row r="299" spans="1:10" x14ac:dyDescent="0.25">
      <c r="A299" s="44" t="s">
        <v>1294</v>
      </c>
      <c r="B299" s="38" t="s">
        <v>1297</v>
      </c>
      <c r="C299" s="38">
        <v>800</v>
      </c>
      <c r="D299" s="38">
        <f t="shared" si="18"/>
        <v>7.4322503925157235E-3</v>
      </c>
      <c r="E299" s="38">
        <v>223</v>
      </c>
      <c r="F299" s="38">
        <f t="shared" si="19"/>
        <v>101.15121880414766</v>
      </c>
      <c r="G299" s="38" t="s">
        <v>1204</v>
      </c>
      <c r="I299">
        <f t="shared" si="20"/>
        <v>0.27875</v>
      </c>
      <c r="J299" s="40">
        <f t="shared" si="21"/>
        <v>13609.770051074564</v>
      </c>
    </row>
    <row r="300" spans="1:10" x14ac:dyDescent="0.25">
      <c r="A300" s="44" t="s">
        <v>1298</v>
      </c>
      <c r="B300" s="38" t="s">
        <v>1299</v>
      </c>
      <c r="C300" s="38">
        <v>3640</v>
      </c>
      <c r="D300" s="38">
        <f t="shared" si="18"/>
        <v>3.3816739285946543E-2</v>
      </c>
      <c r="E300" s="38">
        <v>666</v>
      </c>
      <c r="F300" s="38">
        <f t="shared" si="19"/>
        <v>302.09287768413606</v>
      </c>
      <c r="G300" s="38" t="s">
        <v>1204</v>
      </c>
      <c r="H300">
        <v>2014</v>
      </c>
      <c r="I300">
        <f t="shared" si="20"/>
        <v>0.18296703296703296</v>
      </c>
      <c r="J300" s="40">
        <f t="shared" si="21"/>
        <v>8933.2349618249227</v>
      </c>
    </row>
    <row r="301" spans="1:10" x14ac:dyDescent="0.25">
      <c r="A301" s="44" t="s">
        <v>1298</v>
      </c>
      <c r="B301" s="38" t="s">
        <v>1299</v>
      </c>
      <c r="C301" s="38">
        <v>6990</v>
      </c>
      <c r="D301" s="38">
        <f t="shared" si="18"/>
        <v>6.4939287804606144E-2</v>
      </c>
      <c r="E301" s="38">
        <v>1511</v>
      </c>
      <c r="F301" s="38">
        <f t="shared" si="19"/>
        <v>685.3788861572516</v>
      </c>
      <c r="G301" s="38" t="s">
        <v>1204</v>
      </c>
      <c r="H301">
        <v>2015</v>
      </c>
      <c r="I301">
        <f t="shared" si="20"/>
        <v>0.2161659513590844</v>
      </c>
      <c r="J301" s="40">
        <f t="shared" si="21"/>
        <v>10554.148487422088</v>
      </c>
    </row>
    <row r="302" spans="1:10" x14ac:dyDescent="0.25">
      <c r="A302" s="44" t="s">
        <v>1298</v>
      </c>
      <c r="B302" s="38" t="s">
        <v>1299</v>
      </c>
      <c r="C302" s="38">
        <v>3640</v>
      </c>
      <c r="D302" s="38">
        <f t="shared" si="18"/>
        <v>3.3816739285946543E-2</v>
      </c>
      <c r="E302" s="38">
        <v>531</v>
      </c>
      <c r="F302" s="38">
        <f t="shared" si="19"/>
        <v>240.8578349103247</v>
      </c>
      <c r="G302" s="38" t="s">
        <v>1204</v>
      </c>
      <c r="H302">
        <v>2014</v>
      </c>
      <c r="I302">
        <f t="shared" si="20"/>
        <v>0.14587912087912089</v>
      </c>
      <c r="J302" s="40">
        <f t="shared" si="21"/>
        <v>7122.4440911847369</v>
      </c>
    </row>
    <row r="303" spans="1:10" x14ac:dyDescent="0.25">
      <c r="A303" s="44" t="s">
        <v>1298</v>
      </c>
      <c r="B303" s="38" t="s">
        <v>1299</v>
      </c>
      <c r="C303" s="38">
        <v>3504</v>
      </c>
      <c r="D303" s="38">
        <f t="shared" si="18"/>
        <v>3.2553256719218868E-2</v>
      </c>
      <c r="E303" s="38">
        <v>473</v>
      </c>
      <c r="F303" s="38">
        <f t="shared" si="19"/>
        <v>214.54944616305761</v>
      </c>
      <c r="G303" s="38" t="s">
        <v>1204</v>
      </c>
      <c r="H303">
        <v>2013</v>
      </c>
      <c r="I303">
        <f t="shared" si="20"/>
        <v>0.13498858447488585</v>
      </c>
      <c r="J303" s="40">
        <f t="shared" si="21"/>
        <v>6590.7214142538132</v>
      </c>
    </row>
    <row r="304" spans="1:10" x14ac:dyDescent="0.25">
      <c r="A304" s="44" t="s">
        <v>1298</v>
      </c>
      <c r="B304" s="38" t="s">
        <v>1299</v>
      </c>
      <c r="C304" s="38">
        <v>6990</v>
      </c>
      <c r="D304" s="38">
        <f t="shared" si="18"/>
        <v>6.4939287804606144E-2</v>
      </c>
      <c r="E304" s="38">
        <v>260</v>
      </c>
      <c r="F304" s="38">
        <f t="shared" si="19"/>
        <v>117.93415645326634</v>
      </c>
      <c r="G304" s="38" t="s">
        <v>1204</v>
      </c>
      <c r="H304">
        <v>2015</v>
      </c>
      <c r="I304">
        <f t="shared" si="20"/>
        <v>3.7195994277539342E-2</v>
      </c>
      <c r="J304" s="40">
        <f t="shared" si="21"/>
        <v>1816.0679065054555</v>
      </c>
    </row>
    <row r="305" spans="1:10" x14ac:dyDescent="0.25">
      <c r="A305" s="44" t="s">
        <v>1298</v>
      </c>
      <c r="B305" s="38" t="s">
        <v>1300</v>
      </c>
      <c r="C305" s="38">
        <v>1607</v>
      </c>
      <c r="D305" s="38">
        <f t="shared" si="18"/>
        <v>1.492953297596596E-2</v>
      </c>
      <c r="E305" s="38">
        <v>706</v>
      </c>
      <c r="F305" s="38">
        <f t="shared" si="19"/>
        <v>320.23659406156168</v>
      </c>
      <c r="G305" s="38" t="s">
        <v>1204</v>
      </c>
      <c r="H305">
        <v>2014</v>
      </c>
      <c r="I305">
        <f t="shared" si="20"/>
        <v>0.43932794026135658</v>
      </c>
      <c r="J305" s="40">
        <f t="shared" si="21"/>
        <v>21449.873520966048</v>
      </c>
    </row>
    <row r="306" spans="1:10" x14ac:dyDescent="0.25">
      <c r="A306" s="44" t="s">
        <v>1298</v>
      </c>
      <c r="B306" s="38" t="s">
        <v>1300</v>
      </c>
      <c r="C306" s="38">
        <v>765</v>
      </c>
      <c r="D306" s="38">
        <f t="shared" si="18"/>
        <v>7.1070894378431606E-3</v>
      </c>
      <c r="E306" s="38">
        <v>381</v>
      </c>
      <c r="F306" s="38">
        <f t="shared" si="19"/>
        <v>172.81889849497875</v>
      </c>
      <c r="G306" s="38" t="s">
        <v>1204</v>
      </c>
      <c r="H306">
        <v>2015</v>
      </c>
      <c r="I306">
        <f t="shared" si="20"/>
        <v>0.49803921568627452</v>
      </c>
      <c r="J306" s="40">
        <f t="shared" si="21"/>
        <v>24316.409692942507</v>
      </c>
    </row>
    <row r="307" spans="1:10" x14ac:dyDescent="0.25">
      <c r="A307" s="44" t="s">
        <v>1298</v>
      </c>
      <c r="B307" s="38" t="s">
        <v>1300</v>
      </c>
      <c r="C307" s="38">
        <v>3064</v>
      </c>
      <c r="D307" s="38">
        <f t="shared" si="18"/>
        <v>2.8465519003335223E-2</v>
      </c>
      <c r="E307" s="38">
        <v>490</v>
      </c>
      <c r="F307" s="38">
        <f t="shared" si="19"/>
        <v>222.26052562346348</v>
      </c>
      <c r="G307" s="38" t="s">
        <v>1204</v>
      </c>
      <c r="H307">
        <v>2013</v>
      </c>
      <c r="I307">
        <f t="shared" si="20"/>
        <v>0.15992167101827676</v>
      </c>
      <c r="J307" s="40">
        <f t="shared" si="21"/>
        <v>7808.0615919007787</v>
      </c>
    </row>
    <row r="308" spans="1:10" x14ac:dyDescent="0.25">
      <c r="A308" s="44" t="s">
        <v>1298</v>
      </c>
      <c r="B308" s="38" t="s">
        <v>1301</v>
      </c>
      <c r="C308" s="38">
        <v>1949</v>
      </c>
      <c r="D308" s="38">
        <f t="shared" si="18"/>
        <v>1.8106820018766432E-2</v>
      </c>
      <c r="E308" s="38">
        <v>550</v>
      </c>
      <c r="F308" s="38">
        <f t="shared" si="19"/>
        <v>249.47610018960185</v>
      </c>
      <c r="G308" s="38" t="s">
        <v>1204</v>
      </c>
      <c r="H308">
        <v>2019</v>
      </c>
      <c r="I308">
        <f t="shared" si="20"/>
        <v>0.28219599794766548</v>
      </c>
      <c r="J308" s="40">
        <f t="shared" si="21"/>
        <v>13778.01844448874</v>
      </c>
    </row>
    <row r="309" spans="1:10" x14ac:dyDescent="0.25">
      <c r="A309" s="44" t="s">
        <v>1298</v>
      </c>
      <c r="B309" s="38" t="s">
        <v>1301</v>
      </c>
      <c r="C309" s="38">
        <v>880</v>
      </c>
      <c r="D309" s="38">
        <f t="shared" si="18"/>
        <v>8.175475431767297E-3</v>
      </c>
      <c r="E309" s="38">
        <v>208</v>
      </c>
      <c r="F309" s="38">
        <f t="shared" si="19"/>
        <v>94.34732516261306</v>
      </c>
      <c r="G309" s="38" t="s">
        <v>1204</v>
      </c>
      <c r="H309">
        <v>2013</v>
      </c>
      <c r="I309">
        <f t="shared" si="20"/>
        <v>0.23636363636363636</v>
      </c>
      <c r="J309" s="40">
        <f t="shared" si="21"/>
        <v>11540.28606043012</v>
      </c>
    </row>
    <row r="310" spans="1:10" x14ac:dyDescent="0.25">
      <c r="A310" s="44" t="s">
        <v>1298</v>
      </c>
      <c r="B310" s="38" t="s">
        <v>1302</v>
      </c>
      <c r="C310" s="38">
        <v>771</v>
      </c>
      <c r="D310" s="38">
        <f t="shared" si="18"/>
        <v>7.1628313157870291E-3</v>
      </c>
      <c r="E310" s="38">
        <v>466</v>
      </c>
      <c r="F310" s="38">
        <f t="shared" si="19"/>
        <v>211.37429579700813</v>
      </c>
      <c r="G310" s="38" t="s">
        <v>1204</v>
      </c>
      <c r="H310">
        <v>2015</v>
      </c>
      <c r="I310">
        <f t="shared" si="20"/>
        <v>0.60440985732814523</v>
      </c>
      <c r="J310" s="40">
        <f t="shared" si="21"/>
        <v>29509.880447852345</v>
      </c>
    </row>
    <row r="311" spans="1:10" x14ac:dyDescent="0.25">
      <c r="A311" s="44" t="s">
        <v>1298</v>
      </c>
      <c r="B311" s="38" t="s">
        <v>1302</v>
      </c>
      <c r="C311" s="38">
        <v>1534</v>
      </c>
      <c r="D311" s="38">
        <f t="shared" si="18"/>
        <v>1.42513401276489E-2</v>
      </c>
      <c r="E311" s="38">
        <v>693</v>
      </c>
      <c r="F311" s="38">
        <f t="shared" si="19"/>
        <v>314.33988623889832</v>
      </c>
      <c r="G311" s="38" t="s">
        <v>1204</v>
      </c>
      <c r="H311">
        <v>2014</v>
      </c>
      <c r="I311">
        <f t="shared" si="20"/>
        <v>0.45176010430247721</v>
      </c>
      <c r="J311" s="40">
        <f t="shared" si="21"/>
        <v>22056.865068362957</v>
      </c>
    </row>
    <row r="312" spans="1:10" x14ac:dyDescent="0.25">
      <c r="A312" s="44" t="s">
        <v>1298</v>
      </c>
      <c r="B312" s="38" t="s">
        <v>1302</v>
      </c>
      <c r="C312" s="38">
        <v>2860</v>
      </c>
      <c r="D312" s="38">
        <f t="shared" si="18"/>
        <v>2.6570295153243714E-2</v>
      </c>
      <c r="E312" s="38">
        <v>1061</v>
      </c>
      <c r="F312" s="38">
        <f t="shared" si="19"/>
        <v>481.26207691121374</v>
      </c>
      <c r="G312" s="38" t="s">
        <v>1204</v>
      </c>
      <c r="H312">
        <v>2013</v>
      </c>
      <c r="I312">
        <f t="shared" si="20"/>
        <v>0.37097902097902097</v>
      </c>
      <c r="J312" s="40">
        <f t="shared" si="21"/>
        <v>18112.786257568579</v>
      </c>
    </row>
    <row r="313" spans="1:10" x14ac:dyDescent="0.25">
      <c r="A313" s="44" t="s">
        <v>1298</v>
      </c>
      <c r="B313" s="38" t="s">
        <v>1302</v>
      </c>
      <c r="C313" s="38">
        <v>1500</v>
      </c>
      <c r="D313" s="38">
        <f t="shared" si="18"/>
        <v>1.3935469485966983E-2</v>
      </c>
      <c r="E313" s="38">
        <v>690</v>
      </c>
      <c r="F313" s="38">
        <f t="shared" si="19"/>
        <v>312.9791075105914</v>
      </c>
      <c r="G313" s="38" t="s">
        <v>1204</v>
      </c>
      <c r="H313">
        <v>2015</v>
      </c>
      <c r="I313">
        <f t="shared" si="20"/>
        <v>0.46</v>
      </c>
      <c r="J313" s="40">
        <f t="shared" si="21"/>
        <v>22459.172102221699</v>
      </c>
    </row>
    <row r="314" spans="1:10" x14ac:dyDescent="0.25">
      <c r="A314" s="44" t="s">
        <v>1298</v>
      </c>
      <c r="B314" s="38" t="s">
        <v>1303</v>
      </c>
      <c r="C314" s="38">
        <v>307</v>
      </c>
      <c r="D314" s="38">
        <f t="shared" si="18"/>
        <v>2.852126088127909E-3</v>
      </c>
      <c r="E314" s="38">
        <v>185</v>
      </c>
      <c r="F314" s="38">
        <f t="shared" si="19"/>
        <v>83.914688245593354</v>
      </c>
      <c r="G314" s="38" t="s">
        <v>1204</v>
      </c>
      <c r="H314">
        <v>2014</v>
      </c>
      <c r="I314">
        <f t="shared" si="20"/>
        <v>0.60260586319218246</v>
      </c>
      <c r="J314" s="40">
        <f t="shared" si="21"/>
        <v>29421.801720089326</v>
      </c>
    </row>
    <row r="315" spans="1:10" x14ac:dyDescent="0.25">
      <c r="A315" s="44" t="s">
        <v>1298</v>
      </c>
      <c r="B315" s="38" t="s">
        <v>1303</v>
      </c>
      <c r="C315" s="38">
        <v>1282</v>
      </c>
      <c r="D315" s="38">
        <f t="shared" si="18"/>
        <v>1.1910181254006447E-2</v>
      </c>
      <c r="E315" s="38">
        <v>671</v>
      </c>
      <c r="F315" s="38">
        <f t="shared" si="19"/>
        <v>304.36084223131428</v>
      </c>
      <c r="G315" s="38" t="s">
        <v>1204</v>
      </c>
      <c r="H315">
        <v>2013</v>
      </c>
      <c r="I315">
        <f t="shared" si="20"/>
        <v>0.52340093603744153</v>
      </c>
      <c r="J315" s="40">
        <f t="shared" si="21"/>
        <v>25554.677610714851</v>
      </c>
    </row>
    <row r="316" spans="1:10" x14ac:dyDescent="0.25">
      <c r="A316" s="44" t="s">
        <v>1298</v>
      </c>
      <c r="B316" s="38" t="s">
        <v>1304</v>
      </c>
      <c r="C316" s="38">
        <v>33670</v>
      </c>
      <c r="D316" s="38">
        <f t="shared" si="18"/>
        <v>0.3128048383950055</v>
      </c>
      <c r="E316" s="38">
        <v>3071</v>
      </c>
      <c r="F316" s="38">
        <f t="shared" si="19"/>
        <v>1392.9838248768497</v>
      </c>
      <c r="G316" s="38" t="s">
        <v>1204</v>
      </c>
      <c r="H316">
        <v>2014</v>
      </c>
      <c r="I316">
        <f t="shared" si="20"/>
        <v>9.1208791208791204E-2</v>
      </c>
      <c r="J316" s="40">
        <f t="shared" si="21"/>
        <v>4453.2042152040167</v>
      </c>
    </row>
    <row r="317" spans="1:10" x14ac:dyDescent="0.25">
      <c r="A317" s="44" t="s">
        <v>1298</v>
      </c>
      <c r="B317" s="38" t="s">
        <v>1304</v>
      </c>
      <c r="C317" s="38">
        <v>33670</v>
      </c>
      <c r="D317" s="38">
        <f t="shared" si="18"/>
        <v>0.3128048383950055</v>
      </c>
      <c r="E317" s="38">
        <v>10935</v>
      </c>
      <c r="F317" s="38">
        <f t="shared" si="19"/>
        <v>4960.0384646787206</v>
      </c>
      <c r="G317" s="38" t="s">
        <v>1204</v>
      </c>
      <c r="H317">
        <v>2014</v>
      </c>
      <c r="I317">
        <f t="shared" si="20"/>
        <v>0.32476982476982474</v>
      </c>
      <c r="J317" s="40">
        <f t="shared" si="21"/>
        <v>15856.655191551912</v>
      </c>
    </row>
    <row r="318" spans="1:10" x14ac:dyDescent="0.25">
      <c r="A318" s="44" t="s">
        <v>1298</v>
      </c>
      <c r="B318" s="38" t="s">
        <v>1304</v>
      </c>
      <c r="C318" s="38">
        <v>33393</v>
      </c>
      <c r="D318" s="38">
        <f t="shared" si="18"/>
        <v>0.31023142169659695</v>
      </c>
      <c r="E318" s="38">
        <v>1799</v>
      </c>
      <c r="F318" s="38">
        <f t="shared" si="19"/>
        <v>816.0136440747159</v>
      </c>
      <c r="G318" s="38" t="s">
        <v>1204</v>
      </c>
      <c r="H318">
        <v>2015</v>
      </c>
      <c r="I318">
        <f t="shared" si="20"/>
        <v>5.3873566316293836E-2</v>
      </c>
      <c r="J318" s="40">
        <f t="shared" si="21"/>
        <v>2630.3384731697765</v>
      </c>
    </row>
    <row r="319" spans="1:10" x14ac:dyDescent="0.25">
      <c r="A319" s="44" t="s">
        <v>1298</v>
      </c>
      <c r="B319" s="38" t="s">
        <v>1304</v>
      </c>
      <c r="C319" s="38">
        <v>33393</v>
      </c>
      <c r="D319" s="38">
        <f t="shared" si="18"/>
        <v>0.31023142169659695</v>
      </c>
      <c r="E319" s="38">
        <v>9437</v>
      </c>
      <c r="F319" s="38">
        <f t="shared" si="19"/>
        <v>4280.5562863441319</v>
      </c>
      <c r="G319" s="38" t="s">
        <v>1204</v>
      </c>
      <c r="H319">
        <v>2015</v>
      </c>
      <c r="I319">
        <f t="shared" si="20"/>
        <v>0.28260413859192046</v>
      </c>
      <c r="J319" s="40">
        <f t="shared" si="21"/>
        <v>13797.945620513163</v>
      </c>
    </row>
    <row r="320" spans="1:10" x14ac:dyDescent="0.25">
      <c r="A320" s="44" t="s">
        <v>1298</v>
      </c>
      <c r="B320" s="38" t="s">
        <v>1304</v>
      </c>
      <c r="C320" s="38">
        <v>1975</v>
      </c>
      <c r="D320" s="38">
        <f t="shared" si="18"/>
        <v>1.8348368156523194E-2</v>
      </c>
      <c r="E320" s="38">
        <v>526</v>
      </c>
      <c r="F320" s="38">
        <f t="shared" si="19"/>
        <v>238.5898703631465</v>
      </c>
      <c r="G320" s="38" t="s">
        <v>1204</v>
      </c>
      <c r="H320">
        <v>2015</v>
      </c>
      <c r="I320">
        <f t="shared" si="20"/>
        <v>0.26632911392405062</v>
      </c>
      <c r="J320" s="40">
        <f t="shared" si="21"/>
        <v>13003.329142287963</v>
      </c>
    </row>
    <row r="321" spans="1:10" x14ac:dyDescent="0.25">
      <c r="A321" s="44" t="s">
        <v>1298</v>
      </c>
      <c r="B321" s="38" t="s">
        <v>1304</v>
      </c>
      <c r="C321" s="38">
        <v>19920</v>
      </c>
      <c r="D321" s="38">
        <f t="shared" si="18"/>
        <v>0.18506303477364153</v>
      </c>
      <c r="E321" s="38">
        <v>4690</v>
      </c>
      <c r="F321" s="38">
        <f t="shared" si="19"/>
        <v>2127.3507452531503</v>
      </c>
      <c r="G321" s="38" t="s">
        <v>1204</v>
      </c>
      <c r="H321">
        <v>2013</v>
      </c>
      <c r="I321">
        <f t="shared" si="20"/>
        <v>0.23544176706827311</v>
      </c>
      <c r="J321" s="40">
        <f t="shared" si="21"/>
        <v>11495.27644921204</v>
      </c>
    </row>
    <row r="322" spans="1:10" x14ac:dyDescent="0.25">
      <c r="A322" s="44" t="s">
        <v>1298</v>
      </c>
      <c r="B322" s="38" t="s">
        <v>1304</v>
      </c>
      <c r="C322" s="38">
        <v>2296</v>
      </c>
      <c r="D322" s="38">
        <f t="shared" si="18"/>
        <v>2.1330558626520127E-2</v>
      </c>
      <c r="E322" s="38">
        <v>795</v>
      </c>
      <c r="F322" s="38">
        <f t="shared" si="19"/>
        <v>360.60636300133359</v>
      </c>
      <c r="G322" s="38" t="s">
        <v>1204</v>
      </c>
      <c r="H322">
        <v>2015</v>
      </c>
      <c r="I322">
        <f t="shared" si="20"/>
        <v>0.34625435540069688</v>
      </c>
      <c r="J322" s="40">
        <f t="shared" si="21"/>
        <v>16905.622084974108</v>
      </c>
    </row>
    <row r="323" spans="1:10" x14ac:dyDescent="0.25">
      <c r="A323" s="44" t="s">
        <v>1298</v>
      </c>
      <c r="B323" s="38" t="s">
        <v>1304</v>
      </c>
      <c r="C323" s="38">
        <v>1276</v>
      </c>
      <c r="D323" s="38">
        <f t="shared" si="18"/>
        <v>1.185443937606258E-2</v>
      </c>
      <c r="E323" s="38">
        <v>426</v>
      </c>
      <c r="F323" s="38">
        <f t="shared" si="19"/>
        <v>193.23057941958254</v>
      </c>
      <c r="G323" s="38" t="s">
        <v>1204</v>
      </c>
      <c r="H323">
        <v>2014</v>
      </c>
      <c r="I323">
        <f t="shared" si="20"/>
        <v>0.33385579937304077</v>
      </c>
      <c r="J323" s="40">
        <f t="shared" si="21"/>
        <v>16300.27142487809</v>
      </c>
    </row>
    <row r="324" spans="1:10" x14ac:dyDescent="0.25">
      <c r="A324" s="44" t="s">
        <v>1298</v>
      </c>
      <c r="B324" s="38" t="s">
        <v>1305</v>
      </c>
      <c r="C324" s="38">
        <v>355</v>
      </c>
      <c r="D324" s="38">
        <f t="shared" si="18"/>
        <v>3.2980611116788525E-3</v>
      </c>
      <c r="E324" s="38">
        <v>231</v>
      </c>
      <c r="F324" s="38">
        <f t="shared" si="19"/>
        <v>104.77996207963278</v>
      </c>
      <c r="G324" s="38" t="s">
        <v>1204</v>
      </c>
      <c r="H324">
        <v>2015</v>
      </c>
      <c r="I324">
        <f t="shared" si="20"/>
        <v>0.6507042253521127</v>
      </c>
      <c r="J324" s="40">
        <f t="shared" si="21"/>
        <v>31770.169967012938</v>
      </c>
    </row>
    <row r="325" spans="1:10" x14ac:dyDescent="0.25">
      <c r="A325" s="44" t="s">
        <v>1298</v>
      </c>
      <c r="B325" s="38" t="s">
        <v>1305</v>
      </c>
      <c r="C325" s="38">
        <v>2598</v>
      </c>
      <c r="D325" s="38">
        <f t="shared" ref="D325:D388" si="22">C325/107639</f>
        <v>2.4136233149694812E-2</v>
      </c>
      <c r="E325" s="38">
        <v>356</v>
      </c>
      <c r="F325" s="38">
        <f t="shared" ref="F325:F388" si="23">E325/2.20462</f>
        <v>161.47907575908775</v>
      </c>
      <c r="G325" s="38" t="s">
        <v>1204</v>
      </c>
      <c r="H325">
        <v>2020</v>
      </c>
      <c r="I325">
        <f t="shared" ref="I325:I388" si="24">E325/C325</f>
        <v>0.13702848344880678</v>
      </c>
      <c r="J325" s="40">
        <f t="shared" si="21"/>
        <v>6690.3180275721506</v>
      </c>
    </row>
    <row r="326" spans="1:10" x14ac:dyDescent="0.25">
      <c r="A326" s="44" t="s">
        <v>1298</v>
      </c>
      <c r="B326" s="38" t="s">
        <v>1306</v>
      </c>
      <c r="C326" s="38">
        <v>112</v>
      </c>
      <c r="D326" s="38">
        <f t="shared" si="22"/>
        <v>1.0405150549522013E-3</v>
      </c>
      <c r="E326" s="38">
        <v>55</v>
      </c>
      <c r="F326" s="38">
        <f t="shared" si="23"/>
        <v>24.947610018960187</v>
      </c>
      <c r="G326" s="38" t="s">
        <v>1204</v>
      </c>
      <c r="H326">
        <v>2014</v>
      </c>
      <c r="I326">
        <f t="shared" si="24"/>
        <v>0.49107142857142855</v>
      </c>
      <c r="J326" s="40">
        <f t="shared" ref="J326:J389" si="25">F326/D326</f>
        <v>23976.212453846925</v>
      </c>
    </row>
    <row r="327" spans="1:10" x14ac:dyDescent="0.25">
      <c r="A327" s="44" t="s">
        <v>1298</v>
      </c>
      <c r="B327" s="38" t="s">
        <v>1306</v>
      </c>
      <c r="C327" s="38">
        <v>960</v>
      </c>
      <c r="D327" s="38">
        <f t="shared" si="22"/>
        <v>8.9187004710188679E-3</v>
      </c>
      <c r="E327" s="38">
        <v>90</v>
      </c>
      <c r="F327" s="38">
        <f t="shared" si="23"/>
        <v>40.823361849207579</v>
      </c>
      <c r="G327" s="38" t="s">
        <v>1204</v>
      </c>
      <c r="H327">
        <v>2015</v>
      </c>
      <c r="I327">
        <f t="shared" si="24"/>
        <v>9.375E-2</v>
      </c>
      <c r="J327" s="40">
        <f t="shared" si="25"/>
        <v>4577.2769230071408</v>
      </c>
    </row>
    <row r="328" spans="1:10" x14ac:dyDescent="0.25">
      <c r="A328" s="44" t="s">
        <v>1298</v>
      </c>
      <c r="B328" s="38" t="s">
        <v>1306</v>
      </c>
      <c r="C328" s="38">
        <v>2793</v>
      </c>
      <c r="D328" s="38">
        <f t="shared" si="22"/>
        <v>2.5947844182870522E-2</v>
      </c>
      <c r="E328" s="38">
        <v>1061</v>
      </c>
      <c r="F328" s="38">
        <f t="shared" si="23"/>
        <v>481.26207691121374</v>
      </c>
      <c r="G328" s="38" t="s">
        <v>1204</v>
      </c>
      <c r="H328">
        <v>2013</v>
      </c>
      <c r="I328">
        <f t="shared" si="24"/>
        <v>0.37987826709631223</v>
      </c>
      <c r="J328" s="40">
        <f t="shared" si="25"/>
        <v>18547.285605673518</v>
      </c>
    </row>
    <row r="329" spans="1:10" x14ac:dyDescent="0.25">
      <c r="A329" s="44" t="s">
        <v>1298</v>
      </c>
      <c r="B329" s="38" t="s">
        <v>1307</v>
      </c>
      <c r="C329" s="38">
        <v>477</v>
      </c>
      <c r="D329" s="38">
        <f t="shared" si="22"/>
        <v>4.4314792965375006E-3</v>
      </c>
      <c r="E329" s="38">
        <v>378</v>
      </c>
      <c r="F329" s="38">
        <f t="shared" si="23"/>
        <v>171.45811976667181</v>
      </c>
      <c r="G329" s="38" t="s">
        <v>1204</v>
      </c>
      <c r="H329">
        <v>2014</v>
      </c>
      <c r="I329">
        <f t="shared" si="24"/>
        <v>0.79245283018867929</v>
      </c>
      <c r="J329" s="40">
        <f t="shared" si="25"/>
        <v>38690.944556739596</v>
      </c>
    </row>
    <row r="330" spans="1:10" x14ac:dyDescent="0.25">
      <c r="A330" s="44" t="s">
        <v>1298</v>
      </c>
      <c r="B330" s="38" t="s">
        <v>1307</v>
      </c>
      <c r="C330" s="38">
        <v>682</v>
      </c>
      <c r="D330" s="38">
        <f t="shared" si="22"/>
        <v>6.3359934596196547E-3</v>
      </c>
      <c r="E330" s="38">
        <v>585</v>
      </c>
      <c r="F330" s="38">
        <f t="shared" si="23"/>
        <v>265.35185201984928</v>
      </c>
      <c r="G330" s="38" t="s">
        <v>1204</v>
      </c>
      <c r="H330">
        <v>2015</v>
      </c>
      <c r="I330">
        <f t="shared" si="24"/>
        <v>0.85777126099706746</v>
      </c>
      <c r="J330" s="40">
        <f t="shared" si="25"/>
        <v>41880.070380593192</v>
      </c>
    </row>
    <row r="331" spans="1:10" x14ac:dyDescent="0.25">
      <c r="A331" s="44" t="s">
        <v>1298</v>
      </c>
      <c r="B331" s="38" t="s">
        <v>1307</v>
      </c>
      <c r="C331" s="38">
        <v>2445</v>
      </c>
      <c r="D331" s="38">
        <f t="shared" si="22"/>
        <v>2.2714815262126181E-2</v>
      </c>
      <c r="E331" s="38">
        <v>1607</v>
      </c>
      <c r="F331" s="38">
        <f t="shared" si="23"/>
        <v>728.92380546307311</v>
      </c>
      <c r="G331" s="38" t="s">
        <v>1204</v>
      </c>
      <c r="H331">
        <v>2014</v>
      </c>
      <c r="I331">
        <f t="shared" si="24"/>
        <v>0.65725971370143155</v>
      </c>
      <c r="J331" s="40">
        <f t="shared" si="25"/>
        <v>32090.237012776983</v>
      </c>
    </row>
    <row r="332" spans="1:10" x14ac:dyDescent="0.25">
      <c r="A332" s="44" t="s">
        <v>1298</v>
      </c>
      <c r="B332" s="38" t="s">
        <v>1307</v>
      </c>
      <c r="C332" s="38">
        <v>113</v>
      </c>
      <c r="D332" s="38">
        <f t="shared" si="22"/>
        <v>1.0498053679428459E-3</v>
      </c>
      <c r="E332" s="38">
        <v>52</v>
      </c>
      <c r="F332" s="38">
        <f t="shared" si="23"/>
        <v>23.586831290653265</v>
      </c>
      <c r="G332" s="38" t="s">
        <v>1204</v>
      </c>
      <c r="H332">
        <v>2013</v>
      </c>
      <c r="I332">
        <f t="shared" si="24"/>
        <v>0.46017699115044247</v>
      </c>
      <c r="J332" s="40">
        <f t="shared" si="25"/>
        <v>22467.813568979</v>
      </c>
    </row>
    <row r="333" spans="1:10" x14ac:dyDescent="0.25">
      <c r="A333" s="44" t="s">
        <v>1298</v>
      </c>
      <c r="B333" s="38" t="s">
        <v>1307</v>
      </c>
      <c r="C333" s="38">
        <v>261</v>
      </c>
      <c r="D333" s="38">
        <f t="shared" si="22"/>
        <v>2.4247716905582547E-3</v>
      </c>
      <c r="E333" s="38">
        <v>160</v>
      </c>
      <c r="F333" s="38">
        <f t="shared" si="23"/>
        <v>72.574865509702363</v>
      </c>
      <c r="G333" s="38" t="s">
        <v>1204</v>
      </c>
      <c r="H333">
        <v>2015</v>
      </c>
      <c r="I333">
        <f t="shared" si="24"/>
        <v>0.6130268199233716</v>
      </c>
      <c r="J333" s="40">
        <f t="shared" si="25"/>
        <v>29930.597504210167</v>
      </c>
    </row>
    <row r="334" spans="1:10" x14ac:dyDescent="0.25">
      <c r="A334" s="44" t="s">
        <v>1298</v>
      </c>
      <c r="B334" s="38" t="s">
        <v>1307</v>
      </c>
      <c r="C334" s="38">
        <v>2855</v>
      </c>
      <c r="D334" s="38">
        <f t="shared" si="22"/>
        <v>2.6523843588290491E-2</v>
      </c>
      <c r="E334" s="38">
        <v>524</v>
      </c>
      <c r="F334" s="38">
        <f t="shared" si="23"/>
        <v>237.68268454427522</v>
      </c>
      <c r="G334" s="38" t="s">
        <v>1204</v>
      </c>
      <c r="H334">
        <v>2013</v>
      </c>
      <c r="I334">
        <f t="shared" si="24"/>
        <v>0.18353765323992996</v>
      </c>
      <c r="J334" s="40">
        <f t="shared" si="25"/>
        <v>8961.0950898988576</v>
      </c>
    </row>
    <row r="335" spans="1:10" x14ac:dyDescent="0.25">
      <c r="A335" s="44" t="s">
        <v>1298</v>
      </c>
      <c r="B335" s="38" t="s">
        <v>1307</v>
      </c>
      <c r="C335" s="38">
        <v>3000</v>
      </c>
      <c r="D335" s="38">
        <f t="shared" si="22"/>
        <v>2.7870938971933965E-2</v>
      </c>
      <c r="E335" s="38">
        <v>1180</v>
      </c>
      <c r="F335" s="38">
        <f t="shared" si="23"/>
        <v>535.23963313405488</v>
      </c>
      <c r="G335" s="38" t="s">
        <v>1204</v>
      </c>
      <c r="H335">
        <v>2015</v>
      </c>
      <c r="I335">
        <f t="shared" si="24"/>
        <v>0.39333333333333331</v>
      </c>
      <c r="J335" s="40">
        <f t="shared" si="25"/>
        <v>19204.219623638844</v>
      </c>
    </row>
    <row r="336" spans="1:10" x14ac:dyDescent="0.25">
      <c r="A336" s="44" t="s">
        <v>1298</v>
      </c>
      <c r="B336" s="38" t="s">
        <v>1308</v>
      </c>
      <c r="C336" s="38">
        <v>3675</v>
      </c>
      <c r="D336" s="38">
        <f t="shared" si="22"/>
        <v>3.4141900240619104E-2</v>
      </c>
      <c r="E336" s="38">
        <v>1009</v>
      </c>
      <c r="F336" s="38">
        <f t="shared" si="23"/>
        <v>457.67524562056047</v>
      </c>
      <c r="G336" s="38" t="s">
        <v>1204</v>
      </c>
      <c r="H336">
        <v>2014</v>
      </c>
      <c r="I336">
        <f t="shared" si="24"/>
        <v>0.2745578231292517</v>
      </c>
      <c r="J336" s="40">
        <f t="shared" si="25"/>
        <v>13405.090003633064</v>
      </c>
    </row>
    <row r="337" spans="1:10" x14ac:dyDescent="0.25">
      <c r="A337" s="44" t="s">
        <v>1298</v>
      </c>
      <c r="B337" s="38" t="s">
        <v>1308</v>
      </c>
      <c r="C337" s="38">
        <v>5500</v>
      </c>
      <c r="D337" s="38">
        <f t="shared" si="22"/>
        <v>5.1096721448545601E-2</v>
      </c>
      <c r="E337" s="38">
        <v>1036</v>
      </c>
      <c r="F337" s="38">
        <f t="shared" si="23"/>
        <v>469.92225417532279</v>
      </c>
      <c r="G337" s="38" t="s">
        <v>1204</v>
      </c>
      <c r="H337">
        <v>2015</v>
      </c>
      <c r="I337">
        <f t="shared" si="24"/>
        <v>0.18836363636363637</v>
      </c>
      <c r="J337" s="40">
        <f t="shared" si="25"/>
        <v>9196.7202758504682</v>
      </c>
    </row>
    <row r="338" spans="1:10" x14ac:dyDescent="0.25">
      <c r="A338" s="44" t="s">
        <v>1298</v>
      </c>
      <c r="B338" s="38" t="s">
        <v>1308</v>
      </c>
      <c r="C338" s="38">
        <v>1900</v>
      </c>
      <c r="D338" s="38">
        <f t="shared" si="22"/>
        <v>1.7651594682224846E-2</v>
      </c>
      <c r="E338" s="38">
        <v>146</v>
      </c>
      <c r="F338" s="38">
        <f t="shared" si="23"/>
        <v>66.224564777603405</v>
      </c>
      <c r="G338" s="38" t="s">
        <v>1204</v>
      </c>
      <c r="H338">
        <v>2013</v>
      </c>
      <c r="I338">
        <f t="shared" si="24"/>
        <v>7.6842105263157892E-2</v>
      </c>
      <c r="J338" s="40">
        <f t="shared" si="25"/>
        <v>3751.7610147876067</v>
      </c>
    </row>
    <row r="339" spans="1:10" x14ac:dyDescent="0.25">
      <c r="A339" s="44" t="s">
        <v>1298</v>
      </c>
      <c r="B339" s="38" t="s">
        <v>1308</v>
      </c>
      <c r="C339" s="38">
        <v>7825</v>
      </c>
      <c r="D339" s="38">
        <f t="shared" si="22"/>
        <v>7.2696699151794428E-2</v>
      </c>
      <c r="E339" s="38">
        <v>1826</v>
      </c>
      <c r="F339" s="38">
        <f t="shared" si="23"/>
        <v>828.26065262947816</v>
      </c>
      <c r="G339" s="38" t="s">
        <v>1204</v>
      </c>
      <c r="H339">
        <v>2013</v>
      </c>
      <c r="I339">
        <f t="shared" si="24"/>
        <v>0.23335463258785943</v>
      </c>
      <c r="J339" s="40">
        <f t="shared" si="25"/>
        <v>11393.373595959667</v>
      </c>
    </row>
    <row r="340" spans="1:10" x14ac:dyDescent="0.25">
      <c r="A340" s="44" t="s">
        <v>1298</v>
      </c>
      <c r="B340" s="38" t="s">
        <v>1309</v>
      </c>
      <c r="C340" s="38">
        <v>2069</v>
      </c>
      <c r="D340" s="38">
        <f t="shared" si="22"/>
        <v>1.922165757764379E-2</v>
      </c>
      <c r="E340" s="38">
        <v>769</v>
      </c>
      <c r="F340" s="38">
        <f t="shared" si="23"/>
        <v>348.81294735600699</v>
      </c>
      <c r="G340" s="38" t="s">
        <v>1204</v>
      </c>
      <c r="H340">
        <v>2014</v>
      </c>
      <c r="I340">
        <f t="shared" si="24"/>
        <v>0.37167713871435476</v>
      </c>
      <c r="J340" s="40">
        <f t="shared" si="25"/>
        <v>18146.871358363092</v>
      </c>
    </row>
    <row r="341" spans="1:10" x14ac:dyDescent="0.25">
      <c r="A341" s="44" t="s">
        <v>1298</v>
      </c>
      <c r="B341" s="38" t="s">
        <v>1310</v>
      </c>
      <c r="C341" s="38">
        <v>787</v>
      </c>
      <c r="D341" s="38">
        <f t="shared" si="22"/>
        <v>7.3114763236373434E-3</v>
      </c>
      <c r="E341" s="38">
        <v>223</v>
      </c>
      <c r="F341" s="38">
        <f t="shared" si="23"/>
        <v>101.15121880414766</v>
      </c>
      <c r="G341" s="38" t="s">
        <v>1204</v>
      </c>
      <c r="H341">
        <v>2013</v>
      </c>
      <c r="I341">
        <f t="shared" si="24"/>
        <v>0.28335451080050827</v>
      </c>
      <c r="J341" s="40">
        <f t="shared" si="25"/>
        <v>13834.582008716201</v>
      </c>
    </row>
    <row r="342" spans="1:10" x14ac:dyDescent="0.25">
      <c r="A342" s="44" t="s">
        <v>1298</v>
      </c>
      <c r="B342" s="38" t="s">
        <v>1310</v>
      </c>
      <c r="C342" s="38">
        <v>200</v>
      </c>
      <c r="D342" s="38">
        <f t="shared" si="22"/>
        <v>1.8580625981289309E-3</v>
      </c>
      <c r="E342" s="38">
        <v>75</v>
      </c>
      <c r="F342" s="38">
        <f t="shared" si="23"/>
        <v>34.019468207672979</v>
      </c>
      <c r="G342" s="38" t="s">
        <v>1204</v>
      </c>
      <c r="H342">
        <v>2013</v>
      </c>
      <c r="I342">
        <f t="shared" si="24"/>
        <v>0.375</v>
      </c>
      <c r="J342" s="40">
        <f t="shared" si="25"/>
        <v>18309.10769202856</v>
      </c>
    </row>
    <row r="343" spans="1:10" x14ac:dyDescent="0.25">
      <c r="A343" s="44" t="s">
        <v>1298</v>
      </c>
      <c r="B343" s="38" t="s">
        <v>1310</v>
      </c>
      <c r="C343" s="38">
        <v>595</v>
      </c>
      <c r="D343" s="38">
        <f t="shared" si="22"/>
        <v>5.5277362294335695E-3</v>
      </c>
      <c r="E343" s="38">
        <v>228</v>
      </c>
      <c r="F343" s="38">
        <f t="shared" si="23"/>
        <v>103.41918335132586</v>
      </c>
      <c r="G343" s="38" t="s">
        <v>1204</v>
      </c>
      <c r="H343">
        <v>2015</v>
      </c>
      <c r="I343">
        <f t="shared" si="24"/>
        <v>0.3831932773109244</v>
      </c>
      <c r="J343" s="40">
        <f t="shared" si="25"/>
        <v>18709.138616392207</v>
      </c>
    </row>
    <row r="344" spans="1:10" x14ac:dyDescent="0.25">
      <c r="A344" s="44" t="s">
        <v>1298</v>
      </c>
      <c r="B344" s="38" t="s">
        <v>1311</v>
      </c>
      <c r="C344" s="38">
        <v>1862</v>
      </c>
      <c r="D344" s="38">
        <f t="shared" si="22"/>
        <v>1.7298562788580347E-2</v>
      </c>
      <c r="E344" s="38">
        <v>372</v>
      </c>
      <c r="F344" s="38">
        <f t="shared" si="23"/>
        <v>168.73656231005799</v>
      </c>
      <c r="G344" s="38" t="s">
        <v>1204</v>
      </c>
      <c r="H344">
        <v>2020</v>
      </c>
      <c r="I344">
        <f t="shared" si="24"/>
        <v>0.19978517722878625</v>
      </c>
      <c r="J344" s="40">
        <f t="shared" si="25"/>
        <v>9754.3688670742922</v>
      </c>
    </row>
    <row r="345" spans="1:10" x14ac:dyDescent="0.25">
      <c r="A345" s="44" t="s">
        <v>1298</v>
      </c>
      <c r="B345" s="38" t="s">
        <v>1312</v>
      </c>
      <c r="C345" s="38">
        <v>1250</v>
      </c>
      <c r="D345" s="38">
        <f t="shared" si="22"/>
        <v>1.1612891238305818E-2</v>
      </c>
      <c r="E345" s="38">
        <v>467</v>
      </c>
      <c r="F345" s="38">
        <f t="shared" si="23"/>
        <v>211.82788870644376</v>
      </c>
      <c r="G345" s="38" t="s">
        <v>1204</v>
      </c>
      <c r="H345">
        <v>2014</v>
      </c>
      <c r="I345">
        <f t="shared" si="24"/>
        <v>0.37359999999999999</v>
      </c>
      <c r="J345" s="40">
        <f t="shared" si="25"/>
        <v>18240.753689978319</v>
      </c>
    </row>
    <row r="346" spans="1:10" x14ac:dyDescent="0.25">
      <c r="A346" s="44" t="s">
        <v>1298</v>
      </c>
      <c r="B346" s="38" t="s">
        <v>1312</v>
      </c>
      <c r="C346" s="38">
        <v>2700</v>
      </c>
      <c r="D346" s="38">
        <f t="shared" si="22"/>
        <v>2.5083845074740568E-2</v>
      </c>
      <c r="E346" s="38">
        <v>312</v>
      </c>
      <c r="F346" s="38">
        <f t="shared" si="23"/>
        <v>141.52098774391959</v>
      </c>
      <c r="G346" s="38" t="s">
        <v>1204</v>
      </c>
      <c r="H346">
        <v>2013</v>
      </c>
      <c r="I346">
        <f t="shared" si="24"/>
        <v>0.11555555555555555</v>
      </c>
      <c r="J346" s="40">
        <f t="shared" si="25"/>
        <v>5641.9176295436155</v>
      </c>
    </row>
    <row r="347" spans="1:10" x14ac:dyDescent="0.25">
      <c r="A347" s="44" t="s">
        <v>1298</v>
      </c>
      <c r="B347" s="38" t="s">
        <v>1313</v>
      </c>
      <c r="C347" s="38">
        <v>5126</v>
      </c>
      <c r="D347" s="38">
        <f t="shared" si="22"/>
        <v>4.7622144390044502E-2</v>
      </c>
      <c r="E347" s="38">
        <v>817</v>
      </c>
      <c r="F347" s="38">
        <f t="shared" si="23"/>
        <v>370.58540700891768</v>
      </c>
      <c r="G347" s="38" t="s">
        <v>1204</v>
      </c>
      <c r="H347">
        <v>2015</v>
      </c>
      <c r="I347">
        <f t="shared" si="24"/>
        <v>0.15938353492001561</v>
      </c>
      <c r="J347" s="40">
        <f t="shared" si="25"/>
        <v>7781.7874804980274</v>
      </c>
    </row>
    <row r="348" spans="1:10" x14ac:dyDescent="0.25">
      <c r="A348" s="44" t="s">
        <v>1298</v>
      </c>
      <c r="B348" s="38" t="s">
        <v>1314</v>
      </c>
      <c r="C348" s="38">
        <v>3118</v>
      </c>
      <c r="D348" s="38">
        <f t="shared" si="22"/>
        <v>2.8967195904830035E-2</v>
      </c>
      <c r="E348" s="38">
        <v>82</v>
      </c>
      <c r="F348" s="38">
        <f t="shared" si="23"/>
        <v>37.194618573722458</v>
      </c>
      <c r="G348" s="38" t="s">
        <v>1204</v>
      </c>
      <c r="H348">
        <v>2020</v>
      </c>
      <c r="I348">
        <f t="shared" si="24"/>
        <v>2.6298909557408594E-2</v>
      </c>
      <c r="J348" s="40">
        <f t="shared" si="25"/>
        <v>1284.0255127187015</v>
      </c>
    </row>
    <row r="349" spans="1:10" x14ac:dyDescent="0.25">
      <c r="A349" s="44" t="s">
        <v>1298</v>
      </c>
      <c r="B349" s="38" t="s">
        <v>1314</v>
      </c>
      <c r="C349" s="38">
        <v>1725</v>
      </c>
      <c r="D349" s="38">
        <f t="shared" si="22"/>
        <v>1.6025789908862029E-2</v>
      </c>
      <c r="E349" s="38">
        <v>410</v>
      </c>
      <c r="F349" s="38">
        <f t="shared" si="23"/>
        <v>185.9730928686123</v>
      </c>
      <c r="G349" s="38" t="s">
        <v>1204</v>
      </c>
      <c r="H349">
        <v>2015</v>
      </c>
      <c r="I349">
        <f t="shared" si="24"/>
        <v>0.23768115942028986</v>
      </c>
      <c r="J349" s="40">
        <f t="shared" si="25"/>
        <v>11604.613184512787</v>
      </c>
    </row>
    <row r="350" spans="1:10" x14ac:dyDescent="0.25">
      <c r="A350" s="44" t="s">
        <v>1298</v>
      </c>
      <c r="B350" s="38" t="s">
        <v>1314</v>
      </c>
      <c r="C350" s="38">
        <v>400</v>
      </c>
      <c r="D350" s="38">
        <f t="shared" si="22"/>
        <v>3.7161251962578618E-3</v>
      </c>
      <c r="E350" s="38">
        <v>65</v>
      </c>
      <c r="F350" s="38">
        <f t="shared" si="23"/>
        <v>29.483539113316585</v>
      </c>
      <c r="G350" s="38" t="s">
        <v>1204</v>
      </c>
      <c r="H350">
        <v>2013</v>
      </c>
      <c r="I350">
        <f t="shared" si="24"/>
        <v>0.16250000000000001</v>
      </c>
      <c r="J350" s="40">
        <f t="shared" si="25"/>
        <v>7933.9466665457103</v>
      </c>
    </row>
    <row r="351" spans="1:10" x14ac:dyDescent="0.25">
      <c r="A351" s="44" t="s">
        <v>1298</v>
      </c>
      <c r="B351" s="38" t="s">
        <v>1314</v>
      </c>
      <c r="C351" s="38">
        <v>300</v>
      </c>
      <c r="D351" s="38">
        <f t="shared" si="22"/>
        <v>2.7870938971933964E-3</v>
      </c>
      <c r="E351" s="38">
        <v>114</v>
      </c>
      <c r="F351" s="38">
        <f t="shared" si="23"/>
        <v>51.709591675662928</v>
      </c>
      <c r="G351" s="38" t="s">
        <v>1204</v>
      </c>
      <c r="H351">
        <v>2013</v>
      </c>
      <c r="I351">
        <f t="shared" si="24"/>
        <v>0.38</v>
      </c>
      <c r="J351" s="40">
        <f t="shared" si="25"/>
        <v>18553.229127922274</v>
      </c>
    </row>
    <row r="352" spans="1:10" x14ac:dyDescent="0.25">
      <c r="A352" s="44" t="s">
        <v>1298</v>
      </c>
      <c r="B352" s="38" t="s">
        <v>1314</v>
      </c>
      <c r="C352" s="38">
        <v>761</v>
      </c>
      <c r="D352" s="38">
        <f t="shared" si="22"/>
        <v>7.0699281858805823E-3</v>
      </c>
      <c r="E352" s="38">
        <v>233</v>
      </c>
      <c r="F352" s="38">
        <f t="shared" si="23"/>
        <v>105.68714789850407</v>
      </c>
      <c r="G352" s="38" t="s">
        <v>1204</v>
      </c>
      <c r="H352">
        <v>2013</v>
      </c>
      <c r="I352">
        <f t="shared" si="24"/>
        <v>0.30617608409986857</v>
      </c>
      <c r="J352" s="40">
        <f t="shared" si="25"/>
        <v>14948.8290573549</v>
      </c>
    </row>
    <row r="353" spans="1:10" x14ac:dyDescent="0.25">
      <c r="A353" s="44" t="s">
        <v>1298</v>
      </c>
      <c r="B353" s="38" t="s">
        <v>1314</v>
      </c>
      <c r="C353" s="38">
        <v>400</v>
      </c>
      <c r="D353" s="38">
        <f t="shared" si="22"/>
        <v>3.7161251962578618E-3</v>
      </c>
      <c r="E353" s="38">
        <v>139</v>
      </c>
      <c r="F353" s="38">
        <f t="shared" si="23"/>
        <v>63.049414411553926</v>
      </c>
      <c r="G353" s="38" t="s">
        <v>1204</v>
      </c>
      <c r="H353">
        <v>2013</v>
      </c>
      <c r="I353">
        <f t="shared" si="24"/>
        <v>0.34749999999999998</v>
      </c>
      <c r="J353" s="40">
        <f t="shared" si="25"/>
        <v>16966.439794613132</v>
      </c>
    </row>
    <row r="354" spans="1:10" x14ac:dyDescent="0.25">
      <c r="A354" s="44" t="s">
        <v>1298</v>
      </c>
      <c r="B354" s="38" t="s">
        <v>1314</v>
      </c>
      <c r="C354" s="38">
        <v>1299</v>
      </c>
      <c r="D354" s="38">
        <f t="shared" si="22"/>
        <v>1.2068116574847406E-2</v>
      </c>
      <c r="E354" s="38">
        <v>350</v>
      </c>
      <c r="F354" s="38">
        <f t="shared" si="23"/>
        <v>158.7575183024739</v>
      </c>
      <c r="G354" s="38" t="s">
        <v>1204</v>
      </c>
      <c r="H354">
        <v>2019</v>
      </c>
      <c r="I354">
        <f t="shared" si="24"/>
        <v>0.26943802925327176</v>
      </c>
      <c r="J354" s="40">
        <f t="shared" si="25"/>
        <v>13155.119717136249</v>
      </c>
    </row>
    <row r="355" spans="1:10" x14ac:dyDescent="0.25">
      <c r="A355" s="44" t="s">
        <v>1298</v>
      </c>
      <c r="B355" s="38" t="s">
        <v>1314</v>
      </c>
      <c r="C355" s="38">
        <v>74</v>
      </c>
      <c r="D355" s="38">
        <f t="shared" si="22"/>
        <v>6.8748316130770441E-4</v>
      </c>
      <c r="E355" s="38">
        <v>52</v>
      </c>
      <c r="F355" s="38">
        <f t="shared" si="23"/>
        <v>23.586831290653265</v>
      </c>
      <c r="G355" s="38" t="s">
        <v>1204</v>
      </c>
      <c r="H355">
        <v>2015</v>
      </c>
      <c r="I355">
        <f t="shared" si="24"/>
        <v>0.70270270270270274</v>
      </c>
      <c r="J355" s="40">
        <f t="shared" si="25"/>
        <v>34308.958558035498</v>
      </c>
    </row>
    <row r="356" spans="1:10" x14ac:dyDescent="0.25">
      <c r="A356" s="44" t="s">
        <v>1298</v>
      </c>
      <c r="B356" s="38" t="s">
        <v>1315</v>
      </c>
      <c r="C356" s="38">
        <v>1628</v>
      </c>
      <c r="D356" s="38">
        <f t="shared" si="22"/>
        <v>1.5124629548769497E-2</v>
      </c>
      <c r="E356" s="38">
        <v>360</v>
      </c>
      <c r="F356" s="38">
        <f t="shared" si="23"/>
        <v>163.29344739683032</v>
      </c>
      <c r="G356" s="38" t="s">
        <v>1204</v>
      </c>
      <c r="H356">
        <v>2014</v>
      </c>
      <c r="I356">
        <f t="shared" si="24"/>
        <v>0.22113022113022113</v>
      </c>
      <c r="J356" s="40">
        <f t="shared" si="25"/>
        <v>10796.525420360822</v>
      </c>
    </row>
    <row r="357" spans="1:10" x14ac:dyDescent="0.25">
      <c r="A357" s="44" t="s">
        <v>1298</v>
      </c>
      <c r="B357" s="38" t="s">
        <v>1315</v>
      </c>
      <c r="C357" s="38">
        <v>575</v>
      </c>
      <c r="D357" s="38">
        <f t="shared" si="22"/>
        <v>5.3419299696206768E-3</v>
      </c>
      <c r="E357" s="38">
        <v>240</v>
      </c>
      <c r="F357" s="38">
        <f t="shared" si="23"/>
        <v>108.86229826455354</v>
      </c>
      <c r="G357" s="38" t="s">
        <v>1204</v>
      </c>
      <c r="H357">
        <v>2015</v>
      </c>
      <c r="I357">
        <f t="shared" si="24"/>
        <v>0.41739130434782606</v>
      </c>
      <c r="J357" s="40">
        <f t="shared" si="25"/>
        <v>20378.832909388311</v>
      </c>
    </row>
    <row r="358" spans="1:10" x14ac:dyDescent="0.25">
      <c r="A358" s="44" t="s">
        <v>1298</v>
      </c>
      <c r="B358" s="38" t="s">
        <v>1315</v>
      </c>
      <c r="C358" s="38">
        <v>228</v>
      </c>
      <c r="D358" s="38">
        <f t="shared" si="22"/>
        <v>2.1181913618669814E-3</v>
      </c>
      <c r="E358" s="38">
        <v>112</v>
      </c>
      <c r="F358" s="38">
        <f t="shared" si="23"/>
        <v>50.802405856791651</v>
      </c>
      <c r="G358" s="38" t="s">
        <v>1204</v>
      </c>
      <c r="H358">
        <v>2015</v>
      </c>
      <c r="I358">
        <f t="shared" si="24"/>
        <v>0.49122807017543857</v>
      </c>
      <c r="J358" s="40">
        <f t="shared" si="25"/>
        <v>23983.860368505248</v>
      </c>
    </row>
    <row r="359" spans="1:10" x14ac:dyDescent="0.25">
      <c r="A359" s="44" t="s">
        <v>1298</v>
      </c>
      <c r="B359" s="38" t="s">
        <v>1315</v>
      </c>
      <c r="C359" s="38">
        <v>460</v>
      </c>
      <c r="D359" s="38">
        <f t="shared" si="22"/>
        <v>4.2735439756965412E-3</v>
      </c>
      <c r="E359" s="38">
        <v>240</v>
      </c>
      <c r="F359" s="38">
        <f t="shared" si="23"/>
        <v>108.86229826455354</v>
      </c>
      <c r="G359" s="38" t="s">
        <v>1204</v>
      </c>
      <c r="H359">
        <v>2015</v>
      </c>
      <c r="I359">
        <f t="shared" si="24"/>
        <v>0.52173913043478259</v>
      </c>
      <c r="J359" s="40">
        <f t="shared" si="25"/>
        <v>25473.541136735388</v>
      </c>
    </row>
    <row r="360" spans="1:10" x14ac:dyDescent="0.25">
      <c r="A360" s="44" t="s">
        <v>1298</v>
      </c>
      <c r="B360" s="38" t="s">
        <v>1315</v>
      </c>
      <c r="C360" s="38">
        <v>758</v>
      </c>
      <c r="D360" s="38">
        <f t="shared" si="22"/>
        <v>7.042057246908648E-3</v>
      </c>
      <c r="E360" s="38">
        <v>173</v>
      </c>
      <c r="F360" s="38">
        <f t="shared" si="23"/>
        <v>78.471573332365679</v>
      </c>
      <c r="G360" s="38" t="s">
        <v>1204</v>
      </c>
      <c r="H360">
        <v>2013</v>
      </c>
      <c r="I360">
        <f t="shared" si="24"/>
        <v>0.22823218997361477</v>
      </c>
      <c r="J360" s="40">
        <f t="shared" si="25"/>
        <v>11143.273986705159</v>
      </c>
    </row>
    <row r="361" spans="1:10" x14ac:dyDescent="0.25">
      <c r="A361" s="44" t="s">
        <v>1298</v>
      </c>
      <c r="B361" s="38" t="s">
        <v>1316</v>
      </c>
      <c r="C361" s="38">
        <v>5126</v>
      </c>
      <c r="D361" s="38">
        <f t="shared" si="22"/>
        <v>4.7622144390044502E-2</v>
      </c>
      <c r="E361" s="38">
        <v>684</v>
      </c>
      <c r="F361" s="38">
        <f t="shared" si="23"/>
        <v>310.25755005397758</v>
      </c>
      <c r="G361" s="38" t="s">
        <v>1204</v>
      </c>
      <c r="H361">
        <v>2015</v>
      </c>
      <c r="I361">
        <f t="shared" si="24"/>
        <v>0.13343737807257119</v>
      </c>
      <c r="J361" s="40">
        <f t="shared" si="25"/>
        <v>6514.9848673936976</v>
      </c>
    </row>
    <row r="362" spans="1:10" x14ac:dyDescent="0.25">
      <c r="A362" s="44" t="s">
        <v>1298</v>
      </c>
      <c r="B362" s="38" t="s">
        <v>1316</v>
      </c>
      <c r="C362" s="38">
        <v>312.5</v>
      </c>
      <c r="D362" s="38">
        <f t="shared" si="22"/>
        <v>2.9032228095764545E-3</v>
      </c>
      <c r="E362" s="38">
        <v>50</v>
      </c>
      <c r="F362" s="38">
        <f t="shared" si="23"/>
        <v>22.679645471781988</v>
      </c>
      <c r="G362" s="38" t="s">
        <v>1204</v>
      </c>
      <c r="I362">
        <f t="shared" si="24"/>
        <v>0.16</v>
      </c>
      <c r="J362" s="40">
        <f t="shared" si="25"/>
        <v>7811.8859485988532</v>
      </c>
    </row>
    <row r="363" spans="1:10" x14ac:dyDescent="0.25">
      <c r="A363" s="44" t="s">
        <v>1298</v>
      </c>
      <c r="B363" s="38" t="s">
        <v>1317</v>
      </c>
      <c r="C363" s="38">
        <v>310</v>
      </c>
      <c r="D363" s="38">
        <f t="shared" si="22"/>
        <v>2.8799970270998428E-3</v>
      </c>
      <c r="E363" s="38">
        <v>164</v>
      </c>
      <c r="F363" s="38">
        <f t="shared" si="23"/>
        <v>74.389237147444916</v>
      </c>
      <c r="G363" s="38" t="s">
        <v>1204</v>
      </c>
      <c r="H363">
        <v>2015</v>
      </c>
      <c r="I363">
        <f t="shared" si="24"/>
        <v>0.52903225806451615</v>
      </c>
      <c r="J363" s="40">
        <f t="shared" si="25"/>
        <v>25829.622894560722</v>
      </c>
    </row>
    <row r="364" spans="1:10" x14ac:dyDescent="0.25">
      <c r="A364" s="44" t="s">
        <v>1298</v>
      </c>
      <c r="B364" s="38" t="s">
        <v>1317</v>
      </c>
      <c r="C364" s="38">
        <v>312.5</v>
      </c>
      <c r="D364" s="38">
        <f t="shared" si="22"/>
        <v>2.9032228095764545E-3</v>
      </c>
      <c r="E364" s="38">
        <v>93</v>
      </c>
      <c r="F364" s="38">
        <f t="shared" si="23"/>
        <v>42.184140577514498</v>
      </c>
      <c r="G364" s="38" t="s">
        <v>1204</v>
      </c>
      <c r="I364">
        <f t="shared" si="24"/>
        <v>0.29759999999999998</v>
      </c>
      <c r="J364" s="40">
        <f t="shared" si="25"/>
        <v>14530.107864393867</v>
      </c>
    </row>
    <row r="365" spans="1:10" x14ac:dyDescent="0.25">
      <c r="A365" s="44" t="s">
        <v>1298</v>
      </c>
      <c r="B365" s="38" t="s">
        <v>1317</v>
      </c>
      <c r="C365" s="38">
        <v>460</v>
      </c>
      <c r="D365" s="38">
        <f t="shared" si="22"/>
        <v>4.2735439756965412E-3</v>
      </c>
      <c r="E365" s="38">
        <v>316</v>
      </c>
      <c r="F365" s="38">
        <f t="shared" si="23"/>
        <v>143.33535938166216</v>
      </c>
      <c r="G365" s="38" t="s">
        <v>1204</v>
      </c>
      <c r="H365">
        <v>2015</v>
      </c>
      <c r="I365">
        <f t="shared" si="24"/>
        <v>0.68695652173913047</v>
      </c>
      <c r="J365" s="40">
        <f t="shared" si="25"/>
        <v>33540.162496701596</v>
      </c>
    </row>
    <row r="366" spans="1:10" x14ac:dyDescent="0.25">
      <c r="A366" s="44" t="s">
        <v>1298</v>
      </c>
      <c r="B366" s="38" t="s">
        <v>1317</v>
      </c>
      <c r="C366" s="38">
        <v>460</v>
      </c>
      <c r="D366" s="38">
        <f t="shared" si="22"/>
        <v>4.2735439756965412E-3</v>
      </c>
      <c r="E366" s="38">
        <v>316</v>
      </c>
      <c r="F366" s="38">
        <f t="shared" si="23"/>
        <v>143.33535938166216</v>
      </c>
      <c r="G366" s="38" t="s">
        <v>1204</v>
      </c>
      <c r="H366">
        <v>2015</v>
      </c>
      <c r="I366">
        <f t="shared" si="24"/>
        <v>0.68695652173913047</v>
      </c>
      <c r="J366" s="40">
        <f t="shared" si="25"/>
        <v>33540.162496701596</v>
      </c>
    </row>
    <row r="367" spans="1:10" x14ac:dyDescent="0.25">
      <c r="A367" s="44" t="s">
        <v>1298</v>
      </c>
      <c r="B367" s="38" t="s">
        <v>1318</v>
      </c>
      <c r="C367" s="38">
        <v>443</v>
      </c>
      <c r="D367" s="38">
        <f t="shared" si="22"/>
        <v>4.1156086548555819E-3</v>
      </c>
      <c r="E367" s="38">
        <v>249</v>
      </c>
      <c r="F367" s="38">
        <f t="shared" si="23"/>
        <v>112.94463444947429</v>
      </c>
      <c r="G367" s="38" t="s">
        <v>1204</v>
      </c>
      <c r="H367">
        <v>2015</v>
      </c>
      <c r="I367">
        <f t="shared" si="24"/>
        <v>0.56207674943566588</v>
      </c>
      <c r="J367" s="40">
        <f t="shared" si="25"/>
        <v>27442.996630941227</v>
      </c>
    </row>
    <row r="368" spans="1:10" x14ac:dyDescent="0.25">
      <c r="A368" s="44" t="s">
        <v>1298</v>
      </c>
      <c r="B368" s="38" t="s">
        <v>1318</v>
      </c>
      <c r="C368" s="38">
        <v>467</v>
      </c>
      <c r="D368" s="38">
        <f t="shared" si="22"/>
        <v>4.3385761666310538E-3</v>
      </c>
      <c r="E368" s="38">
        <v>227</v>
      </c>
      <c r="F368" s="38">
        <f t="shared" si="23"/>
        <v>102.96559044189023</v>
      </c>
      <c r="G368" s="38" t="s">
        <v>1204</v>
      </c>
      <c r="H368">
        <v>2014</v>
      </c>
      <c r="I368">
        <f t="shared" si="24"/>
        <v>0.48608137044967881</v>
      </c>
      <c r="J368" s="40">
        <f t="shared" si="25"/>
        <v>23732.576423071998</v>
      </c>
    </row>
    <row r="369" spans="1:10" x14ac:dyDescent="0.25">
      <c r="A369" s="44" t="s">
        <v>1298</v>
      </c>
      <c r="B369" s="38" t="s">
        <v>1318</v>
      </c>
      <c r="C369" s="38">
        <v>1556</v>
      </c>
      <c r="D369" s="38">
        <f t="shared" si="22"/>
        <v>1.4455727013443083E-2</v>
      </c>
      <c r="E369" s="38">
        <v>444</v>
      </c>
      <c r="F369" s="38">
        <f t="shared" si="23"/>
        <v>201.39525178942404</v>
      </c>
      <c r="G369" s="38" t="s">
        <v>1204</v>
      </c>
      <c r="H369">
        <v>2013</v>
      </c>
      <c r="I369">
        <f t="shared" si="24"/>
        <v>0.28534704370179947</v>
      </c>
      <c r="J369" s="40">
        <f t="shared" si="25"/>
        <v>13931.866007301936</v>
      </c>
    </row>
    <row r="370" spans="1:10" x14ac:dyDescent="0.25">
      <c r="A370" s="44" t="s">
        <v>1298</v>
      </c>
      <c r="B370" s="38" t="s">
        <v>1318</v>
      </c>
      <c r="C370" s="38">
        <v>113</v>
      </c>
      <c r="D370" s="38">
        <f t="shared" si="22"/>
        <v>1.0498053679428459E-3</v>
      </c>
      <c r="E370" s="38">
        <v>64</v>
      </c>
      <c r="F370" s="38">
        <f t="shared" si="23"/>
        <v>29.029946203880943</v>
      </c>
      <c r="G370" s="38" t="s">
        <v>1204</v>
      </c>
      <c r="H370">
        <v>2013</v>
      </c>
      <c r="I370">
        <f t="shared" si="24"/>
        <v>0.5663716814159292</v>
      </c>
      <c r="J370" s="40">
        <f t="shared" si="25"/>
        <v>27652.693623358769</v>
      </c>
    </row>
    <row r="371" spans="1:10" x14ac:dyDescent="0.25">
      <c r="A371" s="44" t="s">
        <v>1298</v>
      </c>
      <c r="B371" s="38" t="s">
        <v>1318</v>
      </c>
      <c r="C371" s="38">
        <v>483</v>
      </c>
      <c r="D371" s="38">
        <f t="shared" si="22"/>
        <v>4.4872211744813682E-3</v>
      </c>
      <c r="E371" s="38">
        <v>363</v>
      </c>
      <c r="F371" s="38">
        <f t="shared" si="23"/>
        <v>164.65422612513723</v>
      </c>
      <c r="G371" s="38" t="s">
        <v>1204</v>
      </c>
      <c r="H371">
        <v>2014</v>
      </c>
      <c r="I371">
        <f t="shared" si="24"/>
        <v>0.75155279503105588</v>
      </c>
      <c r="J371" s="40">
        <f t="shared" si="25"/>
        <v>36694.029494583119</v>
      </c>
    </row>
    <row r="372" spans="1:10" x14ac:dyDescent="0.25">
      <c r="A372" s="44" t="s">
        <v>1298</v>
      </c>
      <c r="B372" s="38" t="s">
        <v>1318</v>
      </c>
      <c r="C372" s="38">
        <v>2273</v>
      </c>
      <c r="D372" s="38">
        <f t="shared" si="22"/>
        <v>2.1116881427735299E-2</v>
      </c>
      <c r="E372" s="38">
        <v>604</v>
      </c>
      <c r="F372" s="38">
        <f t="shared" si="23"/>
        <v>273.9701172991264</v>
      </c>
      <c r="G372" s="38" t="s">
        <v>1204</v>
      </c>
      <c r="H372">
        <v>2020</v>
      </c>
      <c r="I372">
        <f t="shared" si="24"/>
        <v>0.26572811262648482</v>
      </c>
      <c r="J372" s="40">
        <f t="shared" si="25"/>
        <v>12973.985682340814</v>
      </c>
    </row>
    <row r="373" spans="1:10" x14ac:dyDescent="0.25">
      <c r="A373" s="44" t="s">
        <v>1298</v>
      </c>
      <c r="B373" s="38" t="s">
        <v>1319</v>
      </c>
      <c r="C373" s="38">
        <v>931</v>
      </c>
      <c r="D373" s="38">
        <f t="shared" si="22"/>
        <v>8.6492813942901734E-3</v>
      </c>
      <c r="E373" s="38">
        <v>188</v>
      </c>
      <c r="F373" s="38">
        <f t="shared" si="23"/>
        <v>85.275466973900265</v>
      </c>
      <c r="G373" s="38" t="s">
        <v>1204</v>
      </c>
      <c r="H373">
        <v>2013</v>
      </c>
      <c r="I373">
        <f t="shared" si="24"/>
        <v>0.20193340494092374</v>
      </c>
      <c r="J373" s="40">
        <f t="shared" si="25"/>
        <v>9859.2545538170252</v>
      </c>
    </row>
    <row r="374" spans="1:10" x14ac:dyDescent="0.25">
      <c r="A374" s="44" t="s">
        <v>1298</v>
      </c>
      <c r="B374" s="38" t="s">
        <v>1320</v>
      </c>
      <c r="C374" s="38">
        <v>188</v>
      </c>
      <c r="D374" s="38">
        <f t="shared" si="22"/>
        <v>1.7465788422411951E-3</v>
      </c>
      <c r="E374" s="38">
        <v>96</v>
      </c>
      <c r="F374" s="38">
        <f t="shared" si="23"/>
        <v>43.544919305821416</v>
      </c>
      <c r="G374" s="38" t="s">
        <v>1204</v>
      </c>
      <c r="H374">
        <v>2015</v>
      </c>
      <c r="I374">
        <f t="shared" si="24"/>
        <v>0.51063829787234039</v>
      </c>
      <c r="J374" s="40">
        <f t="shared" si="25"/>
        <v>24931.550899783571</v>
      </c>
    </row>
    <row r="375" spans="1:10" x14ac:dyDescent="0.25">
      <c r="A375" s="44" t="s">
        <v>1298</v>
      </c>
      <c r="B375" s="38" t="s">
        <v>1321</v>
      </c>
      <c r="C375" s="38">
        <v>460</v>
      </c>
      <c r="D375" s="38">
        <f t="shared" si="22"/>
        <v>4.2735439756965412E-3</v>
      </c>
      <c r="E375" s="38">
        <v>158</v>
      </c>
      <c r="F375" s="38">
        <f t="shared" si="23"/>
        <v>71.667679690831079</v>
      </c>
      <c r="G375" s="38" t="s">
        <v>1204</v>
      </c>
      <c r="H375">
        <v>2015</v>
      </c>
      <c r="I375">
        <f t="shared" si="24"/>
        <v>0.34347826086956523</v>
      </c>
      <c r="J375" s="40">
        <f t="shared" si="25"/>
        <v>16770.081248350798</v>
      </c>
    </row>
    <row r="376" spans="1:10" x14ac:dyDescent="0.25">
      <c r="A376" s="44" t="s">
        <v>1298</v>
      </c>
      <c r="B376" s="38" t="s">
        <v>1321</v>
      </c>
      <c r="C376" s="38">
        <v>575</v>
      </c>
      <c r="D376" s="38">
        <f t="shared" si="22"/>
        <v>5.3419299696206768E-3</v>
      </c>
      <c r="E376" s="38">
        <v>175</v>
      </c>
      <c r="F376" s="38">
        <f t="shared" si="23"/>
        <v>79.378759151236949</v>
      </c>
      <c r="G376" s="38" t="s">
        <v>1204</v>
      </c>
      <c r="H376">
        <v>2015</v>
      </c>
      <c r="I376">
        <f t="shared" si="24"/>
        <v>0.30434782608695654</v>
      </c>
      <c r="J376" s="40">
        <f t="shared" si="25"/>
        <v>14859.565663095642</v>
      </c>
    </row>
    <row r="377" spans="1:10" x14ac:dyDescent="0.25">
      <c r="A377" s="44" t="s">
        <v>1298</v>
      </c>
      <c r="B377" s="38" t="s">
        <v>1322</v>
      </c>
      <c r="C377" s="38">
        <v>17242</v>
      </c>
      <c r="D377" s="38">
        <f t="shared" si="22"/>
        <v>0.16018357658469515</v>
      </c>
      <c r="E377" s="38">
        <v>4331</v>
      </c>
      <c r="F377" s="38">
        <f t="shared" si="23"/>
        <v>1964.5108907657557</v>
      </c>
      <c r="G377" s="38" t="s">
        <v>1204</v>
      </c>
      <c r="H377">
        <v>2015</v>
      </c>
      <c r="I377">
        <f t="shared" si="24"/>
        <v>0.25118895719754086</v>
      </c>
      <c r="J377" s="40">
        <f t="shared" si="25"/>
        <v>12264.121782341675</v>
      </c>
    </row>
    <row r="378" spans="1:10" x14ac:dyDescent="0.25">
      <c r="A378" s="44" t="s">
        <v>1298</v>
      </c>
      <c r="B378" s="38" t="s">
        <v>1322</v>
      </c>
      <c r="C378" s="38">
        <v>185</v>
      </c>
      <c r="D378" s="38">
        <f t="shared" si="22"/>
        <v>1.7187079032692611E-3</v>
      </c>
      <c r="E378" s="38">
        <v>206</v>
      </c>
      <c r="F378" s="38">
        <f t="shared" si="23"/>
        <v>93.440139343741791</v>
      </c>
      <c r="G378" s="38" t="s">
        <v>1204</v>
      </c>
      <c r="H378">
        <v>2014</v>
      </c>
      <c r="I378">
        <f t="shared" si="24"/>
        <v>1.1135135135135135</v>
      </c>
      <c r="J378" s="40">
        <f t="shared" si="25"/>
        <v>54366.503561194717</v>
      </c>
    </row>
    <row r="379" spans="1:10" x14ac:dyDescent="0.25">
      <c r="A379" s="44" t="s">
        <v>1298</v>
      </c>
      <c r="B379" s="38" t="s">
        <v>1322</v>
      </c>
      <c r="C379" s="38">
        <v>4368</v>
      </c>
      <c r="D379" s="38">
        <f t="shared" si="22"/>
        <v>4.0580087143135851E-2</v>
      </c>
      <c r="E379" s="38">
        <v>1944</v>
      </c>
      <c r="F379" s="38">
        <f t="shared" si="23"/>
        <v>881.78461594288365</v>
      </c>
      <c r="G379" s="38" t="s">
        <v>1204</v>
      </c>
      <c r="H379">
        <v>2014</v>
      </c>
      <c r="I379">
        <f t="shared" si="24"/>
        <v>0.44505494505494503</v>
      </c>
      <c r="J379" s="40">
        <f t="shared" si="25"/>
        <v>21729.490447682248</v>
      </c>
    </row>
    <row r="380" spans="1:10" x14ac:dyDescent="0.25">
      <c r="A380" s="44" t="s">
        <v>1298</v>
      </c>
      <c r="B380" s="38" t="s">
        <v>1322</v>
      </c>
      <c r="C380" s="38">
        <v>294</v>
      </c>
      <c r="D380" s="38">
        <f t="shared" si="22"/>
        <v>2.7313520192495284E-3</v>
      </c>
      <c r="E380" s="38">
        <v>229</v>
      </c>
      <c r="F380" s="38">
        <f t="shared" si="23"/>
        <v>103.8727762607615</v>
      </c>
      <c r="G380" s="38" t="s">
        <v>1204</v>
      </c>
      <c r="H380">
        <v>2014</v>
      </c>
      <c r="I380">
        <f t="shared" si="24"/>
        <v>0.77891156462585032</v>
      </c>
      <c r="J380" s="40">
        <f t="shared" si="25"/>
        <v>38029.801918136422</v>
      </c>
    </row>
    <row r="381" spans="1:10" x14ac:dyDescent="0.25">
      <c r="A381" s="44" t="s">
        <v>1298</v>
      </c>
      <c r="B381" s="38" t="s">
        <v>1322</v>
      </c>
      <c r="C381" s="38">
        <v>17242</v>
      </c>
      <c r="D381" s="38">
        <f t="shared" si="22"/>
        <v>0.16018357658469515</v>
      </c>
      <c r="E381" s="38">
        <v>280</v>
      </c>
      <c r="F381" s="38">
        <f t="shared" si="23"/>
        <v>127.00601464197912</v>
      </c>
      <c r="G381" s="38" t="s">
        <v>1204</v>
      </c>
      <c r="H381">
        <v>2015</v>
      </c>
      <c r="I381">
        <f t="shared" si="24"/>
        <v>1.6239415381046281E-2</v>
      </c>
      <c r="J381" s="40">
        <f t="shared" si="25"/>
        <v>792.87788017909691</v>
      </c>
    </row>
    <row r="382" spans="1:10" x14ac:dyDescent="0.25">
      <c r="A382" s="44" t="s">
        <v>1298</v>
      </c>
      <c r="B382" s="38" t="s">
        <v>1322</v>
      </c>
      <c r="C382" s="38">
        <v>2552</v>
      </c>
      <c r="D382" s="38">
        <f t="shared" si="22"/>
        <v>2.370887875212516E-2</v>
      </c>
      <c r="E382" s="38">
        <v>368</v>
      </c>
      <c r="F382" s="38">
        <f t="shared" si="23"/>
        <v>166.92219067231542</v>
      </c>
      <c r="G382" s="38" t="s">
        <v>1204</v>
      </c>
      <c r="H382">
        <v>2013</v>
      </c>
      <c r="I382">
        <f t="shared" si="24"/>
        <v>0.14420062695924765</v>
      </c>
      <c r="J382" s="40">
        <f t="shared" si="25"/>
        <v>7040.4928220130714</v>
      </c>
    </row>
    <row r="383" spans="1:10" x14ac:dyDescent="0.25">
      <c r="A383" s="44" t="s">
        <v>1298</v>
      </c>
      <c r="B383" s="38" t="s">
        <v>1322</v>
      </c>
      <c r="C383" s="38">
        <v>765</v>
      </c>
      <c r="D383" s="38">
        <f t="shared" si="22"/>
        <v>7.1070894378431606E-3</v>
      </c>
      <c r="E383" s="38">
        <v>463</v>
      </c>
      <c r="F383" s="38">
        <f t="shared" si="23"/>
        <v>210.01351706870119</v>
      </c>
      <c r="G383" s="38" t="s">
        <v>1204</v>
      </c>
      <c r="H383">
        <v>2015</v>
      </c>
      <c r="I383">
        <f t="shared" si="24"/>
        <v>0.6052287581699346</v>
      </c>
      <c r="J383" s="40">
        <f t="shared" si="25"/>
        <v>29549.862697722783</v>
      </c>
    </row>
    <row r="384" spans="1:10" x14ac:dyDescent="0.25">
      <c r="A384" s="44" t="s">
        <v>1298</v>
      </c>
      <c r="B384" s="38" t="s">
        <v>1322</v>
      </c>
      <c r="C384" s="38">
        <v>227</v>
      </c>
      <c r="D384" s="38">
        <f t="shared" si="22"/>
        <v>2.1089010488763368E-3</v>
      </c>
      <c r="E384" s="38">
        <v>94</v>
      </c>
      <c r="F384" s="38">
        <f t="shared" si="23"/>
        <v>42.637733486950133</v>
      </c>
      <c r="G384" s="38" t="s">
        <v>1204</v>
      </c>
      <c r="H384">
        <v>2013</v>
      </c>
      <c r="I384">
        <f t="shared" si="24"/>
        <v>0.41409691629955947</v>
      </c>
      <c r="J384" s="40">
        <f t="shared" si="25"/>
        <v>20217.986761241518</v>
      </c>
    </row>
    <row r="385" spans="1:10" x14ac:dyDescent="0.25">
      <c r="A385" s="44" t="s">
        <v>1298</v>
      </c>
      <c r="B385" s="38" t="s">
        <v>1240</v>
      </c>
      <c r="C385" s="38">
        <v>1386</v>
      </c>
      <c r="D385" s="38">
        <f t="shared" si="22"/>
        <v>1.2876373805033491E-2</v>
      </c>
      <c r="E385" s="38">
        <v>460</v>
      </c>
      <c r="F385" s="38">
        <f t="shared" si="23"/>
        <v>208.65273834039428</v>
      </c>
      <c r="G385" s="38" t="s">
        <v>1204</v>
      </c>
      <c r="H385">
        <v>2020</v>
      </c>
      <c r="I385">
        <f t="shared" si="24"/>
        <v>0.3318903318903319</v>
      </c>
      <c r="J385" s="40">
        <f t="shared" si="25"/>
        <v>16204.308876061832</v>
      </c>
    </row>
    <row r="386" spans="1:10" x14ac:dyDescent="0.25">
      <c r="A386" s="44" t="s">
        <v>1298</v>
      </c>
      <c r="B386" s="38" t="s">
        <v>1240</v>
      </c>
      <c r="C386" s="38">
        <v>2037</v>
      </c>
      <c r="D386" s="38">
        <f t="shared" si="22"/>
        <v>1.8924367561943163E-2</v>
      </c>
      <c r="E386" s="38">
        <v>364</v>
      </c>
      <c r="F386" s="38">
        <f t="shared" si="23"/>
        <v>165.10781903457286</v>
      </c>
      <c r="G386" s="38" t="s">
        <v>1204</v>
      </c>
      <c r="H386">
        <v>2019</v>
      </c>
      <c r="I386">
        <f t="shared" si="24"/>
        <v>0.17869415807560138</v>
      </c>
      <c r="J386" s="40">
        <f t="shared" si="25"/>
        <v>8724.6148910468273</v>
      </c>
    </row>
    <row r="387" spans="1:10" x14ac:dyDescent="0.25">
      <c r="A387" s="44" t="s">
        <v>1298</v>
      </c>
      <c r="B387" s="38" t="s">
        <v>1323</v>
      </c>
      <c r="C387" s="38">
        <v>1925</v>
      </c>
      <c r="D387" s="38">
        <f t="shared" si="22"/>
        <v>1.7883852506990962E-2</v>
      </c>
      <c r="E387" s="38">
        <v>725</v>
      </c>
      <c r="F387" s="38">
        <f t="shared" si="23"/>
        <v>328.8548593408388</v>
      </c>
      <c r="G387" s="38" t="s">
        <v>1204</v>
      </c>
      <c r="H387">
        <v>2015</v>
      </c>
      <c r="I387">
        <f t="shared" si="24"/>
        <v>0.37662337662337664</v>
      </c>
      <c r="J387" s="40">
        <f t="shared" si="25"/>
        <v>18388.367898487555</v>
      </c>
    </row>
    <row r="388" spans="1:10" x14ac:dyDescent="0.25">
      <c r="A388" s="44" t="s">
        <v>1298</v>
      </c>
      <c r="B388" s="38" t="s">
        <v>1324</v>
      </c>
      <c r="C388" s="38">
        <v>1425</v>
      </c>
      <c r="D388" s="38">
        <f t="shared" si="22"/>
        <v>1.3238696011668633E-2</v>
      </c>
      <c r="E388" s="38">
        <v>171</v>
      </c>
      <c r="F388" s="38">
        <f t="shared" si="23"/>
        <v>77.564387513494395</v>
      </c>
      <c r="G388" s="38" t="s">
        <v>1204</v>
      </c>
      <c r="H388">
        <v>2013</v>
      </c>
      <c r="I388">
        <f t="shared" si="24"/>
        <v>0.12</v>
      </c>
      <c r="J388" s="40">
        <f t="shared" si="25"/>
        <v>5858.9144614491397</v>
      </c>
    </row>
    <row r="389" spans="1:10" x14ac:dyDescent="0.25">
      <c r="A389" s="44" t="s">
        <v>1298</v>
      </c>
      <c r="B389" s="38" t="s">
        <v>1324</v>
      </c>
      <c r="C389" s="38">
        <v>625</v>
      </c>
      <c r="D389" s="38">
        <f t="shared" ref="D389:D452" si="26">C389/107639</f>
        <v>5.806445619152909E-3</v>
      </c>
      <c r="E389" s="38">
        <v>115</v>
      </c>
      <c r="F389" s="38">
        <f t="shared" ref="F389:F452" si="27">E389/2.20462</f>
        <v>52.16318458509857</v>
      </c>
      <c r="G389" s="38" t="s">
        <v>1204</v>
      </c>
      <c r="H389">
        <v>2013</v>
      </c>
      <c r="I389">
        <f t="shared" ref="I389:I420" si="28">E389/C389</f>
        <v>0.184</v>
      </c>
      <c r="J389" s="40">
        <f t="shared" si="25"/>
        <v>8983.6688408886803</v>
      </c>
    </row>
    <row r="390" spans="1:10" x14ac:dyDescent="0.25">
      <c r="A390" s="44" t="s">
        <v>1298</v>
      </c>
      <c r="B390" s="38" t="s">
        <v>1325</v>
      </c>
      <c r="C390" s="38">
        <v>13824</v>
      </c>
      <c r="D390" s="38">
        <f t="shared" si="26"/>
        <v>0.12842928678267171</v>
      </c>
      <c r="E390" s="38">
        <v>2048</v>
      </c>
      <c r="F390" s="38">
        <f t="shared" si="27"/>
        <v>928.95827852419018</v>
      </c>
      <c r="G390" s="38" t="s">
        <v>1204</v>
      </c>
      <c r="H390">
        <v>2013</v>
      </c>
      <c r="I390">
        <f t="shared" si="28"/>
        <v>0.14814814814814814</v>
      </c>
      <c r="J390" s="40">
        <f t="shared" ref="J390:J453" si="29">F390/D390</f>
        <v>7233.2277301841223</v>
      </c>
    </row>
    <row r="391" spans="1:10" x14ac:dyDescent="0.25">
      <c r="A391" s="44" t="s">
        <v>1298</v>
      </c>
      <c r="B391" s="38" t="s">
        <v>1325</v>
      </c>
      <c r="C391" s="38">
        <v>113</v>
      </c>
      <c r="D391" s="38">
        <f t="shared" si="26"/>
        <v>1.0498053679428459E-3</v>
      </c>
      <c r="E391" s="38">
        <v>31</v>
      </c>
      <c r="F391" s="38">
        <f t="shared" si="27"/>
        <v>14.061380192504831</v>
      </c>
      <c r="G391" s="38" t="s">
        <v>1204</v>
      </c>
      <c r="H391">
        <v>2013</v>
      </c>
      <c r="I391">
        <f t="shared" si="28"/>
        <v>0.27433628318584069</v>
      </c>
      <c r="J391" s="40">
        <f t="shared" si="29"/>
        <v>13394.273473814404</v>
      </c>
    </row>
    <row r="392" spans="1:10" x14ac:dyDescent="0.25">
      <c r="A392" s="44" t="s">
        <v>1298</v>
      </c>
      <c r="B392" s="38" t="s">
        <v>1326</v>
      </c>
      <c r="C392" s="38">
        <v>2078</v>
      </c>
      <c r="D392" s="38">
        <f t="shared" si="26"/>
        <v>1.9305270394559593E-2</v>
      </c>
      <c r="E392" s="38">
        <v>128</v>
      </c>
      <c r="F392" s="38">
        <f t="shared" si="27"/>
        <v>58.059892407761886</v>
      </c>
      <c r="G392" s="38" t="s">
        <v>1204</v>
      </c>
      <c r="H392">
        <v>2020</v>
      </c>
      <c r="I392">
        <f t="shared" si="28"/>
        <v>6.1597690086621755E-2</v>
      </c>
      <c r="J392" s="40">
        <f t="shared" si="29"/>
        <v>3007.4633103364204</v>
      </c>
    </row>
    <row r="393" spans="1:10" x14ac:dyDescent="0.25">
      <c r="A393" s="44" t="s">
        <v>1298</v>
      </c>
      <c r="B393" s="38" t="s">
        <v>1327</v>
      </c>
      <c r="C393" s="38">
        <v>113</v>
      </c>
      <c r="D393" s="38">
        <f t="shared" si="26"/>
        <v>1.0498053679428459E-3</v>
      </c>
      <c r="E393" s="38">
        <v>55</v>
      </c>
      <c r="F393" s="38">
        <f t="shared" si="27"/>
        <v>24.947610018960187</v>
      </c>
      <c r="G393" s="38" t="s">
        <v>1204</v>
      </c>
      <c r="H393">
        <v>2013</v>
      </c>
      <c r="I393">
        <f t="shared" si="28"/>
        <v>0.48672566371681414</v>
      </c>
      <c r="J393" s="40">
        <f t="shared" si="29"/>
        <v>23764.033582573946</v>
      </c>
    </row>
    <row r="394" spans="1:10" x14ac:dyDescent="0.25">
      <c r="A394" s="44" t="s">
        <v>1298</v>
      </c>
      <c r="B394" s="38" t="s">
        <v>1327</v>
      </c>
      <c r="C394" s="38">
        <v>15552</v>
      </c>
      <c r="D394" s="38">
        <f t="shared" si="26"/>
        <v>0.14448294763050568</v>
      </c>
      <c r="E394" s="38">
        <v>3561</v>
      </c>
      <c r="F394" s="38">
        <f t="shared" si="27"/>
        <v>1615.2443505003132</v>
      </c>
      <c r="G394" s="38" t="s">
        <v>1204</v>
      </c>
      <c r="H394">
        <v>2013</v>
      </c>
      <c r="I394">
        <f t="shared" si="28"/>
        <v>0.22897376543209877</v>
      </c>
      <c r="J394" s="40">
        <f t="shared" si="29"/>
        <v>11179.480879854887</v>
      </c>
    </row>
    <row r="395" spans="1:10" x14ac:dyDescent="0.25">
      <c r="A395" s="44" t="s">
        <v>1298</v>
      </c>
      <c r="B395" s="38" t="s">
        <v>1327</v>
      </c>
      <c r="C395" s="38">
        <v>9900</v>
      </c>
      <c r="D395" s="38">
        <f t="shared" si="26"/>
        <v>9.1974098607382079E-2</v>
      </c>
      <c r="E395" s="38">
        <v>842</v>
      </c>
      <c r="F395" s="38">
        <f t="shared" si="27"/>
        <v>381.92522974480869</v>
      </c>
      <c r="G395" s="38" t="s">
        <v>1204</v>
      </c>
      <c r="H395">
        <v>2013</v>
      </c>
      <c r="I395">
        <f t="shared" si="28"/>
        <v>8.5050505050505057E-2</v>
      </c>
      <c r="J395" s="40">
        <f t="shared" si="29"/>
        <v>4152.5302832829766</v>
      </c>
    </row>
    <row r="396" spans="1:10" x14ac:dyDescent="0.25">
      <c r="A396" s="44" t="s">
        <v>1298</v>
      </c>
      <c r="B396" s="38" t="s">
        <v>1327</v>
      </c>
      <c r="C396" s="38">
        <v>3375</v>
      </c>
      <c r="D396" s="38">
        <f t="shared" si="26"/>
        <v>3.135480634342571E-2</v>
      </c>
      <c r="E396" s="38">
        <v>203</v>
      </c>
      <c r="F396" s="38">
        <f t="shared" si="27"/>
        <v>92.079360615434865</v>
      </c>
      <c r="G396" s="38" t="s">
        <v>1204</v>
      </c>
      <c r="H396">
        <v>2013</v>
      </c>
      <c r="I396">
        <f t="shared" si="28"/>
        <v>6.0148148148148145E-2</v>
      </c>
      <c r="J396" s="40">
        <f t="shared" si="29"/>
        <v>2936.6904584547538</v>
      </c>
    </row>
    <row r="397" spans="1:10" x14ac:dyDescent="0.25">
      <c r="A397" s="44" t="s">
        <v>1298</v>
      </c>
      <c r="B397" s="38" t="s">
        <v>1327</v>
      </c>
      <c r="C397" s="38">
        <v>7925</v>
      </c>
      <c r="D397" s="38">
        <f t="shared" si="26"/>
        <v>7.3625730450858892E-2</v>
      </c>
      <c r="E397" s="38">
        <v>532</v>
      </c>
      <c r="F397" s="38">
        <f t="shared" si="27"/>
        <v>241.31142781976035</v>
      </c>
      <c r="G397" s="38" t="s">
        <v>1204</v>
      </c>
      <c r="H397">
        <v>2013</v>
      </c>
      <c r="I397">
        <f t="shared" si="28"/>
        <v>6.7129337539432177E-2</v>
      </c>
      <c r="J397" s="40">
        <f t="shared" si="29"/>
        <v>3277.542054143998</v>
      </c>
    </row>
    <row r="398" spans="1:10" x14ac:dyDescent="0.25">
      <c r="A398" s="44" t="s">
        <v>1298</v>
      </c>
      <c r="B398" s="38" t="s">
        <v>1327</v>
      </c>
      <c r="C398" s="38">
        <v>2460</v>
      </c>
      <c r="D398" s="38">
        <f t="shared" si="26"/>
        <v>2.2854169956985852E-2</v>
      </c>
      <c r="E398" s="38">
        <v>617</v>
      </c>
      <c r="F398" s="38">
        <f t="shared" si="27"/>
        <v>279.8668251217897</v>
      </c>
      <c r="G398" s="38" t="s">
        <v>1204</v>
      </c>
      <c r="H398">
        <v>2013</v>
      </c>
      <c r="I398">
        <f t="shared" si="28"/>
        <v>0.25081300813008128</v>
      </c>
      <c r="J398" s="40">
        <f t="shared" si="29"/>
        <v>12245.766337107447</v>
      </c>
    </row>
    <row r="399" spans="1:10" x14ac:dyDescent="0.25">
      <c r="A399" s="44" t="s">
        <v>1298</v>
      </c>
      <c r="B399" s="38" t="s">
        <v>1327</v>
      </c>
      <c r="C399" s="38">
        <v>591</v>
      </c>
      <c r="D399" s="38">
        <f t="shared" si="26"/>
        <v>5.4905749774709911E-3</v>
      </c>
      <c r="E399" s="38">
        <v>210</v>
      </c>
      <c r="F399" s="38">
        <f t="shared" si="27"/>
        <v>95.254510981484344</v>
      </c>
      <c r="G399" s="38" t="s">
        <v>1204</v>
      </c>
      <c r="H399">
        <v>2014</v>
      </c>
      <c r="I399">
        <f t="shared" si="28"/>
        <v>0.35532994923857869</v>
      </c>
      <c r="J399" s="40">
        <f t="shared" si="29"/>
        <v>17348.731484832475</v>
      </c>
    </row>
    <row r="400" spans="1:10" x14ac:dyDescent="0.25">
      <c r="A400" s="44" t="s">
        <v>1298</v>
      </c>
      <c r="B400" s="38" t="s">
        <v>1327</v>
      </c>
      <c r="C400" s="38">
        <v>13750</v>
      </c>
      <c r="D400" s="38">
        <f t="shared" si="26"/>
        <v>0.127741803621364</v>
      </c>
      <c r="E400" s="38">
        <v>1976</v>
      </c>
      <c r="F400" s="38">
        <f t="shared" si="27"/>
        <v>896.29958904482419</v>
      </c>
      <c r="G400" s="38" t="s">
        <v>1204</v>
      </c>
      <c r="H400">
        <v>2014</v>
      </c>
      <c r="I400">
        <f t="shared" si="28"/>
        <v>0.1437090909090909</v>
      </c>
      <c r="J400" s="40">
        <f t="shared" si="29"/>
        <v>7016.493924741515</v>
      </c>
    </row>
    <row r="401" spans="1:10" x14ac:dyDescent="0.25">
      <c r="A401" s="44" t="s">
        <v>1298</v>
      </c>
      <c r="B401" s="38" t="s">
        <v>1327</v>
      </c>
      <c r="C401" s="38">
        <v>30940</v>
      </c>
      <c r="D401" s="38">
        <f t="shared" si="26"/>
        <v>0.28744228393054561</v>
      </c>
      <c r="E401" s="38">
        <v>7047</v>
      </c>
      <c r="F401" s="38">
        <f t="shared" si="27"/>
        <v>3196.4692327929533</v>
      </c>
      <c r="G401" s="38" t="s">
        <v>1204</v>
      </c>
      <c r="H401">
        <v>2014</v>
      </c>
      <c r="I401">
        <f t="shared" si="28"/>
        <v>0.2277634130575307</v>
      </c>
      <c r="J401" s="40">
        <f t="shared" si="29"/>
        <v>11120.386287931504</v>
      </c>
    </row>
    <row r="402" spans="1:10" x14ac:dyDescent="0.25">
      <c r="A402" s="44" t="s">
        <v>1298</v>
      </c>
      <c r="B402" s="38" t="s">
        <v>1327</v>
      </c>
      <c r="C402" s="38">
        <v>4508</v>
      </c>
      <c r="D402" s="38">
        <f t="shared" si="26"/>
        <v>4.1880730961826103E-2</v>
      </c>
      <c r="E402" s="38">
        <v>455</v>
      </c>
      <c r="F402" s="38">
        <f t="shared" si="27"/>
        <v>206.38477379321608</v>
      </c>
      <c r="G402" s="38" t="s">
        <v>1204</v>
      </c>
      <c r="H402">
        <v>2014</v>
      </c>
      <c r="I402">
        <f t="shared" si="28"/>
        <v>0.10093167701863354</v>
      </c>
      <c r="J402" s="40">
        <f t="shared" si="29"/>
        <v>4927.9171841898815</v>
      </c>
    </row>
    <row r="403" spans="1:10" x14ac:dyDescent="0.25">
      <c r="A403" s="44" t="s">
        <v>1298</v>
      </c>
      <c r="B403" s="38" t="s">
        <v>1327</v>
      </c>
      <c r="C403" s="38">
        <v>30940</v>
      </c>
      <c r="D403" s="38">
        <f t="shared" si="26"/>
        <v>0.28744228393054561</v>
      </c>
      <c r="E403" s="38">
        <v>1431</v>
      </c>
      <c r="F403" s="38">
        <f t="shared" si="27"/>
        <v>649.09145340240048</v>
      </c>
      <c r="G403" s="38" t="s">
        <v>1204</v>
      </c>
      <c r="H403">
        <v>2014</v>
      </c>
      <c r="I403">
        <f t="shared" si="28"/>
        <v>4.62508080155139E-2</v>
      </c>
      <c r="J403" s="40">
        <f t="shared" si="29"/>
        <v>2258.162732798351</v>
      </c>
    </row>
    <row r="404" spans="1:10" x14ac:dyDescent="0.25">
      <c r="A404" s="44" t="s">
        <v>1298</v>
      </c>
      <c r="B404" s="38" t="s">
        <v>1327</v>
      </c>
      <c r="C404" s="38">
        <v>575</v>
      </c>
      <c r="D404" s="38">
        <f t="shared" si="26"/>
        <v>5.3419299696206768E-3</v>
      </c>
      <c r="E404" s="38">
        <v>171</v>
      </c>
      <c r="F404" s="38">
        <f t="shared" si="27"/>
        <v>77.564387513494395</v>
      </c>
      <c r="G404" s="38" t="s">
        <v>1204</v>
      </c>
      <c r="H404">
        <v>2015</v>
      </c>
      <c r="I404">
        <f t="shared" si="28"/>
        <v>0.29739130434782607</v>
      </c>
      <c r="J404" s="40">
        <f t="shared" si="29"/>
        <v>14519.91844793917</v>
      </c>
    </row>
    <row r="405" spans="1:10" x14ac:dyDescent="0.25">
      <c r="A405" s="44" t="s">
        <v>1298</v>
      </c>
      <c r="B405" s="38" t="s">
        <v>1327</v>
      </c>
      <c r="C405" s="38">
        <v>460</v>
      </c>
      <c r="D405" s="38">
        <f t="shared" si="26"/>
        <v>4.2735439756965412E-3</v>
      </c>
      <c r="E405" s="38">
        <v>285</v>
      </c>
      <c r="F405" s="38">
        <f t="shared" si="27"/>
        <v>129.27397918915733</v>
      </c>
      <c r="G405" s="38" t="s">
        <v>1204</v>
      </c>
      <c r="H405">
        <v>2015</v>
      </c>
      <c r="I405">
        <f t="shared" si="28"/>
        <v>0.61956521739130432</v>
      </c>
      <c r="J405" s="40">
        <f t="shared" si="29"/>
        <v>30249.830099873274</v>
      </c>
    </row>
    <row r="406" spans="1:10" x14ac:dyDescent="0.25">
      <c r="A406" s="44" t="s">
        <v>1298</v>
      </c>
      <c r="B406" s="38" t="s">
        <v>1327</v>
      </c>
      <c r="C406" s="38">
        <v>128</v>
      </c>
      <c r="D406" s="38">
        <f t="shared" si="26"/>
        <v>1.1891600628025159E-3</v>
      </c>
      <c r="E406" s="38">
        <v>41</v>
      </c>
      <c r="F406" s="38">
        <f t="shared" si="27"/>
        <v>18.597309286861229</v>
      </c>
      <c r="G406" s="38" t="s">
        <v>1204</v>
      </c>
      <c r="H406">
        <v>2015</v>
      </c>
      <c r="I406">
        <f t="shared" si="28"/>
        <v>0.3203125</v>
      </c>
      <c r="J406" s="40">
        <f t="shared" si="29"/>
        <v>15639.029486941061</v>
      </c>
    </row>
    <row r="407" spans="1:10" x14ac:dyDescent="0.25">
      <c r="A407" s="44" t="s">
        <v>1298</v>
      </c>
      <c r="B407" s="38" t="s">
        <v>1327</v>
      </c>
      <c r="C407" s="38">
        <v>190</v>
      </c>
      <c r="D407" s="38">
        <f t="shared" si="26"/>
        <v>1.7651594682224843E-3</v>
      </c>
      <c r="E407" s="38">
        <v>86</v>
      </c>
      <c r="F407" s="38">
        <f t="shared" si="27"/>
        <v>39.008990211465019</v>
      </c>
      <c r="G407" s="38" t="s">
        <v>1204</v>
      </c>
      <c r="H407">
        <v>2015</v>
      </c>
      <c r="I407">
        <f t="shared" si="28"/>
        <v>0.45263157894736844</v>
      </c>
      <c r="J407" s="40">
        <f t="shared" si="29"/>
        <v>22099.414196694124</v>
      </c>
    </row>
    <row r="408" spans="1:10" x14ac:dyDescent="0.25">
      <c r="A408" s="44" t="s">
        <v>1298</v>
      </c>
      <c r="B408" s="38" t="s">
        <v>1327</v>
      </c>
      <c r="C408" s="38">
        <v>3813</v>
      </c>
      <c r="D408" s="38">
        <f t="shared" si="26"/>
        <v>3.5423963433328071E-2</v>
      </c>
      <c r="E408" s="38">
        <v>569</v>
      </c>
      <c r="F408" s="38">
        <f t="shared" si="27"/>
        <v>258.094365468879</v>
      </c>
      <c r="G408" s="38" t="s">
        <v>1204</v>
      </c>
      <c r="H408">
        <v>2019</v>
      </c>
      <c r="I408">
        <f t="shared" si="28"/>
        <v>0.14922633097298715</v>
      </c>
      <c r="J408" s="40">
        <f t="shared" si="29"/>
        <v>7285.8692380552493</v>
      </c>
    </row>
    <row r="409" spans="1:10" x14ac:dyDescent="0.25">
      <c r="A409" s="44" t="s">
        <v>1298</v>
      </c>
      <c r="B409" s="38" t="s">
        <v>1327</v>
      </c>
      <c r="C409" s="38">
        <v>11725</v>
      </c>
      <c r="D409" s="38">
        <f t="shared" si="26"/>
        <v>0.10892891981530858</v>
      </c>
      <c r="E409" s="38">
        <v>1211</v>
      </c>
      <c r="F409" s="38">
        <f t="shared" si="27"/>
        <v>549.30101332655977</v>
      </c>
      <c r="G409" s="38" t="s">
        <v>1204</v>
      </c>
      <c r="H409">
        <v>2015</v>
      </c>
      <c r="I409">
        <f t="shared" si="28"/>
        <v>0.10328358208955224</v>
      </c>
      <c r="J409" s="40">
        <f t="shared" si="29"/>
        <v>5042.7472727895574</v>
      </c>
    </row>
    <row r="410" spans="1:10" x14ac:dyDescent="0.25">
      <c r="A410" s="44" t="s">
        <v>1298</v>
      </c>
      <c r="B410" s="38" t="s">
        <v>1327</v>
      </c>
      <c r="C410" s="38">
        <v>13755</v>
      </c>
      <c r="D410" s="38">
        <f t="shared" si="26"/>
        <v>0.12778825518631723</v>
      </c>
      <c r="E410" s="38">
        <v>2357</v>
      </c>
      <c r="F410" s="38">
        <f t="shared" si="27"/>
        <v>1069.1184875398028</v>
      </c>
      <c r="G410" s="38" t="s">
        <v>1204</v>
      </c>
      <c r="H410">
        <v>2015</v>
      </c>
      <c r="I410">
        <f t="shared" si="28"/>
        <v>0.17135587059251181</v>
      </c>
      <c r="J410" s="40">
        <f t="shared" si="29"/>
        <v>8366.3282355722895</v>
      </c>
    </row>
    <row r="411" spans="1:10" x14ac:dyDescent="0.25">
      <c r="A411" s="44" t="s">
        <v>149</v>
      </c>
      <c r="B411" s="38" t="s">
        <v>1328</v>
      </c>
      <c r="C411" s="38">
        <v>1145</v>
      </c>
      <c r="D411" s="38">
        <f t="shared" si="26"/>
        <v>1.0637408374288129E-2</v>
      </c>
      <c r="E411" s="38">
        <v>943</v>
      </c>
      <c r="F411" s="38">
        <f t="shared" si="27"/>
        <v>427.73811359780825</v>
      </c>
      <c r="G411" s="38" t="s">
        <v>1204</v>
      </c>
      <c r="H411">
        <v>2015</v>
      </c>
      <c r="I411">
        <f t="shared" si="28"/>
        <v>0.82358078602620088</v>
      </c>
      <c r="J411" s="40">
        <f t="shared" si="29"/>
        <v>40210.744811837976</v>
      </c>
    </row>
    <row r="412" spans="1:10" x14ac:dyDescent="0.25">
      <c r="A412" s="44" t="s">
        <v>140</v>
      </c>
      <c r="B412" s="38" t="s">
        <v>1240</v>
      </c>
      <c r="C412" s="38">
        <v>450</v>
      </c>
      <c r="D412" s="38">
        <f t="shared" si="26"/>
        <v>4.1806408457900944E-3</v>
      </c>
      <c r="E412" s="38">
        <v>170</v>
      </c>
      <c r="F412" s="38">
        <f t="shared" si="27"/>
        <v>77.110794604058754</v>
      </c>
      <c r="G412" s="38" t="s">
        <v>1204</v>
      </c>
      <c r="I412">
        <f t="shared" si="28"/>
        <v>0.37777777777777777</v>
      </c>
      <c r="J412" s="40">
        <f t="shared" si="29"/>
        <v>18444.730711969514</v>
      </c>
    </row>
    <row r="413" spans="1:10" x14ac:dyDescent="0.25">
      <c r="A413" s="44" t="s">
        <v>140</v>
      </c>
      <c r="B413" s="38" t="s">
        <v>1240</v>
      </c>
      <c r="C413" s="38">
        <v>600</v>
      </c>
      <c r="D413" s="38">
        <f t="shared" si="26"/>
        <v>5.5741877943867929E-3</v>
      </c>
      <c r="E413" s="38">
        <v>185</v>
      </c>
      <c r="F413" s="38">
        <f t="shared" si="27"/>
        <v>83.914688245593354</v>
      </c>
      <c r="G413" s="38" t="s">
        <v>1204</v>
      </c>
      <c r="I413">
        <f t="shared" si="28"/>
        <v>0.30833333333333335</v>
      </c>
      <c r="J413" s="40">
        <f t="shared" si="29"/>
        <v>15054.155213445705</v>
      </c>
    </row>
    <row r="414" spans="1:10" x14ac:dyDescent="0.25">
      <c r="A414" s="44" t="s">
        <v>190</v>
      </c>
      <c r="B414" s="38" t="s">
        <v>1329</v>
      </c>
      <c r="C414" s="38">
        <v>300</v>
      </c>
      <c r="D414" s="38">
        <f t="shared" si="26"/>
        <v>2.7870938971933964E-3</v>
      </c>
      <c r="E414" s="38">
        <v>176</v>
      </c>
      <c r="F414" s="38">
        <f t="shared" si="27"/>
        <v>79.832352060672591</v>
      </c>
      <c r="G414" s="38" t="s">
        <v>1182</v>
      </c>
      <c r="H414">
        <v>2013</v>
      </c>
      <c r="I414">
        <f t="shared" si="28"/>
        <v>0.58666666666666667</v>
      </c>
      <c r="J414" s="40">
        <f t="shared" si="29"/>
        <v>28643.581811529122</v>
      </c>
    </row>
    <row r="415" spans="1:10" x14ac:dyDescent="0.25">
      <c r="A415" s="44" t="s">
        <v>190</v>
      </c>
      <c r="B415" s="38" t="s">
        <v>1330</v>
      </c>
      <c r="C415" s="38">
        <v>225</v>
      </c>
      <c r="D415" s="38">
        <f t="shared" si="26"/>
        <v>2.0903204228950472E-3</v>
      </c>
      <c r="E415" s="38">
        <v>78</v>
      </c>
      <c r="F415" s="38">
        <f t="shared" si="27"/>
        <v>35.380246935979898</v>
      </c>
      <c r="G415" s="38" t="s">
        <v>1182</v>
      </c>
      <c r="H415">
        <v>2014</v>
      </c>
      <c r="I415">
        <f t="shared" si="28"/>
        <v>0.34666666666666668</v>
      </c>
      <c r="J415" s="40">
        <f t="shared" si="29"/>
        <v>16925.752888630846</v>
      </c>
    </row>
    <row r="416" spans="1:10" x14ac:dyDescent="0.25">
      <c r="A416" s="44" t="s">
        <v>190</v>
      </c>
      <c r="B416" s="38" t="s">
        <v>1330</v>
      </c>
      <c r="C416" s="38">
        <v>300</v>
      </c>
      <c r="D416" s="38">
        <f t="shared" si="26"/>
        <v>2.7870938971933964E-3</v>
      </c>
      <c r="E416" s="38">
        <v>167</v>
      </c>
      <c r="F416" s="38">
        <f t="shared" si="27"/>
        <v>75.750015875751842</v>
      </c>
      <c r="G416" s="38" t="s">
        <v>1182</v>
      </c>
      <c r="H416">
        <v>2013</v>
      </c>
      <c r="I416">
        <f t="shared" si="28"/>
        <v>0.55666666666666664</v>
      </c>
      <c r="J416" s="40">
        <f t="shared" si="29"/>
        <v>27178.853196166841</v>
      </c>
    </row>
    <row r="417" spans="1:10" x14ac:dyDescent="0.25">
      <c r="A417" s="44" t="s">
        <v>190</v>
      </c>
      <c r="B417" s="38" t="s">
        <v>1331</v>
      </c>
      <c r="C417" s="38">
        <v>360</v>
      </c>
      <c r="D417" s="38">
        <f t="shared" si="26"/>
        <v>3.3445126766320759E-3</v>
      </c>
      <c r="E417" s="38">
        <v>223</v>
      </c>
      <c r="F417" s="38">
        <f t="shared" si="27"/>
        <v>101.15121880414766</v>
      </c>
      <c r="G417" s="38" t="s">
        <v>1204</v>
      </c>
      <c r="H417">
        <v>2015</v>
      </c>
      <c r="I417">
        <f t="shared" si="28"/>
        <v>0.61944444444444446</v>
      </c>
      <c r="J417" s="40">
        <f t="shared" si="29"/>
        <v>30243.933446832361</v>
      </c>
    </row>
    <row r="418" spans="1:10" x14ac:dyDescent="0.25">
      <c r="A418" s="44" t="s">
        <v>190</v>
      </c>
      <c r="B418" s="38" t="s">
        <v>1331</v>
      </c>
      <c r="C418" s="38">
        <v>900</v>
      </c>
      <c r="D418" s="38">
        <f t="shared" si="26"/>
        <v>8.3612816915801889E-3</v>
      </c>
      <c r="E418" s="38">
        <v>259</v>
      </c>
      <c r="F418" s="38">
        <f t="shared" si="27"/>
        <v>117.4805635438307</v>
      </c>
      <c r="G418" s="38" t="s">
        <v>1204</v>
      </c>
      <c r="H418">
        <v>2013</v>
      </c>
      <c r="I418">
        <f t="shared" si="28"/>
        <v>0.2877777777777778</v>
      </c>
      <c r="J418" s="40">
        <f t="shared" si="29"/>
        <v>14050.544865882659</v>
      </c>
    </row>
    <row r="419" spans="1:10" x14ac:dyDescent="0.25">
      <c r="A419" s="44" t="s">
        <v>190</v>
      </c>
      <c r="B419" s="38" t="s">
        <v>1331</v>
      </c>
      <c r="C419" s="38">
        <v>600</v>
      </c>
      <c r="D419" s="38">
        <f t="shared" si="26"/>
        <v>5.5741877943867929E-3</v>
      </c>
      <c r="E419" s="38">
        <v>125</v>
      </c>
      <c r="F419" s="38">
        <f t="shared" si="27"/>
        <v>56.699113679454967</v>
      </c>
      <c r="G419" s="38" t="s">
        <v>1204</v>
      </c>
      <c r="H419">
        <v>2014</v>
      </c>
      <c r="I419">
        <f t="shared" si="28"/>
        <v>0.20833333333333334</v>
      </c>
      <c r="J419" s="40">
        <f t="shared" si="29"/>
        <v>10171.726495571422</v>
      </c>
    </row>
    <row r="420" spans="1:10" x14ac:dyDescent="0.25">
      <c r="A420" s="44" t="s">
        <v>190</v>
      </c>
      <c r="B420" s="38" t="s">
        <v>1331</v>
      </c>
      <c r="C420" s="38">
        <v>720</v>
      </c>
      <c r="D420" s="38">
        <f t="shared" si="26"/>
        <v>6.6890253532641518E-3</v>
      </c>
      <c r="E420" s="38">
        <v>93</v>
      </c>
      <c r="F420" s="38">
        <f t="shared" si="27"/>
        <v>42.184140577514498</v>
      </c>
      <c r="G420" s="38" t="s">
        <v>1204</v>
      </c>
      <c r="H420">
        <v>2013</v>
      </c>
      <c r="I420">
        <f t="shared" si="28"/>
        <v>0.12916666666666668</v>
      </c>
      <c r="J420" s="40">
        <f t="shared" si="29"/>
        <v>6306.4704272542813</v>
      </c>
    </row>
    <row r="421" spans="1:10" x14ac:dyDescent="0.25">
      <c r="A421" s="44" t="s">
        <v>190</v>
      </c>
      <c r="B421" s="38" t="s">
        <v>1331</v>
      </c>
      <c r="C421" s="38">
        <v>600</v>
      </c>
      <c r="D421" s="38">
        <f t="shared" si="26"/>
        <v>5.5741877943867929E-3</v>
      </c>
      <c r="E421" s="38">
        <v>219</v>
      </c>
      <c r="F421" s="38">
        <f t="shared" si="27"/>
        <v>99.336847166405107</v>
      </c>
      <c r="G421" s="38" t="s">
        <v>1204</v>
      </c>
      <c r="H421">
        <v>2014</v>
      </c>
      <c r="I421">
        <f t="shared" ref="I421:I451" si="30">E421/C421</f>
        <v>0.36499999999999999</v>
      </c>
      <c r="J421" s="40">
        <f t="shared" si="29"/>
        <v>17820.864820241131</v>
      </c>
    </row>
    <row r="422" spans="1:10" x14ac:dyDescent="0.25">
      <c r="A422" s="44" t="s">
        <v>190</v>
      </c>
      <c r="B422" s="38" t="s">
        <v>1332</v>
      </c>
      <c r="C422" s="38">
        <v>600</v>
      </c>
      <c r="D422" s="38">
        <f t="shared" si="26"/>
        <v>5.5741877943867929E-3</v>
      </c>
      <c r="E422" s="38">
        <v>195</v>
      </c>
      <c r="F422" s="38">
        <f t="shared" si="27"/>
        <v>88.450617339949744</v>
      </c>
      <c r="G422" s="38" t="s">
        <v>1182</v>
      </c>
      <c r="H422">
        <v>2013</v>
      </c>
      <c r="I422">
        <f t="shared" si="30"/>
        <v>0.32500000000000001</v>
      </c>
      <c r="J422" s="40">
        <f t="shared" si="29"/>
        <v>15867.893333091417</v>
      </c>
    </row>
    <row r="423" spans="1:10" x14ac:dyDescent="0.25">
      <c r="A423" s="44" t="s">
        <v>190</v>
      </c>
      <c r="B423" s="38" t="s">
        <v>1332</v>
      </c>
      <c r="C423" s="38">
        <v>300</v>
      </c>
      <c r="D423" s="38">
        <f t="shared" si="26"/>
        <v>2.7870938971933964E-3</v>
      </c>
      <c r="E423" s="38">
        <v>226</v>
      </c>
      <c r="F423" s="38">
        <f t="shared" si="27"/>
        <v>102.51199753245459</v>
      </c>
      <c r="G423" s="38" t="s">
        <v>1182</v>
      </c>
      <c r="H423">
        <v>2014</v>
      </c>
      <c r="I423">
        <f t="shared" si="30"/>
        <v>0.7533333333333333</v>
      </c>
      <c r="J423" s="40">
        <f t="shared" si="29"/>
        <v>36780.963007986262</v>
      </c>
    </row>
    <row r="424" spans="1:10" x14ac:dyDescent="0.25">
      <c r="A424" s="44" t="s">
        <v>190</v>
      </c>
      <c r="B424" s="38" t="s">
        <v>1333</v>
      </c>
      <c r="C424" s="38">
        <v>200</v>
      </c>
      <c r="D424" s="38">
        <f t="shared" si="26"/>
        <v>1.8580625981289309E-3</v>
      </c>
      <c r="E424" s="38">
        <v>151</v>
      </c>
      <c r="F424" s="38">
        <f t="shared" si="27"/>
        <v>68.4925293247816</v>
      </c>
      <c r="G424" s="38" t="s">
        <v>1182</v>
      </c>
      <c r="H424">
        <v>2013</v>
      </c>
      <c r="I424">
        <f t="shared" si="30"/>
        <v>0.755</v>
      </c>
      <c r="J424" s="40">
        <f t="shared" si="29"/>
        <v>36862.336819950833</v>
      </c>
    </row>
    <row r="425" spans="1:10" x14ac:dyDescent="0.25">
      <c r="A425" s="44" t="s">
        <v>190</v>
      </c>
      <c r="B425" s="38" t="s">
        <v>1334</v>
      </c>
      <c r="C425" s="38">
        <v>1395</v>
      </c>
      <c r="D425" s="38">
        <f t="shared" si="26"/>
        <v>1.2959986621949294E-2</v>
      </c>
      <c r="E425" s="38">
        <v>317</v>
      </c>
      <c r="F425" s="38">
        <f t="shared" si="27"/>
        <v>143.78895229109779</v>
      </c>
      <c r="G425" s="38" t="s">
        <v>1204</v>
      </c>
      <c r="H425">
        <v>2013</v>
      </c>
      <c r="I425">
        <f t="shared" si="30"/>
        <v>0.22724014336917564</v>
      </c>
      <c r="J425" s="40">
        <f t="shared" si="29"/>
        <v>11094.838018395321</v>
      </c>
    </row>
    <row r="426" spans="1:10" x14ac:dyDescent="0.25">
      <c r="A426" s="44" t="s">
        <v>190</v>
      </c>
      <c r="B426" s="38" t="s">
        <v>1334</v>
      </c>
      <c r="C426" s="38">
        <v>1500</v>
      </c>
      <c r="D426" s="38">
        <f t="shared" si="26"/>
        <v>1.3935469485966983E-2</v>
      </c>
      <c r="E426" s="38">
        <v>50</v>
      </c>
      <c r="F426" s="38">
        <f t="shared" si="27"/>
        <v>22.679645471781988</v>
      </c>
      <c r="G426" s="38" t="s">
        <v>1204</v>
      </c>
      <c r="H426">
        <v>2014</v>
      </c>
      <c r="I426">
        <f t="shared" si="30"/>
        <v>3.3333333333333333E-2</v>
      </c>
      <c r="J426" s="40">
        <f t="shared" si="29"/>
        <v>1627.4762392914276</v>
      </c>
    </row>
    <row r="427" spans="1:10" x14ac:dyDescent="0.25">
      <c r="A427" s="44" t="s">
        <v>190</v>
      </c>
      <c r="B427" s="38" t="s">
        <v>1334</v>
      </c>
      <c r="C427" s="38">
        <v>1500</v>
      </c>
      <c r="D427" s="38">
        <f t="shared" si="26"/>
        <v>1.3935469485966983E-2</v>
      </c>
      <c r="E427" s="38">
        <v>50</v>
      </c>
      <c r="F427" s="38">
        <f t="shared" si="27"/>
        <v>22.679645471781988</v>
      </c>
      <c r="G427" s="38" t="s">
        <v>1204</v>
      </c>
      <c r="H427">
        <v>2014</v>
      </c>
      <c r="I427">
        <f t="shared" si="30"/>
        <v>3.3333333333333333E-2</v>
      </c>
      <c r="J427" s="40">
        <f t="shared" si="29"/>
        <v>1627.4762392914276</v>
      </c>
    </row>
    <row r="428" spans="1:10" x14ac:dyDescent="0.25">
      <c r="A428" s="44" t="s">
        <v>190</v>
      </c>
      <c r="B428" s="38" t="s">
        <v>1334</v>
      </c>
      <c r="C428" s="38">
        <v>1125</v>
      </c>
      <c r="D428" s="38">
        <f t="shared" si="26"/>
        <v>1.0451602114475237E-2</v>
      </c>
      <c r="E428" s="38">
        <v>204</v>
      </c>
      <c r="F428" s="38">
        <f t="shared" si="27"/>
        <v>92.532953524870507</v>
      </c>
      <c r="G428" s="38" t="s">
        <v>1204</v>
      </c>
      <c r="H428">
        <v>2015</v>
      </c>
      <c r="I428">
        <f t="shared" si="30"/>
        <v>0.18133333333333335</v>
      </c>
      <c r="J428" s="40">
        <f t="shared" si="29"/>
        <v>8853.4707417453646</v>
      </c>
    </row>
    <row r="429" spans="1:10" x14ac:dyDescent="0.25">
      <c r="A429" s="44" t="s">
        <v>190</v>
      </c>
      <c r="B429" s="38" t="s">
        <v>1335</v>
      </c>
      <c r="C429" s="38">
        <v>864</v>
      </c>
      <c r="D429" s="38">
        <f t="shared" si="26"/>
        <v>8.0268304239169818E-3</v>
      </c>
      <c r="E429" s="38">
        <v>891</v>
      </c>
      <c r="F429" s="38">
        <f t="shared" si="27"/>
        <v>404.15128230715499</v>
      </c>
      <c r="G429" s="38" t="s">
        <v>1204</v>
      </c>
      <c r="H429">
        <v>2015</v>
      </c>
      <c r="I429">
        <f t="shared" si="30"/>
        <v>1.03125</v>
      </c>
      <c r="J429" s="40">
        <f t="shared" si="29"/>
        <v>50350.04615307854</v>
      </c>
    </row>
    <row r="430" spans="1:10" x14ac:dyDescent="0.25">
      <c r="A430" s="44" t="s">
        <v>190</v>
      </c>
      <c r="B430" s="38" t="s">
        <v>1335</v>
      </c>
      <c r="C430" s="38">
        <v>900</v>
      </c>
      <c r="D430" s="38">
        <f t="shared" si="26"/>
        <v>8.3612816915801889E-3</v>
      </c>
      <c r="E430" s="38">
        <v>623</v>
      </c>
      <c r="F430" s="38">
        <f t="shared" si="27"/>
        <v>282.58838257840358</v>
      </c>
      <c r="G430" s="38" t="s">
        <v>1182</v>
      </c>
      <c r="H430">
        <v>2013</v>
      </c>
      <c r="I430">
        <f t="shared" si="30"/>
        <v>0.69222222222222218</v>
      </c>
      <c r="J430" s="40">
        <f t="shared" si="29"/>
        <v>33797.256569285317</v>
      </c>
    </row>
    <row r="431" spans="1:10" x14ac:dyDescent="0.25">
      <c r="A431" s="44" t="s">
        <v>190</v>
      </c>
      <c r="B431" s="38" t="s">
        <v>1335</v>
      </c>
      <c r="C431" s="38">
        <v>864</v>
      </c>
      <c r="D431" s="38">
        <f t="shared" si="26"/>
        <v>8.0268304239169818E-3</v>
      </c>
      <c r="E431" s="38">
        <v>562</v>
      </c>
      <c r="F431" s="38">
        <f t="shared" si="27"/>
        <v>254.91921510282953</v>
      </c>
      <c r="G431" s="38" t="s">
        <v>1204</v>
      </c>
      <c r="H431">
        <v>2015</v>
      </c>
      <c r="I431">
        <f t="shared" si="30"/>
        <v>0.65046296296296291</v>
      </c>
      <c r="J431" s="40">
        <f t="shared" si="29"/>
        <v>31758.390502839662</v>
      </c>
    </row>
    <row r="432" spans="1:10" x14ac:dyDescent="0.25">
      <c r="A432" s="44" t="s">
        <v>190</v>
      </c>
      <c r="B432" s="38" t="s">
        <v>1336</v>
      </c>
      <c r="C432" s="38">
        <v>700</v>
      </c>
      <c r="D432" s="38">
        <f t="shared" si="26"/>
        <v>6.5032190934512582E-3</v>
      </c>
      <c r="E432" s="38">
        <v>48</v>
      </c>
      <c r="F432" s="38">
        <f t="shared" si="27"/>
        <v>21.772459652910708</v>
      </c>
      <c r="G432" s="38" t="s">
        <v>1204</v>
      </c>
      <c r="H432">
        <v>2014</v>
      </c>
      <c r="I432">
        <f t="shared" si="30"/>
        <v>6.8571428571428575E-2</v>
      </c>
      <c r="J432" s="40">
        <f t="shared" si="29"/>
        <v>3347.9511208280796</v>
      </c>
    </row>
    <row r="433" spans="1:10" x14ac:dyDescent="0.25">
      <c r="A433" s="44" t="s">
        <v>190</v>
      </c>
      <c r="B433" s="38" t="s">
        <v>1336</v>
      </c>
      <c r="C433" s="38">
        <v>700</v>
      </c>
      <c r="D433" s="38">
        <f t="shared" si="26"/>
        <v>6.5032190934512582E-3</v>
      </c>
      <c r="E433" s="38">
        <v>226</v>
      </c>
      <c r="F433" s="38">
        <f t="shared" si="27"/>
        <v>102.51199753245459</v>
      </c>
      <c r="G433" s="38" t="s">
        <v>1204</v>
      </c>
      <c r="H433">
        <v>2014</v>
      </c>
      <c r="I433">
        <f t="shared" si="30"/>
        <v>0.32285714285714284</v>
      </c>
      <c r="J433" s="40">
        <f t="shared" si="29"/>
        <v>15763.269860565542</v>
      </c>
    </row>
    <row r="434" spans="1:10" x14ac:dyDescent="0.25">
      <c r="A434" s="44" t="s">
        <v>190</v>
      </c>
      <c r="B434" s="38" t="s">
        <v>1336</v>
      </c>
      <c r="C434" s="38">
        <v>1000</v>
      </c>
      <c r="D434" s="38">
        <f t="shared" si="26"/>
        <v>9.2903129906446551E-3</v>
      </c>
      <c r="E434" s="38">
        <v>535</v>
      </c>
      <c r="F434" s="38">
        <f t="shared" si="27"/>
        <v>242.67220654806727</v>
      </c>
      <c r="G434" s="38" t="s">
        <v>1204</v>
      </c>
      <c r="H434">
        <v>2013</v>
      </c>
      <c r="I434">
        <f t="shared" si="30"/>
        <v>0.53500000000000003</v>
      </c>
      <c r="J434" s="40">
        <f t="shared" si="29"/>
        <v>26120.99364062741</v>
      </c>
    </row>
    <row r="435" spans="1:10" x14ac:dyDescent="0.25">
      <c r="A435" s="44" t="s">
        <v>190</v>
      </c>
      <c r="B435" s="38" t="s">
        <v>1336</v>
      </c>
      <c r="C435" s="38">
        <v>1035</v>
      </c>
      <c r="D435" s="38">
        <f t="shared" si="26"/>
        <v>9.615473945317218E-3</v>
      </c>
      <c r="E435" s="38">
        <v>285</v>
      </c>
      <c r="F435" s="38">
        <f t="shared" si="27"/>
        <v>129.27397918915733</v>
      </c>
      <c r="G435" s="38" t="s">
        <v>1204</v>
      </c>
      <c r="H435">
        <v>2013</v>
      </c>
      <c r="I435">
        <f t="shared" si="30"/>
        <v>0.27536231884057971</v>
      </c>
      <c r="J435" s="40">
        <f t="shared" si="29"/>
        <v>13444.36893327701</v>
      </c>
    </row>
    <row r="436" spans="1:10" x14ac:dyDescent="0.25">
      <c r="A436" s="44" t="s">
        <v>190</v>
      </c>
      <c r="B436" s="38" t="s">
        <v>1337</v>
      </c>
      <c r="C436" s="38">
        <v>1035</v>
      </c>
      <c r="D436" s="38">
        <f t="shared" si="26"/>
        <v>9.615473945317218E-3</v>
      </c>
      <c r="E436" s="38">
        <v>189</v>
      </c>
      <c r="F436" s="38">
        <f t="shared" si="27"/>
        <v>85.729059883335907</v>
      </c>
      <c r="G436" s="38" t="s">
        <v>1204</v>
      </c>
      <c r="H436">
        <v>2013</v>
      </c>
      <c r="I436">
        <f t="shared" si="30"/>
        <v>0.18260869565217391</v>
      </c>
      <c r="J436" s="40">
        <f t="shared" si="29"/>
        <v>8915.7393978573855</v>
      </c>
    </row>
    <row r="437" spans="1:10" x14ac:dyDescent="0.25">
      <c r="A437" s="44" t="s">
        <v>190</v>
      </c>
      <c r="B437" s="38" t="s">
        <v>1337</v>
      </c>
      <c r="C437" s="38">
        <v>825</v>
      </c>
      <c r="D437" s="38">
        <f t="shared" si="26"/>
        <v>7.6645082172818405E-3</v>
      </c>
      <c r="E437" s="38">
        <v>10</v>
      </c>
      <c r="F437" s="38">
        <f t="shared" si="27"/>
        <v>4.5359290943563977</v>
      </c>
      <c r="G437" s="38" t="s">
        <v>1204</v>
      </c>
      <c r="H437">
        <v>2014</v>
      </c>
      <c r="I437">
        <f t="shared" si="30"/>
        <v>1.2121212121212121E-2</v>
      </c>
      <c r="J437" s="40">
        <f t="shared" si="29"/>
        <v>591.80954156051916</v>
      </c>
    </row>
    <row r="438" spans="1:10" x14ac:dyDescent="0.25">
      <c r="A438" s="44" t="s">
        <v>190</v>
      </c>
      <c r="B438" s="38" t="s">
        <v>1337</v>
      </c>
      <c r="C438" s="38">
        <v>825</v>
      </c>
      <c r="D438" s="38">
        <f t="shared" si="26"/>
        <v>7.6645082172818405E-3</v>
      </c>
      <c r="E438" s="38">
        <v>98</v>
      </c>
      <c r="F438" s="38">
        <f t="shared" si="27"/>
        <v>44.452105124692693</v>
      </c>
      <c r="G438" s="38" t="s">
        <v>1204</v>
      </c>
      <c r="H438">
        <v>2014</v>
      </c>
      <c r="I438">
        <f t="shared" si="30"/>
        <v>0.11878787878787879</v>
      </c>
      <c r="J438" s="40">
        <f t="shared" si="29"/>
        <v>5799.7335072930864</v>
      </c>
    </row>
    <row r="439" spans="1:10" x14ac:dyDescent="0.25">
      <c r="A439" s="44" t="s">
        <v>190</v>
      </c>
      <c r="B439" s="38" t="s">
        <v>1337</v>
      </c>
      <c r="C439" s="38">
        <v>1010</v>
      </c>
      <c r="D439" s="38">
        <f t="shared" si="26"/>
        <v>9.3832161205511019E-3</v>
      </c>
      <c r="E439" s="38">
        <v>6</v>
      </c>
      <c r="F439" s="38">
        <f t="shared" si="27"/>
        <v>2.7215574566138385</v>
      </c>
      <c r="G439" s="38" t="s">
        <v>1204</v>
      </c>
      <c r="H439">
        <v>2013</v>
      </c>
      <c r="I439">
        <f t="shared" si="30"/>
        <v>5.9405940594059407E-3</v>
      </c>
      <c r="J439" s="40">
        <f t="shared" si="29"/>
        <v>290.04527036876925</v>
      </c>
    </row>
    <row r="440" spans="1:10" x14ac:dyDescent="0.25">
      <c r="A440" s="44" t="s">
        <v>190</v>
      </c>
      <c r="B440" s="38" t="s">
        <v>1338</v>
      </c>
      <c r="C440" s="38">
        <v>600</v>
      </c>
      <c r="D440" s="38">
        <f t="shared" si="26"/>
        <v>5.5741877943867929E-3</v>
      </c>
      <c r="E440" s="38">
        <v>259</v>
      </c>
      <c r="F440" s="38">
        <f t="shared" si="27"/>
        <v>117.4805635438307</v>
      </c>
      <c r="G440" s="38" t="s">
        <v>1182</v>
      </c>
      <c r="H440">
        <v>2013</v>
      </c>
      <c r="I440">
        <f t="shared" si="30"/>
        <v>0.43166666666666664</v>
      </c>
      <c r="J440" s="40">
        <f t="shared" si="29"/>
        <v>21075.817298823986</v>
      </c>
    </row>
    <row r="441" spans="1:10" x14ac:dyDescent="0.25">
      <c r="A441" s="44" t="s">
        <v>190</v>
      </c>
      <c r="B441" s="38" t="s">
        <v>1338</v>
      </c>
      <c r="C441" s="38">
        <v>330</v>
      </c>
      <c r="D441" s="38">
        <f t="shared" si="26"/>
        <v>3.0658032869127359E-3</v>
      </c>
      <c r="E441" s="38">
        <v>193</v>
      </c>
      <c r="F441" s="38">
        <f t="shared" si="27"/>
        <v>87.543431521078475</v>
      </c>
      <c r="G441" s="38" t="s">
        <v>1182</v>
      </c>
      <c r="H441">
        <v>2014</v>
      </c>
      <c r="I441">
        <f t="shared" si="30"/>
        <v>0.58484848484848484</v>
      </c>
      <c r="J441" s="40">
        <f t="shared" si="29"/>
        <v>28554.81038029505</v>
      </c>
    </row>
    <row r="442" spans="1:10" x14ac:dyDescent="0.25">
      <c r="A442" s="44" t="s">
        <v>190</v>
      </c>
      <c r="B442" s="38" t="s">
        <v>1339</v>
      </c>
      <c r="C442" s="38">
        <v>300</v>
      </c>
      <c r="D442" s="38">
        <f t="shared" si="26"/>
        <v>2.7870938971933964E-3</v>
      </c>
      <c r="E442" s="38">
        <v>189</v>
      </c>
      <c r="F442" s="38">
        <f t="shared" si="27"/>
        <v>85.729059883335907</v>
      </c>
      <c r="G442" s="38" t="s">
        <v>1182</v>
      </c>
      <c r="H442">
        <v>2014</v>
      </c>
      <c r="I442">
        <f t="shared" si="30"/>
        <v>0.63</v>
      </c>
      <c r="J442" s="40">
        <f t="shared" si="29"/>
        <v>30759.300922607978</v>
      </c>
    </row>
    <row r="443" spans="1:10" x14ac:dyDescent="0.25">
      <c r="A443" s="44" t="s">
        <v>190</v>
      </c>
      <c r="B443" s="38" t="s">
        <v>1339</v>
      </c>
      <c r="C443" s="38">
        <v>450</v>
      </c>
      <c r="D443" s="38">
        <f t="shared" si="26"/>
        <v>4.1806408457900944E-3</v>
      </c>
      <c r="E443" s="38">
        <v>329</v>
      </c>
      <c r="F443" s="38">
        <f t="shared" si="27"/>
        <v>149.23206720432549</v>
      </c>
      <c r="G443" s="38" t="s">
        <v>1182</v>
      </c>
      <c r="H443">
        <v>2015</v>
      </c>
      <c r="I443">
        <f t="shared" si="30"/>
        <v>0.73111111111111116</v>
      </c>
      <c r="J443" s="40">
        <f t="shared" si="29"/>
        <v>35695.978848458646</v>
      </c>
    </row>
    <row r="444" spans="1:10" x14ac:dyDescent="0.25">
      <c r="A444" s="44" t="s">
        <v>190</v>
      </c>
      <c r="B444" s="38" t="s">
        <v>1340</v>
      </c>
      <c r="C444" s="38">
        <v>1000</v>
      </c>
      <c r="D444" s="38">
        <f t="shared" si="26"/>
        <v>9.2903129906446551E-3</v>
      </c>
      <c r="E444" s="38">
        <v>324</v>
      </c>
      <c r="F444" s="38">
        <f t="shared" si="27"/>
        <v>146.96410265714727</v>
      </c>
      <c r="G444" s="38" t="s">
        <v>1204</v>
      </c>
      <c r="H444">
        <v>2014</v>
      </c>
      <c r="I444">
        <f t="shared" si="30"/>
        <v>0.32400000000000001</v>
      </c>
      <c r="J444" s="40">
        <f t="shared" si="29"/>
        <v>15819.069045912674</v>
      </c>
    </row>
    <row r="445" spans="1:10" x14ac:dyDescent="0.25">
      <c r="A445" s="44" t="s">
        <v>190</v>
      </c>
      <c r="B445" s="38" t="s">
        <v>1340</v>
      </c>
      <c r="C445" s="38">
        <v>1035</v>
      </c>
      <c r="D445" s="38">
        <f t="shared" si="26"/>
        <v>9.615473945317218E-3</v>
      </c>
      <c r="E445" s="38">
        <v>149</v>
      </c>
      <c r="F445" s="38">
        <f t="shared" si="27"/>
        <v>67.585343505910316</v>
      </c>
      <c r="G445" s="38" t="s">
        <v>1204</v>
      </c>
      <c r="H445">
        <v>2013</v>
      </c>
      <c r="I445">
        <f t="shared" si="30"/>
        <v>0.14396135265700483</v>
      </c>
      <c r="J445" s="40">
        <f t="shared" si="29"/>
        <v>7028.8104247658748</v>
      </c>
    </row>
    <row r="446" spans="1:10" x14ac:dyDescent="0.25">
      <c r="A446" s="44" t="s">
        <v>190</v>
      </c>
      <c r="B446" s="38" t="s">
        <v>1340</v>
      </c>
      <c r="C446" s="38">
        <v>1075</v>
      </c>
      <c r="D446" s="38">
        <f t="shared" si="26"/>
        <v>9.9870864649430034E-3</v>
      </c>
      <c r="E446" s="38">
        <v>319</v>
      </c>
      <c r="F446" s="38">
        <f t="shared" si="27"/>
        <v>144.69613810996907</v>
      </c>
      <c r="G446" s="38" t="s">
        <v>1204</v>
      </c>
      <c r="H446">
        <v>2014</v>
      </c>
      <c r="I446">
        <f t="shared" si="30"/>
        <v>0.29674418604651165</v>
      </c>
      <c r="J446" s="40">
        <f t="shared" si="29"/>
        <v>14488.323358157173</v>
      </c>
    </row>
    <row r="447" spans="1:10" x14ac:dyDescent="0.25">
      <c r="A447" s="44" t="s">
        <v>190</v>
      </c>
      <c r="B447" s="38" t="s">
        <v>1340</v>
      </c>
      <c r="C447" s="38">
        <v>1075</v>
      </c>
      <c r="D447" s="38">
        <f t="shared" si="26"/>
        <v>9.9870864649430034E-3</v>
      </c>
      <c r="E447" s="38">
        <v>319</v>
      </c>
      <c r="F447" s="38">
        <f t="shared" si="27"/>
        <v>144.69613810996907</v>
      </c>
      <c r="G447" s="38" t="s">
        <v>1204</v>
      </c>
      <c r="H447">
        <v>2014</v>
      </c>
      <c r="I447">
        <f t="shared" si="30"/>
        <v>0.29674418604651165</v>
      </c>
      <c r="J447" s="40">
        <f t="shared" si="29"/>
        <v>14488.323358157173</v>
      </c>
    </row>
    <row r="448" spans="1:10" x14ac:dyDescent="0.25">
      <c r="A448" s="44" t="s">
        <v>190</v>
      </c>
      <c r="B448" s="38" t="s">
        <v>1340</v>
      </c>
      <c r="C448" s="38">
        <v>1055</v>
      </c>
      <c r="D448" s="38">
        <f t="shared" si="26"/>
        <v>9.8012802051301116E-3</v>
      </c>
      <c r="E448" s="38">
        <v>470</v>
      </c>
      <c r="F448" s="38">
        <f t="shared" si="27"/>
        <v>213.18866743475067</v>
      </c>
      <c r="G448" s="38" t="s">
        <v>1204</v>
      </c>
      <c r="H448">
        <v>2013</v>
      </c>
      <c r="I448">
        <f t="shared" si="30"/>
        <v>0.44549763033175355</v>
      </c>
      <c r="J448" s="40">
        <f t="shared" si="29"/>
        <v>21751.104240766945</v>
      </c>
    </row>
    <row r="449" spans="1:10" x14ac:dyDescent="0.25">
      <c r="A449" s="44" t="s">
        <v>190</v>
      </c>
      <c r="B449" s="38" t="s">
        <v>1341</v>
      </c>
      <c r="C449" s="38">
        <v>480</v>
      </c>
      <c r="D449" s="38">
        <f t="shared" si="26"/>
        <v>4.4593502355094339E-3</v>
      </c>
      <c r="E449" s="38">
        <v>290</v>
      </c>
      <c r="F449" s="38">
        <f t="shared" si="27"/>
        <v>131.54194373633553</v>
      </c>
      <c r="G449" s="38" t="s">
        <v>1182</v>
      </c>
      <c r="H449">
        <v>2013</v>
      </c>
      <c r="I449">
        <f t="shared" si="30"/>
        <v>0.60416666666666663</v>
      </c>
      <c r="J449" s="40">
        <f t="shared" si="29"/>
        <v>29498.006837157125</v>
      </c>
    </row>
    <row r="450" spans="1:10" x14ac:dyDescent="0.25">
      <c r="A450" s="44" t="s">
        <v>190</v>
      </c>
      <c r="B450" s="38" t="s">
        <v>1240</v>
      </c>
      <c r="C450" s="38">
        <v>1950</v>
      </c>
      <c r="D450" s="38">
        <f t="shared" si="26"/>
        <v>1.8116110331757078E-2</v>
      </c>
      <c r="E450" s="38">
        <v>971</v>
      </c>
      <c r="F450" s="38">
        <f t="shared" si="27"/>
        <v>440.43871506200617</v>
      </c>
      <c r="G450" s="38" t="s">
        <v>1204</v>
      </c>
      <c r="H450">
        <v>2013</v>
      </c>
      <c r="I450">
        <f t="shared" si="30"/>
        <v>0.49794871794871792</v>
      </c>
      <c r="J450" s="40">
        <f t="shared" si="29"/>
        <v>24311.991205415015</v>
      </c>
    </row>
    <row r="451" spans="1:10" x14ac:dyDescent="0.25">
      <c r="A451" s="44" t="s">
        <v>190</v>
      </c>
      <c r="B451" s="38" t="s">
        <v>1240</v>
      </c>
      <c r="C451" s="38">
        <v>1755</v>
      </c>
      <c r="D451" s="38">
        <f t="shared" si="26"/>
        <v>1.6304499298581368E-2</v>
      </c>
      <c r="E451" s="38">
        <v>734</v>
      </c>
      <c r="F451" s="38">
        <f t="shared" si="27"/>
        <v>332.93719552575959</v>
      </c>
      <c r="G451" s="38" t="s">
        <v>1204</v>
      </c>
      <c r="H451">
        <v>2013</v>
      </c>
      <c r="I451">
        <f t="shared" si="30"/>
        <v>0.41823361823361821</v>
      </c>
      <c r="J451" s="40">
        <f t="shared" si="29"/>
        <v>20419.95828444287</v>
      </c>
    </row>
    <row r="452" spans="1:10" x14ac:dyDescent="0.25">
      <c r="A452" s="44" t="s">
        <v>190</v>
      </c>
      <c r="B452" s="38" t="s">
        <v>1240</v>
      </c>
      <c r="C452" s="38">
        <v>270</v>
      </c>
      <c r="D452" s="38">
        <f t="shared" si="26"/>
        <v>2.5083845074740569E-3</v>
      </c>
      <c r="E452" s="38">
        <v>206</v>
      </c>
      <c r="F452" s="38">
        <f t="shared" si="27"/>
        <v>93.440139343741791</v>
      </c>
      <c r="G452" s="38" t="s">
        <v>1204</v>
      </c>
      <c r="H452">
        <v>2013</v>
      </c>
      <c r="I452">
        <f t="shared" ref="I452:I515" si="31">E452/C452</f>
        <v>0.76296296296296295</v>
      </c>
      <c r="J452" s="40">
        <f t="shared" si="29"/>
        <v>37251.122810448229</v>
      </c>
    </row>
    <row r="453" spans="1:10" x14ac:dyDescent="0.25">
      <c r="A453" s="44" t="s">
        <v>190</v>
      </c>
      <c r="B453" s="38" t="s">
        <v>1240</v>
      </c>
      <c r="C453" s="38">
        <v>500</v>
      </c>
      <c r="D453" s="38">
        <f t="shared" ref="D453:D516" si="32">C453/107639</f>
        <v>4.6451564953223275E-3</v>
      </c>
      <c r="E453" s="38">
        <v>45</v>
      </c>
      <c r="F453" s="38">
        <f t="shared" ref="F453:F516" si="33">E453/2.20462</f>
        <v>20.41168092460379</v>
      </c>
      <c r="G453" s="38" t="s">
        <v>1204</v>
      </c>
      <c r="H453">
        <v>2014</v>
      </c>
      <c r="I453">
        <f t="shared" si="31"/>
        <v>0.09</v>
      </c>
      <c r="J453" s="40">
        <f t="shared" si="29"/>
        <v>4394.1858460868543</v>
      </c>
    </row>
    <row r="454" spans="1:10" x14ac:dyDescent="0.25">
      <c r="A454" s="44" t="s">
        <v>190</v>
      </c>
      <c r="B454" s="38" t="s">
        <v>1342</v>
      </c>
      <c r="C454" s="38">
        <v>625</v>
      </c>
      <c r="D454" s="38">
        <f t="shared" si="32"/>
        <v>5.806445619152909E-3</v>
      </c>
      <c r="E454" s="38">
        <v>298</v>
      </c>
      <c r="F454" s="38">
        <f t="shared" si="33"/>
        <v>135.17068701182063</v>
      </c>
      <c r="G454" s="38" t="s">
        <v>1204</v>
      </c>
      <c r="H454">
        <v>2014</v>
      </c>
      <c r="I454">
        <f t="shared" si="31"/>
        <v>0.4768</v>
      </c>
      <c r="J454" s="40">
        <f t="shared" ref="J454:J517" si="34">F454/D454</f>
        <v>23279.420126824578</v>
      </c>
    </row>
    <row r="455" spans="1:10" x14ac:dyDescent="0.25">
      <c r="A455" s="44" t="s">
        <v>190</v>
      </c>
      <c r="B455" s="38" t="s">
        <v>1342</v>
      </c>
      <c r="C455" s="38">
        <v>500</v>
      </c>
      <c r="D455" s="38">
        <f t="shared" si="32"/>
        <v>4.6451564953223275E-3</v>
      </c>
      <c r="E455" s="38">
        <v>164</v>
      </c>
      <c r="F455" s="38">
        <f t="shared" si="33"/>
        <v>74.389237147444916</v>
      </c>
      <c r="G455" s="38" t="s">
        <v>1204</v>
      </c>
      <c r="H455">
        <v>2013</v>
      </c>
      <c r="I455">
        <f t="shared" si="31"/>
        <v>0.32800000000000001</v>
      </c>
      <c r="J455" s="40">
        <f t="shared" si="34"/>
        <v>16014.366194627646</v>
      </c>
    </row>
    <row r="456" spans="1:10" x14ac:dyDescent="0.25">
      <c r="A456" s="44" t="s">
        <v>190</v>
      </c>
      <c r="B456" s="38" t="s">
        <v>1342</v>
      </c>
      <c r="C456" s="38">
        <v>765</v>
      </c>
      <c r="D456" s="38">
        <f t="shared" si="32"/>
        <v>7.1070894378431606E-3</v>
      </c>
      <c r="E456" s="38">
        <v>259</v>
      </c>
      <c r="F456" s="38">
        <f t="shared" si="33"/>
        <v>117.4805635438307</v>
      </c>
      <c r="G456" s="38" t="s">
        <v>1204</v>
      </c>
      <c r="H456">
        <v>2013</v>
      </c>
      <c r="I456">
        <f t="shared" si="31"/>
        <v>0.33856209150326799</v>
      </c>
      <c r="J456" s="40">
        <f t="shared" si="34"/>
        <v>16530.052783391362</v>
      </c>
    </row>
    <row r="457" spans="1:10" x14ac:dyDescent="0.25">
      <c r="A457" s="44" t="s">
        <v>190</v>
      </c>
      <c r="B457" s="38" t="s">
        <v>1342</v>
      </c>
      <c r="C457" s="38">
        <v>450</v>
      </c>
      <c r="D457" s="38">
        <f t="shared" si="32"/>
        <v>4.1806408457900944E-3</v>
      </c>
      <c r="E457" s="38">
        <v>380</v>
      </c>
      <c r="F457" s="38">
        <f t="shared" si="33"/>
        <v>172.3653055855431</v>
      </c>
      <c r="G457" s="38" t="s">
        <v>1204</v>
      </c>
      <c r="H457">
        <v>2015</v>
      </c>
      <c r="I457">
        <f t="shared" si="31"/>
        <v>0.84444444444444444</v>
      </c>
      <c r="J457" s="40">
        <f t="shared" si="34"/>
        <v>41229.398062049499</v>
      </c>
    </row>
    <row r="458" spans="1:10" x14ac:dyDescent="0.25">
      <c r="A458" s="44" t="s">
        <v>190</v>
      </c>
      <c r="B458" s="38" t="s">
        <v>1342</v>
      </c>
      <c r="C458" s="38">
        <v>625</v>
      </c>
      <c r="D458" s="38">
        <f t="shared" si="32"/>
        <v>5.806445619152909E-3</v>
      </c>
      <c r="E458" s="38">
        <v>255</v>
      </c>
      <c r="F458" s="38">
        <f t="shared" si="33"/>
        <v>115.66619190608813</v>
      </c>
      <c r="G458" s="38" t="s">
        <v>1204</v>
      </c>
      <c r="H458">
        <v>2014</v>
      </c>
      <c r="I458">
        <f t="shared" si="31"/>
        <v>0.40799999999999997</v>
      </c>
      <c r="J458" s="40">
        <f t="shared" si="34"/>
        <v>19920.309168927073</v>
      </c>
    </row>
    <row r="459" spans="1:10" x14ac:dyDescent="0.25">
      <c r="A459" s="44" t="s">
        <v>190</v>
      </c>
      <c r="B459" s="38" t="s">
        <v>1343</v>
      </c>
      <c r="C459" s="38">
        <v>1350</v>
      </c>
      <c r="D459" s="38">
        <f t="shared" si="32"/>
        <v>1.2541922537370284E-2</v>
      </c>
      <c r="E459" s="38">
        <v>59</v>
      </c>
      <c r="F459" s="38">
        <f t="shared" si="33"/>
        <v>26.761981656702744</v>
      </c>
      <c r="G459" s="38" t="s">
        <v>1204</v>
      </c>
      <c r="H459">
        <v>2014</v>
      </c>
      <c r="I459">
        <f t="shared" si="31"/>
        <v>4.3703703703703703E-2</v>
      </c>
      <c r="J459" s="40">
        <f t="shared" si="34"/>
        <v>2133.802180404316</v>
      </c>
    </row>
    <row r="460" spans="1:10" x14ac:dyDescent="0.25">
      <c r="A460" s="44" t="s">
        <v>190</v>
      </c>
      <c r="B460" s="38" t="s">
        <v>1343</v>
      </c>
      <c r="C460" s="38">
        <v>1400</v>
      </c>
      <c r="D460" s="38">
        <f t="shared" si="32"/>
        <v>1.3006438186902516E-2</v>
      </c>
      <c r="E460" s="38">
        <v>214</v>
      </c>
      <c r="F460" s="38">
        <f t="shared" si="33"/>
        <v>97.068882619226912</v>
      </c>
      <c r="G460" s="38" t="s">
        <v>1204</v>
      </c>
      <c r="H460">
        <v>2014</v>
      </c>
      <c r="I460">
        <f t="shared" si="31"/>
        <v>0.15285714285714286</v>
      </c>
      <c r="J460" s="40">
        <f t="shared" si="34"/>
        <v>7463.1410401792609</v>
      </c>
    </row>
    <row r="461" spans="1:10" x14ac:dyDescent="0.25">
      <c r="A461" s="44" t="s">
        <v>560</v>
      </c>
      <c r="B461" s="38" t="s">
        <v>1344</v>
      </c>
      <c r="C461" s="38">
        <v>440</v>
      </c>
      <c r="D461" s="38">
        <f t="shared" si="32"/>
        <v>4.0877377158836485E-3</v>
      </c>
      <c r="E461" s="38">
        <v>38</v>
      </c>
      <c r="F461" s="38">
        <f t="shared" si="33"/>
        <v>17.23653055855431</v>
      </c>
      <c r="G461" s="38" t="s">
        <v>1182</v>
      </c>
      <c r="I461">
        <f t="shared" si="31"/>
        <v>8.6363636363636365E-2</v>
      </c>
      <c r="J461" s="40">
        <f t="shared" si="34"/>
        <v>4216.6429836186981</v>
      </c>
    </row>
    <row r="462" spans="1:10" x14ac:dyDescent="0.25">
      <c r="A462" s="44" t="s">
        <v>560</v>
      </c>
      <c r="B462" s="38" t="s">
        <v>1344</v>
      </c>
      <c r="C462" s="38">
        <v>2470</v>
      </c>
      <c r="D462" s="38">
        <f t="shared" si="32"/>
        <v>2.2947073086892297E-2</v>
      </c>
      <c r="E462" s="38">
        <v>276</v>
      </c>
      <c r="F462" s="38">
        <f t="shared" si="33"/>
        <v>125.19164300423657</v>
      </c>
      <c r="G462" s="38" t="s">
        <v>1182</v>
      </c>
      <c r="I462">
        <f t="shared" si="31"/>
        <v>0.11174089068825911</v>
      </c>
      <c r="J462" s="40">
        <f t="shared" si="34"/>
        <v>5455.669336572073</v>
      </c>
    </row>
    <row r="463" spans="1:10" x14ac:dyDescent="0.25">
      <c r="A463" s="44" t="s">
        <v>560</v>
      </c>
      <c r="B463" s="38" t="s">
        <v>1344</v>
      </c>
      <c r="C463" s="38">
        <v>480</v>
      </c>
      <c r="D463" s="38">
        <f t="shared" si="32"/>
        <v>4.4593502355094339E-3</v>
      </c>
      <c r="E463" s="38">
        <v>131</v>
      </c>
      <c r="F463" s="38">
        <f t="shared" si="33"/>
        <v>59.420671136068805</v>
      </c>
      <c r="G463" s="38" t="s">
        <v>1182</v>
      </c>
      <c r="H463">
        <v>2014</v>
      </c>
      <c r="I463">
        <f t="shared" si="31"/>
        <v>0.27291666666666664</v>
      </c>
      <c r="J463" s="40">
        <f t="shared" si="34"/>
        <v>13324.961709198564</v>
      </c>
    </row>
    <row r="464" spans="1:10" x14ac:dyDescent="0.25">
      <c r="A464" s="44" t="s">
        <v>560</v>
      </c>
      <c r="B464" s="38" t="s">
        <v>1344</v>
      </c>
      <c r="C464" s="38">
        <v>240</v>
      </c>
      <c r="D464" s="38">
        <f t="shared" si="32"/>
        <v>2.229675117754717E-3</v>
      </c>
      <c r="E464" s="38">
        <v>84</v>
      </c>
      <c r="F464" s="38">
        <f t="shared" si="33"/>
        <v>38.101804392593735</v>
      </c>
      <c r="G464" s="38" t="s">
        <v>1182</v>
      </c>
      <c r="H464">
        <v>2014</v>
      </c>
      <c r="I464">
        <f t="shared" si="31"/>
        <v>0.35</v>
      </c>
      <c r="J464" s="40">
        <f t="shared" si="34"/>
        <v>17088.500512559989</v>
      </c>
    </row>
    <row r="465" spans="1:10" x14ac:dyDescent="0.25">
      <c r="A465" s="44" t="s">
        <v>560</v>
      </c>
      <c r="B465" s="38" t="s">
        <v>1344</v>
      </c>
      <c r="C465" s="38">
        <v>3450</v>
      </c>
      <c r="D465" s="38">
        <f t="shared" si="32"/>
        <v>3.2051579817724059E-2</v>
      </c>
      <c r="E465" s="38">
        <v>1700</v>
      </c>
      <c r="F465" s="38">
        <f t="shared" si="33"/>
        <v>771.10794604058754</v>
      </c>
      <c r="G465" s="38" t="s">
        <v>1204</v>
      </c>
      <c r="H465">
        <v>2015</v>
      </c>
      <c r="I465">
        <f t="shared" si="31"/>
        <v>0.49275362318840582</v>
      </c>
      <c r="J465" s="40">
        <f t="shared" si="34"/>
        <v>24058.344406916753</v>
      </c>
    </row>
    <row r="466" spans="1:10" x14ac:dyDescent="0.25">
      <c r="A466" s="44" t="s">
        <v>560</v>
      </c>
      <c r="B466" s="38" t="s">
        <v>1344</v>
      </c>
      <c r="C466" s="38">
        <v>954</v>
      </c>
      <c r="D466" s="38">
        <f t="shared" si="32"/>
        <v>8.8629585930750012E-3</v>
      </c>
      <c r="E466" s="38">
        <v>983</v>
      </c>
      <c r="F466" s="38">
        <f t="shared" si="33"/>
        <v>445.88182997523387</v>
      </c>
      <c r="G466" s="38" t="s">
        <v>1182</v>
      </c>
      <c r="H466">
        <v>2012</v>
      </c>
      <c r="I466">
        <f t="shared" si="31"/>
        <v>1.0303983228511531</v>
      </c>
      <c r="J466" s="40">
        <f t="shared" si="34"/>
        <v>50308.463623379663</v>
      </c>
    </row>
    <row r="467" spans="1:10" x14ac:dyDescent="0.25">
      <c r="A467" s="44" t="s">
        <v>560</v>
      </c>
      <c r="B467" s="38" t="s">
        <v>1344</v>
      </c>
      <c r="C467" s="38">
        <v>6300</v>
      </c>
      <c r="D467" s="38">
        <f t="shared" si="32"/>
        <v>5.8528971841061324E-2</v>
      </c>
      <c r="E467" s="38">
        <v>3045</v>
      </c>
      <c r="F467" s="38">
        <f t="shared" si="33"/>
        <v>1381.1904092315231</v>
      </c>
      <c r="G467" s="38" t="s">
        <v>1182</v>
      </c>
      <c r="H467">
        <v>2013</v>
      </c>
      <c r="I467">
        <f t="shared" si="31"/>
        <v>0.48333333333333334</v>
      </c>
      <c r="J467" s="40">
        <f t="shared" si="34"/>
        <v>23598.405469725702</v>
      </c>
    </row>
    <row r="468" spans="1:10" x14ac:dyDescent="0.25">
      <c r="A468" s="44" t="s">
        <v>560</v>
      </c>
      <c r="B468" s="38" t="s">
        <v>1344</v>
      </c>
      <c r="C468" s="38">
        <v>2522</v>
      </c>
      <c r="D468" s="38">
        <f t="shared" si="32"/>
        <v>2.3430169362405818E-2</v>
      </c>
      <c r="E468" s="38">
        <v>578</v>
      </c>
      <c r="F468" s="38">
        <f t="shared" si="33"/>
        <v>262.1767016537998</v>
      </c>
      <c r="G468" s="38" t="s">
        <v>1182</v>
      </c>
      <c r="H468">
        <v>2014</v>
      </c>
      <c r="I468">
        <f t="shared" si="31"/>
        <v>0.22918318794607453</v>
      </c>
      <c r="J468" s="40">
        <f t="shared" si="34"/>
        <v>11189.705784818936</v>
      </c>
    </row>
    <row r="469" spans="1:10" x14ac:dyDescent="0.25">
      <c r="A469" s="44" t="s">
        <v>560</v>
      </c>
      <c r="B469" s="38" t="s">
        <v>1344</v>
      </c>
      <c r="C469" s="38">
        <v>552</v>
      </c>
      <c r="D469" s="38">
        <f t="shared" si="32"/>
        <v>5.1282527708358498E-3</v>
      </c>
      <c r="E469" s="38">
        <v>154</v>
      </c>
      <c r="F469" s="38">
        <f t="shared" si="33"/>
        <v>69.853308053088526</v>
      </c>
      <c r="G469" s="38" t="s">
        <v>1182</v>
      </c>
      <c r="H469">
        <v>2012</v>
      </c>
      <c r="I469">
        <f t="shared" si="31"/>
        <v>0.27898550724637683</v>
      </c>
      <c r="J469" s="40">
        <f t="shared" si="34"/>
        <v>13621.268524504339</v>
      </c>
    </row>
    <row r="470" spans="1:10" x14ac:dyDescent="0.25">
      <c r="A470" s="44" t="s">
        <v>560</v>
      </c>
      <c r="B470" s="38" t="s">
        <v>1344</v>
      </c>
      <c r="C470" s="38">
        <v>236</v>
      </c>
      <c r="D470" s="38">
        <f t="shared" si="32"/>
        <v>2.1925138657921386E-3</v>
      </c>
      <c r="E470" s="38">
        <v>171</v>
      </c>
      <c r="F470" s="38">
        <f t="shared" si="33"/>
        <v>77.564387513494395</v>
      </c>
      <c r="G470" s="38" t="s">
        <v>1182</v>
      </c>
      <c r="H470">
        <v>2013</v>
      </c>
      <c r="I470">
        <f t="shared" si="31"/>
        <v>0.72457627118644063</v>
      </c>
      <c r="J470" s="40">
        <f t="shared" si="34"/>
        <v>35376.91994730942</v>
      </c>
    </row>
    <row r="471" spans="1:10" x14ac:dyDescent="0.25">
      <c r="A471" s="44" t="s">
        <v>560</v>
      </c>
      <c r="B471" s="38" t="s">
        <v>1344</v>
      </c>
      <c r="C471" s="38">
        <v>15625</v>
      </c>
      <c r="D471" s="38">
        <f t="shared" si="32"/>
        <v>0.14516114047882273</v>
      </c>
      <c r="E471" s="38">
        <v>3726</v>
      </c>
      <c r="F471" s="38">
        <f t="shared" si="33"/>
        <v>1690.0871805571937</v>
      </c>
      <c r="G471" s="38" t="s">
        <v>1182</v>
      </c>
      <c r="H471">
        <v>2013</v>
      </c>
      <c r="I471">
        <f t="shared" si="31"/>
        <v>0.23846400000000001</v>
      </c>
      <c r="J471" s="40">
        <f t="shared" si="34"/>
        <v>11642.834817791731</v>
      </c>
    </row>
    <row r="472" spans="1:10" x14ac:dyDescent="0.25">
      <c r="A472" s="44" t="s">
        <v>560</v>
      </c>
      <c r="B472" s="38" t="s">
        <v>1344</v>
      </c>
      <c r="C472" s="38">
        <v>552</v>
      </c>
      <c r="D472" s="38">
        <f t="shared" si="32"/>
        <v>5.1282527708358498E-3</v>
      </c>
      <c r="E472" s="38">
        <v>169</v>
      </c>
      <c r="F472" s="38">
        <f t="shared" si="33"/>
        <v>76.657201694623112</v>
      </c>
      <c r="G472" s="38" t="s">
        <v>1182</v>
      </c>
      <c r="H472">
        <v>2012</v>
      </c>
      <c r="I472">
        <f t="shared" si="31"/>
        <v>0.3061594202898551</v>
      </c>
      <c r="J472" s="40">
        <f t="shared" si="34"/>
        <v>14948.015458709306</v>
      </c>
    </row>
    <row r="473" spans="1:10" x14ac:dyDescent="0.25">
      <c r="A473" s="44" t="s">
        <v>560</v>
      </c>
      <c r="B473" s="38" t="s">
        <v>1344</v>
      </c>
      <c r="C473" s="38">
        <v>954</v>
      </c>
      <c r="D473" s="38">
        <f t="shared" si="32"/>
        <v>8.8629585930750012E-3</v>
      </c>
      <c r="E473" s="38">
        <v>1105</v>
      </c>
      <c r="F473" s="38">
        <f t="shared" si="33"/>
        <v>501.22016492638193</v>
      </c>
      <c r="G473" s="38" t="s">
        <v>1182</v>
      </c>
      <c r="H473">
        <v>2012</v>
      </c>
      <c r="I473">
        <f t="shared" si="31"/>
        <v>1.1582809224318658</v>
      </c>
      <c r="J473" s="40">
        <f t="shared" si="34"/>
        <v>56552.240390472558</v>
      </c>
    </row>
    <row r="474" spans="1:10" x14ac:dyDescent="0.25">
      <c r="A474" s="44" t="s">
        <v>560</v>
      </c>
      <c r="B474" s="38" t="s">
        <v>1344</v>
      </c>
      <c r="C474" s="38">
        <v>954</v>
      </c>
      <c r="D474" s="38">
        <f t="shared" si="32"/>
        <v>8.8629585930750012E-3</v>
      </c>
      <c r="E474" s="38">
        <v>1366</v>
      </c>
      <c r="F474" s="38">
        <f t="shared" si="33"/>
        <v>619.60791428908385</v>
      </c>
      <c r="G474" s="38" t="s">
        <v>1182</v>
      </c>
      <c r="H474">
        <v>2012</v>
      </c>
      <c r="I474">
        <f t="shared" si="31"/>
        <v>1.4318658280922432</v>
      </c>
      <c r="J474" s="40">
        <f t="shared" si="34"/>
        <v>69909.828392204086</v>
      </c>
    </row>
    <row r="475" spans="1:10" x14ac:dyDescent="0.25">
      <c r="A475" s="44" t="s">
        <v>560</v>
      </c>
      <c r="B475" s="38" t="s">
        <v>1344</v>
      </c>
      <c r="C475" s="38">
        <v>552</v>
      </c>
      <c r="D475" s="38">
        <f t="shared" si="32"/>
        <v>5.1282527708358498E-3</v>
      </c>
      <c r="E475" s="38">
        <v>153</v>
      </c>
      <c r="F475" s="38">
        <f t="shared" si="33"/>
        <v>69.399715143652884</v>
      </c>
      <c r="G475" s="38" t="s">
        <v>1182</v>
      </c>
      <c r="H475">
        <v>2012</v>
      </c>
      <c r="I475">
        <f t="shared" si="31"/>
        <v>0.27717391304347827</v>
      </c>
      <c r="J475" s="40">
        <f t="shared" si="34"/>
        <v>13532.818728890674</v>
      </c>
    </row>
    <row r="476" spans="1:10" x14ac:dyDescent="0.25">
      <c r="A476" s="44" t="s">
        <v>1345</v>
      </c>
      <c r="B476" s="38" t="s">
        <v>1346</v>
      </c>
      <c r="C476" s="38">
        <v>844</v>
      </c>
      <c r="D476" s="38">
        <f t="shared" si="32"/>
        <v>7.8410241641040882E-3</v>
      </c>
      <c r="E476" s="38">
        <v>1774</v>
      </c>
      <c r="F476" s="38">
        <f t="shared" si="33"/>
        <v>804.67382133882495</v>
      </c>
      <c r="G476" s="38" t="s">
        <v>1182</v>
      </c>
      <c r="H476">
        <v>2018</v>
      </c>
      <c r="I476">
        <f t="shared" si="31"/>
        <v>2.1018957345971563</v>
      </c>
      <c r="J476" s="40">
        <f t="shared" si="34"/>
        <v>102623.56096574619</v>
      </c>
    </row>
    <row r="477" spans="1:10" x14ac:dyDescent="0.25">
      <c r="A477" s="44" t="s">
        <v>1345</v>
      </c>
      <c r="B477" s="38" t="s">
        <v>1347</v>
      </c>
      <c r="C477" s="38">
        <v>427</v>
      </c>
      <c r="D477" s="38">
        <f t="shared" si="32"/>
        <v>3.9669636470052675E-3</v>
      </c>
      <c r="E477" s="38">
        <v>174</v>
      </c>
      <c r="F477" s="38">
        <f t="shared" si="33"/>
        <v>78.925166241801321</v>
      </c>
      <c r="G477" s="38" t="s">
        <v>1182</v>
      </c>
      <c r="H477">
        <v>2017</v>
      </c>
      <c r="I477">
        <f t="shared" si="31"/>
        <v>0.40749414519906324</v>
      </c>
      <c r="J477" s="40">
        <f t="shared" si="34"/>
        <v>19895.611168855394</v>
      </c>
    </row>
    <row r="478" spans="1:10" x14ac:dyDescent="0.25">
      <c r="A478" s="44" t="s">
        <v>1345</v>
      </c>
      <c r="B478" s="38" t="s">
        <v>1347</v>
      </c>
      <c r="C478" s="38">
        <v>1008</v>
      </c>
      <c r="D478" s="38">
        <f t="shared" si="32"/>
        <v>9.3646354945698118E-3</v>
      </c>
      <c r="E478" s="38">
        <v>772</v>
      </c>
      <c r="F478" s="38">
        <f t="shared" si="33"/>
        <v>350.1737260843139</v>
      </c>
      <c r="G478" s="38" t="s">
        <v>1182</v>
      </c>
      <c r="H478">
        <v>2017</v>
      </c>
      <c r="I478">
        <f t="shared" si="31"/>
        <v>0.76587301587301593</v>
      </c>
      <c r="J478" s="40">
        <f t="shared" si="34"/>
        <v>37393.204069433996</v>
      </c>
    </row>
    <row r="479" spans="1:10" x14ac:dyDescent="0.25">
      <c r="A479" s="44" t="s">
        <v>1345</v>
      </c>
      <c r="B479" s="38" t="s">
        <v>1347</v>
      </c>
      <c r="C479" s="38">
        <v>288</v>
      </c>
      <c r="D479" s="38">
        <f t="shared" si="32"/>
        <v>2.6756101413056605E-3</v>
      </c>
      <c r="E479" s="38">
        <v>691</v>
      </c>
      <c r="F479" s="38">
        <f t="shared" si="33"/>
        <v>313.43270042002706</v>
      </c>
      <c r="G479" s="38" t="s">
        <v>1182</v>
      </c>
      <c r="H479">
        <v>2017</v>
      </c>
      <c r="I479">
        <f t="shared" si="31"/>
        <v>2.3993055555555554</v>
      </c>
      <c r="J479" s="40">
        <f t="shared" si="34"/>
        <v>117144.38347399756</v>
      </c>
    </row>
    <row r="480" spans="1:10" x14ac:dyDescent="0.25">
      <c r="A480" s="44" t="s">
        <v>1345</v>
      </c>
      <c r="B480" s="38" t="s">
        <v>1347</v>
      </c>
      <c r="C480" s="38">
        <v>320</v>
      </c>
      <c r="D480" s="38">
        <f t="shared" si="32"/>
        <v>2.9729001570062896E-3</v>
      </c>
      <c r="E480" s="38">
        <v>1256</v>
      </c>
      <c r="F480" s="38">
        <f t="shared" si="33"/>
        <v>569.7126942511635</v>
      </c>
      <c r="G480" s="38" t="s">
        <v>1182</v>
      </c>
      <c r="H480">
        <v>2018</v>
      </c>
      <c r="I480">
        <f t="shared" si="31"/>
        <v>3.9249999999999998</v>
      </c>
      <c r="J480" s="40">
        <f t="shared" si="34"/>
        <v>191635.3271765656</v>
      </c>
    </row>
    <row r="481" spans="1:10" x14ac:dyDescent="0.25">
      <c r="A481" s="44" t="s">
        <v>1345</v>
      </c>
      <c r="B481" s="38" t="s">
        <v>1348</v>
      </c>
      <c r="C481" s="38">
        <v>1008</v>
      </c>
      <c r="D481" s="38">
        <f t="shared" si="32"/>
        <v>9.3646354945698118E-3</v>
      </c>
      <c r="E481" s="38">
        <v>774</v>
      </c>
      <c r="F481" s="38">
        <f t="shared" si="33"/>
        <v>351.08091190318515</v>
      </c>
      <c r="G481" s="38" t="s">
        <v>1182</v>
      </c>
      <c r="H481">
        <v>2017</v>
      </c>
      <c r="I481">
        <f t="shared" si="31"/>
        <v>0.7678571428571429</v>
      </c>
      <c r="J481" s="40">
        <f t="shared" si="34"/>
        <v>37490.077655106099</v>
      </c>
    </row>
    <row r="482" spans="1:10" x14ac:dyDescent="0.25">
      <c r="A482" s="44" t="s">
        <v>1345</v>
      </c>
      <c r="B482" s="38" t="s">
        <v>1348</v>
      </c>
      <c r="C482" s="38">
        <v>320</v>
      </c>
      <c r="D482" s="38">
        <f t="shared" si="32"/>
        <v>2.9729001570062896E-3</v>
      </c>
      <c r="E482" s="38">
        <v>1256</v>
      </c>
      <c r="F482" s="38">
        <f t="shared" si="33"/>
        <v>569.7126942511635</v>
      </c>
      <c r="G482" s="38" t="s">
        <v>1182</v>
      </c>
      <c r="H482">
        <v>2018</v>
      </c>
      <c r="I482">
        <f t="shared" si="31"/>
        <v>3.9249999999999998</v>
      </c>
      <c r="J482" s="40">
        <f t="shared" si="34"/>
        <v>191635.3271765656</v>
      </c>
    </row>
    <row r="483" spans="1:10" x14ac:dyDescent="0.25">
      <c r="A483" s="44" t="s">
        <v>1345</v>
      </c>
      <c r="B483" s="38" t="s">
        <v>1349</v>
      </c>
      <c r="C483" s="38">
        <v>844</v>
      </c>
      <c r="D483" s="38">
        <f t="shared" si="32"/>
        <v>7.8410241641040882E-3</v>
      </c>
      <c r="E483" s="38">
        <v>1774</v>
      </c>
      <c r="F483" s="38">
        <f t="shared" si="33"/>
        <v>804.67382133882495</v>
      </c>
      <c r="G483" s="38" t="s">
        <v>1182</v>
      </c>
      <c r="H483">
        <v>2018</v>
      </c>
      <c r="I483">
        <f t="shared" si="31"/>
        <v>2.1018957345971563</v>
      </c>
      <c r="J483" s="40">
        <f t="shared" si="34"/>
        <v>102623.56096574619</v>
      </c>
    </row>
    <row r="484" spans="1:10" x14ac:dyDescent="0.25">
      <c r="A484" s="44" t="s">
        <v>1345</v>
      </c>
      <c r="B484" s="38" t="s">
        <v>1349</v>
      </c>
      <c r="C484" s="38">
        <v>700</v>
      </c>
      <c r="D484" s="38">
        <f t="shared" si="32"/>
        <v>6.5032190934512582E-3</v>
      </c>
      <c r="E484" s="38">
        <v>1200</v>
      </c>
      <c r="F484" s="38">
        <f t="shared" si="33"/>
        <v>544.31149132276767</v>
      </c>
      <c r="G484" s="38" t="s">
        <v>1182</v>
      </c>
      <c r="H484">
        <v>2017</v>
      </c>
      <c r="I484">
        <f t="shared" si="31"/>
        <v>1.7142857142857142</v>
      </c>
      <c r="J484" s="40">
        <f t="shared" si="34"/>
        <v>83698.778020701982</v>
      </c>
    </row>
    <row r="485" spans="1:10" x14ac:dyDescent="0.25">
      <c r="A485" s="44" t="s">
        <v>1345</v>
      </c>
      <c r="B485" s="38" t="s">
        <v>1350</v>
      </c>
      <c r="C485" s="38">
        <v>100</v>
      </c>
      <c r="D485" s="38">
        <f t="shared" si="32"/>
        <v>9.2903129906446544E-4</v>
      </c>
      <c r="E485" s="38">
        <v>108</v>
      </c>
      <c r="F485" s="38">
        <f t="shared" si="33"/>
        <v>48.988034219049091</v>
      </c>
      <c r="G485" s="38" t="s">
        <v>1182</v>
      </c>
      <c r="H485">
        <v>2014</v>
      </c>
      <c r="I485">
        <f t="shared" si="31"/>
        <v>1.08</v>
      </c>
      <c r="J485" s="40">
        <f t="shared" si="34"/>
        <v>52730.230153042256</v>
      </c>
    </row>
    <row r="486" spans="1:10" x14ac:dyDescent="0.25">
      <c r="A486" s="44" t="s">
        <v>1345</v>
      </c>
      <c r="B486" s="38" t="s">
        <v>1350</v>
      </c>
      <c r="C486" s="38">
        <v>120</v>
      </c>
      <c r="D486" s="38">
        <f t="shared" si="32"/>
        <v>1.1148375588773585E-3</v>
      </c>
      <c r="E486" s="38">
        <v>97</v>
      </c>
      <c r="F486" s="38">
        <f t="shared" si="33"/>
        <v>43.998512215257058</v>
      </c>
      <c r="G486" s="38" t="s">
        <v>1182</v>
      </c>
      <c r="H486">
        <v>2015</v>
      </c>
      <c r="I486">
        <f t="shared" si="31"/>
        <v>0.80833333333333335</v>
      </c>
      <c r="J486" s="40">
        <f t="shared" si="34"/>
        <v>39466.298802817124</v>
      </c>
    </row>
    <row r="487" spans="1:10" x14ac:dyDescent="0.25">
      <c r="A487" s="44" t="s">
        <v>1345</v>
      </c>
      <c r="B487" s="38" t="s">
        <v>1351</v>
      </c>
      <c r="C487" s="38">
        <v>200</v>
      </c>
      <c r="D487" s="38">
        <f t="shared" si="32"/>
        <v>1.8580625981289309E-3</v>
      </c>
      <c r="E487" s="38">
        <v>800</v>
      </c>
      <c r="F487" s="38">
        <f t="shared" si="33"/>
        <v>362.87432754851181</v>
      </c>
      <c r="G487" s="38" t="s">
        <v>1182</v>
      </c>
      <c r="H487">
        <v>2013</v>
      </c>
      <c r="I487">
        <f t="shared" si="31"/>
        <v>4</v>
      </c>
      <c r="J487" s="40">
        <f t="shared" si="34"/>
        <v>195297.14871497132</v>
      </c>
    </row>
    <row r="488" spans="1:10" x14ac:dyDescent="0.25">
      <c r="A488" s="44" t="s">
        <v>1345</v>
      </c>
      <c r="B488" s="38" t="s">
        <v>1351</v>
      </c>
      <c r="C488" s="38">
        <v>680</v>
      </c>
      <c r="D488" s="38">
        <f t="shared" si="32"/>
        <v>6.3174128336383655E-3</v>
      </c>
      <c r="E488" s="38">
        <v>374</v>
      </c>
      <c r="F488" s="38">
        <f t="shared" si="33"/>
        <v>169.64374812892927</v>
      </c>
      <c r="G488" s="38" t="s">
        <v>1182</v>
      </c>
      <c r="H488">
        <v>2014</v>
      </c>
      <c r="I488">
        <f t="shared" si="31"/>
        <v>0.55000000000000004</v>
      </c>
      <c r="J488" s="40">
        <f t="shared" si="34"/>
        <v>26853.357948308556</v>
      </c>
    </row>
    <row r="489" spans="1:10" x14ac:dyDescent="0.25">
      <c r="A489" s="44" t="s">
        <v>1345</v>
      </c>
      <c r="B489" s="38" t="s">
        <v>1352</v>
      </c>
      <c r="C489" s="38">
        <v>700</v>
      </c>
      <c r="D489" s="38">
        <f t="shared" si="32"/>
        <v>6.5032190934512582E-3</v>
      </c>
      <c r="E489" s="38">
        <v>1014</v>
      </c>
      <c r="F489" s="38">
        <f t="shared" si="33"/>
        <v>459.9432101677387</v>
      </c>
      <c r="G489" s="38" t="s">
        <v>1182</v>
      </c>
      <c r="H489">
        <v>2013</v>
      </c>
      <c r="I489">
        <f t="shared" si="31"/>
        <v>1.4485714285714286</v>
      </c>
      <c r="J489" s="40">
        <f t="shared" si="34"/>
        <v>70725.467427493175</v>
      </c>
    </row>
    <row r="490" spans="1:10" x14ac:dyDescent="0.25">
      <c r="A490" s="44" t="s">
        <v>1345</v>
      </c>
      <c r="B490" s="38" t="s">
        <v>1353</v>
      </c>
      <c r="C490" s="38">
        <v>844</v>
      </c>
      <c r="D490" s="38">
        <f t="shared" si="32"/>
        <v>7.8410241641040882E-3</v>
      </c>
      <c r="E490" s="38">
        <v>1774</v>
      </c>
      <c r="F490" s="38">
        <f t="shared" si="33"/>
        <v>804.67382133882495</v>
      </c>
      <c r="G490" s="38" t="s">
        <v>1182</v>
      </c>
      <c r="H490">
        <v>2018</v>
      </c>
      <c r="I490">
        <f t="shared" si="31"/>
        <v>2.1018957345971563</v>
      </c>
      <c r="J490" s="40">
        <f t="shared" si="34"/>
        <v>102623.56096574619</v>
      </c>
    </row>
    <row r="491" spans="1:10" x14ac:dyDescent="0.25">
      <c r="A491" s="44" t="s">
        <v>1345</v>
      </c>
      <c r="B491" s="38" t="s">
        <v>1354</v>
      </c>
      <c r="C491" s="38">
        <v>213</v>
      </c>
      <c r="D491" s="38">
        <f t="shared" si="32"/>
        <v>1.9788366670073117E-3</v>
      </c>
      <c r="E491" s="38">
        <v>202</v>
      </c>
      <c r="F491" s="38">
        <f t="shared" si="33"/>
        <v>91.625767705999223</v>
      </c>
      <c r="G491" s="38" t="s">
        <v>1182</v>
      </c>
      <c r="H491">
        <v>2016</v>
      </c>
      <c r="I491">
        <f t="shared" si="31"/>
        <v>0.94835680751173712</v>
      </c>
      <c r="J491" s="40">
        <f t="shared" si="34"/>
        <v>46302.845117868776</v>
      </c>
    </row>
    <row r="492" spans="1:10" x14ac:dyDescent="0.25">
      <c r="A492" s="44" t="s">
        <v>1345</v>
      </c>
      <c r="B492" s="38" t="s">
        <v>1354</v>
      </c>
      <c r="C492" s="38">
        <v>360</v>
      </c>
      <c r="D492" s="38">
        <f t="shared" si="32"/>
        <v>3.3445126766320759E-3</v>
      </c>
      <c r="E492" s="38">
        <v>356</v>
      </c>
      <c r="F492" s="38">
        <f t="shared" si="33"/>
        <v>161.47907575908775</v>
      </c>
      <c r="G492" s="38" t="s">
        <v>1182</v>
      </c>
      <c r="H492">
        <v>2016</v>
      </c>
      <c r="I492">
        <f t="shared" si="31"/>
        <v>0.98888888888888893</v>
      </c>
      <c r="J492" s="40">
        <f t="shared" si="34"/>
        <v>48281.795098979012</v>
      </c>
    </row>
    <row r="493" spans="1:10" x14ac:dyDescent="0.25">
      <c r="A493" s="44" t="s">
        <v>1345</v>
      </c>
      <c r="B493" s="38" t="s">
        <v>1355</v>
      </c>
      <c r="C493" s="38">
        <v>844</v>
      </c>
      <c r="D493" s="38">
        <f t="shared" si="32"/>
        <v>7.8410241641040882E-3</v>
      </c>
      <c r="E493" s="38">
        <v>1774</v>
      </c>
      <c r="F493" s="38">
        <f t="shared" si="33"/>
        <v>804.67382133882495</v>
      </c>
      <c r="G493" s="38" t="s">
        <v>1182</v>
      </c>
      <c r="H493">
        <v>2018</v>
      </c>
      <c r="I493">
        <f t="shared" si="31"/>
        <v>2.1018957345971563</v>
      </c>
      <c r="J493" s="40">
        <f t="shared" si="34"/>
        <v>102623.56096574619</v>
      </c>
    </row>
    <row r="494" spans="1:10" x14ac:dyDescent="0.25">
      <c r="A494" s="44" t="s">
        <v>1345</v>
      </c>
      <c r="B494" s="38" t="s">
        <v>1356</v>
      </c>
      <c r="C494" s="38">
        <v>220</v>
      </c>
      <c r="D494" s="38">
        <f t="shared" si="32"/>
        <v>2.0438688579418243E-3</v>
      </c>
      <c r="E494" s="38">
        <v>148</v>
      </c>
      <c r="F494" s="38">
        <f t="shared" si="33"/>
        <v>67.131750596474689</v>
      </c>
      <c r="G494" s="38" t="s">
        <v>1182</v>
      </c>
      <c r="H494">
        <v>2014</v>
      </c>
      <c r="I494">
        <f t="shared" si="31"/>
        <v>0.67272727272727273</v>
      </c>
      <c r="J494" s="40">
        <f t="shared" si="34"/>
        <v>32845.429556608811</v>
      </c>
    </row>
    <row r="495" spans="1:10" x14ac:dyDescent="0.25">
      <c r="A495" s="44" t="s">
        <v>1345</v>
      </c>
      <c r="B495" s="38" t="s">
        <v>1357</v>
      </c>
      <c r="C495" s="38">
        <v>975</v>
      </c>
      <c r="D495" s="38">
        <f t="shared" si="32"/>
        <v>9.058055165878539E-3</v>
      </c>
      <c r="E495" s="38">
        <v>3120</v>
      </c>
      <c r="F495" s="38">
        <f t="shared" si="33"/>
        <v>1415.2098774391959</v>
      </c>
      <c r="G495" s="38" t="s">
        <v>1182</v>
      </c>
      <c r="H495">
        <v>2020</v>
      </c>
      <c r="I495">
        <f t="shared" si="31"/>
        <v>3.2</v>
      </c>
      <c r="J495" s="40">
        <f t="shared" si="34"/>
        <v>156237.71897197704</v>
      </c>
    </row>
    <row r="496" spans="1:10" x14ac:dyDescent="0.25">
      <c r="A496" s="44" t="s">
        <v>1345</v>
      </c>
      <c r="B496" s="38" t="s">
        <v>1358</v>
      </c>
      <c r="C496" s="38">
        <v>213</v>
      </c>
      <c r="D496" s="38">
        <f t="shared" si="32"/>
        <v>1.9788366670073117E-3</v>
      </c>
      <c r="E496" s="38">
        <v>257</v>
      </c>
      <c r="F496" s="38">
        <f t="shared" si="33"/>
        <v>116.57337772495941</v>
      </c>
      <c r="G496" s="38" t="s">
        <v>1182</v>
      </c>
      <c r="H496">
        <v>2016</v>
      </c>
      <c r="I496">
        <f t="shared" si="31"/>
        <v>1.2065727699530517</v>
      </c>
      <c r="J496" s="40">
        <f t="shared" si="34"/>
        <v>58910.055422238991</v>
      </c>
    </row>
    <row r="497" spans="1:10" x14ac:dyDescent="0.25">
      <c r="A497" s="44" t="s">
        <v>1345</v>
      </c>
      <c r="B497" s="38" t="s">
        <v>1358</v>
      </c>
      <c r="C497" s="38">
        <v>360</v>
      </c>
      <c r="D497" s="38">
        <f t="shared" si="32"/>
        <v>3.3445126766320759E-3</v>
      </c>
      <c r="E497" s="38">
        <v>482</v>
      </c>
      <c r="F497" s="38">
        <f t="shared" si="33"/>
        <v>218.63178234797834</v>
      </c>
      <c r="G497" s="38" t="s">
        <v>1182</v>
      </c>
      <c r="H497">
        <v>2016</v>
      </c>
      <c r="I497">
        <f t="shared" si="31"/>
        <v>1.3388888888888888</v>
      </c>
      <c r="J497" s="40">
        <f t="shared" si="34"/>
        <v>65370.295611538997</v>
      </c>
    </row>
    <row r="498" spans="1:10" x14ac:dyDescent="0.25">
      <c r="A498" s="44" t="s">
        <v>1345</v>
      </c>
      <c r="B498" s="38" t="s">
        <v>1358</v>
      </c>
      <c r="C498" s="38">
        <v>288</v>
      </c>
      <c r="D498" s="38">
        <f t="shared" si="32"/>
        <v>2.6756101413056605E-3</v>
      </c>
      <c r="E498" s="38">
        <v>690</v>
      </c>
      <c r="F498" s="38">
        <f t="shared" si="33"/>
        <v>312.9791075105914</v>
      </c>
      <c r="G498" s="38" t="s">
        <v>1182</v>
      </c>
      <c r="H498">
        <v>2017</v>
      </c>
      <c r="I498">
        <f t="shared" si="31"/>
        <v>2.3958333333333335</v>
      </c>
      <c r="J498" s="40">
        <f t="shared" si="34"/>
        <v>116974.85469907135</v>
      </c>
    </row>
    <row r="499" spans="1:10" x14ac:dyDescent="0.25">
      <c r="A499" s="44" t="s">
        <v>1345</v>
      </c>
      <c r="B499" s="38" t="s">
        <v>1358</v>
      </c>
      <c r="C499" s="38">
        <v>427</v>
      </c>
      <c r="D499" s="38">
        <f t="shared" si="32"/>
        <v>3.9669636470052675E-3</v>
      </c>
      <c r="E499" s="38">
        <v>188</v>
      </c>
      <c r="F499" s="38">
        <f t="shared" si="33"/>
        <v>85.275466973900265</v>
      </c>
      <c r="G499" s="38" t="s">
        <v>1182</v>
      </c>
      <c r="H499">
        <v>2017</v>
      </c>
      <c r="I499">
        <f t="shared" si="31"/>
        <v>0.44028103044496486</v>
      </c>
      <c r="J499" s="40">
        <f t="shared" si="34"/>
        <v>21496.407469797778</v>
      </c>
    </row>
    <row r="500" spans="1:10" x14ac:dyDescent="0.25">
      <c r="A500" s="44" t="s">
        <v>1345</v>
      </c>
      <c r="B500" s="38" t="s">
        <v>1359</v>
      </c>
      <c r="C500" s="38">
        <v>1080</v>
      </c>
      <c r="D500" s="38">
        <f t="shared" si="32"/>
        <v>1.0033538029896228E-2</v>
      </c>
      <c r="E500" s="38">
        <v>941</v>
      </c>
      <c r="F500" s="38">
        <f t="shared" si="33"/>
        <v>426.830927778937</v>
      </c>
      <c r="G500" s="38" t="s">
        <v>1182</v>
      </c>
      <c r="H500">
        <v>2017</v>
      </c>
      <c r="I500">
        <f t="shared" si="31"/>
        <v>0.87129629629629635</v>
      </c>
      <c r="J500" s="40">
        <f t="shared" si="34"/>
        <v>42540.420588145367</v>
      </c>
    </row>
    <row r="501" spans="1:10" x14ac:dyDescent="0.25">
      <c r="A501" s="44" t="s">
        <v>1345</v>
      </c>
      <c r="B501" s="38" t="s">
        <v>1359</v>
      </c>
      <c r="C501" s="38">
        <v>2280</v>
      </c>
      <c r="D501" s="38">
        <f t="shared" si="32"/>
        <v>2.1181913618669813E-2</v>
      </c>
      <c r="E501" s="38">
        <v>1983</v>
      </c>
      <c r="F501" s="38">
        <f t="shared" si="33"/>
        <v>899.47473941087355</v>
      </c>
      <c r="G501" s="38" t="s">
        <v>1182</v>
      </c>
      <c r="H501">
        <v>2019</v>
      </c>
      <c r="I501">
        <f t="shared" si="31"/>
        <v>0.86973684210526314</v>
      </c>
      <c r="J501" s="40">
        <f t="shared" si="34"/>
        <v>42464.281348880271</v>
      </c>
    </row>
    <row r="502" spans="1:10" x14ac:dyDescent="0.25">
      <c r="A502" s="44" t="s">
        <v>1345</v>
      </c>
      <c r="B502" s="38" t="s">
        <v>1240</v>
      </c>
      <c r="C502" s="38">
        <v>400</v>
      </c>
      <c r="D502" s="38">
        <f t="shared" si="32"/>
        <v>3.7161251962578618E-3</v>
      </c>
      <c r="E502" s="38">
        <v>141</v>
      </c>
      <c r="F502" s="38">
        <f t="shared" si="33"/>
        <v>63.956600230425202</v>
      </c>
      <c r="G502" s="38" t="s">
        <v>1182</v>
      </c>
      <c r="H502">
        <v>2017</v>
      </c>
      <c r="I502">
        <f t="shared" si="31"/>
        <v>0.35249999999999998</v>
      </c>
      <c r="J502" s="40">
        <f t="shared" si="34"/>
        <v>17210.561230506846</v>
      </c>
    </row>
    <row r="503" spans="1:10" x14ac:dyDescent="0.25">
      <c r="A503" s="45" t="s">
        <v>1107</v>
      </c>
      <c r="B503" s="38" t="s">
        <v>1360</v>
      </c>
      <c r="C503" s="38">
        <v>336</v>
      </c>
      <c r="D503" s="38">
        <f t="shared" si="32"/>
        <v>3.1215451648566039E-3</v>
      </c>
      <c r="E503" s="38">
        <v>65</v>
      </c>
      <c r="F503" s="38">
        <f t="shared" si="33"/>
        <v>29.483539113316585</v>
      </c>
      <c r="G503" s="38" t="s">
        <v>1182</v>
      </c>
      <c r="H503">
        <v>2013</v>
      </c>
      <c r="I503">
        <f t="shared" si="31"/>
        <v>0.19345238095238096</v>
      </c>
      <c r="J503" s="40">
        <f t="shared" si="34"/>
        <v>9445.1746030306076</v>
      </c>
    </row>
    <row r="504" spans="1:10" x14ac:dyDescent="0.25">
      <c r="A504" s="45" t="s">
        <v>1107</v>
      </c>
      <c r="B504" s="38" t="s">
        <v>1360</v>
      </c>
      <c r="C504" s="38">
        <v>336</v>
      </c>
      <c r="D504" s="38">
        <f t="shared" si="32"/>
        <v>3.1215451648566039E-3</v>
      </c>
      <c r="E504" s="38">
        <v>74</v>
      </c>
      <c r="F504" s="38">
        <f t="shared" si="33"/>
        <v>33.565875298237344</v>
      </c>
      <c r="G504" s="38" t="s">
        <v>1182</v>
      </c>
      <c r="H504">
        <v>2013</v>
      </c>
      <c r="I504">
        <f t="shared" si="31"/>
        <v>0.22023809523809523</v>
      </c>
      <c r="J504" s="40">
        <f t="shared" si="34"/>
        <v>10752.968009604076</v>
      </c>
    </row>
    <row r="505" spans="1:10" x14ac:dyDescent="0.25">
      <c r="A505" s="45" t="s">
        <v>1107</v>
      </c>
      <c r="B505" s="38" t="s">
        <v>1360</v>
      </c>
      <c r="C505" s="38">
        <v>336</v>
      </c>
      <c r="D505" s="38">
        <f t="shared" si="32"/>
        <v>3.1215451648566039E-3</v>
      </c>
      <c r="E505" s="38">
        <v>44</v>
      </c>
      <c r="F505" s="38">
        <f t="shared" si="33"/>
        <v>19.958088015168148</v>
      </c>
      <c r="G505" s="38" t="s">
        <v>1182</v>
      </c>
      <c r="H505">
        <v>2013</v>
      </c>
      <c r="I505">
        <f t="shared" si="31"/>
        <v>0.13095238095238096</v>
      </c>
      <c r="J505" s="40">
        <f t="shared" si="34"/>
        <v>6393.6566543591798</v>
      </c>
    </row>
    <row r="506" spans="1:10" x14ac:dyDescent="0.25">
      <c r="A506" s="45" t="s">
        <v>1107</v>
      </c>
      <c r="B506" s="38" t="s">
        <v>1361</v>
      </c>
      <c r="C506" s="38">
        <v>336</v>
      </c>
      <c r="D506" s="38">
        <f t="shared" si="32"/>
        <v>3.1215451648566039E-3</v>
      </c>
      <c r="E506" s="38">
        <v>50</v>
      </c>
      <c r="F506" s="38">
        <f t="shared" si="33"/>
        <v>22.679645471781988</v>
      </c>
      <c r="G506" s="38" t="s">
        <v>1182</v>
      </c>
      <c r="H506">
        <v>2013</v>
      </c>
      <c r="I506">
        <f t="shared" si="31"/>
        <v>0.14880952380952381</v>
      </c>
      <c r="J506" s="40">
        <f t="shared" si="34"/>
        <v>7265.5189254081597</v>
      </c>
    </row>
    <row r="507" spans="1:10" x14ac:dyDescent="0.25">
      <c r="A507" s="45" t="s">
        <v>1107</v>
      </c>
      <c r="B507" s="38" t="s">
        <v>1361</v>
      </c>
      <c r="C507" s="38">
        <v>336</v>
      </c>
      <c r="D507" s="38">
        <f t="shared" si="32"/>
        <v>3.1215451648566039E-3</v>
      </c>
      <c r="E507" s="38">
        <v>73</v>
      </c>
      <c r="F507" s="38">
        <f t="shared" si="33"/>
        <v>33.112282388801702</v>
      </c>
      <c r="G507" s="38" t="s">
        <v>1182</v>
      </c>
      <c r="H507">
        <v>2013</v>
      </c>
      <c r="I507">
        <f t="shared" si="31"/>
        <v>0.21726190476190477</v>
      </c>
      <c r="J507" s="40">
        <f t="shared" si="34"/>
        <v>10607.657631095912</v>
      </c>
    </row>
    <row r="508" spans="1:10" x14ac:dyDescent="0.25">
      <c r="A508" s="45" t="s">
        <v>1107</v>
      </c>
      <c r="B508" s="38" t="s">
        <v>1361</v>
      </c>
      <c r="C508" s="38">
        <v>336</v>
      </c>
      <c r="D508" s="38">
        <f t="shared" si="32"/>
        <v>3.1215451648566039E-3</v>
      </c>
      <c r="E508" s="38">
        <v>55</v>
      </c>
      <c r="F508" s="38">
        <f t="shared" si="33"/>
        <v>24.947610018960187</v>
      </c>
      <c r="G508" s="38" t="s">
        <v>1182</v>
      </c>
      <c r="H508">
        <v>2013</v>
      </c>
      <c r="I508">
        <f t="shared" si="31"/>
        <v>0.16369047619047619</v>
      </c>
      <c r="J508" s="40">
        <f t="shared" si="34"/>
        <v>7992.0708179489748</v>
      </c>
    </row>
    <row r="509" spans="1:10" x14ac:dyDescent="0.25">
      <c r="A509" s="45" t="s">
        <v>1107</v>
      </c>
      <c r="B509" s="38" t="s">
        <v>1240</v>
      </c>
      <c r="C509" s="38">
        <v>21450</v>
      </c>
      <c r="D509" s="38">
        <f t="shared" si="32"/>
        <v>0.19927721364932785</v>
      </c>
      <c r="E509" s="38">
        <v>3865</v>
      </c>
      <c r="F509" s="38">
        <f t="shared" si="33"/>
        <v>1753.1365949687477</v>
      </c>
      <c r="G509" s="38" t="s">
        <v>1182</v>
      </c>
      <c r="H509">
        <v>2013</v>
      </c>
      <c r="I509">
        <f t="shared" si="31"/>
        <v>0.18018648018648017</v>
      </c>
      <c r="J509" s="40">
        <f t="shared" si="34"/>
        <v>8797.476454351563</v>
      </c>
    </row>
    <row r="510" spans="1:10" x14ac:dyDescent="0.25">
      <c r="A510" s="45" t="s">
        <v>102</v>
      </c>
      <c r="B510" s="38" t="s">
        <v>1362</v>
      </c>
      <c r="C510" s="38">
        <v>240</v>
      </c>
      <c r="D510" s="38">
        <f t="shared" si="32"/>
        <v>2.229675117754717E-3</v>
      </c>
      <c r="E510" s="38">
        <v>366</v>
      </c>
      <c r="F510" s="38">
        <f t="shared" si="33"/>
        <v>166.01500485344414</v>
      </c>
      <c r="G510" s="38" t="s">
        <v>1182</v>
      </c>
      <c r="H510">
        <v>2015</v>
      </c>
      <c r="I510">
        <f t="shared" si="31"/>
        <v>1.5249999999999999</v>
      </c>
      <c r="J510" s="40">
        <f t="shared" si="34"/>
        <v>74457.037947582809</v>
      </c>
    </row>
    <row r="511" spans="1:10" x14ac:dyDescent="0.25">
      <c r="A511" s="45" t="s">
        <v>102</v>
      </c>
      <c r="B511" s="38" t="s">
        <v>1363</v>
      </c>
      <c r="C511" s="38">
        <v>3850</v>
      </c>
      <c r="D511" s="38">
        <f t="shared" si="32"/>
        <v>3.5767705013981924E-2</v>
      </c>
      <c r="E511" s="38">
        <v>2261</v>
      </c>
      <c r="F511" s="38">
        <f t="shared" si="33"/>
        <v>1025.5735682339814</v>
      </c>
      <c r="G511" s="38" t="s">
        <v>1182</v>
      </c>
      <c r="H511">
        <v>2019</v>
      </c>
      <c r="I511">
        <f t="shared" si="31"/>
        <v>0.58727272727272728</v>
      </c>
      <c r="J511" s="40">
        <f t="shared" si="34"/>
        <v>28673.172288607147</v>
      </c>
    </row>
    <row r="512" spans="1:10" x14ac:dyDescent="0.25">
      <c r="A512" s="45" t="s">
        <v>102</v>
      </c>
      <c r="B512" s="38" t="s">
        <v>1240</v>
      </c>
      <c r="C512" s="38">
        <v>1225</v>
      </c>
      <c r="D512" s="38">
        <f t="shared" si="32"/>
        <v>1.1380633413539702E-2</v>
      </c>
      <c r="E512" s="38">
        <v>1918</v>
      </c>
      <c r="F512" s="38">
        <f t="shared" si="33"/>
        <v>869.99120029755704</v>
      </c>
      <c r="G512" s="38" t="s">
        <v>1204</v>
      </c>
      <c r="H512">
        <v>2020</v>
      </c>
      <c r="I512">
        <f t="shared" si="31"/>
        <v>1.5657142857142856</v>
      </c>
      <c r="J512" s="40">
        <f t="shared" si="34"/>
        <v>76444.883925574482</v>
      </c>
    </row>
    <row r="513" spans="1:26" x14ac:dyDescent="0.25">
      <c r="A513" s="45" t="s">
        <v>1364</v>
      </c>
      <c r="B513" s="38" t="s">
        <v>1365</v>
      </c>
      <c r="C513" s="38">
        <v>240</v>
      </c>
      <c r="D513" s="38">
        <f t="shared" si="32"/>
        <v>2.229675117754717E-3</v>
      </c>
      <c r="E513" s="38">
        <v>33</v>
      </c>
      <c r="F513" s="38">
        <f t="shared" si="33"/>
        <v>14.968566011376112</v>
      </c>
      <c r="G513" s="38" t="s">
        <v>1204</v>
      </c>
      <c r="H513">
        <v>2018</v>
      </c>
      <c r="I513">
        <f t="shared" si="31"/>
        <v>0.13750000000000001</v>
      </c>
      <c r="J513" s="40">
        <f t="shared" si="34"/>
        <v>6713.339487077139</v>
      </c>
    </row>
    <row r="514" spans="1:26" x14ac:dyDescent="0.25">
      <c r="A514" s="45" t="s">
        <v>1364</v>
      </c>
      <c r="B514" s="38" t="s">
        <v>1365</v>
      </c>
      <c r="C514" s="38">
        <v>240</v>
      </c>
      <c r="D514" s="38">
        <f t="shared" si="32"/>
        <v>2.229675117754717E-3</v>
      </c>
      <c r="E514" s="38">
        <v>26</v>
      </c>
      <c r="F514" s="38">
        <f t="shared" si="33"/>
        <v>11.793415645326633</v>
      </c>
      <c r="G514" s="38" t="s">
        <v>1204</v>
      </c>
      <c r="H514">
        <v>2018</v>
      </c>
      <c r="I514">
        <f t="shared" si="31"/>
        <v>0.10833333333333334</v>
      </c>
      <c r="J514" s="40">
        <f t="shared" si="34"/>
        <v>5289.2977776971393</v>
      </c>
    </row>
    <row r="515" spans="1:26" x14ac:dyDescent="0.25">
      <c r="A515" s="45" t="s">
        <v>1364</v>
      </c>
      <c r="B515" s="38" t="s">
        <v>1366</v>
      </c>
      <c r="C515" s="38">
        <v>240</v>
      </c>
      <c r="D515" s="38">
        <f t="shared" si="32"/>
        <v>2.229675117754717E-3</v>
      </c>
      <c r="E515" s="38">
        <v>11</v>
      </c>
      <c r="F515" s="38">
        <f t="shared" si="33"/>
        <v>4.9895220037920369</v>
      </c>
      <c r="G515" s="38" t="s">
        <v>1204</v>
      </c>
      <c r="H515">
        <v>2018</v>
      </c>
      <c r="I515">
        <f t="shared" si="31"/>
        <v>4.583333333333333E-2</v>
      </c>
      <c r="J515" s="40">
        <f t="shared" si="34"/>
        <v>2237.7798290257128</v>
      </c>
    </row>
    <row r="516" spans="1:26" x14ac:dyDescent="0.25">
      <c r="A516" s="45" t="s">
        <v>1364</v>
      </c>
      <c r="B516" s="38" t="s">
        <v>1366</v>
      </c>
      <c r="C516" s="38">
        <v>240</v>
      </c>
      <c r="D516" s="38">
        <f t="shared" si="32"/>
        <v>2.229675117754717E-3</v>
      </c>
      <c r="E516" s="38">
        <v>22</v>
      </c>
      <c r="F516" s="38">
        <f t="shared" si="33"/>
        <v>9.9790440075840738</v>
      </c>
      <c r="G516" s="38" t="s">
        <v>1204</v>
      </c>
      <c r="H516">
        <v>2018</v>
      </c>
      <c r="I516">
        <f>E516/C516</f>
        <v>9.166666666666666E-2</v>
      </c>
      <c r="J516" s="40">
        <f t="shared" si="34"/>
        <v>4475.5596580514257</v>
      </c>
    </row>
    <row r="517" spans="1:26" x14ac:dyDescent="0.25">
      <c r="A517" s="45" t="s">
        <v>1364</v>
      </c>
      <c r="B517" s="38" t="s">
        <v>1367</v>
      </c>
      <c r="C517" s="38">
        <v>240</v>
      </c>
      <c r="D517" s="38">
        <f>C517/107639</f>
        <v>2.229675117754717E-3</v>
      </c>
      <c r="E517" s="38">
        <v>44</v>
      </c>
      <c r="F517" s="38">
        <f>E517/2.20462</f>
        <v>19.958088015168148</v>
      </c>
      <c r="G517" s="38" t="s">
        <v>1204</v>
      </c>
      <c r="H517">
        <v>2018</v>
      </c>
      <c r="I517">
        <f>E517/C517</f>
        <v>0.18333333333333332</v>
      </c>
      <c r="J517" s="40">
        <f t="shared" si="34"/>
        <v>8951.1193161028514</v>
      </c>
    </row>
    <row r="518" spans="1:26" x14ac:dyDescent="0.25">
      <c r="A518" s="45" t="s">
        <v>1364</v>
      </c>
      <c r="B518" s="38" t="s">
        <v>1367</v>
      </c>
      <c r="C518" s="38">
        <v>240</v>
      </c>
      <c r="D518" s="38">
        <f>C518/107639</f>
        <v>2.229675117754717E-3</v>
      </c>
      <c r="E518" s="38">
        <v>51</v>
      </c>
      <c r="F518" s="38">
        <f>E518/2.20462</f>
        <v>23.133238381217627</v>
      </c>
      <c r="G518" s="38" t="s">
        <v>1204</v>
      </c>
      <c r="H518">
        <v>2018</v>
      </c>
      <c r="I518">
        <f>E518/C518</f>
        <v>0.21249999999999999</v>
      </c>
      <c r="J518" s="40">
        <f>F518/D518</f>
        <v>10375.161025482852</v>
      </c>
    </row>
    <row r="519" spans="1:26" x14ac:dyDescent="0.25">
      <c r="A519" s="45" t="s">
        <v>1364</v>
      </c>
      <c r="B519" s="38" t="s">
        <v>1368</v>
      </c>
      <c r="C519" s="38">
        <v>240</v>
      </c>
      <c r="D519" s="38">
        <f>C519/107639</f>
        <v>2.229675117754717E-3</v>
      </c>
      <c r="E519" s="38">
        <v>40</v>
      </c>
      <c r="F519" s="38">
        <f>E519/2.20462</f>
        <v>18.143716377425591</v>
      </c>
      <c r="G519" s="38" t="s">
        <v>1204</v>
      </c>
      <c r="H519">
        <v>2018</v>
      </c>
      <c r="I519">
        <f>E519/C519</f>
        <v>0.16666666666666666</v>
      </c>
      <c r="J519" s="40">
        <f>F519/D519</f>
        <v>8137.3811964571387</v>
      </c>
    </row>
    <row r="520" spans="1:26" x14ac:dyDescent="0.25">
      <c r="A520" s="46" t="s">
        <v>1364</v>
      </c>
      <c r="B520" s="47" t="s">
        <v>1368</v>
      </c>
      <c r="C520" s="47">
        <v>240</v>
      </c>
      <c r="D520" s="47">
        <f>C520/107639</f>
        <v>2.229675117754717E-3</v>
      </c>
      <c r="E520" s="47">
        <v>20</v>
      </c>
      <c r="F520" s="47">
        <f>E520/2.20462</f>
        <v>9.0718581887127954</v>
      </c>
      <c r="G520" s="47" t="s">
        <v>1204</v>
      </c>
      <c r="H520" s="43">
        <v>2018</v>
      </c>
      <c r="I520" s="43">
        <f>E520/C520</f>
        <v>8.3333333333333329E-2</v>
      </c>
      <c r="J520" s="42">
        <f>F520/D520</f>
        <v>4068.6905982285693</v>
      </c>
    </row>
    <row r="521" spans="1:26" ht="26.25" customHeight="1" x14ac:dyDescent="0.25">
      <c r="A521" s="38"/>
      <c r="B521" s="38"/>
      <c r="C521" s="38"/>
      <c r="D521" s="38"/>
      <c r="E521" s="38"/>
      <c r="F521" s="38"/>
      <c r="G521" s="38"/>
      <c r="H521" s="38"/>
    </row>
    <row r="522" spans="1:26" ht="45" customHeight="1" x14ac:dyDescent="0.25">
      <c r="A522" s="38"/>
      <c r="B522" s="38"/>
      <c r="C522" s="38"/>
      <c r="D522" s="38"/>
      <c r="E522" s="38"/>
      <c r="F522" s="38"/>
      <c r="G522" s="38"/>
      <c r="H522" s="38"/>
      <c r="I522" s="38"/>
      <c r="J522" s="38"/>
      <c r="K522" s="38"/>
      <c r="L522" s="38"/>
      <c r="M522" s="38"/>
      <c r="N522" s="38"/>
      <c r="O522" s="38"/>
      <c r="P522" s="38"/>
      <c r="Q522" s="38"/>
      <c r="R522" s="38"/>
      <c r="S522" s="31"/>
      <c r="Z522" s="48"/>
    </row>
    <row r="523" spans="1:26" x14ac:dyDescent="0.25">
      <c r="A523" s="38"/>
      <c r="B523" s="38"/>
      <c r="C523" s="38"/>
      <c r="D523" s="38"/>
      <c r="E523" s="38"/>
      <c r="F523" s="38"/>
      <c r="G523" s="38"/>
      <c r="H523" s="38"/>
      <c r="I523" s="38"/>
      <c r="J523" s="38"/>
      <c r="K523" s="38"/>
      <c r="L523" s="38"/>
      <c r="M523" s="38"/>
      <c r="N523" s="38"/>
      <c r="O523" s="38"/>
      <c r="P523" s="38"/>
      <c r="Q523" s="38"/>
      <c r="R523" s="38"/>
      <c r="S523" s="38"/>
      <c r="Z523" s="48"/>
    </row>
    <row r="524" spans="1:26" ht="24" customHeight="1" x14ac:dyDescent="0.25">
      <c r="A524" s="38"/>
      <c r="B524" s="38"/>
      <c r="C524" s="38"/>
      <c r="D524" s="38"/>
      <c r="E524" s="38"/>
      <c r="F524" s="38"/>
      <c r="G524" s="38"/>
      <c r="H524" s="38"/>
      <c r="I524" s="38"/>
      <c r="J524" s="38"/>
      <c r="K524" s="38"/>
      <c r="L524" s="38"/>
      <c r="M524" s="38"/>
      <c r="N524" s="38"/>
      <c r="O524" s="38"/>
      <c r="P524" s="38"/>
      <c r="Q524" s="38"/>
      <c r="R524" s="38"/>
      <c r="S524" s="31"/>
      <c r="Z524" s="48"/>
    </row>
    <row r="525" spans="1:26" ht="14.25" customHeight="1" x14ac:dyDescent="0.25">
      <c r="A525" s="38"/>
      <c r="B525" s="38"/>
      <c r="C525" s="38"/>
      <c r="D525" s="38"/>
      <c r="E525" s="38"/>
      <c r="F525" s="38"/>
      <c r="G525" s="38"/>
      <c r="H525" s="38"/>
      <c r="I525" s="38"/>
      <c r="J525" s="38"/>
      <c r="K525" s="38"/>
      <c r="L525" s="38"/>
      <c r="M525" s="38"/>
      <c r="N525" s="38"/>
      <c r="O525" s="38"/>
      <c r="P525" s="38"/>
      <c r="Q525" s="38"/>
      <c r="R525" s="38"/>
      <c r="S525" s="31"/>
      <c r="Z525" s="48"/>
    </row>
    <row r="526" spans="1:26" x14ac:dyDescent="0.25">
      <c r="A526" s="38"/>
      <c r="B526" s="38"/>
      <c r="C526" s="38"/>
      <c r="D526" s="38"/>
      <c r="E526" s="38"/>
      <c r="F526" s="38"/>
      <c r="G526" s="38"/>
      <c r="H526" s="38"/>
      <c r="I526" s="38"/>
      <c r="J526" s="38"/>
      <c r="K526" s="38"/>
      <c r="L526" s="38"/>
      <c r="M526" s="38"/>
      <c r="N526" s="38"/>
      <c r="O526" s="38"/>
      <c r="P526" s="38"/>
      <c r="Q526" s="38"/>
      <c r="R526" s="38"/>
      <c r="S526" s="38"/>
      <c r="Z526" s="48"/>
    </row>
    <row r="527" spans="1:26" ht="19.5" customHeight="1" x14ac:dyDescent="0.25">
      <c r="A527" s="38"/>
      <c r="B527" s="38"/>
      <c r="C527" s="38"/>
      <c r="D527" s="38"/>
      <c r="E527" s="38"/>
      <c r="F527" s="38"/>
      <c r="G527" s="38"/>
      <c r="H527" s="38"/>
      <c r="I527" s="38"/>
      <c r="J527" s="38"/>
      <c r="K527" s="38"/>
      <c r="L527" s="38"/>
      <c r="M527" s="38"/>
      <c r="N527" s="38"/>
      <c r="O527" s="38"/>
      <c r="P527" s="38"/>
      <c r="Q527" s="38"/>
      <c r="R527" s="38"/>
      <c r="S527" s="31"/>
      <c r="Z527" s="48"/>
    </row>
    <row r="528" spans="1:26" x14ac:dyDescent="0.25">
      <c r="A528" s="38"/>
      <c r="B528" s="38"/>
      <c r="C528" s="38"/>
      <c r="D528" s="38"/>
      <c r="E528" s="38"/>
      <c r="F528" s="38"/>
      <c r="G528" s="38"/>
      <c r="H528" s="38"/>
      <c r="I528" s="38"/>
      <c r="J528" s="38"/>
      <c r="K528" s="38"/>
      <c r="L528" s="38"/>
      <c r="M528" s="38"/>
      <c r="N528" s="38"/>
      <c r="O528" s="38"/>
      <c r="P528" s="38"/>
      <c r="Q528" s="38"/>
      <c r="R528" s="38"/>
      <c r="S528" s="38"/>
      <c r="Z528" s="48"/>
    </row>
    <row r="529" spans="1:26" x14ac:dyDescent="0.25">
      <c r="A529" s="38"/>
      <c r="B529" s="38"/>
      <c r="C529" s="38"/>
      <c r="D529" s="38"/>
      <c r="E529" s="38"/>
      <c r="F529" s="38"/>
      <c r="G529" s="38"/>
      <c r="H529" s="38"/>
      <c r="I529" s="38"/>
      <c r="J529" s="38"/>
      <c r="K529" s="38"/>
      <c r="L529" s="38"/>
      <c r="M529" s="38"/>
      <c r="N529" s="38"/>
      <c r="O529" s="38"/>
      <c r="P529" s="38"/>
      <c r="Q529" s="38"/>
      <c r="R529" s="38"/>
      <c r="S529" s="38"/>
      <c r="Z529" s="48"/>
    </row>
  </sheetData>
  <mergeCells count="3">
    <mergeCell ref="V3:AM3"/>
    <mergeCell ref="U14:AG14"/>
    <mergeCell ref="M2:P2"/>
  </mergeCells>
  <hyperlinks>
    <hyperlink ref="U15" r:id="rId1" xr:uid="{7BB89B2C-D276-4CD7-B78F-9EEF00478E68}"/>
  </hyperlinks>
  <pageMargins left="0.7" right="0.7" top="0.75" bottom="0.75" header="0.3" footer="0.3"/>
  <pageSetup orientation="portrait" horizontalDpi="4294967293" verticalDpi="0"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4A8B-A057-4826-AEBB-F1D94CB233E6}">
  <sheetPr>
    <tabColor theme="9" tint="0.79998168889431442"/>
  </sheetPr>
  <dimension ref="A1:Q98"/>
  <sheetViews>
    <sheetView zoomScale="80" zoomScaleNormal="80" workbookViewId="0">
      <pane ySplit="3" topLeftCell="A77" activePane="bottomLeft" state="frozen"/>
      <selection pane="bottomLeft" activeCell="B92" sqref="B92:H92"/>
    </sheetView>
  </sheetViews>
  <sheetFormatPr defaultColWidth="8.85546875" defaultRowHeight="15" x14ac:dyDescent="0.25"/>
  <cols>
    <col min="1" max="1" width="31.5703125" bestFit="1" customWidth="1"/>
    <col min="2" max="2" width="12" customWidth="1"/>
    <col min="3" max="3" width="10.7109375" customWidth="1"/>
    <col min="4" max="4" width="16.5703125" customWidth="1"/>
    <col min="5" max="5" width="15" customWidth="1"/>
    <col min="6" max="6" width="14.28515625" customWidth="1"/>
    <col min="7" max="7" width="12" customWidth="1"/>
    <col min="8" max="8" width="22.28515625" customWidth="1"/>
    <col min="9" max="9" width="15.5703125" customWidth="1"/>
    <col min="10" max="10" width="15.85546875" customWidth="1"/>
    <col min="11" max="11" width="15.28515625" customWidth="1"/>
    <col min="12" max="12" width="12.42578125" customWidth="1"/>
    <col min="13" max="13" width="4.5703125" customWidth="1"/>
    <col min="14" max="14" width="15.85546875" customWidth="1"/>
    <col min="15" max="15" width="15" customWidth="1"/>
    <col min="16" max="16" width="9.7109375" customWidth="1"/>
  </cols>
  <sheetData>
    <row r="1" spans="1:14" x14ac:dyDescent="0.25">
      <c r="A1" s="1113" t="s">
        <v>1369</v>
      </c>
      <c r="B1" s="1113"/>
      <c r="C1" s="1113"/>
      <c r="D1" s="1113"/>
      <c r="E1" s="1113"/>
      <c r="F1" s="1113"/>
      <c r="G1" s="1113"/>
      <c r="H1" s="1113"/>
      <c r="I1" s="1113"/>
      <c r="J1" s="1113"/>
      <c r="K1" s="1113"/>
      <c r="L1" s="1113"/>
    </row>
    <row r="2" spans="1:14" x14ac:dyDescent="0.25">
      <c r="D2" s="1185" t="s">
        <v>1370</v>
      </c>
      <c r="E2" s="1185"/>
      <c r="F2" s="1185"/>
      <c r="G2" s="1185"/>
      <c r="I2" s="1185" t="s">
        <v>1371</v>
      </c>
      <c r="J2" s="1185"/>
      <c r="K2" s="1185"/>
      <c r="L2" s="1185"/>
    </row>
    <row r="3" spans="1:14" ht="60" x14ac:dyDescent="0.25">
      <c r="A3" s="7" t="s">
        <v>814</v>
      </c>
      <c r="B3" s="28" t="s">
        <v>1372</v>
      </c>
      <c r="C3" s="28" t="s">
        <v>1373</v>
      </c>
      <c r="D3" s="153" t="s">
        <v>1374</v>
      </c>
      <c r="E3" s="153" t="s">
        <v>1375</v>
      </c>
      <c r="F3" s="153" t="s">
        <v>1376</v>
      </c>
      <c r="G3" s="153" t="s">
        <v>1377</v>
      </c>
      <c r="H3" s="550" t="s">
        <v>1378</v>
      </c>
      <c r="I3" s="153" t="s">
        <v>1374</v>
      </c>
      <c r="J3" s="153" t="s">
        <v>1375</v>
      </c>
      <c r="K3" s="153" t="s">
        <v>1376</v>
      </c>
      <c r="L3" s="153" t="s">
        <v>1377</v>
      </c>
    </row>
    <row r="4" spans="1:14" x14ac:dyDescent="0.25">
      <c r="A4" s="103" t="s">
        <v>72</v>
      </c>
      <c r="B4">
        <v>0.22</v>
      </c>
      <c r="C4">
        <v>0.18</v>
      </c>
      <c r="D4" s="210">
        <v>1.6666666670000001</v>
      </c>
      <c r="E4" s="210">
        <v>1</v>
      </c>
      <c r="F4" s="210">
        <v>1.0413558839999999</v>
      </c>
      <c r="G4" s="210">
        <v>1.661129568</v>
      </c>
      <c r="H4" s="653">
        <v>1.38</v>
      </c>
      <c r="I4" s="618">
        <f xml:space="preserve"> 1 / 1 - ($C4/$B4) * (1-D4)</f>
        <v>1.5454545457272728</v>
      </c>
      <c r="J4" s="618">
        <f t="shared" ref="J4:L4" si="0" xml:space="preserve"> 1 / 1 - ($C4/$B4) * (1-E4)</f>
        <v>1</v>
      </c>
      <c r="K4" s="618">
        <f t="shared" si="0"/>
        <v>1.0338366323636363</v>
      </c>
      <c r="L4" s="618">
        <f t="shared" si="0"/>
        <v>1.5409241919999999</v>
      </c>
      <c r="N4" s="618"/>
    </row>
    <row r="5" spans="1:14" x14ac:dyDescent="0.25">
      <c r="A5" s="103" t="s">
        <v>76</v>
      </c>
      <c r="B5">
        <v>0.27</v>
      </c>
      <c r="C5">
        <v>0.23</v>
      </c>
      <c r="D5" s="210">
        <v>1.4705882349999999</v>
      </c>
      <c r="E5" s="210">
        <v>1</v>
      </c>
      <c r="F5" s="210">
        <v>1.0454189</v>
      </c>
      <c r="G5" s="210">
        <v>1.4947683110000001</v>
      </c>
      <c r="H5" s="653">
        <v>1.66</v>
      </c>
      <c r="I5" s="618">
        <f xml:space="preserve"> 1 / 1 - ($C5/$B5) * (1-D5)</f>
        <v>1.4008714594444442</v>
      </c>
      <c r="J5" s="618">
        <f t="shared" ref="J5:J6" si="1" xml:space="preserve"> 1 / 1 - ($C5/$B5) * (1-E5)</f>
        <v>1</v>
      </c>
      <c r="K5" s="618">
        <f t="shared" ref="K5:K6" si="2" xml:space="preserve"> 1 / 1 - ($C5/$B5) * (1-F5)</f>
        <v>1.0386901740740742</v>
      </c>
      <c r="L5" s="618">
        <f xml:space="preserve"> 1 / 1 - ($C5/$B5) * (1-G5)</f>
        <v>1.421469301962963</v>
      </c>
    </row>
    <row r="6" spans="1:14" x14ac:dyDescent="0.25">
      <c r="A6" s="103" t="s">
        <v>79</v>
      </c>
      <c r="B6">
        <v>0.27</v>
      </c>
      <c r="C6">
        <v>0.23</v>
      </c>
      <c r="D6" s="210">
        <v>1.6393442620000001</v>
      </c>
      <c r="E6" s="210">
        <v>1</v>
      </c>
      <c r="F6" s="210">
        <v>1.0455504980000001</v>
      </c>
      <c r="G6" s="210">
        <v>1.371742112</v>
      </c>
      <c r="H6" s="653">
        <v>1.38</v>
      </c>
      <c r="I6" s="618">
        <f t="shared" ref="I6:I48" si="3" xml:space="preserve"> 1 / 1 - ($C6/$B6) * (1-D6)</f>
        <v>1.5446265935555556</v>
      </c>
      <c r="J6" s="618">
        <f t="shared" si="1"/>
        <v>1</v>
      </c>
      <c r="K6" s="618">
        <f t="shared" si="2"/>
        <v>1.0388022760740743</v>
      </c>
      <c r="L6" s="618">
        <f t="shared" ref="L6:L48" si="4" xml:space="preserve"> 1 / 1 - ($C6/$B6) * (1-G6)</f>
        <v>1.3166692065185184</v>
      </c>
    </row>
    <row r="7" spans="1:14" x14ac:dyDescent="0.25">
      <c r="A7" s="103" t="s">
        <v>83</v>
      </c>
      <c r="B7">
        <v>0.28000000000000003</v>
      </c>
      <c r="C7">
        <v>0.21</v>
      </c>
      <c r="D7" s="210">
        <v>1.1764705879999999</v>
      </c>
      <c r="E7" s="210">
        <v>1.136363636</v>
      </c>
      <c r="F7" s="210">
        <v>1.0989010990000001</v>
      </c>
      <c r="G7" s="210">
        <v>1.015228426</v>
      </c>
      <c r="H7" s="653">
        <v>1</v>
      </c>
      <c r="I7" s="618">
        <f t="shared" si="3"/>
        <v>1.1323529409999999</v>
      </c>
      <c r="J7" s="618">
        <f t="shared" ref="J7:J48" si="5" xml:space="preserve"> 1 / 1 - ($C7/$B7) * (1-E7)</f>
        <v>1.1022727269999999</v>
      </c>
      <c r="K7" s="618">
        <f t="shared" ref="K7:K48" si="6" xml:space="preserve"> 1 / 1 - ($C7/$B7) * (1-F7)</f>
        <v>1.0741758242500001</v>
      </c>
      <c r="L7" s="618">
        <f t="shared" si="4"/>
        <v>1.0114213194999999</v>
      </c>
    </row>
    <row r="8" spans="1:14" x14ac:dyDescent="0.25">
      <c r="A8" s="104" t="s">
        <v>87</v>
      </c>
      <c r="B8">
        <v>0.24</v>
      </c>
      <c r="C8">
        <v>0.18</v>
      </c>
      <c r="D8" s="210">
        <v>1.111111111</v>
      </c>
      <c r="E8" s="210">
        <v>1</v>
      </c>
      <c r="F8" s="210">
        <v>1.063829787</v>
      </c>
      <c r="G8" s="210">
        <v>1</v>
      </c>
      <c r="H8" s="653">
        <v>1</v>
      </c>
      <c r="I8" s="618">
        <f t="shared" si="3"/>
        <v>1.0833333332500001</v>
      </c>
      <c r="J8" s="618">
        <f t="shared" si="5"/>
        <v>1</v>
      </c>
      <c r="K8" s="618">
        <f t="shared" si="6"/>
        <v>1.0478723402500001</v>
      </c>
      <c r="L8" s="618">
        <f t="shared" si="4"/>
        <v>1</v>
      </c>
    </row>
    <row r="9" spans="1:14" x14ac:dyDescent="0.25">
      <c r="A9" s="105" t="s">
        <v>91</v>
      </c>
      <c r="B9">
        <v>0.28999999999999998</v>
      </c>
      <c r="C9">
        <v>0.19</v>
      </c>
      <c r="D9" s="210">
        <v>1.1494252869999999</v>
      </c>
      <c r="E9" s="210">
        <v>1</v>
      </c>
      <c r="F9" s="210">
        <v>1.063829787</v>
      </c>
      <c r="G9" s="210">
        <v>1</v>
      </c>
      <c r="H9" s="654">
        <v>6.55</v>
      </c>
      <c r="I9" s="618">
        <f t="shared" si="3"/>
        <v>1.0978993259655172</v>
      </c>
      <c r="J9" s="618">
        <f t="shared" si="5"/>
        <v>1</v>
      </c>
      <c r="K9" s="618">
        <f t="shared" si="6"/>
        <v>1.0418195156206895</v>
      </c>
      <c r="L9" s="618">
        <f t="shared" si="4"/>
        <v>1</v>
      </c>
    </row>
    <row r="10" spans="1:14" x14ac:dyDescent="0.25">
      <c r="A10" s="106" t="s">
        <v>95</v>
      </c>
      <c r="B10">
        <v>0.32</v>
      </c>
      <c r="C10">
        <v>0.2</v>
      </c>
      <c r="D10" s="210">
        <v>1.25</v>
      </c>
      <c r="E10" s="210">
        <v>1</v>
      </c>
      <c r="F10" s="210">
        <v>1.136363636</v>
      </c>
      <c r="G10" s="210">
        <v>1</v>
      </c>
      <c r="H10" s="654">
        <v>0.89</v>
      </c>
      <c r="I10" s="618">
        <f t="shared" si="3"/>
        <v>1.15625</v>
      </c>
      <c r="J10" s="618">
        <f t="shared" si="5"/>
        <v>1</v>
      </c>
      <c r="K10" s="618">
        <f t="shared" si="6"/>
        <v>1.0852272725000001</v>
      </c>
      <c r="L10" s="618">
        <f t="shared" si="4"/>
        <v>1</v>
      </c>
    </row>
    <row r="11" spans="1:14" x14ac:dyDescent="0.25">
      <c r="A11" s="107" t="s">
        <v>99</v>
      </c>
      <c r="B11">
        <v>0.37</v>
      </c>
      <c r="C11">
        <v>0.25</v>
      </c>
      <c r="D11" s="210">
        <v>1.25</v>
      </c>
      <c r="E11" s="210">
        <v>1.111111111</v>
      </c>
      <c r="F11" s="210">
        <v>1.0943311389999999</v>
      </c>
      <c r="G11" s="210">
        <v>1.0416666670000001</v>
      </c>
      <c r="H11" s="654">
        <v>1</v>
      </c>
      <c r="I11" s="618">
        <f t="shared" si="3"/>
        <v>1.1689189189189189</v>
      </c>
      <c r="J11" s="618">
        <f t="shared" si="5"/>
        <v>1.075075075</v>
      </c>
      <c r="K11" s="618">
        <f t="shared" si="6"/>
        <v>1.0637372560810809</v>
      </c>
      <c r="L11" s="618">
        <f t="shared" si="4"/>
        <v>1.0281531533783785</v>
      </c>
    </row>
    <row r="12" spans="1:14" x14ac:dyDescent="0.25">
      <c r="A12" s="108" t="s">
        <v>102</v>
      </c>
      <c r="B12">
        <v>0.37</v>
      </c>
      <c r="C12">
        <v>0.25</v>
      </c>
      <c r="D12" s="210">
        <v>1.25</v>
      </c>
      <c r="E12" s="210">
        <v>2.0673486790000002</v>
      </c>
      <c r="F12" s="210">
        <v>1.21681017</v>
      </c>
      <c r="G12" s="210">
        <v>1.0869565219999999</v>
      </c>
      <c r="H12" s="654">
        <v>1</v>
      </c>
      <c r="I12" s="618">
        <f t="shared" si="3"/>
        <v>1.1689189189189189</v>
      </c>
      <c r="J12" s="618">
        <f t="shared" si="5"/>
        <v>1.7211815398648649</v>
      </c>
      <c r="K12" s="618">
        <f t="shared" si="6"/>
        <v>1.146493358108108</v>
      </c>
      <c r="L12" s="618">
        <f t="shared" si="4"/>
        <v>1.0587544067567567</v>
      </c>
    </row>
    <row r="13" spans="1:14" x14ac:dyDescent="0.25">
      <c r="A13" s="108" t="s">
        <v>105</v>
      </c>
      <c r="B13">
        <v>0.37</v>
      </c>
      <c r="C13">
        <v>0.25</v>
      </c>
      <c r="D13" s="210">
        <v>1.25</v>
      </c>
      <c r="E13" s="210">
        <v>1.052631579</v>
      </c>
      <c r="F13" s="210">
        <v>1.0553729650000001</v>
      </c>
      <c r="G13" s="210">
        <v>1.0869565219999999</v>
      </c>
      <c r="H13" s="654">
        <v>1</v>
      </c>
      <c r="I13" s="618">
        <f t="shared" si="3"/>
        <v>1.1689189189189189</v>
      </c>
      <c r="J13" s="618">
        <f t="shared" si="5"/>
        <v>1.0355618777027027</v>
      </c>
      <c r="K13" s="618">
        <f t="shared" si="6"/>
        <v>1.0374141655405407</v>
      </c>
      <c r="L13" s="618">
        <f t="shared" si="4"/>
        <v>1.0587544067567567</v>
      </c>
    </row>
    <row r="14" spans="1:14" x14ac:dyDescent="0.25">
      <c r="A14" s="108" t="s">
        <v>108</v>
      </c>
      <c r="B14">
        <v>0.37</v>
      </c>
      <c r="C14">
        <v>0.25</v>
      </c>
      <c r="D14" s="210">
        <v>1.25</v>
      </c>
      <c r="E14" s="210">
        <v>1.0989010990000001</v>
      </c>
      <c r="F14" s="210">
        <v>1.0402809829999999</v>
      </c>
      <c r="G14" s="210">
        <v>1.0869565219999999</v>
      </c>
      <c r="H14" s="654">
        <v>1</v>
      </c>
      <c r="I14" s="618">
        <f t="shared" si="3"/>
        <v>1.1689189189189189</v>
      </c>
      <c r="J14" s="618">
        <f t="shared" si="5"/>
        <v>1.0668250668918919</v>
      </c>
      <c r="K14" s="618">
        <f t="shared" si="6"/>
        <v>1.0272168804054054</v>
      </c>
      <c r="L14" s="618">
        <f t="shared" si="4"/>
        <v>1.0587544067567567</v>
      </c>
    </row>
    <row r="15" spans="1:14" x14ac:dyDescent="0.25">
      <c r="A15" s="108" t="s">
        <v>111</v>
      </c>
      <c r="B15">
        <v>0.37</v>
      </c>
      <c r="C15">
        <v>0.25</v>
      </c>
      <c r="D15" s="210">
        <v>1.25</v>
      </c>
      <c r="E15" s="210">
        <v>1.0416666670000001</v>
      </c>
      <c r="F15" s="210">
        <v>1.082069825</v>
      </c>
      <c r="G15" s="210">
        <v>1.0989010990000001</v>
      </c>
      <c r="H15" s="654">
        <v>1</v>
      </c>
      <c r="I15" s="618">
        <f t="shared" si="3"/>
        <v>1.1689189189189189</v>
      </c>
      <c r="J15" s="618">
        <f t="shared" si="5"/>
        <v>1.0281531533783785</v>
      </c>
      <c r="K15" s="618">
        <f t="shared" si="6"/>
        <v>1.0554525844594596</v>
      </c>
      <c r="L15" s="618">
        <f t="shared" si="4"/>
        <v>1.0668250668918919</v>
      </c>
    </row>
    <row r="16" spans="1:14" x14ac:dyDescent="0.25">
      <c r="A16" s="108" t="s">
        <v>114</v>
      </c>
      <c r="B16">
        <v>0.37</v>
      </c>
      <c r="C16">
        <v>0.25</v>
      </c>
      <c r="D16" s="210">
        <v>1.25</v>
      </c>
      <c r="E16" s="210">
        <v>1.111111111</v>
      </c>
      <c r="F16" s="210">
        <v>1.213282266</v>
      </c>
      <c r="G16" s="210">
        <v>1.052631579</v>
      </c>
      <c r="H16" s="654">
        <v>1</v>
      </c>
      <c r="I16" s="618">
        <f t="shared" si="3"/>
        <v>1.1689189189189189</v>
      </c>
      <c r="J16" s="618">
        <f t="shared" si="5"/>
        <v>1.075075075</v>
      </c>
      <c r="K16" s="618">
        <f t="shared" si="6"/>
        <v>1.1441096391891892</v>
      </c>
      <c r="L16" s="618">
        <f t="shared" si="4"/>
        <v>1.0355618777027027</v>
      </c>
    </row>
    <row r="17" spans="1:12" x14ac:dyDescent="0.25">
      <c r="A17" s="108" t="s">
        <v>117</v>
      </c>
      <c r="B17">
        <v>0.37</v>
      </c>
      <c r="C17">
        <v>0.25</v>
      </c>
      <c r="D17" s="210">
        <v>1.2</v>
      </c>
      <c r="E17" s="210">
        <v>1.038062284</v>
      </c>
      <c r="F17" s="210">
        <v>1.0752716959999999</v>
      </c>
      <c r="G17" s="210">
        <v>1.0563380280000001</v>
      </c>
      <c r="H17" s="654">
        <v>1</v>
      </c>
      <c r="I17" s="618">
        <f t="shared" si="3"/>
        <v>1.1351351351351351</v>
      </c>
      <c r="J17" s="618">
        <f t="shared" si="5"/>
        <v>1.0257177594594595</v>
      </c>
      <c r="K17" s="618">
        <f t="shared" si="6"/>
        <v>1.050859254054054</v>
      </c>
      <c r="L17" s="618">
        <f t="shared" si="4"/>
        <v>1.0380662351351353</v>
      </c>
    </row>
    <row r="18" spans="1:12" x14ac:dyDescent="0.25">
      <c r="A18" s="108" t="s">
        <v>120</v>
      </c>
      <c r="B18">
        <v>0.37</v>
      </c>
      <c r="C18">
        <v>0.25</v>
      </c>
      <c r="D18" s="210">
        <v>1.25</v>
      </c>
      <c r="E18" s="210">
        <v>1.063829787</v>
      </c>
      <c r="F18" s="210">
        <v>1.1080821030000001</v>
      </c>
      <c r="G18" s="210">
        <v>1.0869565219999999</v>
      </c>
      <c r="H18" s="654">
        <v>1</v>
      </c>
      <c r="I18" s="618">
        <f t="shared" si="3"/>
        <v>1.1689189189189189</v>
      </c>
      <c r="J18" s="618">
        <f t="shared" si="5"/>
        <v>1.0431282344594595</v>
      </c>
      <c r="K18" s="618">
        <f t="shared" si="6"/>
        <v>1.073028447972973</v>
      </c>
      <c r="L18" s="618">
        <f t="shared" si="4"/>
        <v>1.0587544067567567</v>
      </c>
    </row>
    <row r="19" spans="1:12" x14ac:dyDescent="0.25">
      <c r="A19" s="109" t="s">
        <v>124</v>
      </c>
      <c r="B19" s="33">
        <v>0.17</v>
      </c>
      <c r="C19" s="33">
        <v>0.11</v>
      </c>
      <c r="D19" s="212">
        <v>1.1111111110023475</v>
      </c>
      <c r="E19" s="212">
        <v>1</v>
      </c>
      <c r="F19" s="212">
        <v>1.0638297870049447</v>
      </c>
      <c r="G19" s="212">
        <v>1.2450842338591548</v>
      </c>
      <c r="H19" s="655">
        <v>1</v>
      </c>
      <c r="I19" s="618">
        <f t="shared" si="3"/>
        <v>1.0718954247662249</v>
      </c>
      <c r="J19" s="618">
        <f t="shared" si="5"/>
        <v>1</v>
      </c>
      <c r="K19" s="618">
        <f t="shared" si="6"/>
        <v>1.0413016268855524</v>
      </c>
      <c r="L19" s="618">
        <f t="shared" si="4"/>
        <v>1.1585839160265119</v>
      </c>
    </row>
    <row r="20" spans="1:12" x14ac:dyDescent="0.25">
      <c r="A20" s="110" t="s">
        <v>128</v>
      </c>
      <c r="B20">
        <v>0.34</v>
      </c>
      <c r="C20">
        <v>0.24</v>
      </c>
      <c r="D20" s="210">
        <v>1.25</v>
      </c>
      <c r="E20" s="210">
        <v>1.6393442620000001</v>
      </c>
      <c r="F20" s="210">
        <v>1.135772867</v>
      </c>
      <c r="G20" s="210">
        <v>1.0869565219999999</v>
      </c>
      <c r="H20" s="654">
        <v>1</v>
      </c>
      <c r="I20" s="618">
        <f t="shared" si="3"/>
        <v>1.1764705882352942</v>
      </c>
      <c r="J20" s="618">
        <f t="shared" si="5"/>
        <v>1.451301832</v>
      </c>
      <c r="K20" s="618">
        <f t="shared" si="6"/>
        <v>1.0958396708235294</v>
      </c>
      <c r="L20" s="618">
        <f t="shared" si="4"/>
        <v>1.061381074352941</v>
      </c>
    </row>
    <row r="21" spans="1:12" x14ac:dyDescent="0.25">
      <c r="A21" s="111" t="s">
        <v>131</v>
      </c>
      <c r="B21">
        <v>0.34</v>
      </c>
      <c r="C21">
        <v>0.24</v>
      </c>
      <c r="D21" s="210">
        <v>1.25</v>
      </c>
      <c r="E21" s="210">
        <v>1.754385965</v>
      </c>
      <c r="F21" s="210">
        <v>1.599151778</v>
      </c>
      <c r="G21" s="210">
        <v>1.136363636</v>
      </c>
      <c r="H21" s="654">
        <v>1</v>
      </c>
      <c r="I21" s="618">
        <f t="shared" si="3"/>
        <v>1.1764705882352942</v>
      </c>
      <c r="J21" s="618">
        <f t="shared" si="5"/>
        <v>1.5325077399999998</v>
      </c>
      <c r="K21" s="618">
        <f t="shared" si="6"/>
        <v>1.4229306668235293</v>
      </c>
      <c r="L21" s="618">
        <f t="shared" si="4"/>
        <v>1.0962566842352941</v>
      </c>
    </row>
    <row r="22" spans="1:12" x14ac:dyDescent="0.25">
      <c r="A22" s="111" t="s">
        <v>134</v>
      </c>
      <c r="B22">
        <v>0.34</v>
      </c>
      <c r="C22">
        <v>0.24</v>
      </c>
      <c r="D22" s="210">
        <v>1.25</v>
      </c>
      <c r="E22" s="210">
        <v>1.6393442620000001</v>
      </c>
      <c r="F22" s="210">
        <v>1.644044995</v>
      </c>
      <c r="G22" s="210">
        <v>1.136363636</v>
      </c>
      <c r="H22" s="654">
        <v>1</v>
      </c>
      <c r="I22" s="618">
        <f t="shared" si="3"/>
        <v>1.1764705882352942</v>
      </c>
      <c r="J22" s="618">
        <f t="shared" si="5"/>
        <v>1.451301832</v>
      </c>
      <c r="K22" s="618">
        <f t="shared" si="6"/>
        <v>1.4546199964705882</v>
      </c>
      <c r="L22" s="618">
        <f t="shared" si="4"/>
        <v>1.0962566842352941</v>
      </c>
    </row>
    <row r="23" spans="1:12" x14ac:dyDescent="0.25">
      <c r="A23" s="111" t="s">
        <v>137</v>
      </c>
      <c r="B23">
        <v>0.34</v>
      </c>
      <c r="C23">
        <v>0.24</v>
      </c>
      <c r="D23" s="210">
        <v>1.25</v>
      </c>
      <c r="E23" s="210">
        <v>1.260509498</v>
      </c>
      <c r="F23" s="210">
        <v>1.1615885029999999</v>
      </c>
      <c r="G23" s="210">
        <v>1.075268817</v>
      </c>
      <c r="H23" s="654">
        <v>1</v>
      </c>
      <c r="I23" s="618">
        <f t="shared" si="3"/>
        <v>1.1764705882352942</v>
      </c>
      <c r="J23" s="618">
        <f t="shared" si="5"/>
        <v>1.1838890574117646</v>
      </c>
      <c r="K23" s="618">
        <f t="shared" si="6"/>
        <v>1.1140624727058823</v>
      </c>
      <c r="L23" s="618">
        <f t="shared" si="4"/>
        <v>1.0531309296470588</v>
      </c>
    </row>
    <row r="24" spans="1:12" x14ac:dyDescent="0.25">
      <c r="A24" s="111" t="s">
        <v>140</v>
      </c>
      <c r="B24">
        <v>0.34</v>
      </c>
      <c r="C24">
        <v>0.24</v>
      </c>
      <c r="D24" s="210">
        <v>1.25</v>
      </c>
      <c r="E24" s="210">
        <v>1.388888889</v>
      </c>
      <c r="F24" s="210">
        <v>1.1681422969999999</v>
      </c>
      <c r="G24" s="210">
        <v>1.136363636</v>
      </c>
      <c r="H24" s="654">
        <v>1</v>
      </c>
      <c r="I24" s="618">
        <f t="shared" si="3"/>
        <v>1.1764705882352942</v>
      </c>
      <c r="J24" s="618">
        <f t="shared" si="5"/>
        <v>1.274509804</v>
      </c>
      <c r="K24" s="618">
        <f t="shared" si="6"/>
        <v>1.118688680235294</v>
      </c>
      <c r="L24" s="618">
        <f t="shared" si="4"/>
        <v>1.0962566842352941</v>
      </c>
    </row>
    <row r="25" spans="1:12" x14ac:dyDescent="0.25">
      <c r="A25" s="112" t="s">
        <v>143</v>
      </c>
      <c r="B25" s="33">
        <v>0.24</v>
      </c>
      <c r="C25" s="33">
        <v>0.18</v>
      </c>
      <c r="D25" s="212">
        <v>1.2067099567547619</v>
      </c>
      <c r="E25" s="212">
        <v>1</v>
      </c>
      <c r="F25" s="212">
        <v>1.0638297871989362</v>
      </c>
      <c r="G25" s="212">
        <v>1.3449997623001806</v>
      </c>
      <c r="H25" s="655">
        <v>1</v>
      </c>
      <c r="I25" s="618">
        <f t="shared" si="3"/>
        <v>1.1550324675660715</v>
      </c>
      <c r="J25" s="618">
        <f t="shared" si="5"/>
        <v>1</v>
      </c>
      <c r="K25" s="618">
        <f t="shared" si="6"/>
        <v>1.0478723403992021</v>
      </c>
      <c r="L25" s="618">
        <f t="shared" si="4"/>
        <v>1.2587498217251354</v>
      </c>
    </row>
    <row r="26" spans="1:12" x14ac:dyDescent="0.25">
      <c r="A26" s="110" t="s">
        <v>146</v>
      </c>
      <c r="B26">
        <v>0.34</v>
      </c>
      <c r="C26">
        <v>0.24</v>
      </c>
      <c r="D26" s="210">
        <v>1.25</v>
      </c>
      <c r="E26" s="210">
        <v>1.123595506</v>
      </c>
      <c r="F26" s="210">
        <v>1.054182715</v>
      </c>
      <c r="G26" s="210">
        <v>1.030927835</v>
      </c>
      <c r="H26" s="654">
        <v>1</v>
      </c>
      <c r="I26" s="618">
        <f t="shared" si="3"/>
        <v>1.1764705882352942</v>
      </c>
      <c r="J26" s="618">
        <f t="shared" si="5"/>
        <v>1.0872438865882352</v>
      </c>
      <c r="K26" s="618">
        <f t="shared" si="6"/>
        <v>1.0382466223529412</v>
      </c>
      <c r="L26" s="618">
        <f t="shared" si="4"/>
        <v>1.0218314129411765</v>
      </c>
    </row>
    <row r="27" spans="1:12" x14ac:dyDescent="0.25">
      <c r="A27" s="111" t="s">
        <v>149</v>
      </c>
      <c r="B27">
        <v>0.34</v>
      </c>
      <c r="C27">
        <v>0.24</v>
      </c>
      <c r="D27" s="210">
        <v>1.25</v>
      </c>
      <c r="E27" s="210">
        <v>1.428571429</v>
      </c>
      <c r="F27" s="210">
        <v>1.126577242</v>
      </c>
      <c r="G27" s="210">
        <v>1.111111111</v>
      </c>
      <c r="H27" s="654">
        <v>1</v>
      </c>
      <c r="I27" s="618">
        <f t="shared" si="3"/>
        <v>1.1764705882352942</v>
      </c>
      <c r="J27" s="618">
        <f t="shared" si="5"/>
        <v>1.3025210087058823</v>
      </c>
      <c r="K27" s="618">
        <f t="shared" si="6"/>
        <v>1.0893486414117648</v>
      </c>
      <c r="L27" s="618">
        <f t="shared" si="4"/>
        <v>1.0784313724705883</v>
      </c>
    </row>
    <row r="28" spans="1:12" x14ac:dyDescent="0.25">
      <c r="A28" s="111" t="s">
        <v>152</v>
      </c>
      <c r="B28">
        <v>0.34</v>
      </c>
      <c r="C28">
        <v>0.24</v>
      </c>
      <c r="D28" s="210">
        <v>1.4492753620000001</v>
      </c>
      <c r="E28" s="210">
        <v>1.388888889</v>
      </c>
      <c r="F28" s="210">
        <v>1.16523548</v>
      </c>
      <c r="G28" s="210">
        <v>1.111111111</v>
      </c>
      <c r="H28" s="654">
        <v>1</v>
      </c>
      <c r="I28" s="618">
        <f t="shared" si="3"/>
        <v>1.3171355496470589</v>
      </c>
      <c r="J28" s="618">
        <f t="shared" si="5"/>
        <v>1.274509804</v>
      </c>
      <c r="K28" s="618">
        <f t="shared" si="6"/>
        <v>1.1166368094117647</v>
      </c>
      <c r="L28" s="618">
        <f t="shared" si="4"/>
        <v>1.0784313724705883</v>
      </c>
    </row>
    <row r="29" spans="1:12" x14ac:dyDescent="0.25">
      <c r="A29" s="111" t="s">
        <v>155</v>
      </c>
      <c r="B29">
        <v>0.34</v>
      </c>
      <c r="C29">
        <v>0.24</v>
      </c>
      <c r="D29" s="210">
        <v>1.25</v>
      </c>
      <c r="E29" s="210">
        <v>1.0989010990000001</v>
      </c>
      <c r="F29" s="210">
        <v>1.1518360489999999</v>
      </c>
      <c r="G29" s="210">
        <v>1.1764705879999999</v>
      </c>
      <c r="H29" s="654">
        <v>1</v>
      </c>
      <c r="I29" s="618">
        <f t="shared" si="3"/>
        <v>1.1764705882352942</v>
      </c>
      <c r="J29" s="618">
        <f t="shared" si="5"/>
        <v>1.0698125404705883</v>
      </c>
      <c r="K29" s="618">
        <f t="shared" si="6"/>
        <v>1.1071783875294117</v>
      </c>
      <c r="L29" s="618">
        <f t="shared" si="4"/>
        <v>1.1245674738823528</v>
      </c>
    </row>
    <row r="30" spans="1:12" x14ac:dyDescent="0.25">
      <c r="A30" s="112" t="s">
        <v>158</v>
      </c>
      <c r="B30" s="33">
        <v>0.24</v>
      </c>
      <c r="C30" s="33">
        <v>0.18</v>
      </c>
      <c r="D30" s="210">
        <v>1.1126571839859822</v>
      </c>
      <c r="E30" s="210">
        <v>1</v>
      </c>
      <c r="F30" s="210">
        <v>1.063829787023882</v>
      </c>
      <c r="G30" s="210">
        <v>2.3559948017688193</v>
      </c>
      <c r="H30" s="654">
        <v>1</v>
      </c>
      <c r="I30" s="618">
        <f t="shared" si="3"/>
        <v>1.0844928879894866</v>
      </c>
      <c r="J30" s="618">
        <f t="shared" si="5"/>
        <v>1</v>
      </c>
      <c r="K30" s="618">
        <f t="shared" si="6"/>
        <v>1.0478723402679115</v>
      </c>
      <c r="L30" s="618">
        <f t="shared" si="4"/>
        <v>2.0169961013266144</v>
      </c>
    </row>
    <row r="31" spans="1:12" x14ac:dyDescent="0.25">
      <c r="A31" s="110" t="s">
        <v>161</v>
      </c>
      <c r="B31">
        <v>0.34</v>
      </c>
      <c r="C31">
        <v>0.24</v>
      </c>
      <c r="D31" s="210">
        <v>1.4705882349999999</v>
      </c>
      <c r="E31" s="210">
        <v>2.7777777779999999</v>
      </c>
      <c r="F31" s="210">
        <v>1.0061530620000001</v>
      </c>
      <c r="G31" s="210">
        <v>1.0869565219999999</v>
      </c>
      <c r="H31" s="654">
        <v>1</v>
      </c>
      <c r="I31" s="618">
        <f t="shared" si="3"/>
        <v>1.3321799305882351</v>
      </c>
      <c r="J31" s="618">
        <f t="shared" si="5"/>
        <v>2.2549019609411762</v>
      </c>
      <c r="K31" s="618">
        <f t="shared" si="6"/>
        <v>1.004343337882353</v>
      </c>
      <c r="L31" s="618">
        <f t="shared" si="4"/>
        <v>1.061381074352941</v>
      </c>
    </row>
    <row r="32" spans="1:12" x14ac:dyDescent="0.25">
      <c r="A32" s="111" t="s">
        <v>164</v>
      </c>
      <c r="B32">
        <v>0.34</v>
      </c>
      <c r="C32">
        <v>0.24</v>
      </c>
      <c r="D32" s="154"/>
      <c r="E32" s="154"/>
      <c r="F32" s="154"/>
      <c r="G32" s="154"/>
      <c r="H32" s="654">
        <v>1</v>
      </c>
      <c r="I32" s="618">
        <f t="shared" si="3"/>
        <v>0.29411764705882359</v>
      </c>
      <c r="J32" s="618">
        <f t="shared" si="5"/>
        <v>0.29411764705882359</v>
      </c>
      <c r="K32" s="618">
        <f t="shared" si="6"/>
        <v>0.29411764705882359</v>
      </c>
      <c r="L32" s="618">
        <f t="shared" si="4"/>
        <v>0.29411764705882359</v>
      </c>
    </row>
    <row r="33" spans="1:12" x14ac:dyDescent="0.25">
      <c r="A33" s="111" t="s">
        <v>167</v>
      </c>
      <c r="B33">
        <v>0.34</v>
      </c>
      <c r="C33">
        <v>0.24</v>
      </c>
      <c r="D33" s="210">
        <v>1.428571429</v>
      </c>
      <c r="E33" s="210">
        <v>1</v>
      </c>
      <c r="F33" s="210">
        <v>1.069509466</v>
      </c>
      <c r="G33" s="210">
        <v>1.0416666670000001</v>
      </c>
      <c r="H33" s="654">
        <v>1</v>
      </c>
      <c r="I33" s="618">
        <f t="shared" si="3"/>
        <v>1.3025210087058823</v>
      </c>
      <c r="J33" s="618">
        <f t="shared" si="5"/>
        <v>1</v>
      </c>
      <c r="K33" s="618">
        <f t="shared" si="6"/>
        <v>1.0490655054117646</v>
      </c>
      <c r="L33" s="618">
        <f t="shared" si="4"/>
        <v>1.0294117649411765</v>
      </c>
    </row>
    <row r="34" spans="1:12" x14ac:dyDescent="0.25">
      <c r="A34" s="112" t="s">
        <v>170</v>
      </c>
      <c r="B34" s="33">
        <v>0.24</v>
      </c>
      <c r="C34" s="33">
        <v>0.18</v>
      </c>
      <c r="D34" s="212">
        <v>1.3872683403241828</v>
      </c>
      <c r="E34" s="212">
        <v>1</v>
      </c>
      <c r="F34" s="212">
        <v>1.0638297870013766</v>
      </c>
      <c r="G34" s="212">
        <v>1.9622391645307373</v>
      </c>
      <c r="H34" s="655">
        <v>1</v>
      </c>
      <c r="I34" s="618">
        <f t="shared" si="3"/>
        <v>1.2904512552431371</v>
      </c>
      <c r="J34" s="618">
        <f t="shared" si="5"/>
        <v>1</v>
      </c>
      <c r="K34" s="618">
        <f t="shared" si="6"/>
        <v>1.0478723402510326</v>
      </c>
      <c r="L34" s="618">
        <f t="shared" si="4"/>
        <v>1.7216793733980529</v>
      </c>
    </row>
    <row r="35" spans="1:12" x14ac:dyDescent="0.25">
      <c r="A35" s="113" t="s">
        <v>87</v>
      </c>
      <c r="B35">
        <v>0.24</v>
      </c>
      <c r="C35">
        <v>0.18</v>
      </c>
      <c r="D35" s="210">
        <v>1.111111111</v>
      </c>
      <c r="E35" s="210">
        <v>1</v>
      </c>
      <c r="F35" s="210">
        <v>1.063829787</v>
      </c>
      <c r="G35" s="210">
        <v>1</v>
      </c>
      <c r="H35" s="653">
        <v>1</v>
      </c>
      <c r="I35" s="618">
        <f t="shared" si="3"/>
        <v>1.0833333332500001</v>
      </c>
      <c r="J35" s="618">
        <f t="shared" si="5"/>
        <v>1</v>
      </c>
      <c r="K35" s="618">
        <f t="shared" si="6"/>
        <v>1.0478723402500001</v>
      </c>
      <c r="L35" s="618">
        <f t="shared" si="4"/>
        <v>1</v>
      </c>
    </row>
    <row r="36" spans="1:12" x14ac:dyDescent="0.25">
      <c r="A36" s="110" t="s">
        <v>175</v>
      </c>
      <c r="B36">
        <v>0.34</v>
      </c>
      <c r="C36">
        <v>0.24</v>
      </c>
      <c r="D36" s="154">
        <v>1.2820512820512822</v>
      </c>
      <c r="E36" s="154">
        <v>1.1363636363636365</v>
      </c>
      <c r="F36" s="154">
        <v>1.2279328958674098</v>
      </c>
      <c r="G36" s="154">
        <v>1.0638297872340425</v>
      </c>
      <c r="H36" s="656">
        <v>1</v>
      </c>
      <c r="I36" s="618">
        <f t="shared" si="3"/>
        <v>1.1990950226244346</v>
      </c>
      <c r="J36" s="618">
        <f t="shared" si="5"/>
        <v>1.0962566844919788</v>
      </c>
      <c r="K36" s="618">
        <f t="shared" si="6"/>
        <v>1.1608938088475833</v>
      </c>
      <c r="L36" s="618">
        <f t="shared" si="4"/>
        <v>1.0450563204005006</v>
      </c>
    </row>
    <row r="37" spans="1:12" x14ac:dyDescent="0.25">
      <c r="A37" s="111" t="s">
        <v>178</v>
      </c>
      <c r="B37">
        <v>0.34</v>
      </c>
      <c r="C37">
        <v>0.24</v>
      </c>
      <c r="D37" s="211">
        <v>1.25</v>
      </c>
      <c r="E37" s="211">
        <v>1.25</v>
      </c>
      <c r="F37" s="211">
        <v>1.1638133370606405</v>
      </c>
      <c r="G37" s="211">
        <v>1.075268817204301</v>
      </c>
      <c r="H37" s="656">
        <v>1</v>
      </c>
      <c r="I37" s="618">
        <f t="shared" si="3"/>
        <v>1.1764705882352942</v>
      </c>
      <c r="J37" s="618">
        <f t="shared" si="5"/>
        <v>1.1764705882352942</v>
      </c>
      <c r="K37" s="618">
        <f t="shared" si="6"/>
        <v>1.115632943807511</v>
      </c>
      <c r="L37" s="618">
        <f t="shared" si="4"/>
        <v>1.0531309297912712</v>
      </c>
    </row>
    <row r="38" spans="1:12" x14ac:dyDescent="0.25">
      <c r="A38" s="111" t="s">
        <v>181</v>
      </c>
      <c r="B38">
        <v>0.34</v>
      </c>
      <c r="C38">
        <v>0.24</v>
      </c>
      <c r="D38" s="210">
        <v>1.25</v>
      </c>
      <c r="E38" s="210">
        <v>1.3698630140000001</v>
      </c>
      <c r="F38" s="210">
        <v>1.0653044380000001</v>
      </c>
      <c r="G38" s="210">
        <v>1.0869565219999999</v>
      </c>
      <c r="H38" s="654">
        <v>1</v>
      </c>
      <c r="I38" s="618">
        <f t="shared" si="3"/>
        <v>1.1764705882352942</v>
      </c>
      <c r="J38" s="618">
        <f t="shared" si="5"/>
        <v>1.2610797745882354</v>
      </c>
      <c r="K38" s="618">
        <f t="shared" si="6"/>
        <v>1.0460972503529413</v>
      </c>
      <c r="L38" s="618">
        <f t="shared" si="4"/>
        <v>1.061381074352941</v>
      </c>
    </row>
    <row r="39" spans="1:12" x14ac:dyDescent="0.25">
      <c r="A39" s="111" t="s">
        <v>184</v>
      </c>
      <c r="B39">
        <v>0.34</v>
      </c>
      <c r="C39">
        <v>0.24</v>
      </c>
      <c r="D39" s="210">
        <v>1.25</v>
      </c>
      <c r="E39" s="210">
        <v>1.19047619</v>
      </c>
      <c r="F39" s="210">
        <v>1.095604703</v>
      </c>
      <c r="G39" s="210">
        <v>1.075268817</v>
      </c>
      <c r="H39" s="654">
        <v>1</v>
      </c>
      <c r="I39" s="618">
        <f t="shared" si="3"/>
        <v>1.1764705882352942</v>
      </c>
      <c r="J39" s="618">
        <f t="shared" si="5"/>
        <v>1.1344537811764706</v>
      </c>
      <c r="K39" s="618">
        <f t="shared" si="6"/>
        <v>1.0674856727058823</v>
      </c>
      <c r="L39" s="618">
        <f t="shared" si="4"/>
        <v>1.0531309296470588</v>
      </c>
    </row>
    <row r="40" spans="1:12" x14ac:dyDescent="0.25">
      <c r="A40" s="111" t="s">
        <v>187</v>
      </c>
      <c r="B40">
        <v>0.34</v>
      </c>
      <c r="C40">
        <v>0.24</v>
      </c>
      <c r="D40" s="210">
        <v>1.538461538</v>
      </c>
      <c r="E40" s="210">
        <v>1.111111111</v>
      </c>
      <c r="F40" s="210">
        <v>1.1081164999999999</v>
      </c>
      <c r="G40" s="210">
        <v>1.063829787</v>
      </c>
      <c r="H40" s="654">
        <v>1</v>
      </c>
      <c r="I40" s="618">
        <f t="shared" si="3"/>
        <v>1.3800904974117647</v>
      </c>
      <c r="J40" s="618">
        <f t="shared" si="5"/>
        <v>1.0784313724705883</v>
      </c>
      <c r="K40" s="618">
        <f t="shared" si="6"/>
        <v>1.0763175294117646</v>
      </c>
      <c r="L40" s="618">
        <f t="shared" si="4"/>
        <v>1.045056320235294</v>
      </c>
    </row>
    <row r="41" spans="1:12" x14ac:dyDescent="0.25">
      <c r="A41" s="111" t="s">
        <v>190</v>
      </c>
      <c r="B41">
        <v>0.34</v>
      </c>
      <c r="C41">
        <v>0.24</v>
      </c>
      <c r="D41" s="210">
        <v>1.25</v>
      </c>
      <c r="E41" s="210">
        <v>1.2048192769999999</v>
      </c>
      <c r="F41" s="210">
        <v>1.1424617020000001</v>
      </c>
      <c r="G41" s="210">
        <v>1.111111111</v>
      </c>
      <c r="H41" s="654">
        <v>1</v>
      </c>
      <c r="I41" s="618">
        <f t="shared" si="3"/>
        <v>1.1764705882352942</v>
      </c>
      <c r="J41" s="618">
        <f t="shared" si="5"/>
        <v>1.1445783131764706</v>
      </c>
      <c r="K41" s="618">
        <f t="shared" si="6"/>
        <v>1.1005612014117647</v>
      </c>
      <c r="L41" s="618">
        <f t="shared" si="4"/>
        <v>1.0784313724705883</v>
      </c>
    </row>
    <row r="42" spans="1:12" x14ac:dyDescent="0.25">
      <c r="A42" s="112" t="s">
        <v>191</v>
      </c>
      <c r="B42" s="33">
        <v>0.24</v>
      </c>
      <c r="C42" s="33">
        <v>0.18</v>
      </c>
      <c r="D42" s="212">
        <v>1.122685185111111</v>
      </c>
      <c r="E42" s="212">
        <v>1</v>
      </c>
      <c r="F42" s="212">
        <v>1.0638297870585105</v>
      </c>
      <c r="G42" s="212">
        <v>2.0532993881666668</v>
      </c>
      <c r="H42" s="655">
        <v>1</v>
      </c>
      <c r="I42" s="618">
        <f t="shared" si="3"/>
        <v>1.0920138888333333</v>
      </c>
      <c r="J42" s="618">
        <f t="shared" si="5"/>
        <v>1</v>
      </c>
      <c r="K42" s="618">
        <f t="shared" si="6"/>
        <v>1.0478723402938828</v>
      </c>
      <c r="L42" s="618">
        <f t="shared" si="4"/>
        <v>1.7899745411250001</v>
      </c>
    </row>
    <row r="43" spans="1:12" x14ac:dyDescent="0.25">
      <c r="A43" s="114" t="s">
        <v>194</v>
      </c>
      <c r="B43">
        <v>0.31</v>
      </c>
      <c r="C43">
        <v>0.19</v>
      </c>
      <c r="D43" s="210">
        <v>1.25</v>
      </c>
      <c r="E43" s="210">
        <v>1</v>
      </c>
      <c r="F43" s="210">
        <v>1.136363636</v>
      </c>
      <c r="G43" s="210">
        <v>1</v>
      </c>
      <c r="H43" s="944">
        <v>1.1599999999999999</v>
      </c>
      <c r="I43" s="618">
        <f t="shared" si="3"/>
        <v>1.153225806451613</v>
      </c>
      <c r="J43" s="618">
        <f t="shared" si="5"/>
        <v>1</v>
      </c>
      <c r="K43" s="618">
        <f t="shared" si="6"/>
        <v>1.0835777123870969</v>
      </c>
      <c r="L43" s="618">
        <f t="shared" si="4"/>
        <v>1</v>
      </c>
    </row>
    <row r="44" spans="1:12" x14ac:dyDescent="0.25">
      <c r="A44" s="115" t="s">
        <v>196</v>
      </c>
      <c r="B44">
        <v>0.31</v>
      </c>
      <c r="C44">
        <v>0.19</v>
      </c>
      <c r="D44" s="210">
        <v>1.25</v>
      </c>
      <c r="E44" s="210">
        <v>1</v>
      </c>
      <c r="F44" s="210">
        <v>1.136363636</v>
      </c>
      <c r="G44" s="210">
        <v>1</v>
      </c>
      <c r="H44" s="944">
        <v>1.35</v>
      </c>
      <c r="I44" s="618">
        <f t="shared" si="3"/>
        <v>1.153225806451613</v>
      </c>
      <c r="J44" s="618">
        <f t="shared" si="5"/>
        <v>1</v>
      </c>
      <c r="K44" s="618">
        <f t="shared" si="6"/>
        <v>1.0835777123870969</v>
      </c>
      <c r="L44" s="618">
        <f t="shared" si="4"/>
        <v>1</v>
      </c>
    </row>
    <row r="45" spans="1:12" x14ac:dyDescent="0.25">
      <c r="A45" s="116" t="s">
        <v>199</v>
      </c>
      <c r="B45">
        <v>0.38</v>
      </c>
      <c r="C45">
        <v>0.17</v>
      </c>
      <c r="D45" s="210">
        <v>1.25</v>
      </c>
      <c r="E45" s="210">
        <v>1</v>
      </c>
      <c r="F45" s="210">
        <v>1.2658227849999999</v>
      </c>
      <c r="G45" s="210">
        <v>1</v>
      </c>
      <c r="H45" s="656">
        <v>5.617977528089888</v>
      </c>
      <c r="I45" s="618">
        <f t="shared" si="3"/>
        <v>1.111842105263158</v>
      </c>
      <c r="J45" s="618">
        <f t="shared" si="5"/>
        <v>1</v>
      </c>
      <c r="K45" s="618">
        <f t="shared" si="6"/>
        <v>1.1189207196052631</v>
      </c>
      <c r="L45" s="618">
        <f t="shared" si="4"/>
        <v>1</v>
      </c>
    </row>
    <row r="46" spans="1:12" x14ac:dyDescent="0.25">
      <c r="A46" s="117" t="s">
        <v>201</v>
      </c>
      <c r="B46">
        <v>0.38</v>
      </c>
      <c r="C46">
        <v>0.17</v>
      </c>
      <c r="D46" s="210">
        <v>1.25</v>
      </c>
      <c r="E46" s="210">
        <v>1</v>
      </c>
      <c r="F46" s="210">
        <v>1.2658227849999999</v>
      </c>
      <c r="G46" s="210">
        <v>1</v>
      </c>
      <c r="H46" s="656">
        <v>2.4801587301587307</v>
      </c>
      <c r="I46" s="618">
        <f t="shared" si="3"/>
        <v>1.111842105263158</v>
      </c>
      <c r="J46" s="618">
        <f t="shared" si="5"/>
        <v>1</v>
      </c>
      <c r="K46" s="618">
        <f t="shared" si="6"/>
        <v>1.1189207196052631</v>
      </c>
      <c r="L46" s="618">
        <f t="shared" si="4"/>
        <v>1</v>
      </c>
    </row>
    <row r="47" spans="1:12" x14ac:dyDescent="0.25">
      <c r="A47" s="118" t="s">
        <v>204</v>
      </c>
      <c r="B47">
        <v>0.41</v>
      </c>
      <c r="C47" s="15">
        <v>0.3</v>
      </c>
      <c r="D47" s="210">
        <v>1.25</v>
      </c>
      <c r="E47" s="210">
        <v>1</v>
      </c>
      <c r="F47" s="210">
        <v>1.123595506</v>
      </c>
      <c r="G47" s="210">
        <v>1</v>
      </c>
      <c r="H47" s="654">
        <v>1.43</v>
      </c>
      <c r="I47" s="618">
        <f t="shared" si="3"/>
        <v>1.1829268292682926</v>
      </c>
      <c r="J47" s="618">
        <f t="shared" si="5"/>
        <v>1</v>
      </c>
      <c r="K47" s="618">
        <f t="shared" si="6"/>
        <v>1.0904357360975609</v>
      </c>
      <c r="L47" s="618">
        <f t="shared" si="4"/>
        <v>1</v>
      </c>
    </row>
    <row r="48" spans="1:12" x14ac:dyDescent="0.25">
      <c r="A48" s="229" t="s">
        <v>205</v>
      </c>
      <c r="B48">
        <v>0.41</v>
      </c>
      <c r="C48" s="15">
        <v>0.3</v>
      </c>
      <c r="D48" s="210">
        <v>1.25</v>
      </c>
      <c r="E48" s="210">
        <v>1</v>
      </c>
      <c r="F48" s="210">
        <v>1.123595506</v>
      </c>
      <c r="G48" s="210">
        <v>1</v>
      </c>
      <c r="H48" s="654">
        <v>7.13</v>
      </c>
      <c r="I48" s="618">
        <f t="shared" si="3"/>
        <v>1.1829268292682926</v>
      </c>
      <c r="J48" s="618">
        <f t="shared" si="5"/>
        <v>1</v>
      </c>
      <c r="K48" s="618">
        <f t="shared" si="6"/>
        <v>1.0904357360975609</v>
      </c>
      <c r="L48" s="618">
        <f t="shared" si="4"/>
        <v>1</v>
      </c>
    </row>
    <row r="49" spans="1:12" x14ac:dyDescent="0.25">
      <c r="A49" s="227" t="s">
        <v>1379</v>
      </c>
      <c r="B49" s="228"/>
      <c r="C49" s="228"/>
      <c r="D49" s="657"/>
      <c r="E49" s="657"/>
      <c r="F49" s="657"/>
      <c r="G49" s="657"/>
      <c r="H49" s="657"/>
      <c r="I49" s="940"/>
      <c r="J49" s="940"/>
      <c r="K49" s="940"/>
      <c r="L49" s="941"/>
    </row>
    <row r="50" spans="1:12" x14ac:dyDescent="0.25">
      <c r="A50" s="514" t="s">
        <v>868</v>
      </c>
      <c r="B50" s="38">
        <v>0.17</v>
      </c>
      <c r="C50" s="1083">
        <v>0.11</v>
      </c>
      <c r="D50" s="210">
        <v>1.111111111</v>
      </c>
      <c r="E50" s="210">
        <v>1</v>
      </c>
      <c r="F50" s="210">
        <v>1.063829787</v>
      </c>
      <c r="G50" s="210">
        <v>1.25</v>
      </c>
      <c r="H50" s="654">
        <v>1</v>
      </c>
      <c r="I50" s="618">
        <f t="shared" ref="I50" si="7" xml:space="preserve"> 1 / 1 - ($C50/$B50) * (1-D50)</f>
        <v>1.0718954247647059</v>
      </c>
      <c r="J50" s="618">
        <f t="shared" ref="J50" si="8" xml:space="preserve"> 1 / 1 - ($C50/$B50) * (1-E50)</f>
        <v>1</v>
      </c>
      <c r="K50" s="618">
        <f t="shared" ref="K50" si="9" xml:space="preserve"> 1 / 1 - ($C50/$B50) * (1-F50)</f>
        <v>1.0413016268823529</v>
      </c>
      <c r="L50" s="618">
        <f t="shared" ref="L50" si="10" xml:space="preserve"> 1 / 1 - ($C50/$B50) * (1-G50)</f>
        <v>1.1617647058823528</v>
      </c>
    </row>
    <row r="51" spans="1:12" x14ac:dyDescent="0.25">
      <c r="A51" s="514" t="s">
        <v>1380</v>
      </c>
      <c r="B51" s="38">
        <v>0.17</v>
      </c>
      <c r="C51" s="1083">
        <v>0.11</v>
      </c>
      <c r="D51" s="210">
        <v>1.111111111</v>
      </c>
      <c r="E51" s="210">
        <v>1</v>
      </c>
      <c r="F51" s="210">
        <v>1.063829787</v>
      </c>
      <c r="G51" s="210">
        <v>1.67</v>
      </c>
      <c r="H51" s="654">
        <v>1</v>
      </c>
      <c r="I51" s="618">
        <f t="shared" ref="I51:I73" si="11" xml:space="preserve"> 1 / 1 - ($C51/$B51) * (1-D51)</f>
        <v>1.0718954247647059</v>
      </c>
      <c r="J51" s="618">
        <f t="shared" ref="J51:J73" si="12" xml:space="preserve"> 1 / 1 - ($C51/$B51) * (1-E51)</f>
        <v>1</v>
      </c>
      <c r="K51" s="618">
        <f t="shared" ref="K51:K73" si="13" xml:space="preserve"> 1 / 1 - ($C51/$B51) * (1-F51)</f>
        <v>1.0413016268823529</v>
      </c>
      <c r="L51" s="618">
        <f t="shared" ref="L51:L73" si="14" xml:space="preserve"> 1 / 1 - ($C51/$B51) * (1-G51)</f>
        <v>1.4335294117647057</v>
      </c>
    </row>
    <row r="52" spans="1:12" x14ac:dyDescent="0.25">
      <c r="A52" s="514" t="s">
        <v>1381</v>
      </c>
      <c r="B52" s="38">
        <v>0.17</v>
      </c>
      <c r="C52" s="1083">
        <v>0.11</v>
      </c>
      <c r="D52" s="210">
        <v>1.111111111</v>
      </c>
      <c r="E52" s="210">
        <v>1</v>
      </c>
      <c r="F52" s="210">
        <v>1.063829787</v>
      </c>
      <c r="G52" s="210">
        <v>1.363636364</v>
      </c>
      <c r="H52" s="654">
        <v>1</v>
      </c>
      <c r="I52" s="618">
        <f t="shared" si="11"/>
        <v>1.0718954247647059</v>
      </c>
      <c r="J52" s="618">
        <f t="shared" si="12"/>
        <v>1</v>
      </c>
      <c r="K52" s="618">
        <f t="shared" si="13"/>
        <v>1.0413016268823529</v>
      </c>
      <c r="L52" s="618">
        <f t="shared" si="14"/>
        <v>1.2352941178823529</v>
      </c>
    </row>
    <row r="53" spans="1:12" x14ac:dyDescent="0.25">
      <c r="A53" s="514" t="s">
        <v>1382</v>
      </c>
      <c r="B53" s="38">
        <v>0.17</v>
      </c>
      <c r="C53" s="1083">
        <v>0.11</v>
      </c>
      <c r="D53" s="210">
        <v>1.111111111</v>
      </c>
      <c r="E53" s="210">
        <v>1</v>
      </c>
      <c r="F53" s="210">
        <v>1.063829787</v>
      </c>
      <c r="G53" s="210">
        <v>1.03</v>
      </c>
      <c r="H53" s="654">
        <v>1</v>
      </c>
      <c r="I53" s="618">
        <f t="shared" si="11"/>
        <v>1.0718954247647059</v>
      </c>
      <c r="J53" s="618">
        <f t="shared" si="12"/>
        <v>1</v>
      </c>
      <c r="K53" s="618">
        <f t="shared" si="13"/>
        <v>1.0413016268823529</v>
      </c>
      <c r="L53" s="618">
        <f t="shared" si="14"/>
        <v>1.0194117647058825</v>
      </c>
    </row>
    <row r="54" spans="1:12" x14ac:dyDescent="0.25">
      <c r="A54" s="514" t="s">
        <v>1383</v>
      </c>
      <c r="B54" s="38">
        <v>0.17</v>
      </c>
      <c r="C54" s="1083">
        <v>0.11</v>
      </c>
      <c r="D54" s="210">
        <v>1.111111111</v>
      </c>
      <c r="E54" s="210">
        <v>1</v>
      </c>
      <c r="F54" s="210">
        <v>1.063829787</v>
      </c>
      <c r="G54" s="210">
        <v>1.1100000000000001</v>
      </c>
      <c r="H54" s="654">
        <v>1</v>
      </c>
      <c r="I54" s="618">
        <f t="shared" si="11"/>
        <v>1.0718954247647059</v>
      </c>
      <c r="J54" s="618">
        <f t="shared" si="12"/>
        <v>1</v>
      </c>
      <c r="K54" s="618">
        <f t="shared" si="13"/>
        <v>1.0413016268823529</v>
      </c>
      <c r="L54" s="618">
        <f t="shared" si="14"/>
        <v>1.0711764705882354</v>
      </c>
    </row>
    <row r="55" spans="1:12" x14ac:dyDescent="0.25">
      <c r="A55" s="514" t="s">
        <v>1384</v>
      </c>
      <c r="B55" s="38">
        <v>0.17</v>
      </c>
      <c r="C55" s="1083">
        <v>0.11</v>
      </c>
      <c r="D55" s="210">
        <v>1.111111111</v>
      </c>
      <c r="E55" s="210">
        <v>1</v>
      </c>
      <c r="F55" s="210">
        <v>1.063829787</v>
      </c>
      <c r="G55" s="210">
        <v>1.2359550560000001</v>
      </c>
      <c r="H55" s="654">
        <v>1</v>
      </c>
      <c r="I55" s="618">
        <f t="shared" si="11"/>
        <v>1.0718954247647059</v>
      </c>
      <c r="J55" s="618">
        <f t="shared" si="12"/>
        <v>1</v>
      </c>
      <c r="K55" s="618">
        <f t="shared" si="13"/>
        <v>1.0413016268823529</v>
      </c>
      <c r="L55" s="618">
        <f t="shared" si="14"/>
        <v>1.1526768009411765</v>
      </c>
    </row>
    <row r="56" spans="1:12" x14ac:dyDescent="0.25">
      <c r="A56" s="514" t="s">
        <v>1385</v>
      </c>
      <c r="B56" s="38">
        <v>0.17</v>
      </c>
      <c r="C56" s="1083">
        <v>0.11</v>
      </c>
      <c r="D56" s="210">
        <v>1.111111111</v>
      </c>
      <c r="E56" s="210">
        <v>1</v>
      </c>
      <c r="F56" s="210">
        <v>1.063829787</v>
      </c>
      <c r="G56" s="210">
        <v>1</v>
      </c>
      <c r="H56" s="654">
        <v>1</v>
      </c>
      <c r="I56" s="618">
        <f t="shared" si="11"/>
        <v>1.0718954247647059</v>
      </c>
      <c r="J56" s="618">
        <f t="shared" si="12"/>
        <v>1</v>
      </c>
      <c r="K56" s="618">
        <f t="shared" si="13"/>
        <v>1.0413016268823529</v>
      </c>
      <c r="L56" s="618">
        <f t="shared" si="14"/>
        <v>1</v>
      </c>
    </row>
    <row r="57" spans="1:12" x14ac:dyDescent="0.25">
      <c r="A57" s="514" t="s">
        <v>1386</v>
      </c>
      <c r="B57" s="38">
        <v>0.17</v>
      </c>
      <c r="C57" s="1083">
        <v>0.11</v>
      </c>
      <c r="D57" s="210">
        <v>1.1111111111111112</v>
      </c>
      <c r="E57" s="210">
        <v>1</v>
      </c>
      <c r="F57" s="210">
        <v>1.0638297872340425</v>
      </c>
      <c r="G57" s="210">
        <v>1.05</v>
      </c>
      <c r="H57" s="654">
        <v>1</v>
      </c>
      <c r="I57" s="618">
        <f t="shared" si="11"/>
        <v>1.0718954248366013</v>
      </c>
      <c r="J57" s="618">
        <f t="shared" si="12"/>
        <v>1</v>
      </c>
      <c r="K57" s="618">
        <f t="shared" si="13"/>
        <v>1.0413016270337923</v>
      </c>
      <c r="L57" s="618">
        <f t="shared" si="14"/>
        <v>1.0323529411764707</v>
      </c>
    </row>
    <row r="58" spans="1:12" x14ac:dyDescent="0.25">
      <c r="A58" s="514" t="s">
        <v>1387</v>
      </c>
      <c r="B58" s="38">
        <v>0.17</v>
      </c>
      <c r="C58" s="1083">
        <v>0.11</v>
      </c>
      <c r="D58" s="210">
        <v>1.111111111</v>
      </c>
      <c r="E58" s="210">
        <v>1</v>
      </c>
      <c r="F58" s="210">
        <v>1.063829787</v>
      </c>
      <c r="G58" s="210">
        <v>0.89</v>
      </c>
      <c r="H58" s="654">
        <v>1</v>
      </c>
      <c r="I58" s="618">
        <f t="shared" si="11"/>
        <v>1.0718954247647059</v>
      </c>
      <c r="J58" s="618">
        <f t="shared" si="12"/>
        <v>1</v>
      </c>
      <c r="K58" s="618">
        <f t="shared" si="13"/>
        <v>1.0413016268823529</v>
      </c>
      <c r="L58" s="618">
        <f t="shared" si="14"/>
        <v>0.92882352941176471</v>
      </c>
    </row>
    <row r="59" spans="1:12" x14ac:dyDescent="0.25">
      <c r="A59" s="514" t="s">
        <v>870</v>
      </c>
      <c r="B59" s="38">
        <v>0.24</v>
      </c>
      <c r="C59" s="1083">
        <v>0.18</v>
      </c>
      <c r="D59" s="210">
        <v>1.1904761904761905</v>
      </c>
      <c r="E59" s="210">
        <v>1</v>
      </c>
      <c r="F59" s="210">
        <v>1.0638297872340425</v>
      </c>
      <c r="G59" s="210">
        <v>1.3299994680002127</v>
      </c>
      <c r="H59" s="654">
        <v>1</v>
      </c>
      <c r="I59" s="618">
        <f t="shared" si="11"/>
        <v>1.1428571428571428</v>
      </c>
      <c r="J59" s="618">
        <f t="shared" si="12"/>
        <v>1</v>
      </c>
      <c r="K59" s="618">
        <f t="shared" si="13"/>
        <v>1.0478723404255319</v>
      </c>
      <c r="L59" s="618">
        <f t="shared" si="14"/>
        <v>1.2474996010001596</v>
      </c>
    </row>
    <row r="60" spans="1:12" x14ac:dyDescent="0.25">
      <c r="A60" s="514" t="s">
        <v>753</v>
      </c>
      <c r="B60" s="38">
        <v>0.24</v>
      </c>
      <c r="C60" s="1083">
        <v>0.18</v>
      </c>
      <c r="D60" s="210">
        <v>1.298701299</v>
      </c>
      <c r="E60" s="210">
        <v>1</v>
      </c>
      <c r="F60" s="210">
        <v>1.063829787</v>
      </c>
      <c r="G60" s="210">
        <v>1.4300014299999999</v>
      </c>
      <c r="H60" s="654">
        <v>1</v>
      </c>
      <c r="I60" s="618">
        <f t="shared" si="11"/>
        <v>1.2240259742499999</v>
      </c>
      <c r="J60" s="618">
        <f t="shared" si="12"/>
        <v>1</v>
      </c>
      <c r="K60" s="618">
        <f t="shared" si="13"/>
        <v>1.0478723402500001</v>
      </c>
      <c r="L60" s="618">
        <f t="shared" si="14"/>
        <v>1.3225010724999999</v>
      </c>
    </row>
    <row r="61" spans="1:12" x14ac:dyDescent="0.25">
      <c r="A61" s="514" t="s">
        <v>871</v>
      </c>
      <c r="B61" s="38">
        <v>0.24</v>
      </c>
      <c r="C61" s="1083">
        <v>0.18</v>
      </c>
      <c r="D61" s="154">
        <v>1.1111111111111101</v>
      </c>
      <c r="E61" s="154">
        <v>1</v>
      </c>
      <c r="F61" s="154">
        <v>1.0638297872340425</v>
      </c>
      <c r="G61" s="154">
        <v>1.3333333333333333</v>
      </c>
      <c r="H61" s="654">
        <v>1</v>
      </c>
      <c r="I61" s="618">
        <f t="shared" si="11"/>
        <v>1.0833333333333326</v>
      </c>
      <c r="J61" s="618">
        <f t="shared" si="12"/>
        <v>1</v>
      </c>
      <c r="K61" s="618">
        <f t="shared" si="13"/>
        <v>1.0478723404255319</v>
      </c>
      <c r="L61" s="618">
        <f t="shared" si="14"/>
        <v>1.25</v>
      </c>
    </row>
    <row r="62" spans="1:12" x14ac:dyDescent="0.25">
      <c r="A62" s="514" t="s">
        <v>872</v>
      </c>
      <c r="B62" s="38">
        <v>0.24</v>
      </c>
      <c r="C62" s="1083">
        <v>0.18</v>
      </c>
      <c r="D62" s="210">
        <v>1.1363636363636365</v>
      </c>
      <c r="E62" s="210">
        <v>1</v>
      </c>
      <c r="F62" s="210">
        <v>1.0638297872340425</v>
      </c>
      <c r="G62" s="210">
        <v>1.82000182000182</v>
      </c>
      <c r="H62" s="654">
        <v>1</v>
      </c>
      <c r="I62" s="618">
        <f t="shared" si="11"/>
        <v>1.1022727272727273</v>
      </c>
      <c r="J62" s="618">
        <f t="shared" si="12"/>
        <v>1</v>
      </c>
      <c r="K62" s="618">
        <f t="shared" si="13"/>
        <v>1.0478723404255319</v>
      </c>
      <c r="L62" s="618">
        <f t="shared" si="14"/>
        <v>1.615001365001365</v>
      </c>
    </row>
    <row r="63" spans="1:12" x14ac:dyDescent="0.25">
      <c r="A63" s="514" t="s">
        <v>759</v>
      </c>
      <c r="B63" s="38">
        <v>0.24</v>
      </c>
      <c r="C63" s="1083">
        <v>0.18</v>
      </c>
      <c r="D63" s="210">
        <v>1.111111111</v>
      </c>
      <c r="E63" s="210">
        <v>1</v>
      </c>
      <c r="F63" s="210">
        <v>1.063829787</v>
      </c>
      <c r="G63" s="210">
        <v>2.4390243900000002</v>
      </c>
      <c r="H63" s="654">
        <v>1</v>
      </c>
      <c r="I63" s="618">
        <f t="shared" si="11"/>
        <v>1.0833333332500001</v>
      </c>
      <c r="J63" s="618">
        <f t="shared" si="12"/>
        <v>1</v>
      </c>
      <c r="K63" s="618">
        <f t="shared" si="13"/>
        <v>1.0478723402500001</v>
      </c>
      <c r="L63" s="618">
        <f t="shared" si="14"/>
        <v>2.0792682925000001</v>
      </c>
    </row>
    <row r="64" spans="1:12" x14ac:dyDescent="0.25">
      <c r="A64" s="514" t="s">
        <v>762</v>
      </c>
      <c r="B64" s="38">
        <v>0.24</v>
      </c>
      <c r="C64" s="1083">
        <v>0.18</v>
      </c>
      <c r="D64" s="210">
        <v>1.111111111</v>
      </c>
      <c r="E64" s="210">
        <v>1</v>
      </c>
      <c r="F64" s="210">
        <v>1.063829787</v>
      </c>
      <c r="G64" s="210">
        <v>1.3698630140000001</v>
      </c>
      <c r="H64" s="654">
        <v>1</v>
      </c>
      <c r="I64" s="618">
        <f t="shared" si="11"/>
        <v>1.0833333332500001</v>
      </c>
      <c r="J64" s="618">
        <f t="shared" si="12"/>
        <v>1</v>
      </c>
      <c r="K64" s="618">
        <f t="shared" si="13"/>
        <v>1.0478723402500001</v>
      </c>
      <c r="L64" s="618">
        <f t="shared" si="14"/>
        <v>1.2773972605000001</v>
      </c>
    </row>
    <row r="65" spans="1:12" x14ac:dyDescent="0.25">
      <c r="A65" s="514" t="s">
        <v>764</v>
      </c>
      <c r="B65" s="38">
        <v>0.24</v>
      </c>
      <c r="C65" s="1083">
        <v>0.18</v>
      </c>
      <c r="D65" s="210">
        <v>1.162790698</v>
      </c>
      <c r="E65" s="210">
        <v>1</v>
      </c>
      <c r="F65" s="210">
        <v>1.063829787</v>
      </c>
      <c r="G65" s="210">
        <v>3.7000036999999999</v>
      </c>
      <c r="H65" s="654">
        <v>1</v>
      </c>
      <c r="I65" s="618">
        <f t="shared" si="11"/>
        <v>1.1220930235</v>
      </c>
      <c r="J65" s="618">
        <f t="shared" si="12"/>
        <v>1</v>
      </c>
      <c r="K65" s="618">
        <f t="shared" si="13"/>
        <v>1.0478723402500001</v>
      </c>
      <c r="L65" s="618">
        <f t="shared" si="14"/>
        <v>3.0250027749999999</v>
      </c>
    </row>
    <row r="66" spans="1:12" x14ac:dyDescent="0.25">
      <c r="A66" s="514" t="s">
        <v>765</v>
      </c>
      <c r="B66" s="38">
        <v>0.24</v>
      </c>
      <c r="C66" s="1083">
        <v>0.18</v>
      </c>
      <c r="D66" s="210">
        <v>1.111111111</v>
      </c>
      <c r="E66" s="210">
        <v>1</v>
      </c>
      <c r="F66" s="210">
        <v>1.063829787</v>
      </c>
      <c r="G66" s="210">
        <v>1.5151515149999999</v>
      </c>
      <c r="H66" s="654">
        <v>1</v>
      </c>
      <c r="I66" s="618">
        <f t="shared" si="11"/>
        <v>1.0833333332500001</v>
      </c>
      <c r="J66" s="618">
        <f t="shared" si="12"/>
        <v>1</v>
      </c>
      <c r="K66" s="618">
        <f t="shared" si="13"/>
        <v>1.0478723402500001</v>
      </c>
      <c r="L66" s="618">
        <f t="shared" si="14"/>
        <v>1.38636363625</v>
      </c>
    </row>
    <row r="67" spans="1:12" x14ac:dyDescent="0.25">
      <c r="A67" s="514" t="s">
        <v>766</v>
      </c>
      <c r="B67" s="38">
        <v>0.24</v>
      </c>
      <c r="C67" s="1083">
        <v>0.18</v>
      </c>
      <c r="D67" s="210">
        <v>1.2048192769999999</v>
      </c>
      <c r="E67" s="210">
        <v>1</v>
      </c>
      <c r="F67" s="210">
        <v>1.063829787</v>
      </c>
      <c r="G67" s="210">
        <v>1.0900014170000001</v>
      </c>
      <c r="H67" s="654">
        <v>1</v>
      </c>
      <c r="I67" s="618">
        <f t="shared" si="11"/>
        <v>1.1536144577499998</v>
      </c>
      <c r="J67" s="618">
        <f t="shared" si="12"/>
        <v>1</v>
      </c>
      <c r="K67" s="618">
        <f t="shared" si="13"/>
        <v>1.0478723402500001</v>
      </c>
      <c r="L67" s="618">
        <f t="shared" si="14"/>
        <v>1.0675010627500001</v>
      </c>
    </row>
    <row r="68" spans="1:12" x14ac:dyDescent="0.25">
      <c r="A68" s="514" t="s">
        <v>767</v>
      </c>
      <c r="B68" s="38">
        <v>0.24</v>
      </c>
      <c r="C68" s="1083">
        <v>0.18</v>
      </c>
      <c r="D68" s="210">
        <v>1.1111111111111112</v>
      </c>
      <c r="E68" s="210">
        <v>1</v>
      </c>
      <c r="F68" s="210">
        <v>1.0638297872340425</v>
      </c>
      <c r="G68" s="210">
        <v>1.408450704225352</v>
      </c>
      <c r="H68" s="654">
        <v>1</v>
      </c>
      <c r="I68" s="618">
        <f t="shared" si="11"/>
        <v>1.0833333333333335</v>
      </c>
      <c r="J68" s="618">
        <f t="shared" si="12"/>
        <v>1</v>
      </c>
      <c r="K68" s="618">
        <f t="shared" si="13"/>
        <v>1.0478723404255319</v>
      </c>
      <c r="L68" s="618">
        <f t="shared" si="14"/>
        <v>1.306338028169014</v>
      </c>
    </row>
    <row r="69" spans="1:12" x14ac:dyDescent="0.25">
      <c r="A69" s="514" t="s">
        <v>768</v>
      </c>
      <c r="B69" s="38">
        <v>0.24</v>
      </c>
      <c r="C69" s="1083">
        <v>0.18</v>
      </c>
      <c r="D69" s="210">
        <v>1.4705882349999999</v>
      </c>
      <c r="E69" s="210">
        <v>1</v>
      </c>
      <c r="F69" s="210">
        <v>1.063829787</v>
      </c>
      <c r="G69" s="210">
        <v>2</v>
      </c>
      <c r="H69" s="654">
        <v>1</v>
      </c>
      <c r="I69" s="618">
        <f t="shared" si="11"/>
        <v>1.3529411762499999</v>
      </c>
      <c r="J69" s="618">
        <f t="shared" si="12"/>
        <v>1</v>
      </c>
      <c r="K69" s="618">
        <f t="shared" si="13"/>
        <v>1.0478723402500001</v>
      </c>
      <c r="L69" s="618">
        <f t="shared" si="14"/>
        <v>1.75</v>
      </c>
    </row>
    <row r="70" spans="1:12" x14ac:dyDescent="0.25">
      <c r="A70" s="514" t="s">
        <v>769</v>
      </c>
      <c r="B70" s="38">
        <v>0.24</v>
      </c>
      <c r="C70" s="1083">
        <v>0.18</v>
      </c>
      <c r="D70" s="210">
        <v>1.111111111</v>
      </c>
      <c r="E70" s="210">
        <v>1</v>
      </c>
      <c r="F70" s="210">
        <v>1.063829787</v>
      </c>
      <c r="G70" s="210">
        <v>2.2727272730000001</v>
      </c>
      <c r="H70" s="654">
        <v>1</v>
      </c>
      <c r="I70" s="618">
        <f t="shared" si="11"/>
        <v>1.0833333332500001</v>
      </c>
      <c r="J70" s="618">
        <f t="shared" si="12"/>
        <v>1</v>
      </c>
      <c r="K70" s="618">
        <f t="shared" si="13"/>
        <v>1.0478723402500001</v>
      </c>
      <c r="L70" s="618">
        <f t="shared" si="14"/>
        <v>1.9545454547500001</v>
      </c>
    </row>
    <row r="71" spans="1:12" x14ac:dyDescent="0.25">
      <c r="A71" s="514" t="s">
        <v>770</v>
      </c>
      <c r="B71" s="38">
        <v>0.24</v>
      </c>
      <c r="C71" s="1083">
        <v>0.18</v>
      </c>
      <c r="D71" s="210">
        <v>1.111111111</v>
      </c>
      <c r="E71" s="210">
        <v>1</v>
      </c>
      <c r="F71" s="210">
        <v>1.063829787</v>
      </c>
      <c r="G71" s="210">
        <v>1.6666666670000001</v>
      </c>
      <c r="H71" s="654">
        <v>1</v>
      </c>
      <c r="I71" s="618">
        <f t="shared" si="11"/>
        <v>1.0833333332500001</v>
      </c>
      <c r="J71" s="618">
        <f t="shared" si="12"/>
        <v>1</v>
      </c>
      <c r="K71" s="618">
        <f t="shared" si="13"/>
        <v>1.0478723402500001</v>
      </c>
      <c r="L71" s="618">
        <f t="shared" si="14"/>
        <v>1.50000000025</v>
      </c>
    </row>
    <row r="72" spans="1:12" x14ac:dyDescent="0.25">
      <c r="A72" s="514" t="s">
        <v>771</v>
      </c>
      <c r="B72" s="38">
        <v>0.24</v>
      </c>
      <c r="C72" s="1083">
        <v>0.18</v>
      </c>
      <c r="D72" s="210">
        <v>1.25</v>
      </c>
      <c r="E72" s="210">
        <v>1</v>
      </c>
      <c r="F72" s="210">
        <v>1.063829787</v>
      </c>
      <c r="G72" s="210">
        <v>1.1799966959999999</v>
      </c>
      <c r="H72" s="654">
        <v>1</v>
      </c>
      <c r="I72" s="618">
        <f t="shared" si="11"/>
        <v>1.1875</v>
      </c>
      <c r="J72" s="618">
        <f t="shared" si="12"/>
        <v>1</v>
      </c>
      <c r="K72" s="618">
        <f t="shared" si="13"/>
        <v>1.0478723402500001</v>
      </c>
      <c r="L72" s="618">
        <f t="shared" si="14"/>
        <v>1.1349975219999999</v>
      </c>
    </row>
    <row r="73" spans="1:12" x14ac:dyDescent="0.25">
      <c r="A73" s="514" t="s">
        <v>772</v>
      </c>
      <c r="B73" s="38">
        <v>0.24</v>
      </c>
      <c r="C73" s="1083">
        <v>0.18</v>
      </c>
      <c r="D73" s="154">
        <v>1.1111111111111112</v>
      </c>
      <c r="E73" s="154">
        <v>1</v>
      </c>
      <c r="F73" s="154">
        <v>1.0638297872340425</v>
      </c>
      <c r="G73" s="154">
        <v>2.5</v>
      </c>
      <c r="H73" s="658">
        <v>1</v>
      </c>
      <c r="I73" s="618">
        <f t="shared" si="11"/>
        <v>1.0833333333333335</v>
      </c>
      <c r="J73" s="618">
        <f t="shared" si="12"/>
        <v>1</v>
      </c>
      <c r="K73" s="618">
        <f t="shared" si="13"/>
        <v>1.0478723404255319</v>
      </c>
      <c r="L73" s="618">
        <f t="shared" si="14"/>
        <v>2.125</v>
      </c>
    </row>
    <row r="74" spans="1:12" x14ac:dyDescent="0.25">
      <c r="A74" s="2"/>
      <c r="B74" s="2"/>
      <c r="C74" s="2"/>
      <c r="D74" s="154"/>
      <c r="E74" s="154"/>
      <c r="F74" s="154"/>
      <c r="G74" s="154"/>
      <c r="H74" s="102"/>
    </row>
    <row r="75" spans="1:12" ht="30.75" customHeight="1" x14ac:dyDescent="0.25">
      <c r="A75" s="1235" t="s">
        <v>1388</v>
      </c>
      <c r="B75" s="1235"/>
      <c r="C75" s="2"/>
      <c r="D75" s="165"/>
      <c r="E75" s="165"/>
      <c r="F75" s="154"/>
      <c r="G75" s="154"/>
      <c r="H75" s="102"/>
    </row>
    <row r="76" spans="1:12" x14ac:dyDescent="0.25">
      <c r="A76" s="619" t="s">
        <v>28</v>
      </c>
      <c r="B76" s="408">
        <f>((SUM(H4:L4)*('11. Diet'!D3/SUM('11. Diet'!D3:D7)))+(SUM(H5:L5)*('11. Diet'!D4/SUM('11. Diet'!D3:D7)))+(SUM(H6:L6)*('11. Diet'!D5/SUM('11. Diet'!D3:D7)))+(SUM(H7:L7)*('11. Diet'!D6/SUM('11. Diet'!D3:D7)))+(SUM(H8:L8)*('11. Diet'!D7/SUM('11. Diet'!D3:D7)))) / ((SUM(D4:H4)*('11. Diet'!D3/SUM('11. Diet'!D3:D7)))+(SUM(D5:H5)*('11. Diet'!D4/SUM('11. Diet'!D3:D7)))+(SUM(D6:H6)*('11. Diet'!D5/SUM('11. Diet'!D3:D7)))+(SUM(D7:H7)*('11. Diet'!D6/SUM('11. Diet'!D3:D7)))+(SUM(D8:H8)*('11. Diet'!D7/SUM('11. Diet'!D3:D7))))</f>
        <v>0.97455027634475555</v>
      </c>
      <c r="C76" s="2"/>
      <c r="D76" s="154"/>
      <c r="E76" s="154"/>
      <c r="F76" s="154"/>
      <c r="G76" s="154"/>
      <c r="H76" s="102"/>
    </row>
    <row r="77" spans="1:12" x14ac:dyDescent="0.25">
      <c r="A77" s="217" t="s">
        <v>32</v>
      </c>
      <c r="B77" s="959">
        <f>((SUM(H9:L9)*('11. Diet'!D8/SUM('11. Diet'!D8:D9)))+(SUM(H10:L10)*('11. Diet'!D9/SUM('11. Diet'!D8:D9)))) / ((SUM(D9:H9)*('11. Diet'!D8/SUM('11. Diet'!D8:D9)))+(SUM(D10:H10)*('11. Diet'!D9/SUM('11. Diet'!D8:D9))))</f>
        <v>0.98784123670612656</v>
      </c>
      <c r="C77" s="2"/>
      <c r="D77" s="154"/>
      <c r="E77" s="154"/>
      <c r="F77" s="154"/>
      <c r="G77" s="154"/>
      <c r="H77" s="102"/>
    </row>
    <row r="78" spans="1:12" x14ac:dyDescent="0.25">
      <c r="A78" s="219" t="s">
        <v>979</v>
      </c>
      <c r="B78" s="959">
        <f>((SUM(H11:L11)*('11. Diet'!D10/SUM('11. Diet'!D10:D17)))+(SUM(H12:L12)*('11. Diet'!D11/SUM('11. Diet'!D10:D17)))+(SUM(H13:L13)*('11. Diet'!D12/SUM('11. Diet'!D10:D17)))+(SUM(H14:L14)*('11. Diet'!D13/SUM('11. Diet'!D10:D17)))+(SUM(H15:L15)*('11. Diet'!D14/SUM('11. Diet'!D10:D17)))+(SUM(H16:L16)*('11. Diet'!D15/SUM('11. Diet'!D10:D17)))+(SUM(H17:L17)*('11. Diet'!D16/SUM('11. Diet'!D10:D17)))+(SUM(H18:L18)*('11. Diet'!D17/SUM('11. Diet'!D10:D17)))) / ((SUM(D11:H11)*('11. Diet'!D10/SUM('11. Diet'!D10:D17)))+(SUM(D12:H12)*('11. Diet'!D11/SUM('11. Diet'!D10:D17)))+(SUM(D13:H13)*('11. Diet'!D12/SUM('11. Diet'!D10:D17)))+(SUM(D14:H14)*('11. Diet'!D13/SUM('11. Diet'!D10:D17)))+(SUM(D15:H15)*('11. Diet'!D14/SUM('11. Diet'!D10:D17)))+(SUM(D16:H16)*('11. Diet'!D15/SUM('11. Diet'!D10:D17)))+(SUM(D17:H17)*('11. Diet'!D16/SUM('11. Diet'!D17:D518)))+(SUM(D18:H18)*('11. Diet'!D17/SUM('11. Diet'!D10:D17))))</f>
        <v>0.97767993093678351</v>
      </c>
      <c r="C78" s="2"/>
      <c r="D78" s="154"/>
      <c r="E78" s="154"/>
      <c r="F78" s="154"/>
      <c r="G78" s="154"/>
      <c r="H78" s="102"/>
    </row>
    <row r="79" spans="1:12" x14ac:dyDescent="0.25">
      <c r="A79" s="219" t="s">
        <v>38</v>
      </c>
      <c r="B79" s="959">
        <f>((SUM(H20:L20)*('11. Diet'!D19/SUM('11. Diet'!D19:D23,'11. Diet'!D25:D28,'11. Diet'!D30:D32,'11. Diet'!D35:D40)))+(SUM(H21:L21)*('11. Diet'!D20/SUM('11. Diet'!D19:D23,'11. Diet'!D25:D28,'11. Diet'!D30:D32,'11. Diet'!D35:D40)))+(SUM(H22:L22)*('11. Diet'!D21/SUM('11. Diet'!D19:D23,'11. Diet'!D25:D28,'11. Diet'!D30:D32,'11. Diet'!D35:D40)))+(SUM(H23:L23)*('11. Diet'!D22/SUM('11. Diet'!D19:D23,'11. Diet'!D25:D28,'11. Diet'!D30:D32,'11. Diet'!D35:D40)))+(SUM(H24:L24)*('11. Diet'!D23/SUM('11. Diet'!D19:D23,'11. Diet'!D25:D28,'11. Diet'!D30:D32,'11. Diet'!D35:D40)))+(SUM(H26:L26)*('11. Diet'!D25/SUM('11. Diet'!D19:D23,'11. Diet'!D25:D28,'11. Diet'!D30:D32,'11. Diet'!D35:D40)))+(SUM(H27:L27)*('11. Diet'!D26/SUM('11. Diet'!D19:D23,'11. Diet'!D25:D28,'11. Diet'!D30:D32,'11. Diet'!D35:D40)))+(SUM(H28:L28)*('11. Diet'!D27/SUM('11. Diet'!D19:D23,'11. Diet'!D25:D28,'11. Diet'!D30:D32,'11. Diet'!D35:D40)))+(SUM(H29:L29)*('11. Diet'!D28/SUM('11. Diet'!D19:D23,'11. Diet'!D25:D28,'11. Diet'!D30:D32,'11. Diet'!D35:D40)))+(SUM(H31:L31)*('11. Diet'!D30/SUM('11. Diet'!D19:D23,'11. Diet'!D25:D28,'11. Diet'!D30:D32,'11. Diet'!D35:D40)))+(SUM(H32:L32)*('11. Diet'!D31/SUM('11. Diet'!D19:D23,'11. Diet'!D25:D28,'11. Diet'!D30:D32,'11. Diet'!D35:D40)))+(SUM(H33:L33)*('11. Diet'!D32/SUM('11. Diet'!D19:D23,'11. Diet'!D25:D28,'11. Diet'!D30:D32,'11. Diet'!D35:D40)))*(SUM(H36:L36)*('11. Diet'!D35/SUM('11. Diet'!D19:D23,'11. Diet'!D25:D28,'11. Diet'!D30:D32,'11. Diet'!D35:D40)))*(SUM(H37:L37)*('11. Diet'!D36/SUM('11. Diet'!D19:D23,'11. Diet'!D25:D28,'11. Diet'!D30:D32,'11. Diet'!D35:D40)))*(SUM(H38:L38)*('11. Diet'!D37/SUM('11. Diet'!D19:D23,'11. Diet'!D25:D28,'11. Diet'!D30:D32,'11. Diet'!D35:D40)))*(SUM(H39:L39)*('11. Diet'!D38/SUM('11. Diet'!D19:D23,'11. Diet'!D25:D28,'11. Diet'!D30:D32,'11. Diet'!D35:D40)))*(SUM(H40:L40)*('11. Diet'!D39/SUM('11. Diet'!D19:D23,'11. Diet'!D25:D28,'11. Diet'!D30:D32,'11. Diet'!D35:D40)))*(SUM(H41:L41)*('11. Diet'!D40/SUM('11. Diet'!D19:D23,'11. Diet'!D25:D28,'11. Diet'!D30:D32,'11. Diet'!D35:D40))))/((SUM(D20:H20)*('11. Diet'!D19/SUM('11. Diet'!D19:D23,'11. Diet'!D25:D28,'11. Diet'!D30:D32,'11. Diet'!D35:D40)))+(SUM(D21:H21)*('11. Diet'!D20/SUM('11. Diet'!D19:D23,'11. Diet'!D25:D28,'11. Diet'!D30:D32,'11. Diet'!D35:D40)))+(SUM(D22:H22)*('11. Diet'!D21/SUM('11. Diet'!D19:D23,'11. Diet'!D25:D28,'11. Diet'!D30:D32,'11. Diet'!D35:D40)))+(SUM(D23:H23)*('11. Diet'!D22/SUM('11. Diet'!D19:D23,'11. Diet'!D25:D28,'11. Diet'!D30:D32,'11. Diet'!D35:D40)))+(SUM(D24:H24)*('11. Diet'!D23/SUM('11. Diet'!D19:D23,'11. Diet'!D25:D28,'11. Diet'!D30:D32,'11. Diet'!D35:D40)))+(SUM(D26:H26)*('11. Diet'!D25/SUM('11. Diet'!D19:D23,'11. Diet'!D25:D28,'11. Diet'!D30:D32,'11. Diet'!D35:D40)))+(SUM(D27:H27)*('11. Diet'!D26/SUM('11. Diet'!D19:D23,'11. Diet'!D25:D28,'11. Diet'!D30:D32,'11. Diet'!D35:D40)))+(SUM(D28:H28)*('11. Diet'!D27/SUM('11. Diet'!D19:D23,'11. Diet'!D25:D28,'11. Diet'!D30:D32,'11. Diet'!D35:D40)))+(SUM(D29:H29)*('11. Diet'!D28/SUM('11. Diet'!D19:D23,'11. Diet'!D25:D28,'11. Diet'!D30:D32,'11. Diet'!D35:D40)))+(SUM(D31:H31)*('11. Diet'!D30/SUM('11. Diet'!D19:D23,'11. Diet'!D25:D28,'11. Diet'!D30:D32,'11. Diet'!D35:D40)))+(SUM(D32:H32)*('11. Diet'!D31/SUM('11. Diet'!D19:D23,'11. Diet'!D25:D28,'11. Diet'!D30:D32,'11. Diet'!D35:D40)))+(SUM(D33:H33)*('11. Diet'!D32/SUM('11. Diet'!D19:D23,'11. Diet'!D25:D28,'11. Diet'!D30:D32,'11. Diet'!D35:D40)))*(SUM(D36:H36)*('11. Diet'!D35/SUM('11. Diet'!D19:D23,'11. Diet'!D25:D28,'11. Diet'!D30:D32,'11. Diet'!D35:D40)))*(SUM(D37:H37)*('11. Diet'!D36/SUM('11. Diet'!D19:D23,'11. Diet'!D25:D28,'11. Diet'!D30:D32,'11. Diet'!D35:D40)))*(SUM(D38:H38)*('11. Diet'!D37/SUM('11. Diet'!D19:D23,'11. Diet'!D25:D28,'11. Diet'!D30:D32,'11. Diet'!D35:D40)))*(SUM(D39:H39)*('11. Diet'!D38/SUM('11. Diet'!D19:D23,'11. Diet'!D25:D28,'11. Diet'!D30:D32,'11. Diet'!D35:D40)))*(SUM(D40:H40)*('11. Diet'!D39/SUM('11. Diet'!D19:D23,'11. Diet'!D25:D28,'11. Diet'!D30:D32,'11. Diet'!D35:D40)))*(SUM(D41:H41)*('11. Diet'!D40/SUM('11. Diet'!D19:D23,'11. Diet'!D25:D28,'11. Diet'!D30:D32,'11. Diet'!D35:D40))))</f>
        <v>0.95705726003374325</v>
      </c>
      <c r="C79" s="2"/>
      <c r="D79" s="154"/>
      <c r="E79" s="154"/>
      <c r="F79" s="154"/>
      <c r="G79" s="154"/>
      <c r="H79" s="102"/>
    </row>
    <row r="80" spans="1:12" x14ac:dyDescent="0.25">
      <c r="A80" s="219" t="s">
        <v>980</v>
      </c>
      <c r="B80" s="959">
        <f>(B78*(SUM('11. Diet'!D10:D17)/(SUM('11. Diet'!D10:D17,'11. Diet'!D19:D23,'11. Diet'!D25:D28,'11. Diet'!D30:D32,'11. Diet'!D35:D40)))+(B79*(SUM('11. Diet'!D19:D23,'11. Diet'!D25:D28,'11. Diet'!D30:D32,'11. Diet'!D35:D40)/SUM('11. Diet'!D10:D17,'11. Diet'!D19:D23,'11. Diet'!D25:D28,'11. Diet'!D30:D32,'11. Diet'!D35:D40))))</f>
        <v>0.96274761360158423</v>
      </c>
      <c r="C80" s="2"/>
      <c r="D80" s="154"/>
      <c r="E80" s="154"/>
      <c r="F80" s="154"/>
      <c r="G80" s="154"/>
      <c r="H80" s="102"/>
    </row>
    <row r="81" spans="1:17" x14ac:dyDescent="0.25">
      <c r="A81" s="219" t="s">
        <v>981</v>
      </c>
      <c r="B81" s="959">
        <f>((SUM(H19:L19)*('11. Diet'!D18/SUM('11. Diet'!D18, '11. Diet'!D24,'11. Diet'!D29, '11. Diet'!D33, '11. Diet'!D41)))+(SUM(H25:L25)*('11. Diet'!D24/SUM('11. Diet'!D18, '11. Diet'!D24,'11. Diet'!D29, '11. Diet'!D33, '11. Diet'!D41)))+(SUM(H30:L30)*('11. Diet'!D9/SUM('11. Diet'!D18, '11. Diet'!D24,'11. Diet'!D29, '11. Diet'!D33, '11. Diet'!D41)))+(SUM(H34:L34)*('11. Diet'!D10/SUM('11. Diet'!D18, '11. Diet'!D24,'11. Diet'!D29, '11. Diet'!D33, '11. Diet'!D41)))+(SUM(H42:L42)*('11. Diet'!D11/SUM('11. Diet'!D18, '11. Diet'!D24,'11. Diet'!D29, '11. Diet'!D33, '11. Diet'!D41)))) / ((SUM(D19:H19)*('11. Diet'!D24/SUM('11. Diet'!D18, '11. Diet'!D24,'11. Diet'!D29, '11. Diet'!D33, '11. Diet'!D41)))+(SUM(D25:H25)*('11. Diet'!D8/SUM('11. Diet'!D18, '11. Diet'!D24,'11. Diet'!D29, '11. Diet'!D33, '11. Diet'!D41)))+(SUM(D30:H30)*('11. Diet'!D9/SUM('11. Diet'!D18, '11. Diet'!D24,'11. Diet'!D29, '11. Diet'!D33, '11. Diet'!D41)))+(SUM(D34:H34)*('11. Diet'!D10/SUM('11. Diet'!D18, '11. Diet'!D24,'11. Diet'!D29, '11. Diet'!D33, '11. Diet'!D41)))+(SUM(D42:H42)*('11. Diet'!D11/SUM('11. Diet'!D18, '11. Diet'!D24,'11. Diet'!D29, '11. Diet'!D33, '11. Diet'!D41))))</f>
        <v>0.62123023907389352</v>
      </c>
      <c r="C81" s="2"/>
      <c r="D81" s="154"/>
      <c r="E81" s="154"/>
      <c r="F81" s="154"/>
      <c r="G81" s="154"/>
      <c r="H81" s="102"/>
    </row>
    <row r="82" spans="1:17" x14ac:dyDescent="0.25">
      <c r="A82" s="218" t="s">
        <v>56</v>
      </c>
      <c r="B82" s="959">
        <f>((SUM(H43:L43)*('11. Diet'!D42/SUM('11. Diet'!D42:D43)))+(SUM(H44:L44)*('11. Diet'!D43/SUM('11. Diet'!D42:D43)))) / ((SUM(D43:H43)*('11. Diet'!D42/SUM('11. Diet'!D42:D43)))+(SUM(D44:H44)*('11. Diet'!D43/SUM('11. Diet'!D42:D43))))</f>
        <v>0.97324381431078277</v>
      </c>
      <c r="C82" s="2"/>
      <c r="D82" s="154"/>
      <c r="E82" s="154"/>
      <c r="F82" s="154"/>
      <c r="G82" s="154"/>
      <c r="H82" s="102"/>
    </row>
    <row r="83" spans="1:17" x14ac:dyDescent="0.25">
      <c r="A83" s="218" t="s">
        <v>59</v>
      </c>
      <c r="B83" s="959">
        <f>((SUM(H45:L45)*('11. Diet'!D44/SUM('11. Diet'!D44:D45)))+(SUM(H46:L46)*('11. Diet'!D45/SUM('11. Diet'!D44:D45)))) / ((SUM(D45:H45)*('11. Diet'!D44/SUM('11. Diet'!D44:D45)))+(SUM(D46:H46)*('11. Diet'!D45/SUM('11. Diet'!D44:D45))))</f>
        <v>0.97001337400692844</v>
      </c>
      <c r="C83" s="2"/>
      <c r="D83" s="154"/>
      <c r="E83" s="154"/>
      <c r="F83" s="154"/>
      <c r="G83" s="154"/>
      <c r="H83" s="102"/>
    </row>
    <row r="84" spans="1:17" x14ac:dyDescent="0.25">
      <c r="A84" s="218" t="s">
        <v>62</v>
      </c>
      <c r="B84" s="959">
        <f>((SUM(H47:L47)*('11. Diet'!D46/SUM('11. Diet'!D46:D47)))+(SUM(H48:L48)*('11. Diet'!D47/SUM('11. Diet'!D46:D47)))) / ((SUM(D47:H47)*('11. Diet'!D46/SUM('11. Diet'!D46:D47)))+(SUM(D48:H48)*('11. Diet'!D47/SUM('11. Diet'!D46:D47))))</f>
        <v>0.98880229203280656</v>
      </c>
      <c r="C84" s="2"/>
      <c r="D84" s="154"/>
      <c r="E84" s="154"/>
      <c r="F84" s="154"/>
      <c r="G84" s="154"/>
      <c r="H84" s="102"/>
    </row>
    <row r="86" spans="1:17" ht="14.45" customHeight="1" x14ac:dyDescent="0.25">
      <c r="A86" s="1172" t="s">
        <v>307</v>
      </c>
      <c r="B86" s="1172"/>
      <c r="C86" s="1172"/>
      <c r="D86" s="1172"/>
      <c r="E86" s="1172"/>
      <c r="F86" s="1172"/>
      <c r="G86" s="1172"/>
      <c r="H86" s="1172"/>
    </row>
    <row r="87" spans="1:17" ht="26.25" customHeight="1" x14ac:dyDescent="0.25">
      <c r="A87" s="1134" t="s">
        <v>341</v>
      </c>
      <c r="B87" s="1134"/>
      <c r="C87" s="1134"/>
      <c r="D87" s="1134"/>
      <c r="E87" s="1134"/>
      <c r="F87" s="1134"/>
      <c r="G87" s="1134"/>
      <c r="H87" s="1134"/>
    </row>
    <row r="88" spans="1:17" ht="33" customHeight="1" x14ac:dyDescent="0.25">
      <c r="A88" s="1125" t="s">
        <v>1389</v>
      </c>
      <c r="B88" s="1125"/>
      <c r="C88" s="1125"/>
      <c r="D88" s="1125"/>
      <c r="E88" s="1125"/>
      <c r="F88" s="1125"/>
      <c r="G88" s="1125"/>
      <c r="H88" s="1125"/>
    </row>
    <row r="89" spans="1:17" x14ac:dyDescent="0.25">
      <c r="A89" s="704"/>
      <c r="B89" s="704"/>
      <c r="C89" s="704"/>
      <c r="D89" s="704"/>
      <c r="E89" s="704"/>
      <c r="F89" s="704"/>
      <c r="G89" s="704"/>
      <c r="H89" s="704"/>
    </row>
    <row r="90" spans="1:17" x14ac:dyDescent="0.25">
      <c r="A90" s="1172" t="s">
        <v>206</v>
      </c>
      <c r="B90" s="1172"/>
      <c r="C90" s="1172"/>
      <c r="D90" s="1172"/>
      <c r="E90" s="1172"/>
      <c r="F90" s="1172"/>
      <c r="G90" s="1172"/>
      <c r="H90" s="1172"/>
    </row>
    <row r="91" spans="1:17" ht="60.6" customHeight="1" x14ac:dyDescent="0.25">
      <c r="A91" s="943" t="s">
        <v>185</v>
      </c>
      <c r="B91" s="1100" t="s">
        <v>1390</v>
      </c>
      <c r="C91" s="1100"/>
      <c r="D91" s="1100"/>
      <c r="E91" s="1100"/>
      <c r="F91" s="1100"/>
      <c r="G91" s="1100"/>
      <c r="H91" s="1100"/>
    </row>
    <row r="92" spans="1:17" ht="57" customHeight="1" x14ac:dyDescent="0.25">
      <c r="A92" s="943" t="s">
        <v>185</v>
      </c>
      <c r="B92" s="1096" t="s">
        <v>1391</v>
      </c>
      <c r="C92" s="1096"/>
      <c r="D92" s="1096"/>
      <c r="E92" s="1096"/>
      <c r="F92" s="1096"/>
      <c r="G92" s="1096"/>
      <c r="H92" s="1096"/>
    </row>
    <row r="93" spans="1:17" ht="58.5" customHeight="1" x14ac:dyDescent="0.25">
      <c r="A93" s="943" t="s">
        <v>185</v>
      </c>
      <c r="B93" s="1096" t="s">
        <v>1392</v>
      </c>
      <c r="C93" s="1096"/>
      <c r="D93" s="1096"/>
      <c r="E93" s="1096"/>
      <c r="F93" s="1096"/>
      <c r="G93" s="1096"/>
      <c r="H93" s="1096"/>
    </row>
    <row r="94" spans="1:17" x14ac:dyDescent="0.25">
      <c r="A94" s="943" t="s">
        <v>185</v>
      </c>
      <c r="B94" s="1130" t="s">
        <v>1393</v>
      </c>
      <c r="C94" s="1130"/>
      <c r="D94" s="1130"/>
      <c r="E94" s="1130"/>
      <c r="F94" s="1130"/>
      <c r="G94" s="1130"/>
      <c r="H94" s="1130"/>
    </row>
    <row r="95" spans="1:17" ht="30" customHeight="1" x14ac:dyDescent="0.25">
      <c r="A95" s="943" t="s">
        <v>185</v>
      </c>
      <c r="B95" s="1125" t="s">
        <v>1394</v>
      </c>
      <c r="C95" s="1125"/>
      <c r="D95" s="1125"/>
      <c r="E95" s="1125"/>
      <c r="F95" s="1125"/>
      <c r="G95" s="1125"/>
      <c r="H95" s="1125"/>
    </row>
    <row r="96" spans="1:17" x14ac:dyDescent="0.25">
      <c r="A96" s="35"/>
      <c r="B96" s="35"/>
      <c r="C96" s="35"/>
      <c r="D96" s="9"/>
      <c r="E96" s="35"/>
      <c r="F96" s="35"/>
      <c r="G96" s="35"/>
      <c r="H96" s="35"/>
      <c r="I96" s="35"/>
      <c r="J96" s="35"/>
      <c r="K96" s="35"/>
      <c r="L96" s="35"/>
      <c r="M96" s="35"/>
      <c r="N96" s="35"/>
      <c r="O96" s="35"/>
      <c r="P96" s="35"/>
      <c r="Q96" s="35"/>
    </row>
    <row r="97" spans="1:17" x14ac:dyDescent="0.25">
      <c r="A97" s="1172" t="s">
        <v>1395</v>
      </c>
      <c r="B97" s="1172"/>
      <c r="C97" s="1172"/>
      <c r="D97" s="1172"/>
      <c r="E97" s="1172"/>
      <c r="F97" s="1172"/>
      <c r="G97" s="1172"/>
      <c r="H97" s="1172"/>
      <c r="I97" s="35"/>
      <c r="J97" s="35"/>
      <c r="K97" s="35"/>
      <c r="L97" s="35"/>
      <c r="M97" s="35"/>
      <c r="N97" s="35"/>
      <c r="O97" s="35"/>
      <c r="P97" s="35"/>
      <c r="Q97" s="35"/>
    </row>
    <row r="98" spans="1:17" ht="30" x14ac:dyDescent="0.25">
      <c r="A98" s="153" t="s">
        <v>1396</v>
      </c>
      <c r="B98" s="1252" t="s">
        <v>1397</v>
      </c>
      <c r="C98" s="1252"/>
      <c r="D98" s="1252"/>
      <c r="E98" s="1252"/>
      <c r="F98" s="1252"/>
      <c r="G98" s="1252"/>
      <c r="H98" s="1252"/>
      <c r="I98" s="35"/>
      <c r="J98" s="35"/>
      <c r="K98" s="35"/>
      <c r="L98" s="35"/>
      <c r="M98" s="35"/>
      <c r="N98" s="35"/>
      <c r="O98" s="35"/>
      <c r="P98" s="35"/>
      <c r="Q98" s="35"/>
    </row>
  </sheetData>
  <mergeCells count="15">
    <mergeCell ref="A88:H88"/>
    <mergeCell ref="A86:H86"/>
    <mergeCell ref="A90:H90"/>
    <mergeCell ref="A1:L1"/>
    <mergeCell ref="D2:G2"/>
    <mergeCell ref="I2:L2"/>
    <mergeCell ref="A75:B75"/>
    <mergeCell ref="A87:H87"/>
    <mergeCell ref="A97:H97"/>
    <mergeCell ref="B98:H98"/>
    <mergeCell ref="B91:H91"/>
    <mergeCell ref="B92:H92"/>
    <mergeCell ref="B93:H93"/>
    <mergeCell ref="B94:H94"/>
    <mergeCell ref="B95:H95"/>
  </mergeCells>
  <pageMargins left="0.7" right="0.7" top="0.75" bottom="0.75" header="0.3" footer="0.3"/>
</worksheet>
</file>

<file path=docMetadata/LabelInfo.xml><?xml version="1.0" encoding="utf-8"?>
<clbl:labelList xmlns:clbl="http://schemas.microsoft.com/office/2020/mipLabelMetadata">
  <clbl:label id="{61fd1d36-fecb-47ca-b7d7-d0df0370a198}" enabled="0" method="" siteId="{61fd1d36-fecb-47ca-b7d7-d0df0370a19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README</vt:lpstr>
      <vt:lpstr>1. LCA Controls</vt:lpstr>
      <vt:lpstr>2. ABM-LCA Controls</vt:lpstr>
      <vt:lpstr>3. Outputs BASE</vt:lpstr>
      <vt:lpstr>4. Outputs LOCAL</vt:lpstr>
      <vt:lpstr>5. Outputs ABM-LOCAL</vt:lpstr>
      <vt:lpstr>6. ABM-LCA Inputs</vt:lpstr>
      <vt:lpstr>7. BASE to LOCAL</vt:lpstr>
      <vt:lpstr>8. Prices</vt:lpstr>
      <vt:lpstr>9. Price Adj</vt:lpstr>
      <vt:lpstr>10. Population</vt:lpstr>
      <vt:lpstr>11. Diet</vt:lpstr>
      <vt:lpstr>12. Nutrition</vt:lpstr>
      <vt:lpstr>13. Yields</vt:lpstr>
      <vt:lpstr>14. Land Req </vt:lpstr>
      <vt:lpstr>15. Ag Prod</vt:lpstr>
      <vt:lpstr>16. Packaging, Market</vt:lpstr>
      <vt:lpstr>17. Transport</vt:lpstr>
      <vt:lpstr>PFI Yield data</vt:lpstr>
      <vt:lpstr>18. Waste, Losses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Tiffanie Stone</dc:creator>
  <cp:keywords/>
  <dc:description/>
  <cp:lastModifiedBy>Tiffanie Faye Stone</cp:lastModifiedBy>
  <cp:revision/>
  <dcterms:created xsi:type="dcterms:W3CDTF">2020-06-24T21:32:42Z</dcterms:created>
  <dcterms:modified xsi:type="dcterms:W3CDTF">2025-10-17T05:06:44Z</dcterms:modified>
  <cp:category/>
  <cp:contentStatus/>
</cp:coreProperties>
</file>